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Office PC\Desktop\"/>
    </mc:Choice>
  </mc:AlternateContent>
  <xr:revisionPtr revIDLastSave="0" documentId="13_ncr:1_{70F962BB-25E7-4ABD-8258-114A4A1183B8}" xr6:coauthVersionLast="45" xr6:coauthVersionMax="45" xr10:uidLastSave="{00000000-0000-0000-0000-000000000000}"/>
  <bookViews>
    <workbookView xWindow="-28920" yWindow="-120" windowWidth="29040" windowHeight="15840" tabRatio="870" xr2:uid="{00000000-000D-0000-FFFF-FFFF00000000}"/>
  </bookViews>
  <sheets>
    <sheet name="Dashboard" sheetId="1" r:id="rId1"/>
    <sheet name="Data" sheetId="155" state="hidden" r:id="rId2"/>
    <sheet name="MedicationFull" sheetId="91" state="hidden" r:id="rId3"/>
    <sheet name="DxListFull" sheetId="94" state="hidden" r:id="rId4"/>
    <sheet name="VitalsHistory" sheetId="120" state="hidden" r:id="rId5"/>
    <sheet name="Signatures" sheetId="52" state="hidden" r:id="rId6"/>
    <sheet name="ClientPhysicians" sheetId="98" state="hidden" r:id="rId7"/>
    <sheet name="VisitDates" sheetId="44" state="hidden" r:id="rId8"/>
    <sheet name="EventHistory" sheetId="143" state="hidden" r:id="rId9"/>
    <sheet name="SV" sheetId="58" state="hidden" r:id="rId10"/>
    <sheet name="ppm.RnAssessment" sheetId="30" state="hidden" r:id="rId11"/>
    <sheet name="ppm.medprofile" sheetId="15" state="hidden" r:id="rId12"/>
    <sheet name="ppm.medprofilecont" sheetId="90" state="hidden" r:id="rId13"/>
    <sheet name="ppm.careplan1dual" sheetId="147" state="hidden" r:id="rId14"/>
    <sheet name="ppm.careplan1" sheetId="39" state="hidden" r:id="rId15"/>
    <sheet name="ppm.careplan2" sheetId="38" state="hidden" r:id="rId16"/>
    <sheet name="ppm.careplan3" sheetId="40" state="hidden" r:id="rId17"/>
    <sheet name="DiagnosisList" sheetId="92" state="hidden" r:id="rId18"/>
    <sheet name="DiagnosisListCont" sheetId="93" state="hidden" r:id="rId19"/>
    <sheet name="EmpEval" sheetId="77" state="hidden" r:id="rId20"/>
    <sheet name="ppm.srf" sheetId="41" state="hidden" r:id="rId21"/>
    <sheet name="ppm.vitals" sheetId="11" state="hidden" r:id="rId22"/>
    <sheet name="m.ConsentEmerg" sheetId="34" state="hidden" r:id="rId23"/>
    <sheet name="m.docuconf" sheetId="36" state="hidden" r:id="rId24"/>
    <sheet name="m.appendixL" sheetId="33" state="hidden" r:id="rId25"/>
    <sheet name="m.svcagreement" sheetId="32" state="hidden" r:id="rId26"/>
    <sheet name="m.svcagreementint" sheetId="97" state="hidden" r:id="rId27"/>
    <sheet name="pp.dualsvcagreement" sheetId="146" state="hidden" r:id="rId28"/>
    <sheet name="pp.svcagreementint" sheetId="107" state="hidden" r:id="rId29"/>
    <sheet name="m.costshare" sheetId="24" state="hidden" r:id="rId30"/>
    <sheet name="pp.docuconf" sheetId="37" state="hidden" r:id="rId31"/>
    <sheet name="ppm.supervision" sheetId="18" state="hidden" r:id="rId32"/>
    <sheet name="pp.svcagreement" sheetId="31" state="hidden" r:id="rId33"/>
    <sheet name="M.CostShareFinancial" sheetId="108" state="hidden" r:id="rId34"/>
    <sheet name="pp.dualfinancial" sheetId="145" state="hidden" r:id="rId35"/>
    <sheet name="pp.financial" sheetId="28" state="hidden" r:id="rId36"/>
    <sheet name="ppm.specific" sheetId="22" state="hidden" r:id="rId37"/>
    <sheet name="ppm.emergency" sheetId="23" state="hidden" r:id="rId38"/>
    <sheet name="ppm.clientinfo" sheetId="35" state="hidden" r:id="rId39"/>
    <sheet name="PCPDxNotice" sheetId="100" state="hidden" r:id="rId40"/>
    <sheet name="ClientDXNotice" sheetId="150" state="hidden" r:id="rId41"/>
    <sheet name="m.directives" sheetId="8" state="hidden" r:id="rId42"/>
    <sheet name="m.transportation" sheetId="25" state="hidden" r:id="rId43"/>
    <sheet name="m.rebroker" sheetId="19" state="hidden" r:id="rId44"/>
    <sheet name="pp.waivers" sheetId="27" state="hidden" r:id="rId45"/>
    <sheet name="pp.contacts" sheetId="26" state="hidden" r:id="rId46"/>
    <sheet name="ppm.SpecPhysicians" sheetId="99" state="hidden" r:id="rId47"/>
    <sheet name="ppm.complaints" sheetId="9" state="hidden" r:id="rId48"/>
    <sheet name="ppm.hipaa" sheetId="10" state="hidden" r:id="rId49"/>
    <sheet name="ppm.rights" sheetId="13" state="hidden" r:id="rId50"/>
    <sheet name="ppm.responsibilities" sheetId="12" state="hidden" r:id="rId51"/>
    <sheet name="ppm.servicepolicies" sheetId="14" state="hidden" r:id="rId52"/>
    <sheet name="ppm.discharge" sheetId="16" state="hidden" r:id="rId53"/>
    <sheet name="ppm.disaster" sheetId="17" state="hidden" r:id="rId54"/>
    <sheet name="m.admission" sheetId="21" state="hidden" r:id="rId55"/>
    <sheet name="LTC" sheetId="149" state="hidden" r:id="rId56"/>
    <sheet name="ppm.bignum" sheetId="20" state="hidden" r:id="rId57"/>
    <sheet name="ppm.bignumint" sheetId="118" state="hidden" r:id="rId58"/>
    <sheet name="TheGroup" sheetId="148" state="hidden" r:id="rId59"/>
    <sheet name="Template" sheetId="6" state="hidden" r:id="rId60"/>
    <sheet name="ProxyCarePlan" sheetId="142" state="hidden" r:id="rId61"/>
    <sheet name="InfConsentProxy" sheetId="141" state="hidden" r:id="rId62"/>
    <sheet name="SNFaxCover" sheetId="115" state="hidden" r:id="rId63"/>
    <sheet name="schtest" sheetId="29" state="hidden" r:id="rId64"/>
    <sheet name="Email" sheetId="66" state="hidden" r:id="rId65"/>
    <sheet name="CMOffice" sheetId="59" state="hidden" r:id="rId66"/>
    <sheet name="Pharmacy" sheetId="89" state="hidden" r:id="rId67"/>
    <sheet name="Values" sheetId="3" state="hidden" r:id="rId68"/>
    <sheet name="EventLog" sheetId="137" state="hidden" r:id="rId69"/>
    <sheet name="EventHidden" sheetId="140" state="hidden" r:id="rId70"/>
    <sheet name="EventIndPrint" sheetId="139" state="hidden" r:id="rId71"/>
    <sheet name="Macros" sheetId="119" state="hidden" r:id="rId72"/>
    <sheet name="Physicians" sheetId="88" state="hidden" r:id="rId73"/>
    <sheet name="Nurses" sheetId="87" state="hidden" r:id="rId74"/>
    <sheet name="FLCP" sheetId="103" state="hidden" r:id="rId75"/>
    <sheet name="ARCP" sheetId="106" state="hidden" r:id="rId76"/>
    <sheet name="SNSVCAgr" sheetId="111" state="hidden" r:id="rId77"/>
    <sheet name="SNCarePlan" sheetId="109" state="hidden" r:id="rId78"/>
    <sheet name="SNVisit" sheetId="110" state="hidden" r:id="rId79"/>
    <sheet name="AppHRN" sheetId="114" state="hidden" r:id="rId80"/>
    <sheet name="SnHistorical" sheetId="112" state="hidden" r:id="rId81"/>
    <sheet name="RNVisitFormHistorical" sheetId="113" state="hidden" r:id="rId82"/>
    <sheet name="Sheet1" sheetId="116" state="hidden" r:id="rId83"/>
    <sheet name="SCHDualMPP" sheetId="144" state="hidden" r:id="rId84"/>
  </sheets>
  <definedNames>
    <definedName name="_xlnm._FilterDatabase" localSheetId="0" hidden="1">Dashboard!$A$1:$O$58</definedName>
    <definedName name="clientink">Signatures!$C$8:$G$10</definedName>
    <definedName name="eventink">EventIndPrint!$A$36:$U$40</definedName>
    <definedName name="pastedpic1">m.rebroker!$A$43:$P$45</definedName>
    <definedName name="pastedpic10">ppm.vitals!$A$44:$P$46</definedName>
    <definedName name="pastedpic11">ppm.rights!$A$95:$P$97</definedName>
    <definedName name="pastedpic12">ppm.responsibilities!$A$44:$P$46</definedName>
    <definedName name="pastedpic13">pp.waivers!$A$38:$P$40</definedName>
    <definedName name="pastedpic14">pp.contacts!$A$40:$P$42</definedName>
    <definedName name="pastedpic15">Signatures!$A$1</definedName>
    <definedName name="pastedpic2">m.directives!$A$43:$P$45</definedName>
    <definedName name="pastedpic3">m.ConsentEmerg!$A$41:$P$43</definedName>
    <definedName name="pastedpic4">m.transportation!$A$39:$P$41</definedName>
    <definedName name="pastedpic5">ppm.disaster!$A$41:$P$43</definedName>
    <definedName name="pastedpic6">ppm.discharge!$A$44:$P$46</definedName>
    <definedName name="pastedpic61" localSheetId="1">#REF!</definedName>
    <definedName name="pastedpic61" localSheetId="70">#REF!</definedName>
    <definedName name="pastedpic61" localSheetId="68">#REF!</definedName>
    <definedName name="pastedpic61" localSheetId="61">#REF!</definedName>
    <definedName name="pastedpic61" localSheetId="55">#REF!</definedName>
    <definedName name="pastedpic61" localSheetId="34">#REF!</definedName>
    <definedName name="pastedpic61" localSheetId="27">#REF!</definedName>
    <definedName name="pastedpic61" localSheetId="13">#REF!</definedName>
    <definedName name="pastedpic61" localSheetId="60">#REF!</definedName>
    <definedName name="pastedpic61" localSheetId="58">#REF!</definedName>
    <definedName name="pastedpic61">#REF!</definedName>
    <definedName name="pastedpic7">ppm.servicepolicies!$A$92:$P$94</definedName>
    <definedName name="pastedpic8">ppm.complaints!$A$44:$P$46</definedName>
    <definedName name="pastedpic9">ppm.hipaa!$A$92:$P$94</definedName>
    <definedName name="TotalHours" localSheetId="1">Data!$G$366:$G$406</definedName>
    <definedName name="TotalHours">#REF!</definedName>
    <definedName name="visitdates">VisitDates!$A$1:$A$36</definedName>
    <definedName name="visittype">VisitDates!$C$1:$C$41</definedName>
    <definedName name="vitalsclient">ppm.vitals!$A$44:$P$46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E3" i="107" l="1"/>
  <c r="AE3" i="146"/>
  <c r="AE4" i="97" l="1"/>
  <c r="AE4" i="32"/>
  <c r="AE1" i="32"/>
  <c r="AE2" i="32"/>
  <c r="AE3" i="32"/>
  <c r="I2" i="39"/>
  <c r="I2" i="147"/>
  <c r="B175" i="155" l="1"/>
  <c r="A36" i="139" l="1"/>
  <c r="S24" i="139"/>
  <c r="X40" i="139"/>
  <c r="A27" i="139"/>
  <c r="F24" i="139"/>
  <c r="A16" i="139"/>
  <c r="V13" i="139"/>
  <c r="G13" i="139"/>
  <c r="F11" i="139"/>
  <c r="AA11" i="139"/>
  <c r="AC10" i="139"/>
  <c r="G10" i="139"/>
  <c r="AA7" i="139"/>
  <c r="E7" i="139"/>
  <c r="U5" i="139"/>
  <c r="Y4" i="139"/>
  <c r="F4" i="139"/>
  <c r="A3" i="139"/>
  <c r="AD1" i="139"/>
  <c r="F1" i="139"/>
  <c r="D5" i="1"/>
  <c r="J8" i="1"/>
  <c r="F8" i="1"/>
  <c r="D8" i="1"/>
  <c r="J5" i="1"/>
  <c r="F4" i="1"/>
  <c r="Y4" i="58" l="1"/>
  <c r="C16" i="144"/>
  <c r="C15" i="144"/>
  <c r="C14" i="144"/>
  <c r="C13" i="144"/>
  <c r="C12" i="144"/>
  <c r="D9" i="144"/>
  <c r="C9" i="144"/>
  <c r="B9" i="144"/>
  <c r="D8" i="144"/>
  <c r="C8" i="144"/>
  <c r="B8" i="144"/>
  <c r="D7" i="144"/>
  <c r="C7" i="144"/>
  <c r="B7" i="144"/>
  <c r="D6" i="144"/>
  <c r="C6" i="144"/>
  <c r="B6" i="144"/>
  <c r="D5" i="144"/>
  <c r="C5" i="144"/>
  <c r="B5" i="144"/>
  <c r="D4" i="144"/>
  <c r="C4" i="144"/>
  <c r="B4" i="144"/>
  <c r="D3" i="144"/>
  <c r="C3" i="144"/>
  <c r="B3" i="144"/>
  <c r="E9" i="109"/>
  <c r="E8" i="109"/>
  <c r="E7" i="109"/>
  <c r="Y4" i="109"/>
  <c r="AH28" i="99"/>
  <c r="V28" i="99"/>
  <c r="C28" i="99"/>
  <c r="AD27" i="99"/>
  <c r="E27" i="99"/>
  <c r="AC26" i="99"/>
  <c r="E26" i="99"/>
  <c r="AC25" i="99"/>
  <c r="G25" i="99"/>
  <c r="AH22" i="99"/>
  <c r="V22" i="99"/>
  <c r="C22" i="99"/>
  <c r="AD21" i="99"/>
  <c r="E21" i="99"/>
  <c r="AC20" i="99"/>
  <c r="E20" i="99"/>
  <c r="AC19" i="99"/>
  <c r="G19" i="99"/>
  <c r="AH16" i="99"/>
  <c r="V16" i="99"/>
  <c r="C16" i="99"/>
  <c r="AD15" i="99"/>
  <c r="E15" i="99"/>
  <c r="AC14" i="99"/>
  <c r="E14" i="99"/>
  <c r="AC13" i="99"/>
  <c r="G13" i="99"/>
  <c r="AH10" i="99"/>
  <c r="V10" i="99"/>
  <c r="C10" i="99"/>
  <c r="AD9" i="99"/>
  <c r="E9" i="99"/>
  <c r="AC8" i="99"/>
  <c r="E8" i="99"/>
  <c r="AC7" i="99"/>
  <c r="G7" i="99"/>
  <c r="T24" i="39"/>
  <c r="F24" i="39"/>
  <c r="T23" i="39"/>
  <c r="F23" i="39"/>
  <c r="T22" i="39"/>
  <c r="F22" i="39"/>
  <c r="T24" i="147"/>
  <c r="F24" i="147"/>
  <c r="T23" i="147"/>
  <c r="F23" i="147"/>
  <c r="T22" i="147"/>
  <c r="F22" i="147"/>
  <c r="T44" i="114" l="1"/>
  <c r="X42" i="114"/>
  <c r="A37" i="114"/>
  <c r="X33" i="114"/>
  <c r="G33" i="114"/>
  <c r="X32" i="114"/>
  <c r="G32" i="114"/>
  <c r="X31" i="114"/>
  <c r="G31" i="114"/>
  <c r="L27" i="114"/>
  <c r="F27" i="114"/>
  <c r="L25" i="114"/>
  <c r="F25" i="114"/>
  <c r="F23" i="114"/>
  <c r="L21" i="114"/>
  <c r="F21" i="114"/>
  <c r="L19" i="114"/>
  <c r="F19" i="114"/>
  <c r="L17" i="114"/>
  <c r="F17" i="114"/>
  <c r="L15" i="114"/>
  <c r="F15" i="114"/>
  <c r="H11" i="114"/>
  <c r="F9" i="114"/>
  <c r="I7" i="114"/>
  <c r="G6" i="114"/>
  <c r="AA4" i="114"/>
  <c r="I4" i="114"/>
  <c r="X2" i="114"/>
  <c r="F2" i="114"/>
  <c r="AA1" i="114"/>
  <c r="L23" i="114"/>
  <c r="Z51" i="110"/>
  <c r="Z48" i="110"/>
  <c r="AI46" i="110"/>
  <c r="AI45" i="110"/>
  <c r="A41" i="110"/>
  <c r="D39" i="110"/>
  <c r="X38" i="110"/>
  <c r="F38" i="110"/>
  <c r="X37" i="110"/>
  <c r="F37" i="110"/>
  <c r="X36" i="110"/>
  <c r="F36" i="110"/>
  <c r="D34" i="110"/>
  <c r="A33" i="110"/>
  <c r="AA32" i="110"/>
  <c r="S32" i="110"/>
  <c r="G32" i="110"/>
  <c r="A32" i="110"/>
  <c r="D30" i="110"/>
  <c r="AA29" i="110"/>
  <c r="J29" i="110"/>
  <c r="A29" i="110"/>
  <c r="H28" i="110"/>
  <c r="A28" i="110"/>
  <c r="Z27" i="110"/>
  <c r="P27" i="110"/>
  <c r="H27" i="110"/>
  <c r="A27" i="110"/>
  <c r="D25" i="110"/>
  <c r="K24" i="110"/>
  <c r="W23" i="110"/>
  <c r="O23" i="110"/>
  <c r="H23" i="110"/>
  <c r="A23" i="110"/>
  <c r="X22" i="110"/>
  <c r="O22" i="110"/>
  <c r="G22" i="110"/>
  <c r="A22" i="110"/>
  <c r="D20" i="110"/>
  <c r="X19" i="110"/>
  <c r="J19" i="110"/>
  <c r="AJ18" i="110"/>
  <c r="AD18" i="110"/>
  <c r="Z18" i="110"/>
  <c r="Q18" i="110"/>
  <c r="M18" i="110"/>
  <c r="G18" i="110"/>
  <c r="E18" i="110"/>
  <c r="AI17" i="110"/>
  <c r="Z17" i="110"/>
  <c r="S17" i="110"/>
  <c r="E17" i="110"/>
  <c r="D15" i="110"/>
  <c r="R14" i="110"/>
  <c r="H14" i="110"/>
  <c r="AE13" i="110"/>
  <c r="T13" i="110"/>
  <c r="N13" i="110"/>
  <c r="C13" i="110"/>
  <c r="AA12" i="110"/>
  <c r="T12" i="110"/>
  <c r="N12" i="110"/>
  <c r="A12" i="110"/>
  <c r="AA11" i="110"/>
  <c r="T11" i="110"/>
  <c r="N11" i="110"/>
  <c r="A11" i="110"/>
  <c r="AA10" i="110"/>
  <c r="S10" i="110"/>
  <c r="A10" i="110"/>
  <c r="E6" i="110"/>
  <c r="AC4" i="110"/>
  <c r="R4" i="110"/>
  <c r="H4" i="110"/>
  <c r="AC3" i="110"/>
  <c r="R3" i="110"/>
  <c r="H3" i="110"/>
  <c r="V2" i="110"/>
  <c r="E2" i="110"/>
  <c r="V1" i="110"/>
  <c r="E1" i="110"/>
  <c r="AA49" i="109"/>
  <c r="Y42" i="109"/>
  <c r="X41" i="109"/>
  <c r="A40" i="109"/>
  <c r="A39" i="109"/>
  <c r="A38" i="109"/>
  <c r="A36" i="109"/>
  <c r="A35" i="109"/>
  <c r="A34" i="109"/>
  <c r="A33" i="109"/>
  <c r="A32" i="109"/>
  <c r="Q30" i="109"/>
  <c r="G30" i="109"/>
  <c r="A28" i="109"/>
  <c r="AA26" i="109"/>
  <c r="R26" i="109"/>
  <c r="H26" i="109"/>
  <c r="A26" i="109"/>
  <c r="AA25" i="109"/>
  <c r="R25" i="109"/>
  <c r="H25" i="109"/>
  <c r="A25" i="109"/>
  <c r="Z23" i="109"/>
  <c r="Q23" i="109"/>
  <c r="G23" i="109"/>
  <c r="A23" i="109"/>
  <c r="Z22" i="109"/>
  <c r="Q22" i="109"/>
  <c r="G22" i="109"/>
  <c r="A22" i="109"/>
  <c r="M20" i="109"/>
  <c r="A20" i="109"/>
  <c r="Y19" i="109"/>
  <c r="M19" i="109"/>
  <c r="A19" i="109"/>
  <c r="Y18" i="109"/>
  <c r="M18" i="109"/>
  <c r="A18" i="109"/>
  <c r="G16" i="109"/>
  <c r="I15" i="109"/>
  <c r="Y9" i="109"/>
  <c r="Y8" i="109"/>
  <c r="Y7" i="109"/>
  <c r="AH6" i="109"/>
  <c r="W6" i="109"/>
  <c r="D6" i="109"/>
  <c r="AE5" i="109"/>
  <c r="E5" i="109"/>
  <c r="O4" i="109"/>
  <c r="D4" i="109"/>
  <c r="AE3" i="109"/>
  <c r="AE2" i="109"/>
  <c r="F2" i="109"/>
  <c r="AE1" i="109"/>
  <c r="F1" i="109"/>
  <c r="Z49" i="111"/>
  <c r="Z46" i="111"/>
  <c r="A24" i="111"/>
  <c r="A23" i="111"/>
  <c r="A22" i="111"/>
  <c r="S19" i="111"/>
  <c r="I19" i="111"/>
  <c r="S18" i="111"/>
  <c r="I18" i="111"/>
  <c r="F16" i="111"/>
  <c r="U13" i="111"/>
  <c r="G13" i="111"/>
  <c r="G12" i="111"/>
  <c r="G10" i="111"/>
  <c r="R8" i="111"/>
  <c r="K8" i="111"/>
  <c r="AC7" i="111"/>
  <c r="R7" i="111"/>
  <c r="K7" i="111"/>
  <c r="O5" i="111"/>
  <c r="AJ3" i="111"/>
  <c r="U3" i="111"/>
  <c r="D3" i="111"/>
  <c r="AA2" i="111"/>
  <c r="F2" i="111"/>
  <c r="F53" i="106"/>
  <c r="F52" i="106"/>
  <c r="F51" i="106"/>
  <c r="F50" i="106"/>
  <c r="F49" i="106"/>
  <c r="F48" i="106"/>
  <c r="F47" i="106"/>
  <c r="F46" i="106"/>
  <c r="M45" i="106"/>
  <c r="H45" i="106"/>
  <c r="M44" i="106"/>
  <c r="H44" i="106"/>
  <c r="M43" i="106"/>
  <c r="H43" i="106"/>
  <c r="M42" i="106"/>
  <c r="H42" i="106"/>
  <c r="M41" i="106"/>
  <c r="H41" i="106"/>
  <c r="M40" i="106"/>
  <c r="H40" i="106"/>
  <c r="M39" i="106"/>
  <c r="H39" i="106"/>
  <c r="M38" i="106"/>
  <c r="H38" i="106"/>
  <c r="M37" i="106"/>
  <c r="H37" i="106"/>
  <c r="M36" i="106"/>
  <c r="H36" i="106"/>
  <c r="M35" i="106"/>
  <c r="H35" i="106"/>
  <c r="M34" i="106"/>
  <c r="H34" i="106"/>
  <c r="M33" i="106"/>
  <c r="H33" i="106"/>
  <c r="M32" i="106"/>
  <c r="H32" i="106"/>
  <c r="M31" i="106"/>
  <c r="H31" i="106"/>
  <c r="M30" i="106"/>
  <c r="H30" i="106"/>
  <c r="M29" i="106"/>
  <c r="H29" i="106"/>
  <c r="M28" i="106"/>
  <c r="H28" i="106"/>
  <c r="M27" i="106"/>
  <c r="H27" i="106"/>
  <c r="M26" i="106"/>
  <c r="H26" i="106"/>
  <c r="M25" i="106"/>
  <c r="H25" i="106"/>
  <c r="M24" i="106"/>
  <c r="H24" i="106"/>
  <c r="M23" i="106"/>
  <c r="H23" i="106"/>
  <c r="M22" i="106"/>
  <c r="H22" i="106"/>
  <c r="M21" i="106"/>
  <c r="H21" i="106"/>
  <c r="M20" i="106"/>
  <c r="H20" i="106"/>
  <c r="M19" i="106"/>
  <c r="H19" i="106"/>
  <c r="M18" i="106"/>
  <c r="H18" i="106"/>
  <c r="M17" i="106"/>
  <c r="H17" i="106"/>
  <c r="M16" i="106"/>
  <c r="H16" i="106"/>
  <c r="M15" i="106"/>
  <c r="H15" i="106"/>
  <c r="M14" i="106"/>
  <c r="H14" i="106"/>
  <c r="M13" i="106"/>
  <c r="H13" i="106"/>
  <c r="M12" i="106"/>
  <c r="H12" i="106"/>
  <c r="M11" i="106"/>
  <c r="H11" i="106"/>
  <c r="M10" i="106"/>
  <c r="H10" i="106"/>
  <c r="M9" i="106"/>
  <c r="H9" i="106"/>
  <c r="M8" i="106"/>
  <c r="H8" i="106"/>
  <c r="M7" i="106"/>
  <c r="H7" i="106"/>
  <c r="M6" i="106"/>
  <c r="H6" i="106"/>
  <c r="M5" i="106"/>
  <c r="H5" i="106"/>
  <c r="AH1" i="106"/>
  <c r="W1" i="106"/>
  <c r="E1" i="106"/>
  <c r="K21" i="103"/>
  <c r="F21" i="103"/>
  <c r="K20" i="103"/>
  <c r="F20" i="103"/>
  <c r="K19" i="103"/>
  <c r="F19" i="103"/>
  <c r="K18" i="103"/>
  <c r="F18" i="103"/>
  <c r="K17" i="103"/>
  <c r="F17" i="103"/>
  <c r="K16" i="103"/>
  <c r="F16" i="103"/>
  <c r="K15" i="103"/>
  <c r="F15" i="103"/>
  <c r="K14" i="103"/>
  <c r="F14" i="103"/>
  <c r="K13" i="103"/>
  <c r="F13" i="103"/>
  <c r="K12" i="103"/>
  <c r="F12" i="103"/>
  <c r="K11" i="103"/>
  <c r="F11" i="103"/>
  <c r="K10" i="103"/>
  <c r="F10" i="103"/>
  <c r="K9" i="103"/>
  <c r="F9" i="103"/>
  <c r="K8" i="103"/>
  <c r="F8" i="103"/>
  <c r="K7" i="103"/>
  <c r="F7" i="103"/>
  <c r="K6" i="103"/>
  <c r="F6" i="103"/>
  <c r="K5" i="103"/>
  <c r="F5" i="103"/>
  <c r="K4" i="103"/>
  <c r="F4" i="103"/>
  <c r="AQ1" i="103"/>
  <c r="AE1" i="103"/>
  <c r="T1" i="103"/>
  <c r="E1" i="103"/>
  <c r="G24" i="115"/>
  <c r="G21" i="115"/>
  <c r="G18" i="115"/>
  <c r="G15" i="115"/>
  <c r="Z21" i="115"/>
  <c r="J4" i="141"/>
  <c r="AD3" i="141"/>
  <c r="J3" i="141"/>
  <c r="AB47" i="141"/>
  <c r="R44" i="141"/>
  <c r="T39" i="141"/>
  <c r="B39" i="141"/>
  <c r="T38" i="141"/>
  <c r="B38" i="141"/>
  <c r="A34" i="141"/>
  <c r="D2" i="141"/>
  <c r="AG1" i="141"/>
  <c r="E1" i="141"/>
  <c r="R49" i="142"/>
  <c r="R45" i="142"/>
  <c r="S39" i="142"/>
  <c r="P38" i="142"/>
  <c r="H36" i="142"/>
  <c r="T18" i="142"/>
  <c r="B18" i="142"/>
  <c r="T17" i="142"/>
  <c r="B17" i="142"/>
  <c r="A12" i="142"/>
  <c r="T10" i="142"/>
  <c r="C10" i="142"/>
  <c r="AD9" i="142"/>
  <c r="S9" i="142"/>
  <c r="C9" i="142"/>
  <c r="D8" i="142"/>
  <c r="W7" i="142"/>
  <c r="D7" i="142"/>
  <c r="Z2" i="142"/>
  <c r="I2" i="142"/>
  <c r="AC1" i="142"/>
  <c r="E1" i="142"/>
  <c r="Q46" i="148"/>
  <c r="Q41" i="148"/>
  <c r="AA2" i="148"/>
  <c r="F2" i="148"/>
  <c r="A35" i="118"/>
  <c r="A31" i="118"/>
  <c r="AF29" i="118"/>
  <c r="AG25" i="118"/>
  <c r="AB25" i="118"/>
  <c r="W25" i="118"/>
  <c r="R25" i="118"/>
  <c r="M25" i="118"/>
  <c r="H25" i="118"/>
  <c r="C25" i="118"/>
  <c r="G23" i="118"/>
  <c r="AG21" i="118"/>
  <c r="AG20" i="118"/>
  <c r="N20" i="118"/>
  <c r="F17" i="118"/>
  <c r="A16" i="118"/>
  <c r="Z11" i="118"/>
  <c r="I8" i="118"/>
  <c r="AA4" i="118"/>
  <c r="I4" i="118"/>
  <c r="AA3" i="118"/>
  <c r="I3" i="118"/>
  <c r="AB2" i="118"/>
  <c r="H2" i="118"/>
  <c r="AH1" i="118"/>
  <c r="G1" i="118"/>
  <c r="A35" i="20"/>
  <c r="A31" i="20"/>
  <c r="AG25" i="20"/>
  <c r="AB25" i="20"/>
  <c r="W25" i="20"/>
  <c r="R25" i="20"/>
  <c r="M25" i="20"/>
  <c r="H25" i="20"/>
  <c r="C25" i="20"/>
  <c r="G23" i="20"/>
  <c r="AG21" i="20"/>
  <c r="AG20" i="20"/>
  <c r="N20" i="20"/>
  <c r="F17" i="20"/>
  <c r="A16" i="20"/>
  <c r="Z11" i="20"/>
  <c r="I8" i="20"/>
  <c r="AA4" i="20"/>
  <c r="I4" i="20"/>
  <c r="AA3" i="20"/>
  <c r="I3" i="20"/>
  <c r="AB2" i="20"/>
  <c r="H2" i="20"/>
  <c r="AH1" i="20"/>
  <c r="G1" i="20"/>
  <c r="Q44" i="149"/>
  <c r="Q39" i="149"/>
  <c r="N30" i="149"/>
  <c r="N29" i="149"/>
  <c r="N28" i="149"/>
  <c r="N27" i="149"/>
  <c r="N26" i="149"/>
  <c r="AE2" i="149"/>
  <c r="F2" i="149"/>
  <c r="A29" i="21"/>
  <c r="A23" i="21"/>
  <c r="AG21" i="21"/>
  <c r="AC21" i="21"/>
  <c r="L10" i="21"/>
  <c r="K8" i="21"/>
  <c r="AD4" i="21"/>
  <c r="F4" i="21"/>
  <c r="Z2" i="21"/>
  <c r="F2" i="21"/>
  <c r="R47" i="17"/>
  <c r="R43" i="17"/>
  <c r="W29" i="17"/>
  <c r="Z11" i="17"/>
  <c r="H11" i="17"/>
  <c r="X10" i="17"/>
  <c r="H10" i="17"/>
  <c r="AA2" i="17"/>
  <c r="F2" i="17"/>
  <c r="R50" i="16"/>
  <c r="R46" i="16"/>
  <c r="X22" i="16"/>
  <c r="D22" i="16"/>
  <c r="Y20" i="16"/>
  <c r="E20" i="16"/>
  <c r="E10" i="16"/>
  <c r="V9" i="16"/>
  <c r="E7" i="16"/>
  <c r="U6" i="16"/>
  <c r="AF4" i="16"/>
  <c r="S4" i="16"/>
  <c r="I4" i="16"/>
  <c r="Y2" i="16"/>
  <c r="F2" i="16"/>
  <c r="R98" i="14"/>
  <c r="R94" i="14"/>
  <c r="AD50" i="14"/>
  <c r="E50" i="14"/>
  <c r="Z2" i="14"/>
  <c r="D2" i="14"/>
  <c r="R50" i="12"/>
  <c r="R46" i="12"/>
  <c r="AA2" i="12"/>
  <c r="E2" i="12"/>
  <c r="R101" i="13"/>
  <c r="R97" i="13"/>
  <c r="AA52" i="13"/>
  <c r="E52" i="13"/>
  <c r="AA2" i="13"/>
  <c r="E2" i="13"/>
  <c r="R98" i="10"/>
  <c r="R94" i="10"/>
  <c r="AA2" i="10"/>
  <c r="E2" i="10"/>
  <c r="R50" i="9"/>
  <c r="R46" i="9"/>
  <c r="AA2" i="9"/>
  <c r="E2" i="9"/>
  <c r="R42" i="99"/>
  <c r="R38" i="99"/>
  <c r="AB1" i="99"/>
  <c r="F1" i="99"/>
  <c r="R46" i="26"/>
  <c r="R42" i="26"/>
  <c r="V37" i="26"/>
  <c r="D37" i="26"/>
  <c r="V36" i="26"/>
  <c r="D36" i="26"/>
  <c r="V35" i="26"/>
  <c r="D35" i="26"/>
  <c r="A34" i="26"/>
  <c r="AA31" i="26"/>
  <c r="G31" i="26"/>
  <c r="AA30" i="26"/>
  <c r="E30" i="26"/>
  <c r="AA29" i="26"/>
  <c r="H29" i="26"/>
  <c r="AF27" i="26"/>
  <c r="D27" i="26"/>
  <c r="AF26" i="26"/>
  <c r="D26" i="26"/>
  <c r="AF25" i="26"/>
  <c r="S25" i="26"/>
  <c r="F25" i="26"/>
  <c r="AF24" i="26"/>
  <c r="W24" i="26"/>
  <c r="G24" i="26"/>
  <c r="AF22" i="26"/>
  <c r="D22" i="26"/>
  <c r="AF21" i="26"/>
  <c r="D21" i="26"/>
  <c r="AF20" i="26"/>
  <c r="S20" i="26"/>
  <c r="F20" i="26"/>
  <c r="AF19" i="26"/>
  <c r="W19" i="26"/>
  <c r="G19" i="26"/>
  <c r="AF17" i="26"/>
  <c r="D17" i="26"/>
  <c r="AF16" i="26"/>
  <c r="D16" i="26"/>
  <c r="AF15" i="26"/>
  <c r="S15" i="26"/>
  <c r="F15" i="26"/>
  <c r="AF14" i="26"/>
  <c r="W14" i="26"/>
  <c r="G14" i="26"/>
  <c r="Z2" i="26"/>
  <c r="I2" i="26"/>
  <c r="R44" i="27"/>
  <c r="R40" i="27"/>
  <c r="A26" i="27"/>
  <c r="A19" i="27"/>
  <c r="A12" i="27"/>
  <c r="A4" i="27"/>
  <c r="AA2" i="27"/>
  <c r="F2" i="27"/>
  <c r="R49" i="19"/>
  <c r="R45" i="19"/>
  <c r="E12" i="19"/>
  <c r="E11" i="19"/>
  <c r="E10" i="19"/>
  <c r="O4" i="19"/>
  <c r="Z2" i="19"/>
  <c r="F2" i="19"/>
  <c r="R45" i="25"/>
  <c r="R41" i="25"/>
  <c r="Z2" i="25"/>
  <c r="I2" i="25"/>
  <c r="R49" i="8"/>
  <c r="R45" i="8"/>
  <c r="N38" i="8"/>
  <c r="W37" i="8"/>
  <c r="O37" i="8"/>
  <c r="I37" i="8"/>
  <c r="F37" i="8"/>
  <c r="A37" i="8"/>
  <c r="B33" i="8"/>
  <c r="B32" i="8"/>
  <c r="B31" i="8"/>
  <c r="B30" i="8"/>
  <c r="Y13" i="8"/>
  <c r="F13" i="8"/>
  <c r="Y12" i="8"/>
  <c r="F12" i="8"/>
  <c r="Y11" i="8"/>
  <c r="F11" i="8"/>
  <c r="Y10" i="8"/>
  <c r="F10" i="8"/>
  <c r="Y9" i="8"/>
  <c r="F9" i="8"/>
  <c r="Y8" i="8"/>
  <c r="F8" i="8"/>
  <c r="Q4" i="8"/>
  <c r="A2" i="8"/>
  <c r="AD1" i="8"/>
  <c r="E1" i="8"/>
  <c r="Y41" i="150"/>
  <c r="Y35" i="150"/>
  <c r="J28" i="150"/>
  <c r="J27" i="150"/>
  <c r="I21" i="150"/>
  <c r="E15" i="150"/>
  <c r="H13" i="150"/>
  <c r="A10" i="150"/>
  <c r="A6" i="150"/>
  <c r="AD3" i="150"/>
  <c r="F3" i="150"/>
  <c r="AC2" i="150"/>
  <c r="F2" i="150"/>
  <c r="Y42" i="100"/>
  <c r="Y36" i="100"/>
  <c r="I26" i="100"/>
  <c r="E20" i="100"/>
  <c r="H18" i="100"/>
  <c r="A13" i="100"/>
  <c r="F10" i="100"/>
  <c r="AC9" i="100"/>
  <c r="F9" i="100"/>
  <c r="G6" i="100"/>
  <c r="G5" i="100"/>
  <c r="H3" i="100"/>
  <c r="E1" i="100"/>
  <c r="B42" i="35"/>
  <c r="AA37" i="35"/>
  <c r="I37" i="35"/>
  <c r="AA36" i="35"/>
  <c r="I36" i="35"/>
  <c r="AA35" i="35"/>
  <c r="I35" i="35"/>
  <c r="L32" i="35"/>
  <c r="H32" i="35"/>
  <c r="T31" i="35"/>
  <c r="M31" i="35"/>
  <c r="H31" i="35"/>
  <c r="Z24" i="35"/>
  <c r="Z23" i="35"/>
  <c r="I23" i="35"/>
  <c r="H21" i="35"/>
  <c r="Z19" i="35"/>
  <c r="I19" i="35"/>
  <c r="T17" i="35"/>
  <c r="E17" i="35"/>
  <c r="Z15" i="35"/>
  <c r="V15" i="35"/>
  <c r="R15" i="35"/>
  <c r="N15" i="35"/>
  <c r="E15" i="35"/>
  <c r="AB13" i="35"/>
  <c r="H13" i="35"/>
  <c r="AC11" i="35"/>
  <c r="I11" i="35"/>
  <c r="AH9" i="35"/>
  <c r="X9" i="35"/>
  <c r="Q9" i="35"/>
  <c r="F9" i="35"/>
  <c r="AI7" i="35"/>
  <c r="U7" i="35"/>
  <c r="G7" i="35"/>
  <c r="V6" i="35"/>
  <c r="F6" i="35"/>
  <c r="AI5" i="35"/>
  <c r="AE5" i="35"/>
  <c r="V5" i="35"/>
  <c r="Q5" i="35"/>
  <c r="D5" i="35"/>
  <c r="AF4" i="35"/>
  <c r="X4" i="35"/>
  <c r="E4" i="35"/>
  <c r="A3" i="35"/>
  <c r="F2" i="35"/>
  <c r="AB1" i="35"/>
  <c r="Q1" i="35"/>
  <c r="F1" i="35"/>
  <c r="B42" i="23"/>
  <c r="G37" i="23"/>
  <c r="G35" i="23"/>
  <c r="AA29" i="23"/>
  <c r="I29" i="23"/>
  <c r="AA28" i="23"/>
  <c r="I28" i="23"/>
  <c r="AA27" i="23"/>
  <c r="I27" i="23"/>
  <c r="AE23" i="23"/>
  <c r="W23" i="23"/>
  <c r="Q23" i="23"/>
  <c r="M23" i="23"/>
  <c r="H23" i="23"/>
  <c r="K21" i="23"/>
  <c r="K20" i="23"/>
  <c r="K19" i="23"/>
  <c r="X17" i="23"/>
  <c r="H17" i="23"/>
  <c r="AE15" i="23"/>
  <c r="U15" i="23"/>
  <c r="G15" i="23"/>
  <c r="A14" i="23"/>
  <c r="Y13" i="23"/>
  <c r="F13" i="23"/>
  <c r="AI12" i="23"/>
  <c r="AE12" i="23"/>
  <c r="V12" i="23"/>
  <c r="Q12" i="23"/>
  <c r="D12" i="23"/>
  <c r="X11" i="23"/>
  <c r="G11" i="23"/>
  <c r="E9" i="23"/>
  <c r="Z7" i="23"/>
  <c r="V7" i="23"/>
  <c r="R7" i="23"/>
  <c r="N7" i="23"/>
  <c r="E7" i="23"/>
  <c r="AC5" i="23"/>
  <c r="G5" i="23"/>
  <c r="V4" i="23"/>
  <c r="F4" i="23"/>
  <c r="AI3" i="23"/>
  <c r="AE3" i="23"/>
  <c r="V3" i="23"/>
  <c r="Q3" i="23"/>
  <c r="D3" i="23"/>
  <c r="AF2" i="23"/>
  <c r="X2" i="23"/>
  <c r="E2" i="23"/>
  <c r="A1" i="23"/>
  <c r="G13" i="22"/>
  <c r="A31" i="23" s="1"/>
  <c r="A39" i="22"/>
  <c r="A30" i="22"/>
  <c r="AA27" i="22"/>
  <c r="Q27" i="22"/>
  <c r="F27" i="22"/>
  <c r="AB26" i="22"/>
  <c r="D26" i="22"/>
  <c r="AF25" i="22"/>
  <c r="U25" i="22"/>
  <c r="F25" i="22"/>
  <c r="L23" i="22"/>
  <c r="L22" i="22"/>
  <c r="L21" i="22"/>
  <c r="H19" i="22"/>
  <c r="H17" i="22"/>
  <c r="L11" i="22"/>
  <c r="G7" i="22"/>
  <c r="J4" i="22"/>
  <c r="J3" i="22"/>
  <c r="J2" i="22"/>
  <c r="AC1" i="22"/>
  <c r="R42" i="28"/>
  <c r="R38" i="28"/>
  <c r="X32" i="28"/>
  <c r="H25" i="28"/>
  <c r="J12" i="28"/>
  <c r="AG11" i="28"/>
  <c r="D11" i="28"/>
  <c r="D10" i="28"/>
  <c r="AE9" i="28"/>
  <c r="S9" i="28"/>
  <c r="H9" i="28"/>
  <c r="AG6" i="28"/>
  <c r="K6" i="28"/>
  <c r="AG5" i="28"/>
  <c r="K5" i="28"/>
  <c r="AG4" i="28"/>
  <c r="K4" i="28"/>
  <c r="Y1" i="28"/>
  <c r="F1" i="28"/>
  <c r="R42" i="145"/>
  <c r="R38" i="145"/>
  <c r="X32" i="145"/>
  <c r="H25" i="145"/>
  <c r="J12" i="145"/>
  <c r="AG11" i="145"/>
  <c r="D11" i="145"/>
  <c r="D10" i="145"/>
  <c r="AE9" i="145"/>
  <c r="S9" i="145"/>
  <c r="H9" i="145"/>
  <c r="AG6" i="145"/>
  <c r="K6" i="145"/>
  <c r="AG5" i="145"/>
  <c r="K5" i="145"/>
  <c r="AG4" i="145"/>
  <c r="K4" i="145"/>
  <c r="Y1" i="145"/>
  <c r="F1" i="145"/>
  <c r="R42" i="108"/>
  <c r="R38" i="108"/>
  <c r="X32" i="108"/>
  <c r="I26" i="108"/>
  <c r="J12" i="108"/>
  <c r="AG11" i="108"/>
  <c r="D11" i="108"/>
  <c r="D10" i="108"/>
  <c r="AE9" i="108"/>
  <c r="S9" i="108"/>
  <c r="H9" i="108"/>
  <c r="AE7" i="108"/>
  <c r="A6" i="108"/>
  <c r="A5" i="108"/>
  <c r="Y1" i="108"/>
  <c r="F1" i="108"/>
  <c r="Q50" i="31"/>
  <c r="Q45" i="31"/>
  <c r="AG25" i="31"/>
  <c r="K25" i="31"/>
  <c r="AG24" i="31"/>
  <c r="K24" i="31"/>
  <c r="AG23" i="31"/>
  <c r="K23" i="31"/>
  <c r="S19" i="31"/>
  <c r="P19" i="31"/>
  <c r="M19" i="31"/>
  <c r="J19" i="31"/>
  <c r="G19" i="31"/>
  <c r="D19" i="31"/>
  <c r="A19" i="31"/>
  <c r="V15" i="31"/>
  <c r="C15" i="31"/>
  <c r="AB14" i="31"/>
  <c r="D14" i="31"/>
  <c r="AE13" i="31"/>
  <c r="P13" i="31"/>
  <c r="G13" i="31"/>
  <c r="A10" i="31"/>
  <c r="AF7" i="31"/>
  <c r="F7" i="31"/>
  <c r="AB6" i="31"/>
  <c r="Q6" i="31"/>
  <c r="F6" i="31"/>
  <c r="Z4" i="31"/>
  <c r="F4" i="31"/>
  <c r="AC3" i="31"/>
  <c r="P3" i="31"/>
  <c r="D3" i="31"/>
  <c r="AE2" i="31"/>
  <c r="D2" i="31"/>
  <c r="AE1" i="31"/>
  <c r="T1" i="31"/>
  <c r="E1" i="31"/>
  <c r="R50" i="18"/>
  <c r="R46" i="18"/>
  <c r="Z2" i="18"/>
  <c r="F2" i="18"/>
  <c r="R47" i="37"/>
  <c r="R43" i="37"/>
  <c r="AB4" i="37"/>
  <c r="Q4" i="37"/>
  <c r="F4" i="37"/>
  <c r="Y2" i="37"/>
  <c r="E2" i="37"/>
  <c r="R45" i="24"/>
  <c r="R41" i="24"/>
  <c r="R6" i="24"/>
  <c r="P4" i="24"/>
  <c r="F4" i="24"/>
  <c r="Z2" i="24"/>
  <c r="E2" i="24"/>
  <c r="AC50" i="107"/>
  <c r="Q50" i="107"/>
  <c r="Q45" i="107"/>
  <c r="AG25" i="107"/>
  <c r="K25" i="107"/>
  <c r="AG24" i="107"/>
  <c r="K24" i="107"/>
  <c r="AG23" i="107"/>
  <c r="K23" i="107"/>
  <c r="AD20" i="107"/>
  <c r="S19" i="107"/>
  <c r="P19" i="107"/>
  <c r="M19" i="107"/>
  <c r="J19" i="107"/>
  <c r="G19" i="107"/>
  <c r="D19" i="107"/>
  <c r="A19" i="107"/>
  <c r="AA17" i="107"/>
  <c r="V15" i="107"/>
  <c r="C15" i="107"/>
  <c r="AB14" i="107"/>
  <c r="D14" i="107"/>
  <c r="AE13" i="107"/>
  <c r="P13" i="107"/>
  <c r="G13" i="107"/>
  <c r="A10" i="107"/>
  <c r="AF8" i="107"/>
  <c r="F8" i="107"/>
  <c r="AB7" i="107"/>
  <c r="Q7" i="107"/>
  <c r="F7" i="107"/>
  <c r="Z5" i="107"/>
  <c r="F5" i="107"/>
  <c r="AC4" i="107"/>
  <c r="P4" i="107"/>
  <c r="D4" i="107"/>
  <c r="AE2" i="107"/>
  <c r="D2" i="107"/>
  <c r="AE1" i="107"/>
  <c r="T1" i="107"/>
  <c r="E1" i="107"/>
  <c r="B26" i="144"/>
  <c r="G24" i="144"/>
  <c r="K24" i="144" s="1"/>
  <c r="B24" i="144"/>
  <c r="G23" i="144"/>
  <c r="K23" i="144" s="1"/>
  <c r="G20" i="144"/>
  <c r="K20" i="144" s="1"/>
  <c r="E16" i="144"/>
  <c r="D16" i="144"/>
  <c r="D15" i="144"/>
  <c r="E15" i="144"/>
  <c r="E14" i="144"/>
  <c r="D14" i="144"/>
  <c r="D13" i="144"/>
  <c r="E13" i="144"/>
  <c r="E12" i="144"/>
  <c r="I23" i="144" s="1"/>
  <c r="M23" i="144" s="1"/>
  <c r="D12" i="144"/>
  <c r="H23" i="144" s="1"/>
  <c r="L23" i="144" s="1"/>
  <c r="M10" i="144"/>
  <c r="L10" i="144"/>
  <c r="K10" i="144"/>
  <c r="N10" i="144" s="1"/>
  <c r="N11" i="144" s="1"/>
  <c r="G9" i="144"/>
  <c r="B25" i="144"/>
  <c r="G8" i="144"/>
  <c r="G22" i="144"/>
  <c r="K22" i="144" s="1"/>
  <c r="B23" i="144"/>
  <c r="G5" i="144"/>
  <c r="I4" i="144"/>
  <c r="G19" i="144"/>
  <c r="K19" i="144" s="1"/>
  <c r="B20" i="144"/>
  <c r="Q50" i="146"/>
  <c r="Q45" i="146"/>
  <c r="AG25" i="146"/>
  <c r="K25" i="146"/>
  <c r="AG24" i="146"/>
  <c r="K24" i="146"/>
  <c r="AG23" i="146"/>
  <c r="K23" i="146"/>
  <c r="S19" i="146"/>
  <c r="P19" i="146"/>
  <c r="M19" i="146"/>
  <c r="J19" i="146"/>
  <c r="G19" i="146"/>
  <c r="D19" i="146"/>
  <c r="A19" i="146"/>
  <c r="V15" i="146"/>
  <c r="C15" i="146"/>
  <c r="AB14" i="146"/>
  <c r="D14" i="146"/>
  <c r="AE13" i="146"/>
  <c r="P13" i="146"/>
  <c r="G13" i="146"/>
  <c r="A10" i="146"/>
  <c r="AF8" i="146"/>
  <c r="F8" i="146"/>
  <c r="AB7" i="146"/>
  <c r="Q7" i="146"/>
  <c r="F7" i="146"/>
  <c r="Z5" i="146"/>
  <c r="F5" i="146"/>
  <c r="AC4" i="146"/>
  <c r="P4" i="146"/>
  <c r="D4" i="146"/>
  <c r="AE2" i="146"/>
  <c r="D2" i="146"/>
  <c r="AE1" i="146"/>
  <c r="T1" i="146"/>
  <c r="E1" i="146"/>
  <c r="O52" i="97"/>
  <c r="AD50" i="97"/>
  <c r="Q50" i="97"/>
  <c r="Q47" i="97"/>
  <c r="A28" i="97"/>
  <c r="A25" i="97"/>
  <c r="AE23" i="97"/>
  <c r="A22" i="97"/>
  <c r="A21" i="97"/>
  <c r="AD20" i="97"/>
  <c r="Q20" i="97"/>
  <c r="AD18" i="97"/>
  <c r="AD17" i="97"/>
  <c r="S16" i="97"/>
  <c r="P16" i="97"/>
  <c r="M16" i="97"/>
  <c r="J16" i="97"/>
  <c r="G16" i="97"/>
  <c r="D16" i="97"/>
  <c r="A16" i="97"/>
  <c r="AA14" i="97"/>
  <c r="H12" i="97"/>
  <c r="A9" i="97"/>
  <c r="AC7" i="97"/>
  <c r="F7" i="97"/>
  <c r="AB6" i="97"/>
  <c r="Q6" i="97"/>
  <c r="F6" i="97"/>
  <c r="AB5" i="97"/>
  <c r="F5" i="97"/>
  <c r="AE3" i="97"/>
  <c r="P3" i="97"/>
  <c r="D3" i="97"/>
  <c r="AE2" i="97"/>
  <c r="D2" i="97"/>
  <c r="AE1" i="97"/>
  <c r="T1" i="97"/>
  <c r="E1" i="97"/>
  <c r="C35" i="29"/>
  <c r="C34" i="29"/>
  <c r="C33" i="29"/>
  <c r="C32" i="29"/>
  <c r="C31" i="29"/>
  <c r="C30" i="29"/>
  <c r="C29" i="29"/>
  <c r="Z25" i="29"/>
  <c r="F23" i="29"/>
  <c r="AE22" i="29"/>
  <c r="F22" i="29"/>
  <c r="AE21" i="29"/>
  <c r="F21" i="29"/>
  <c r="AE20" i="29"/>
  <c r="F20" i="29"/>
  <c r="AE19" i="29"/>
  <c r="F19" i="29"/>
  <c r="AE18" i="29"/>
  <c r="AN11" i="29" s="1"/>
  <c r="AS11" i="29" s="1"/>
  <c r="F18" i="29"/>
  <c r="F17" i="29"/>
  <c r="AM14" i="29"/>
  <c r="AP14" i="29" s="1"/>
  <c r="AU14" i="29" s="1"/>
  <c r="AL14" i="29"/>
  <c r="AO14" i="29" s="1"/>
  <c r="AT14" i="29" s="1"/>
  <c r="AK14" i="29"/>
  <c r="AJ25" i="29" s="1"/>
  <c r="AJ14" i="29"/>
  <c r="AM13" i="29"/>
  <c r="AL13" i="29"/>
  <c r="AK13" i="29"/>
  <c r="AJ24" i="29" s="1"/>
  <c r="AJ13" i="29"/>
  <c r="AM12" i="29"/>
  <c r="AP12" i="29" s="1"/>
  <c r="AU12" i="29" s="1"/>
  <c r="AL12" i="29"/>
  <c r="AK23" i="29" s="1"/>
  <c r="AK12" i="29"/>
  <c r="AJ23" i="29" s="1"/>
  <c r="AJ12" i="29"/>
  <c r="N12" i="29"/>
  <c r="J12" i="29"/>
  <c r="F12" i="29"/>
  <c r="AM11" i="29"/>
  <c r="AL11" i="29"/>
  <c r="AK11" i="29"/>
  <c r="AJ11" i="29"/>
  <c r="AA11" i="29"/>
  <c r="Z11" i="29"/>
  <c r="Y11" i="29"/>
  <c r="N11" i="29"/>
  <c r="J11" i="29"/>
  <c r="F11" i="29"/>
  <c r="AM10" i="29"/>
  <c r="AL21" i="29" s="1"/>
  <c r="AL10" i="29"/>
  <c r="AK10" i="29"/>
  <c r="AJ10" i="29"/>
  <c r="AA10" i="29"/>
  <c r="Z10" i="29"/>
  <c r="Y10" i="29"/>
  <c r="N10" i="29"/>
  <c r="J10" i="29"/>
  <c r="F10" i="29"/>
  <c r="AM9" i="29"/>
  <c r="AL9" i="29"/>
  <c r="AO9" i="29" s="1"/>
  <c r="AT9" i="29" s="1"/>
  <c r="AK9" i="29"/>
  <c r="AN9" i="29" s="1"/>
  <c r="AS9" i="29" s="1"/>
  <c r="AJ9" i="29"/>
  <c r="AA9" i="29"/>
  <c r="Z9" i="29"/>
  <c r="Y9" i="29"/>
  <c r="N9" i="29"/>
  <c r="J9" i="29"/>
  <c r="F9" i="29"/>
  <c r="AM8" i="29"/>
  <c r="AL8" i="29"/>
  <c r="AK8" i="29"/>
  <c r="AJ8" i="29"/>
  <c r="AA8" i="29"/>
  <c r="Z8" i="29"/>
  <c r="Y8" i="29"/>
  <c r="N8" i="29"/>
  <c r="J8" i="29"/>
  <c r="F8" i="29"/>
  <c r="AE7" i="29"/>
  <c r="AD7" i="29"/>
  <c r="AC7" i="29"/>
  <c r="AA7" i="29"/>
  <c r="Z7" i="29"/>
  <c r="Y7" i="29"/>
  <c r="N7" i="29"/>
  <c r="J7" i="29"/>
  <c r="F7" i="29"/>
  <c r="AE6" i="29"/>
  <c r="AD6" i="29"/>
  <c r="AC6" i="29"/>
  <c r="AA6" i="29"/>
  <c r="Z13" i="29" s="1"/>
  <c r="Z6" i="29"/>
  <c r="Y6" i="29"/>
  <c r="N6" i="29"/>
  <c r="J6" i="29"/>
  <c r="F6" i="29"/>
  <c r="AE5" i="29"/>
  <c r="AD5" i="29"/>
  <c r="AC5" i="29"/>
  <c r="AA5" i="29"/>
  <c r="Z5" i="29"/>
  <c r="Y5" i="29"/>
  <c r="AE4" i="29"/>
  <c r="AD4" i="29"/>
  <c r="AC4" i="29"/>
  <c r="AE3" i="29"/>
  <c r="AD3" i="29"/>
  <c r="AC3" i="29"/>
  <c r="AE2" i="29"/>
  <c r="AD2" i="29"/>
  <c r="AC2" i="29"/>
  <c r="AE1" i="29"/>
  <c r="AD1" i="29"/>
  <c r="AC1" i="29"/>
  <c r="C36" i="29"/>
  <c r="AL24" i="29"/>
  <c r="AL23" i="29"/>
  <c r="AJ21" i="29"/>
  <c r="AL19" i="29"/>
  <c r="AK19" i="29"/>
  <c r="AJ19" i="29"/>
  <c r="H17" i="29"/>
  <c r="AL25" i="29"/>
  <c r="AP13" i="29"/>
  <c r="AU13" i="29" s="1"/>
  <c r="AO13" i="29"/>
  <c r="AT13" i="29" s="1"/>
  <c r="AK24" i="29"/>
  <c r="AN12" i="29"/>
  <c r="AS12" i="29" s="1"/>
  <c r="AP11" i="29"/>
  <c r="AU11" i="29" s="1"/>
  <c r="AO11" i="29"/>
  <c r="AT11" i="29" s="1"/>
  <c r="AL22" i="29"/>
  <c r="AK22" i="29"/>
  <c r="AO10" i="29"/>
  <c r="AT10" i="29" s="1"/>
  <c r="AN10" i="29"/>
  <c r="AS10" i="29" s="1"/>
  <c r="AK21" i="29"/>
  <c r="AP9" i="29"/>
  <c r="AU9" i="29" s="1"/>
  <c r="AP8" i="29"/>
  <c r="AU8" i="29" s="1"/>
  <c r="AO8" i="29"/>
  <c r="AT8" i="29" s="1"/>
  <c r="AN8" i="29"/>
  <c r="AS8" i="29" s="1"/>
  <c r="Q51" i="32"/>
  <c r="Q46" i="32"/>
  <c r="A26" i="32"/>
  <c r="A23" i="32"/>
  <c r="AE21" i="32"/>
  <c r="A20" i="32"/>
  <c r="A19" i="32"/>
  <c r="AD18" i="32"/>
  <c r="Q18" i="32"/>
  <c r="S14" i="32"/>
  <c r="P14" i="32"/>
  <c r="M14" i="32"/>
  <c r="J14" i="32"/>
  <c r="G14" i="32"/>
  <c r="D14" i="32"/>
  <c r="A14" i="32"/>
  <c r="A9" i="32"/>
  <c r="AC7" i="32"/>
  <c r="F7" i="32"/>
  <c r="AB6" i="32"/>
  <c r="Q6" i="32"/>
  <c r="F6" i="32"/>
  <c r="AB5" i="32"/>
  <c r="F5" i="32"/>
  <c r="P3" i="32"/>
  <c r="D3" i="32"/>
  <c r="D2" i="32"/>
  <c r="T1" i="32"/>
  <c r="E1" i="32"/>
  <c r="A38" i="33"/>
  <c r="R3" i="33"/>
  <c r="R1" i="33"/>
  <c r="R48" i="36"/>
  <c r="R44" i="36"/>
  <c r="AB4" i="36"/>
  <c r="Q4" i="36"/>
  <c r="F4" i="36"/>
  <c r="Y2" i="36"/>
  <c r="E2" i="36"/>
  <c r="R47" i="34"/>
  <c r="R43" i="34"/>
  <c r="A25" i="34"/>
  <c r="V23" i="34"/>
  <c r="G23" i="34"/>
  <c r="Y1" i="34"/>
  <c r="E1" i="34"/>
  <c r="R50" i="11"/>
  <c r="R46" i="11"/>
  <c r="A29" i="11"/>
  <c r="A28" i="11"/>
  <c r="A27" i="11"/>
  <c r="X20" i="11"/>
  <c r="S20" i="11"/>
  <c r="L20" i="11"/>
  <c r="X19" i="11"/>
  <c r="S19" i="11"/>
  <c r="L19" i="11"/>
  <c r="X18" i="11"/>
  <c r="S18" i="11"/>
  <c r="L18" i="11"/>
  <c r="X17" i="11"/>
  <c r="S17" i="11"/>
  <c r="L17" i="11"/>
  <c r="S16" i="11"/>
  <c r="L16" i="11"/>
  <c r="X15" i="11"/>
  <c r="S15" i="11"/>
  <c r="L15" i="11"/>
  <c r="AA2" i="11"/>
  <c r="E2" i="11"/>
  <c r="A1" i="11"/>
  <c r="W80" i="41"/>
  <c r="W79" i="41"/>
  <c r="W78" i="41"/>
  <c r="W77" i="41"/>
  <c r="W76" i="41"/>
  <c r="W75" i="41"/>
  <c r="W72" i="41"/>
  <c r="W71" i="41"/>
  <c r="W70" i="41"/>
  <c r="W69" i="41"/>
  <c r="W68" i="41"/>
  <c r="W67" i="41"/>
  <c r="W66" i="41"/>
  <c r="W63" i="41"/>
  <c r="W62" i="41"/>
  <c r="W61" i="41"/>
  <c r="W60" i="41"/>
  <c r="W59" i="41"/>
  <c r="W58" i="41"/>
  <c r="W57" i="41"/>
  <c r="W56" i="41"/>
  <c r="W53" i="41"/>
  <c r="W52" i="41"/>
  <c r="W51" i="41"/>
  <c r="W50" i="41"/>
  <c r="W49" i="41"/>
  <c r="W48" i="41"/>
  <c r="W39" i="41"/>
  <c r="W38" i="41"/>
  <c r="W37" i="41"/>
  <c r="W36" i="41"/>
  <c r="W35" i="41"/>
  <c r="W34" i="41"/>
  <c r="W33" i="41"/>
  <c r="W29" i="41"/>
  <c r="W28" i="41"/>
  <c r="W27" i="41"/>
  <c r="W26" i="41"/>
  <c r="W25" i="41"/>
  <c r="W24" i="41"/>
  <c r="W20" i="41"/>
  <c r="W19" i="41"/>
  <c r="W18" i="41"/>
  <c r="W17" i="41"/>
  <c r="W16" i="41"/>
  <c r="W15" i="41"/>
  <c r="A4" i="41"/>
  <c r="G3" i="41"/>
  <c r="AD2" i="41"/>
  <c r="F2" i="41"/>
  <c r="AE52" i="77"/>
  <c r="G52" i="77"/>
  <c r="A48" i="77"/>
  <c r="A43" i="77"/>
  <c r="Y41" i="77"/>
  <c r="Q41" i="77"/>
  <c r="I41" i="77"/>
  <c r="B41" i="77"/>
  <c r="Y40" i="77"/>
  <c r="Q40" i="77"/>
  <c r="I40" i="77"/>
  <c r="B40" i="77"/>
  <c r="Y39" i="77"/>
  <c r="Q39" i="77"/>
  <c r="I39" i="77"/>
  <c r="B39" i="77"/>
  <c r="Y38" i="77"/>
  <c r="Q38" i="77"/>
  <c r="I38" i="77"/>
  <c r="B38" i="77"/>
  <c r="P36" i="77"/>
  <c r="V35" i="77"/>
  <c r="E35" i="77"/>
  <c r="V34" i="77"/>
  <c r="E34" i="77"/>
  <c r="Z29" i="77"/>
  <c r="N29" i="77"/>
  <c r="B29" i="77"/>
  <c r="AD28" i="77"/>
  <c r="R28" i="77"/>
  <c r="F28" i="77"/>
  <c r="AD27" i="77"/>
  <c r="R27" i="77"/>
  <c r="F27" i="77"/>
  <c r="AD26" i="77"/>
  <c r="R26" i="77"/>
  <c r="F26" i="77"/>
  <c r="AD25" i="77"/>
  <c r="R25" i="77"/>
  <c r="F25" i="77"/>
  <c r="AD24" i="77"/>
  <c r="R24" i="77"/>
  <c r="F24" i="77"/>
  <c r="Z19" i="77"/>
  <c r="N19" i="77"/>
  <c r="B19" i="77"/>
  <c r="AD18" i="77"/>
  <c r="R18" i="77"/>
  <c r="F18" i="77"/>
  <c r="AD17" i="77"/>
  <c r="R17" i="77"/>
  <c r="F17" i="77"/>
  <c r="AD16" i="77"/>
  <c r="R16" i="77"/>
  <c r="F16" i="77"/>
  <c r="AD15" i="77"/>
  <c r="R15" i="77"/>
  <c r="F15" i="77"/>
  <c r="AD14" i="77"/>
  <c r="R14" i="77"/>
  <c r="F14" i="77"/>
  <c r="AA10" i="77"/>
  <c r="I10" i="77"/>
  <c r="AA9" i="77"/>
  <c r="I9" i="77"/>
  <c r="AA8" i="77"/>
  <c r="I8" i="77"/>
  <c r="AA7" i="77"/>
  <c r="I7" i="77"/>
  <c r="AA6" i="77"/>
  <c r="I6" i="77"/>
  <c r="AA5" i="77"/>
  <c r="I5" i="77"/>
  <c r="AA4" i="77"/>
  <c r="I4" i="77"/>
  <c r="AE2" i="77"/>
  <c r="G2" i="77"/>
  <c r="A53" i="93"/>
  <c r="R50" i="93"/>
  <c r="AE2" i="93"/>
  <c r="E2" i="93"/>
  <c r="AD1" i="93"/>
  <c r="Z36" i="93"/>
  <c r="R36" i="93"/>
  <c r="C36" i="93"/>
  <c r="Z35" i="93"/>
  <c r="R35" i="93"/>
  <c r="C35" i="93"/>
  <c r="Z34" i="93"/>
  <c r="R34" i="93"/>
  <c r="C34" i="93"/>
  <c r="Z33" i="93"/>
  <c r="R33" i="93"/>
  <c r="C33" i="93"/>
  <c r="Z32" i="93"/>
  <c r="R32" i="93"/>
  <c r="C32" i="93"/>
  <c r="Z31" i="93"/>
  <c r="R31" i="93"/>
  <c r="C31" i="93"/>
  <c r="Z30" i="93"/>
  <c r="R30" i="93"/>
  <c r="C30" i="93"/>
  <c r="Z29" i="93"/>
  <c r="R29" i="93"/>
  <c r="C29" i="93"/>
  <c r="Z28" i="93"/>
  <c r="R28" i="93"/>
  <c r="C28" i="93"/>
  <c r="Z27" i="93"/>
  <c r="R27" i="93"/>
  <c r="C27" i="93"/>
  <c r="Z26" i="93"/>
  <c r="R26" i="93"/>
  <c r="C26" i="93"/>
  <c r="Z25" i="93"/>
  <c r="R25" i="93"/>
  <c r="C25" i="93"/>
  <c r="Z24" i="93"/>
  <c r="R24" i="93"/>
  <c r="C24" i="93"/>
  <c r="Z23" i="93"/>
  <c r="R23" i="93"/>
  <c r="C23" i="93"/>
  <c r="Z22" i="93"/>
  <c r="R22" i="93"/>
  <c r="C22" i="93"/>
  <c r="Z21" i="93"/>
  <c r="R21" i="93"/>
  <c r="C21" i="93"/>
  <c r="Z20" i="93"/>
  <c r="R20" i="93"/>
  <c r="C20" i="93"/>
  <c r="Z19" i="93"/>
  <c r="R19" i="93"/>
  <c r="C19" i="93"/>
  <c r="Z18" i="93"/>
  <c r="R18" i="93"/>
  <c r="C18" i="93"/>
  <c r="Z17" i="93"/>
  <c r="R17" i="93"/>
  <c r="C17" i="93"/>
  <c r="Z16" i="93"/>
  <c r="R16" i="93"/>
  <c r="C16" i="93"/>
  <c r="Z15" i="93"/>
  <c r="R15" i="93"/>
  <c r="C15" i="93"/>
  <c r="Z14" i="93"/>
  <c r="R14" i="93"/>
  <c r="C14" i="93"/>
  <c r="Z13" i="93"/>
  <c r="R13" i="93"/>
  <c r="C13" i="93"/>
  <c r="Z12" i="93"/>
  <c r="R12" i="93"/>
  <c r="C12" i="93"/>
  <c r="Z11" i="93"/>
  <c r="R11" i="93"/>
  <c r="C11" i="93"/>
  <c r="Z10" i="93"/>
  <c r="R10" i="93"/>
  <c r="C10" i="93"/>
  <c r="T6" i="93"/>
  <c r="F6" i="93"/>
  <c r="T5" i="93"/>
  <c r="F5" i="93"/>
  <c r="T4" i="93"/>
  <c r="F4" i="93"/>
  <c r="A1" i="93"/>
  <c r="C36" i="92"/>
  <c r="Z35" i="92"/>
  <c r="R35" i="92"/>
  <c r="C35" i="92"/>
  <c r="Z34" i="92"/>
  <c r="R34" i="92"/>
  <c r="C34" i="92"/>
  <c r="Z33" i="92"/>
  <c r="R33" i="92"/>
  <c r="C33" i="92"/>
  <c r="Z32" i="92"/>
  <c r="R32" i="92"/>
  <c r="C32" i="92"/>
  <c r="Z31" i="92"/>
  <c r="R31" i="92"/>
  <c r="C31" i="92"/>
  <c r="Z30" i="92"/>
  <c r="R30" i="92"/>
  <c r="C30" i="92"/>
  <c r="Z29" i="92"/>
  <c r="R29" i="92"/>
  <c r="C29" i="92"/>
  <c r="Z28" i="92"/>
  <c r="R28" i="92"/>
  <c r="C28" i="92"/>
  <c r="Z27" i="92"/>
  <c r="R27" i="92"/>
  <c r="C27" i="92"/>
  <c r="Z26" i="92"/>
  <c r="R26" i="92"/>
  <c r="C26" i="92"/>
  <c r="Z25" i="92"/>
  <c r="R25" i="92"/>
  <c r="C25" i="92"/>
  <c r="Z24" i="92"/>
  <c r="R24" i="92"/>
  <c r="C24" i="92"/>
  <c r="Z23" i="92"/>
  <c r="R23" i="92"/>
  <c r="C23" i="92"/>
  <c r="Z22" i="92"/>
  <c r="R22" i="92"/>
  <c r="C22" i="92"/>
  <c r="Z21" i="92"/>
  <c r="R21" i="92"/>
  <c r="C21" i="92"/>
  <c r="Z20" i="92"/>
  <c r="R20" i="92"/>
  <c r="C20" i="92"/>
  <c r="Z19" i="92"/>
  <c r="R19" i="92"/>
  <c r="C19" i="92"/>
  <c r="Z18" i="92"/>
  <c r="R18" i="92"/>
  <c r="C18" i="92"/>
  <c r="Z17" i="92"/>
  <c r="R17" i="92"/>
  <c r="C17" i="92"/>
  <c r="Z16" i="92"/>
  <c r="R16" i="92"/>
  <c r="C16" i="92"/>
  <c r="Z15" i="92"/>
  <c r="R15" i="92"/>
  <c r="C15" i="92"/>
  <c r="Z14" i="92"/>
  <c r="R14" i="92"/>
  <c r="C14" i="92"/>
  <c r="Z13" i="92"/>
  <c r="R13" i="92"/>
  <c r="C13" i="92"/>
  <c r="Z12" i="92"/>
  <c r="R12" i="92"/>
  <c r="C12" i="92"/>
  <c r="Z11" i="92"/>
  <c r="R11" i="92"/>
  <c r="C11" i="92"/>
  <c r="T7" i="92"/>
  <c r="F7" i="92"/>
  <c r="T6" i="92"/>
  <c r="F6" i="92"/>
  <c r="T5" i="92"/>
  <c r="F5" i="92"/>
  <c r="A1" i="92"/>
  <c r="A53" i="92"/>
  <c r="R50" i="92"/>
  <c r="G41" i="92"/>
  <c r="F38" i="92"/>
  <c r="AE3" i="92"/>
  <c r="E3" i="92"/>
  <c r="A2" i="92"/>
  <c r="AD1" i="92"/>
  <c r="X82" i="40"/>
  <c r="G50" i="40"/>
  <c r="AH47" i="40"/>
  <c r="W47" i="40"/>
  <c r="E47" i="40"/>
  <c r="M45" i="40"/>
  <c r="H45" i="40"/>
  <c r="M44" i="40"/>
  <c r="H44" i="40"/>
  <c r="M43" i="40"/>
  <c r="H43" i="40"/>
  <c r="M42" i="40"/>
  <c r="H42" i="40"/>
  <c r="M41" i="40"/>
  <c r="H41" i="40"/>
  <c r="M40" i="40"/>
  <c r="H40" i="40"/>
  <c r="M39" i="40"/>
  <c r="H39" i="40"/>
  <c r="M38" i="40"/>
  <c r="H38" i="40"/>
  <c r="M37" i="40"/>
  <c r="H37" i="40"/>
  <c r="M36" i="40"/>
  <c r="H36" i="40"/>
  <c r="M35" i="40"/>
  <c r="H35" i="40"/>
  <c r="M34" i="40"/>
  <c r="H34" i="40"/>
  <c r="M33" i="40"/>
  <c r="H33" i="40"/>
  <c r="M32" i="40"/>
  <c r="H32" i="40"/>
  <c r="M31" i="40"/>
  <c r="H31" i="40"/>
  <c r="M30" i="40"/>
  <c r="H30" i="40"/>
  <c r="M29" i="40"/>
  <c r="H29" i="40"/>
  <c r="M28" i="40"/>
  <c r="H28" i="40"/>
  <c r="M27" i="40"/>
  <c r="H27" i="40"/>
  <c r="M26" i="40"/>
  <c r="H26" i="40"/>
  <c r="M25" i="40"/>
  <c r="H25" i="40"/>
  <c r="M24" i="40"/>
  <c r="H24" i="40"/>
  <c r="M23" i="40"/>
  <c r="H23" i="40"/>
  <c r="M22" i="40"/>
  <c r="H22" i="40"/>
  <c r="M21" i="40"/>
  <c r="H21" i="40"/>
  <c r="M20" i="40"/>
  <c r="H20" i="40"/>
  <c r="M19" i="40"/>
  <c r="H19" i="40"/>
  <c r="M18" i="40"/>
  <c r="H18" i="40"/>
  <c r="M17" i="40"/>
  <c r="H17" i="40"/>
  <c r="M16" i="40"/>
  <c r="H16" i="40"/>
  <c r="M15" i="40"/>
  <c r="H15" i="40"/>
  <c r="M14" i="40"/>
  <c r="H14" i="40"/>
  <c r="M13" i="40"/>
  <c r="H13" i="40"/>
  <c r="M12" i="40"/>
  <c r="H12" i="40"/>
  <c r="M11" i="40"/>
  <c r="H11" i="40"/>
  <c r="W30" i="41" s="1"/>
  <c r="M10" i="40"/>
  <c r="H10" i="40"/>
  <c r="M9" i="40"/>
  <c r="H9" i="40"/>
  <c r="M8" i="40"/>
  <c r="H8" i="40"/>
  <c r="M7" i="40"/>
  <c r="H7" i="40"/>
  <c r="M6" i="40"/>
  <c r="H6" i="40"/>
  <c r="M5" i="40"/>
  <c r="H5" i="40"/>
  <c r="AE1" i="40"/>
  <c r="U1" i="40"/>
  <c r="E1" i="40"/>
  <c r="K22" i="38"/>
  <c r="F22" i="38"/>
  <c r="K21" i="38"/>
  <c r="F21" i="38"/>
  <c r="K20" i="38"/>
  <c r="F20" i="38"/>
  <c r="K19" i="38"/>
  <c r="F19" i="38"/>
  <c r="K18" i="38"/>
  <c r="F18" i="38"/>
  <c r="K17" i="38"/>
  <c r="F17" i="38"/>
  <c r="K16" i="38"/>
  <c r="F16" i="38"/>
  <c r="K15" i="38"/>
  <c r="F15" i="38"/>
  <c r="K14" i="38"/>
  <c r="F14" i="38"/>
  <c r="K13" i="38"/>
  <c r="F13" i="38"/>
  <c r="K12" i="38"/>
  <c r="F12" i="38"/>
  <c r="K11" i="38"/>
  <c r="F11" i="38"/>
  <c r="K10" i="38"/>
  <c r="F10" i="38"/>
  <c r="K9" i="38"/>
  <c r="F9" i="38"/>
  <c r="K8" i="38"/>
  <c r="F8" i="38"/>
  <c r="K7" i="38"/>
  <c r="F7" i="38"/>
  <c r="K6" i="38"/>
  <c r="F6" i="38"/>
  <c r="K5" i="38"/>
  <c r="F5" i="38"/>
  <c r="AQ2" i="38"/>
  <c r="AE2" i="38"/>
  <c r="T2" i="38"/>
  <c r="E2" i="38"/>
  <c r="A100" i="39"/>
  <c r="F99" i="39"/>
  <c r="F98" i="39"/>
  <c r="F97" i="39"/>
  <c r="F96" i="39"/>
  <c r="F95" i="39"/>
  <c r="F94" i="39"/>
  <c r="F93" i="39"/>
  <c r="F92" i="39"/>
  <c r="W90" i="39"/>
  <c r="D90" i="39"/>
  <c r="W89" i="39"/>
  <c r="D89" i="39"/>
  <c r="W88" i="39"/>
  <c r="D88" i="39"/>
  <c r="T86" i="39"/>
  <c r="O86" i="39"/>
  <c r="F86" i="39"/>
  <c r="T85" i="39"/>
  <c r="O85" i="39"/>
  <c r="F85" i="39"/>
  <c r="F84" i="39"/>
  <c r="T83" i="39"/>
  <c r="O83" i="39"/>
  <c r="F83" i="39"/>
  <c r="T82" i="39"/>
  <c r="O82" i="39"/>
  <c r="F82" i="39"/>
  <c r="O81" i="39"/>
  <c r="F81" i="39"/>
  <c r="T80" i="39"/>
  <c r="O80" i="39"/>
  <c r="F80" i="39"/>
  <c r="A77" i="39"/>
  <c r="A76" i="39"/>
  <c r="A75" i="39"/>
  <c r="J74" i="39"/>
  <c r="G72" i="39"/>
  <c r="F69" i="39"/>
  <c r="F62" i="39"/>
  <c r="X60" i="39"/>
  <c r="Y59" i="39"/>
  <c r="F59" i="39"/>
  <c r="Y58" i="39"/>
  <c r="F58" i="39"/>
  <c r="A55" i="39"/>
  <c r="A54" i="39"/>
  <c r="AH52" i="39"/>
  <c r="W52" i="39"/>
  <c r="E52" i="39"/>
  <c r="AD49" i="39"/>
  <c r="J49" i="39"/>
  <c r="H48" i="39"/>
  <c r="H47" i="39"/>
  <c r="F46" i="39"/>
  <c r="F114" i="30" s="1"/>
  <c r="F45" i="39"/>
  <c r="D43" i="39"/>
  <c r="A41" i="39"/>
  <c r="A40" i="39"/>
  <c r="A37" i="39"/>
  <c r="A36" i="39"/>
  <c r="I34" i="39"/>
  <c r="I33" i="39"/>
  <c r="I32" i="39"/>
  <c r="K29" i="39"/>
  <c r="G17" i="39"/>
  <c r="AC16" i="39"/>
  <c r="S14" i="39"/>
  <c r="P14" i="39"/>
  <c r="M14" i="39"/>
  <c r="J14" i="39"/>
  <c r="G14" i="39"/>
  <c r="D14" i="39"/>
  <c r="A14" i="39"/>
  <c r="J11" i="39"/>
  <c r="V9" i="39"/>
  <c r="R9" i="39"/>
  <c r="N9" i="39"/>
  <c r="J9" i="39"/>
  <c r="F9" i="39"/>
  <c r="AG8" i="39"/>
  <c r="X8" i="39"/>
  <c r="G8" i="39"/>
  <c r="AG7" i="39"/>
  <c r="X7" i="39"/>
  <c r="G7" i="39"/>
  <c r="AB6" i="39"/>
  <c r="U6" i="39"/>
  <c r="M6" i="39"/>
  <c r="D6" i="39"/>
  <c r="AA5" i="39"/>
  <c r="G5" i="39"/>
  <c r="Q4" i="39"/>
  <c r="F4" i="39"/>
  <c r="AH3" i="39"/>
  <c r="W3" i="39"/>
  <c r="E3" i="39"/>
  <c r="E1" i="39"/>
  <c r="A100" i="147"/>
  <c r="F99" i="147"/>
  <c r="F98" i="147"/>
  <c r="F97" i="147"/>
  <c r="F96" i="147"/>
  <c r="F95" i="147"/>
  <c r="F94" i="147"/>
  <c r="F93" i="147"/>
  <c r="F92" i="147"/>
  <c r="W90" i="147"/>
  <c r="D90" i="147"/>
  <c r="W89" i="147"/>
  <c r="D89" i="147"/>
  <c r="W88" i="147"/>
  <c r="D88" i="147"/>
  <c r="T86" i="147"/>
  <c r="O86" i="147"/>
  <c r="F86" i="147"/>
  <c r="T85" i="147"/>
  <c r="O85" i="147"/>
  <c r="F85" i="147"/>
  <c r="F84" i="147"/>
  <c r="T83" i="147"/>
  <c r="O83" i="147"/>
  <c r="F83" i="147"/>
  <c r="T82" i="147"/>
  <c r="O82" i="147"/>
  <c r="F82" i="147"/>
  <c r="O81" i="147"/>
  <c r="F81" i="147"/>
  <c r="T80" i="147"/>
  <c r="O80" i="147"/>
  <c r="F80" i="147"/>
  <c r="A77" i="147"/>
  <c r="A76" i="147"/>
  <c r="A75" i="147"/>
  <c r="J74" i="147"/>
  <c r="G72" i="147"/>
  <c r="F69" i="147"/>
  <c r="F62" i="147"/>
  <c r="X60" i="147"/>
  <c r="Y59" i="147"/>
  <c r="F59" i="147"/>
  <c r="Y58" i="147"/>
  <c r="F58" i="147"/>
  <c r="A55" i="147"/>
  <c r="A54" i="147"/>
  <c r="AH52" i="147"/>
  <c r="W52" i="147"/>
  <c r="E52" i="147"/>
  <c r="AD49" i="147"/>
  <c r="J49" i="147"/>
  <c r="H48" i="147"/>
  <c r="H47" i="147"/>
  <c r="F46" i="147"/>
  <c r="F45" i="147"/>
  <c r="D43" i="147"/>
  <c r="A41" i="147"/>
  <c r="A40" i="147"/>
  <c r="A37" i="147"/>
  <c r="A36" i="147"/>
  <c r="I34" i="147"/>
  <c r="I33" i="147"/>
  <c r="I32" i="147"/>
  <c r="K29" i="147"/>
  <c r="G17" i="147"/>
  <c r="AC16" i="147"/>
  <c r="S14" i="147"/>
  <c r="P14" i="147"/>
  <c r="M14" i="147"/>
  <c r="J14" i="147"/>
  <c r="G14" i="147"/>
  <c r="D14" i="147"/>
  <c r="A14" i="147"/>
  <c r="J11" i="147"/>
  <c r="V9" i="147"/>
  <c r="R9" i="147"/>
  <c r="N9" i="147"/>
  <c r="J9" i="147"/>
  <c r="F9" i="147"/>
  <c r="AG8" i="147"/>
  <c r="X8" i="147"/>
  <c r="G8" i="147"/>
  <c r="AG7" i="147"/>
  <c r="X7" i="147"/>
  <c r="G7" i="147"/>
  <c r="AB6" i="147"/>
  <c r="U6" i="147"/>
  <c r="M6" i="147"/>
  <c r="D6" i="147"/>
  <c r="AA5" i="147"/>
  <c r="G5" i="147"/>
  <c r="Q4" i="147"/>
  <c r="F4" i="147"/>
  <c r="AH3" i="147"/>
  <c r="W3" i="147"/>
  <c r="E3" i="147"/>
  <c r="E1" i="147"/>
  <c r="G39" i="90"/>
  <c r="B39" i="90"/>
  <c r="K9" i="90"/>
  <c r="K8" i="90"/>
  <c r="K7" i="90"/>
  <c r="AE5" i="90"/>
  <c r="U5" i="90"/>
  <c r="G5" i="90"/>
  <c r="AE4" i="90"/>
  <c r="U4" i="90"/>
  <c r="G4" i="90"/>
  <c r="AD3" i="90"/>
  <c r="H3" i="90"/>
  <c r="AA2" i="90"/>
  <c r="F2" i="90"/>
  <c r="AG36" i="90"/>
  <c r="AD36" i="90"/>
  <c r="AA36" i="90"/>
  <c r="W36" i="90"/>
  <c r="S36" i="90"/>
  <c r="O36" i="90"/>
  <c r="C36" i="90"/>
  <c r="AG35" i="90"/>
  <c r="AD35" i="90"/>
  <c r="AA35" i="90"/>
  <c r="W35" i="90"/>
  <c r="S35" i="90"/>
  <c r="O35" i="90"/>
  <c r="C35" i="90"/>
  <c r="AG34" i="90"/>
  <c r="AD34" i="90"/>
  <c r="AA34" i="90"/>
  <c r="W34" i="90"/>
  <c r="S34" i="90"/>
  <c r="O34" i="90"/>
  <c r="C34" i="90"/>
  <c r="AG33" i="90"/>
  <c r="AD33" i="90"/>
  <c r="AA33" i="90"/>
  <c r="W33" i="90"/>
  <c r="S33" i="90"/>
  <c r="O33" i="90"/>
  <c r="C33" i="90"/>
  <c r="AG32" i="90"/>
  <c r="AD32" i="90"/>
  <c r="AA32" i="90"/>
  <c r="W32" i="90"/>
  <c r="S32" i="90"/>
  <c r="O32" i="90"/>
  <c r="C32" i="90"/>
  <c r="AG31" i="90"/>
  <c r="AD31" i="90"/>
  <c r="AA31" i="90"/>
  <c r="W31" i="90"/>
  <c r="S31" i="90"/>
  <c r="O31" i="90"/>
  <c r="C31" i="90"/>
  <c r="AG30" i="90"/>
  <c r="AD30" i="90"/>
  <c r="AA30" i="90"/>
  <c r="W30" i="90"/>
  <c r="S30" i="90"/>
  <c r="O30" i="90"/>
  <c r="C30" i="90"/>
  <c r="AG29" i="90"/>
  <c r="AD29" i="90"/>
  <c r="AA29" i="90"/>
  <c r="W29" i="90"/>
  <c r="S29" i="90"/>
  <c r="O29" i="90"/>
  <c r="C29" i="90"/>
  <c r="AG28" i="90"/>
  <c r="AD28" i="90"/>
  <c r="AA28" i="90"/>
  <c r="W28" i="90"/>
  <c r="S28" i="90"/>
  <c r="O28" i="90"/>
  <c r="C28" i="90"/>
  <c r="AG27" i="90"/>
  <c r="AD27" i="90"/>
  <c r="AA27" i="90"/>
  <c r="W27" i="90"/>
  <c r="S27" i="90"/>
  <c r="O27" i="90"/>
  <c r="C27" i="90"/>
  <c r="AG26" i="90"/>
  <c r="AD26" i="90"/>
  <c r="AA26" i="90"/>
  <c r="W26" i="90"/>
  <c r="S26" i="90"/>
  <c r="O26" i="90"/>
  <c r="C26" i="90"/>
  <c r="AG25" i="90"/>
  <c r="AD25" i="90"/>
  <c r="AA25" i="90"/>
  <c r="W25" i="90"/>
  <c r="S25" i="90"/>
  <c r="O25" i="90"/>
  <c r="C25" i="90"/>
  <c r="AG24" i="90"/>
  <c r="AD24" i="90"/>
  <c r="AA24" i="90"/>
  <c r="W24" i="90"/>
  <c r="S24" i="90"/>
  <c r="O24" i="90"/>
  <c r="C24" i="90"/>
  <c r="AG23" i="90"/>
  <c r="AD23" i="90"/>
  <c r="AA23" i="90"/>
  <c r="W23" i="90"/>
  <c r="S23" i="90"/>
  <c r="O23" i="90"/>
  <c r="C23" i="90"/>
  <c r="AG22" i="90"/>
  <c r="AD22" i="90"/>
  <c r="AA22" i="90"/>
  <c r="W22" i="90"/>
  <c r="S22" i="90"/>
  <c r="O22" i="90"/>
  <c r="C22" i="90"/>
  <c r="AG21" i="90"/>
  <c r="AD21" i="90"/>
  <c r="AA21" i="90"/>
  <c r="W21" i="90"/>
  <c r="S21" i="90"/>
  <c r="O21" i="90"/>
  <c r="C21" i="90"/>
  <c r="AG20" i="90"/>
  <c r="AD20" i="90"/>
  <c r="AA20" i="90"/>
  <c r="W20" i="90"/>
  <c r="S20" i="90"/>
  <c r="O20" i="90"/>
  <c r="C20" i="90"/>
  <c r="AG19" i="90"/>
  <c r="AD19" i="90"/>
  <c r="AA19" i="90"/>
  <c r="W19" i="90"/>
  <c r="S19" i="90"/>
  <c r="O19" i="90"/>
  <c r="C19" i="90"/>
  <c r="AG18" i="90"/>
  <c r="AD18" i="90"/>
  <c r="AA18" i="90"/>
  <c r="W18" i="90"/>
  <c r="S18" i="90"/>
  <c r="O18" i="90"/>
  <c r="C18" i="90"/>
  <c r="AG17" i="90"/>
  <c r="AD17" i="90"/>
  <c r="AA17" i="90"/>
  <c r="W17" i="90"/>
  <c r="S17" i="90"/>
  <c r="O17" i="90"/>
  <c r="C17" i="90"/>
  <c r="AG16" i="90"/>
  <c r="AD16" i="90"/>
  <c r="AA16" i="90"/>
  <c r="W16" i="90"/>
  <c r="S16" i="90"/>
  <c r="O16" i="90"/>
  <c r="C16" i="90"/>
  <c r="AG15" i="90"/>
  <c r="AD15" i="90"/>
  <c r="AA15" i="90"/>
  <c r="W15" i="90"/>
  <c r="S15" i="90"/>
  <c r="O15" i="90"/>
  <c r="C15" i="90"/>
  <c r="AG14" i="90"/>
  <c r="AD14" i="90"/>
  <c r="AA14" i="90"/>
  <c r="W14" i="90"/>
  <c r="S14" i="90"/>
  <c r="O14" i="90"/>
  <c r="C14" i="90"/>
  <c r="AG13" i="90"/>
  <c r="AD13" i="90"/>
  <c r="AA13" i="90"/>
  <c r="W13" i="90"/>
  <c r="S13" i="90"/>
  <c r="O13" i="90"/>
  <c r="C13" i="90"/>
  <c r="AG12" i="90"/>
  <c r="AD12" i="90"/>
  <c r="AA12" i="90"/>
  <c r="W12" i="90"/>
  <c r="S12" i="90"/>
  <c r="O12" i="90"/>
  <c r="C12" i="90"/>
  <c r="AA1" i="90"/>
  <c r="C37" i="15"/>
  <c r="AG36" i="15"/>
  <c r="AD36" i="15"/>
  <c r="AA36" i="15"/>
  <c r="W36" i="15"/>
  <c r="S36" i="15"/>
  <c r="O36" i="15"/>
  <c r="C36" i="15"/>
  <c r="AG35" i="15"/>
  <c r="AD35" i="15"/>
  <c r="AA35" i="15"/>
  <c r="W35" i="15"/>
  <c r="S35" i="15"/>
  <c r="O35" i="15"/>
  <c r="C35" i="15"/>
  <c r="AG34" i="15"/>
  <c r="AD34" i="15"/>
  <c r="AA34" i="15"/>
  <c r="W34" i="15"/>
  <c r="S34" i="15"/>
  <c r="O34" i="15"/>
  <c r="C34" i="15"/>
  <c r="AG33" i="15"/>
  <c r="AD33" i="15"/>
  <c r="AA33" i="15"/>
  <c r="W33" i="15"/>
  <c r="S33" i="15"/>
  <c r="O33" i="15"/>
  <c r="C33" i="15"/>
  <c r="AG32" i="15"/>
  <c r="AD32" i="15"/>
  <c r="AA32" i="15"/>
  <c r="W32" i="15"/>
  <c r="S32" i="15"/>
  <c r="O32" i="15"/>
  <c r="C32" i="15"/>
  <c r="AG31" i="15"/>
  <c r="AD31" i="15"/>
  <c r="AA31" i="15"/>
  <c r="W31" i="15"/>
  <c r="S31" i="15"/>
  <c r="O31" i="15"/>
  <c r="C31" i="15"/>
  <c r="AG30" i="15"/>
  <c r="AD30" i="15"/>
  <c r="AA30" i="15"/>
  <c r="W30" i="15"/>
  <c r="S30" i="15"/>
  <c r="O30" i="15"/>
  <c r="C30" i="15"/>
  <c r="AG29" i="15"/>
  <c r="AD29" i="15"/>
  <c r="AA29" i="15"/>
  <c r="W29" i="15"/>
  <c r="S29" i="15"/>
  <c r="O29" i="15"/>
  <c r="C29" i="15"/>
  <c r="AG28" i="15"/>
  <c r="AD28" i="15"/>
  <c r="AA28" i="15"/>
  <c r="W28" i="15"/>
  <c r="S28" i="15"/>
  <c r="O28" i="15"/>
  <c r="C28" i="15"/>
  <c r="AG27" i="15"/>
  <c r="AD27" i="15"/>
  <c r="AA27" i="15"/>
  <c r="W27" i="15"/>
  <c r="S27" i="15"/>
  <c r="O27" i="15"/>
  <c r="C27" i="15"/>
  <c r="AG26" i="15"/>
  <c r="AD26" i="15"/>
  <c r="AA26" i="15"/>
  <c r="W26" i="15"/>
  <c r="S26" i="15"/>
  <c r="O26" i="15"/>
  <c r="C26" i="15"/>
  <c r="AG25" i="15"/>
  <c r="AD25" i="15"/>
  <c r="AA25" i="15"/>
  <c r="W25" i="15"/>
  <c r="S25" i="15"/>
  <c r="O25" i="15"/>
  <c r="C25" i="15"/>
  <c r="AG24" i="15"/>
  <c r="AD24" i="15"/>
  <c r="AA24" i="15"/>
  <c r="W24" i="15"/>
  <c r="S24" i="15"/>
  <c r="O24" i="15"/>
  <c r="C24" i="15"/>
  <c r="AG23" i="15"/>
  <c r="AD23" i="15"/>
  <c r="AA23" i="15"/>
  <c r="W23" i="15"/>
  <c r="S23" i="15"/>
  <c r="O23" i="15"/>
  <c r="C23" i="15"/>
  <c r="AG22" i="15"/>
  <c r="AD22" i="15"/>
  <c r="AA22" i="15"/>
  <c r="W22" i="15"/>
  <c r="S22" i="15"/>
  <c r="O22" i="15"/>
  <c r="C22" i="15"/>
  <c r="AG21" i="15"/>
  <c r="AD21" i="15"/>
  <c r="AA21" i="15"/>
  <c r="W21" i="15"/>
  <c r="S21" i="15"/>
  <c r="O21" i="15"/>
  <c r="C21" i="15"/>
  <c r="AG20" i="15"/>
  <c r="AD20" i="15"/>
  <c r="AA20" i="15"/>
  <c r="W20" i="15"/>
  <c r="S20" i="15"/>
  <c r="O20" i="15"/>
  <c r="C20" i="15"/>
  <c r="AG19" i="15"/>
  <c r="AD19" i="15"/>
  <c r="AA19" i="15"/>
  <c r="W19" i="15"/>
  <c r="S19" i="15"/>
  <c r="O19" i="15"/>
  <c r="C19" i="15"/>
  <c r="AG18" i="15"/>
  <c r="AD18" i="15"/>
  <c r="AA18" i="15"/>
  <c r="W18" i="15"/>
  <c r="S18" i="15"/>
  <c r="O18" i="15"/>
  <c r="C18" i="15"/>
  <c r="AG17" i="15"/>
  <c r="AD17" i="15"/>
  <c r="AA17" i="15"/>
  <c r="W17" i="15"/>
  <c r="S17" i="15"/>
  <c r="O17" i="15"/>
  <c r="C17" i="15"/>
  <c r="AG16" i="15"/>
  <c r="AD16" i="15"/>
  <c r="AA16" i="15"/>
  <c r="W16" i="15"/>
  <c r="S16" i="15"/>
  <c r="O16" i="15"/>
  <c r="C16" i="15"/>
  <c r="AG15" i="15"/>
  <c r="AD15" i="15"/>
  <c r="AA15" i="15"/>
  <c r="W15" i="15"/>
  <c r="S15" i="15"/>
  <c r="O15" i="15"/>
  <c r="C15" i="15"/>
  <c r="AG14" i="15"/>
  <c r="AD14" i="15"/>
  <c r="AA14" i="15"/>
  <c r="W14" i="15"/>
  <c r="S14" i="15"/>
  <c r="O14" i="15"/>
  <c r="C14" i="15"/>
  <c r="AG13" i="15"/>
  <c r="AD13" i="15"/>
  <c r="AA13" i="15"/>
  <c r="W13" i="15"/>
  <c r="S13" i="15"/>
  <c r="O13" i="15"/>
  <c r="C13" i="15"/>
  <c r="AG12" i="15"/>
  <c r="AD12" i="15"/>
  <c r="AA12" i="15"/>
  <c r="W12" i="15"/>
  <c r="S12" i="15"/>
  <c r="O12" i="15"/>
  <c r="C12" i="15"/>
  <c r="AA1" i="15"/>
  <c r="G39" i="15"/>
  <c r="B39" i="15"/>
  <c r="K9" i="15"/>
  <c r="K8" i="15"/>
  <c r="K7" i="15"/>
  <c r="AE5" i="15"/>
  <c r="U5" i="15"/>
  <c r="G5" i="15"/>
  <c r="AE4" i="15"/>
  <c r="U4" i="15"/>
  <c r="G4" i="15"/>
  <c r="AD3" i="15"/>
  <c r="H3" i="15"/>
  <c r="AA2" i="15"/>
  <c r="F2" i="15"/>
  <c r="A15" i="15"/>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14" i="15"/>
  <c r="A13" i="15"/>
  <c r="AD243" i="30"/>
  <c r="A243" i="30"/>
  <c r="A237" i="30"/>
  <c r="A234" i="30"/>
  <c r="A230" i="30"/>
  <c r="A224" i="30"/>
  <c r="A218" i="30"/>
  <c r="A214" i="30"/>
  <c r="A212" i="30"/>
  <c r="AG205" i="30"/>
  <c r="U205" i="30"/>
  <c r="E205" i="30"/>
  <c r="L202" i="30"/>
  <c r="AA201" i="30"/>
  <c r="I201" i="30"/>
  <c r="AA200" i="30"/>
  <c r="I200" i="30"/>
  <c r="AA199" i="30"/>
  <c r="I199" i="30"/>
  <c r="AA198" i="30"/>
  <c r="I198" i="30"/>
  <c r="AA197" i="30"/>
  <c r="I197" i="30"/>
  <c r="AA196" i="30"/>
  <c r="I196" i="30"/>
  <c r="AA195" i="30"/>
  <c r="I195" i="30"/>
  <c r="X191" i="30"/>
  <c r="M191" i="30"/>
  <c r="L189" i="30"/>
  <c r="D187" i="30"/>
  <c r="AG186" i="30"/>
  <c r="Y186" i="30"/>
  <c r="M186" i="30"/>
  <c r="D186" i="30"/>
  <c r="AG185" i="30"/>
  <c r="Y185" i="30"/>
  <c r="D185" i="30"/>
  <c r="A185" i="30"/>
  <c r="P184" i="30"/>
  <c r="H184" i="30"/>
  <c r="A184" i="30"/>
  <c r="L183" i="30"/>
  <c r="A183" i="30"/>
  <c r="W182" i="30"/>
  <c r="P182" i="30"/>
  <c r="H182" i="30"/>
  <c r="A182" i="30"/>
  <c r="W181" i="30"/>
  <c r="P181" i="30"/>
  <c r="A181" i="30"/>
  <c r="W180" i="30"/>
  <c r="P180" i="30"/>
  <c r="H180" i="30"/>
  <c r="A180" i="30"/>
  <c r="W179" i="30"/>
  <c r="P179" i="30"/>
  <c r="H179" i="30"/>
  <c r="A179" i="30"/>
  <c r="W178" i="30"/>
  <c r="P178" i="30"/>
  <c r="H178" i="30"/>
  <c r="A178" i="30"/>
  <c r="A177" i="30"/>
  <c r="I170" i="30"/>
  <c r="D164" i="30"/>
  <c r="Q163" i="30"/>
  <c r="N163" i="30"/>
  <c r="G163" i="30"/>
  <c r="A163" i="30"/>
  <c r="AE162" i="30"/>
  <c r="U162" i="30"/>
  <c r="N162" i="30"/>
  <c r="G162" i="30"/>
  <c r="A162" i="30"/>
  <c r="U161" i="30"/>
  <c r="N161" i="30"/>
  <c r="G161" i="30"/>
  <c r="A161" i="30"/>
  <c r="U160" i="30"/>
  <c r="N160" i="30"/>
  <c r="G160" i="30"/>
  <c r="A160" i="30"/>
  <c r="A159" i="30"/>
  <c r="G158" i="30"/>
  <c r="U157" i="30"/>
  <c r="G157" i="30"/>
  <c r="A157" i="30"/>
  <c r="U156" i="30"/>
  <c r="N156" i="30"/>
  <c r="G156" i="30"/>
  <c r="A156" i="30"/>
  <c r="U155" i="30"/>
  <c r="N155" i="30"/>
  <c r="G155" i="30"/>
  <c r="A155" i="30"/>
  <c r="AD154" i="30"/>
  <c r="AG152" i="30"/>
  <c r="U152" i="30"/>
  <c r="E152" i="30"/>
  <c r="D150" i="30"/>
  <c r="AJ149" i="30"/>
  <c r="U149" i="30"/>
  <c r="O149" i="30"/>
  <c r="J149" i="30"/>
  <c r="E149" i="30"/>
  <c r="A149" i="30"/>
  <c r="D147" i="30"/>
  <c r="D146" i="30"/>
  <c r="A146" i="30"/>
  <c r="AF145" i="30"/>
  <c r="AB145" i="30"/>
  <c r="W145" i="30"/>
  <c r="O145" i="30"/>
  <c r="H145" i="30"/>
  <c r="A145" i="30"/>
  <c r="O144" i="30"/>
  <c r="H144" i="30"/>
  <c r="A144" i="30"/>
  <c r="AB143" i="30"/>
  <c r="O143" i="30"/>
  <c r="H143" i="30"/>
  <c r="A143" i="30"/>
  <c r="AB142" i="30"/>
  <c r="O142" i="30"/>
  <c r="H142" i="30"/>
  <c r="A142" i="30"/>
  <c r="A141" i="30"/>
  <c r="D139" i="30"/>
  <c r="AG138" i="30"/>
  <c r="R138" i="30"/>
  <c r="D138" i="30"/>
  <c r="A138" i="30"/>
  <c r="AG137" i="30"/>
  <c r="R137" i="30"/>
  <c r="A137" i="30"/>
  <c r="AG136" i="30"/>
  <c r="Q136" i="30"/>
  <c r="A136" i="30"/>
  <c r="AF135" i="30"/>
  <c r="Q135" i="30"/>
  <c r="L135" i="30"/>
  <c r="H135" i="30"/>
  <c r="A135" i="30"/>
  <c r="AH134" i="30"/>
  <c r="Q134" i="30"/>
  <c r="L134" i="30"/>
  <c r="H134" i="30"/>
  <c r="A134" i="30"/>
  <c r="A133" i="30"/>
  <c r="C131" i="30"/>
  <c r="E130" i="30"/>
  <c r="A130" i="30"/>
  <c r="AC129" i="30"/>
  <c r="T129" i="30"/>
  <c r="J129" i="30"/>
  <c r="A129" i="30"/>
  <c r="AC128" i="30"/>
  <c r="T128" i="30"/>
  <c r="J128" i="30"/>
  <c r="A128" i="30"/>
  <c r="AB127" i="30"/>
  <c r="T127" i="30"/>
  <c r="J127" i="30"/>
  <c r="A127" i="30"/>
  <c r="A126" i="30"/>
  <c r="D124" i="30"/>
  <c r="X123" i="30"/>
  <c r="D123" i="30"/>
  <c r="A123" i="30"/>
  <c r="R122" i="30"/>
  <c r="A122" i="30"/>
  <c r="S121" i="30"/>
  <c r="F121" i="30"/>
  <c r="A121" i="30"/>
  <c r="AF120" i="30"/>
  <c r="S120" i="30"/>
  <c r="K120" i="30"/>
  <c r="F120" i="30"/>
  <c r="A120" i="30"/>
  <c r="AC119" i="30"/>
  <c r="R119" i="30"/>
  <c r="K119" i="30"/>
  <c r="F119" i="30"/>
  <c r="A119" i="30"/>
  <c r="AJ118" i="30"/>
  <c r="A118" i="30"/>
  <c r="X116" i="30"/>
  <c r="L116" i="30"/>
  <c r="C115" i="30"/>
  <c r="AB112" i="30"/>
  <c r="O112" i="30"/>
  <c r="H112" i="30"/>
  <c r="A112" i="30"/>
  <c r="AB111" i="30"/>
  <c r="P111" i="30"/>
  <c r="H111" i="30"/>
  <c r="A111" i="30"/>
  <c r="AD110" i="30"/>
  <c r="P110" i="30"/>
  <c r="H110" i="30"/>
  <c r="A110" i="30"/>
  <c r="AF109" i="30"/>
  <c r="O109" i="30"/>
  <c r="H109" i="30"/>
  <c r="A109" i="30"/>
  <c r="AH108" i="30"/>
  <c r="V108" i="30"/>
  <c r="A108" i="30"/>
  <c r="AG106" i="30"/>
  <c r="U106" i="30"/>
  <c r="E106" i="30"/>
  <c r="AF104" i="30"/>
  <c r="A104" i="30"/>
  <c r="AF103" i="30"/>
  <c r="A103" i="30"/>
  <c r="AF102" i="30"/>
  <c r="A102" i="30"/>
  <c r="AF101" i="30"/>
  <c r="A101" i="30"/>
  <c r="AF100" i="30"/>
  <c r="A100" i="30"/>
  <c r="AF99" i="30"/>
  <c r="A99" i="30"/>
  <c r="AF98" i="30"/>
  <c r="A98" i="30"/>
  <c r="AF97" i="30"/>
  <c r="A97" i="30"/>
  <c r="C94" i="30"/>
  <c r="Y93" i="30"/>
  <c r="F93" i="30"/>
  <c r="AI92" i="30"/>
  <c r="AE92" i="30"/>
  <c r="AA92" i="30"/>
  <c r="W92" i="30"/>
  <c r="S92" i="30"/>
  <c r="H92" i="30"/>
  <c r="A92" i="30"/>
  <c r="AC91" i="30"/>
  <c r="X91" i="30"/>
  <c r="F91" i="30"/>
  <c r="A91" i="30"/>
  <c r="AC90" i="30"/>
  <c r="X90" i="30"/>
  <c r="S90" i="30"/>
  <c r="L90" i="30"/>
  <c r="H90" i="30"/>
  <c r="A90" i="30"/>
  <c r="S89" i="30"/>
  <c r="L89" i="30"/>
  <c r="H89" i="30"/>
  <c r="A89" i="30"/>
  <c r="S88" i="30"/>
  <c r="P88" i="30"/>
  <c r="A88" i="30"/>
  <c r="D72" i="30"/>
  <c r="G71" i="30"/>
  <c r="I70" i="30"/>
  <c r="AI69" i="30"/>
  <c r="S69" i="30"/>
  <c r="L69" i="30"/>
  <c r="Z68" i="30"/>
  <c r="V68" i="30"/>
  <c r="O68" i="30"/>
  <c r="J68" i="30"/>
  <c r="A68" i="30"/>
  <c r="V67" i="30"/>
  <c r="O67" i="30"/>
  <c r="J67" i="30"/>
  <c r="A67" i="30"/>
  <c r="A66" i="30"/>
  <c r="AG64" i="30"/>
  <c r="R64" i="30"/>
  <c r="K64" i="30"/>
  <c r="Z63" i="30"/>
  <c r="P63" i="30"/>
  <c r="G63" i="30"/>
  <c r="AE62" i="30"/>
  <c r="O62" i="30"/>
  <c r="A62" i="30"/>
  <c r="O61" i="30"/>
  <c r="AG60" i="30"/>
  <c r="AA60" i="30"/>
  <c r="S60" i="30"/>
  <c r="H60" i="30"/>
  <c r="A60" i="30"/>
  <c r="A55" i="30"/>
  <c r="AG53" i="30"/>
  <c r="U53" i="30"/>
  <c r="E53" i="30"/>
  <c r="AF51" i="30"/>
  <c r="E51" i="30"/>
  <c r="AF50" i="30"/>
  <c r="E50" i="30"/>
  <c r="AF49" i="30"/>
  <c r="E49" i="30"/>
  <c r="AF48" i="30"/>
  <c r="E48" i="30"/>
  <c r="AF47" i="30"/>
  <c r="E47" i="30"/>
  <c r="AF46" i="30"/>
  <c r="E46" i="30"/>
  <c r="AF45" i="30"/>
  <c r="E45" i="30"/>
  <c r="AF44" i="30"/>
  <c r="E44" i="30"/>
  <c r="L43" i="30"/>
  <c r="X41" i="30"/>
  <c r="Y40" i="30"/>
  <c r="G40" i="30"/>
  <c r="AB36" i="30"/>
  <c r="G36" i="30"/>
  <c r="W35" i="30"/>
  <c r="G35" i="30"/>
  <c r="F33" i="30"/>
  <c r="O32" i="30"/>
  <c r="AD31" i="30"/>
  <c r="J31" i="30"/>
  <c r="AD30" i="30"/>
  <c r="J30" i="30"/>
  <c r="D28" i="30"/>
  <c r="A27" i="30"/>
  <c r="A26" i="30"/>
  <c r="A25" i="30"/>
  <c r="AG24" i="30"/>
  <c r="W24" i="30"/>
  <c r="M24" i="30"/>
  <c r="G24" i="30"/>
  <c r="AG23" i="30"/>
  <c r="W23" i="30"/>
  <c r="M23" i="30"/>
  <c r="G23" i="30"/>
  <c r="AG22" i="30"/>
  <c r="W22" i="30"/>
  <c r="M22" i="30"/>
  <c r="G22" i="30"/>
  <c r="H20" i="30"/>
  <c r="H19" i="30"/>
  <c r="H18" i="30"/>
  <c r="W16" i="30"/>
  <c r="J16" i="30"/>
  <c r="X15" i="30"/>
  <c r="O15" i="30"/>
  <c r="F15" i="30"/>
  <c r="AB14" i="30"/>
  <c r="U14" i="30"/>
  <c r="N14" i="30"/>
  <c r="F14" i="30"/>
  <c r="A12" i="30"/>
  <c r="AE11" i="30"/>
  <c r="L11" i="30"/>
  <c r="AG10" i="30"/>
  <c r="I10" i="30"/>
  <c r="AD8" i="30"/>
  <c r="J8" i="30"/>
  <c r="AA7" i="30"/>
  <c r="C7" i="30"/>
  <c r="AC6" i="30"/>
  <c r="G6" i="30"/>
  <c r="Z4" i="30"/>
  <c r="K4" i="30"/>
  <c r="AB3" i="30"/>
  <c r="F3" i="30"/>
  <c r="AG2" i="30"/>
  <c r="U2" i="30"/>
  <c r="E2" i="30"/>
  <c r="AC1" i="30"/>
  <c r="R307" i="58"/>
  <c r="R303" i="58"/>
  <c r="A299" i="58"/>
  <c r="W289" i="58"/>
  <c r="Z271" i="58"/>
  <c r="H271" i="58"/>
  <c r="X270" i="58"/>
  <c r="H270" i="58"/>
  <c r="AA262" i="58"/>
  <c r="F262" i="58"/>
  <c r="R256" i="58"/>
  <c r="R252" i="58"/>
  <c r="A248" i="58"/>
  <c r="X228" i="58"/>
  <c r="D228" i="58"/>
  <c r="Y226" i="58"/>
  <c r="E226" i="58"/>
  <c r="E216" i="58"/>
  <c r="V215" i="58"/>
  <c r="E213" i="58"/>
  <c r="S212" i="58"/>
  <c r="AF210" i="58"/>
  <c r="S210" i="58"/>
  <c r="I210" i="58"/>
  <c r="Y208" i="58"/>
  <c r="F208" i="58"/>
  <c r="R205" i="58"/>
  <c r="R201" i="58"/>
  <c r="A197" i="58"/>
  <c r="A185" i="58"/>
  <c r="A184" i="58"/>
  <c r="A183" i="58"/>
  <c r="X176" i="58"/>
  <c r="S176" i="58"/>
  <c r="L176" i="58"/>
  <c r="X175" i="58"/>
  <c r="S175" i="58"/>
  <c r="L175" i="58"/>
  <c r="X174" i="58"/>
  <c r="S174" i="58"/>
  <c r="L174" i="58"/>
  <c r="X173" i="58"/>
  <c r="S173" i="58"/>
  <c r="L173" i="58"/>
  <c r="S172" i="58"/>
  <c r="L172" i="58"/>
  <c r="X171" i="58"/>
  <c r="S171" i="58"/>
  <c r="L171" i="58"/>
  <c r="AA158" i="58"/>
  <c r="E158" i="58"/>
  <c r="AE149" i="58"/>
  <c r="Q149" i="58"/>
  <c r="R146" i="58"/>
  <c r="Q144" i="58"/>
  <c r="Q142" i="58"/>
  <c r="K141" i="58"/>
  <c r="A134" i="58"/>
  <c r="B130" i="58"/>
  <c r="B126" i="58"/>
  <c r="F123" i="58"/>
  <c r="Q122" i="58"/>
  <c r="F120" i="58"/>
  <c r="Q119" i="58"/>
  <c r="F117" i="58"/>
  <c r="K116" i="58"/>
  <c r="F114" i="58"/>
  <c r="J113" i="58"/>
  <c r="F111" i="58"/>
  <c r="T110" i="58"/>
  <c r="F108" i="58"/>
  <c r="Q107" i="58"/>
  <c r="AD105" i="58"/>
  <c r="F105" i="58"/>
  <c r="V103" i="58"/>
  <c r="V102" i="58"/>
  <c r="V101" i="58"/>
  <c r="K98" i="58"/>
  <c r="K96" i="58"/>
  <c r="G92" i="58"/>
  <c r="L90" i="58"/>
  <c r="L89" i="58"/>
  <c r="M86" i="58"/>
  <c r="F86" i="58"/>
  <c r="AC85" i="58"/>
  <c r="G85" i="58"/>
  <c r="W84" i="58"/>
  <c r="J84" i="58"/>
  <c r="I80" i="58"/>
  <c r="F79" i="58"/>
  <c r="L73" i="58"/>
  <c r="H73" i="58"/>
  <c r="L71" i="58"/>
  <c r="H71" i="58"/>
  <c r="L69" i="58"/>
  <c r="H69" i="58"/>
  <c r="L67" i="58"/>
  <c r="H67" i="58"/>
  <c r="L65" i="58"/>
  <c r="H65" i="58"/>
  <c r="L63" i="58"/>
  <c r="H63" i="58"/>
  <c r="L61" i="58"/>
  <c r="H61" i="58"/>
  <c r="L59" i="58"/>
  <c r="H59" i="58"/>
  <c r="L57" i="58"/>
  <c r="H57" i="58"/>
  <c r="AD53" i="58"/>
  <c r="F53" i="58"/>
  <c r="L31" i="58"/>
  <c r="E31" i="58"/>
  <c r="T30" i="58"/>
  <c r="F30" i="58"/>
  <c r="S29" i="58"/>
  <c r="F29" i="58"/>
  <c r="Z28" i="58"/>
  <c r="S28" i="58"/>
  <c r="F28" i="58"/>
  <c r="S27" i="58"/>
  <c r="J27" i="58"/>
  <c r="F27" i="58"/>
  <c r="L24" i="58"/>
  <c r="AA23" i="58"/>
  <c r="I23" i="58"/>
  <c r="AA22" i="58"/>
  <c r="I22" i="58"/>
  <c r="AA21" i="58"/>
  <c r="I21" i="58"/>
  <c r="AA20" i="58"/>
  <c r="I20" i="58"/>
  <c r="AA19" i="58"/>
  <c r="I19" i="58"/>
  <c r="AA18" i="58"/>
  <c r="I18" i="58"/>
  <c r="AA17" i="58"/>
  <c r="I17" i="58"/>
  <c r="U15" i="58"/>
  <c r="J15" i="58"/>
  <c r="F12" i="58"/>
  <c r="J9" i="58"/>
  <c r="AH8" i="58"/>
  <c r="AC8" i="58"/>
  <c r="Z8" i="58"/>
  <c r="W8" i="58"/>
  <c r="T8" i="58"/>
  <c r="Q8" i="58"/>
  <c r="N8" i="58"/>
  <c r="AD7" i="58"/>
  <c r="Y7" i="58"/>
  <c r="T7" i="58"/>
  <c r="N7" i="58"/>
  <c r="I7" i="58"/>
  <c r="X6" i="58"/>
  <c r="E6" i="58"/>
  <c r="T5" i="58"/>
  <c r="N5" i="58"/>
  <c r="I5" i="58"/>
  <c r="F4" i="58"/>
  <c r="T2" i="58"/>
  <c r="F2" i="58"/>
  <c r="J3" i="58" s="1"/>
  <c r="AD1" i="58"/>
  <c r="F1" i="58"/>
  <c r="A19" i="39" l="1"/>
  <c r="A19" i="147"/>
  <c r="G38" i="30"/>
  <c r="A210" i="30"/>
  <c r="AO12" i="29"/>
  <c r="AT12" i="29" s="1"/>
  <c r="H24" i="144"/>
  <c r="L24" i="144" s="1"/>
  <c r="AA12" i="32"/>
  <c r="AB12" i="39"/>
  <c r="N13" i="29"/>
  <c r="N14" i="29" s="1"/>
  <c r="Z20" i="29" s="1"/>
  <c r="A227" i="30"/>
  <c r="F113" i="30"/>
  <c r="H3" i="144"/>
  <c r="L75" i="58"/>
  <c r="A26" i="147"/>
  <c r="A220" i="30"/>
  <c r="C11" i="109"/>
  <c r="I166" i="30"/>
  <c r="A26" i="39"/>
  <c r="AA17" i="31"/>
  <c r="I3" i="144"/>
  <c r="I7" i="144"/>
  <c r="F24" i="29"/>
  <c r="J25" i="29" s="1"/>
  <c r="J26" i="29" s="1"/>
  <c r="Z21" i="29" s="1"/>
  <c r="I21" i="144"/>
  <c r="M21" i="144" s="1"/>
  <c r="H19" i="144"/>
  <c r="L19" i="144" s="1"/>
  <c r="I20" i="144"/>
  <c r="M20" i="144" s="1"/>
  <c r="I6" i="144"/>
  <c r="H8" i="144"/>
  <c r="H18" i="144"/>
  <c r="L18" i="144" s="1"/>
  <c r="I19" i="144"/>
  <c r="M19" i="144" s="1"/>
  <c r="H5" i="144"/>
  <c r="I8" i="144"/>
  <c r="I18" i="144"/>
  <c r="M18" i="144" s="1"/>
  <c r="H4" i="144"/>
  <c r="I5" i="144"/>
  <c r="H7" i="144"/>
  <c r="H9" i="144"/>
  <c r="H22" i="144"/>
  <c r="L22" i="144" s="1"/>
  <c r="H21" i="144"/>
  <c r="L21" i="144" s="1"/>
  <c r="H20" i="144"/>
  <c r="L20" i="144" s="1"/>
  <c r="H6" i="144"/>
  <c r="I9" i="144"/>
  <c r="B21" i="144"/>
  <c r="D10" i="144"/>
  <c r="G21" i="144"/>
  <c r="K21" i="144" s="1"/>
  <c r="B22" i="144"/>
  <c r="C10" i="144"/>
  <c r="I24" i="144"/>
  <c r="M24" i="144" s="1"/>
  <c r="G3" i="144"/>
  <c r="G4" i="144"/>
  <c r="G6" i="144"/>
  <c r="G7" i="144"/>
  <c r="I22" i="144"/>
  <c r="M22" i="144" s="1"/>
  <c r="B10" i="144"/>
  <c r="G18" i="144"/>
  <c r="K18" i="144" s="1"/>
  <c r="Z14" i="29"/>
  <c r="Z15" i="29" s="1"/>
  <c r="Z22" i="29" s="1"/>
  <c r="AK25" i="29"/>
  <c r="AT15" i="29"/>
  <c r="AN13" i="29"/>
  <c r="AS13" i="29" s="1"/>
  <c r="AS15" i="29" s="1"/>
  <c r="AN14" i="29"/>
  <c r="AS14" i="29" s="1"/>
  <c r="AJ20" i="29"/>
  <c r="AK20" i="29"/>
  <c r="AP10" i="29"/>
  <c r="AU10" i="29" s="1"/>
  <c r="AU15" i="29" s="1"/>
  <c r="AL20" i="29"/>
  <c r="AJ22" i="29"/>
  <c r="B1692" i="155"/>
  <c r="B1691" i="155"/>
  <c r="B1660" i="155"/>
  <c r="B1659" i="155"/>
  <c r="C1649" i="155"/>
  <c r="B1427" i="155"/>
  <c r="B1419" i="155"/>
  <c r="C1282" i="155"/>
  <c r="D1282" i="155" s="1"/>
  <c r="D1269" i="155"/>
  <c r="E1269" i="155" s="1"/>
  <c r="G406" i="155"/>
  <c r="G404" i="155"/>
  <c r="G402" i="155"/>
  <c r="G400" i="155"/>
  <c r="G398" i="155"/>
  <c r="G396" i="155"/>
  <c r="G394" i="155"/>
  <c r="G392" i="155"/>
  <c r="G390" i="155"/>
  <c r="G388" i="155"/>
  <c r="G386" i="155"/>
  <c r="G384" i="155"/>
  <c r="G382" i="155"/>
  <c r="G380" i="155"/>
  <c r="G378" i="155"/>
  <c r="G376" i="155"/>
  <c r="G374" i="155"/>
  <c r="G372" i="155"/>
  <c r="G370" i="155"/>
  <c r="G368" i="155"/>
  <c r="G366" i="155"/>
  <c r="B36" i="155"/>
  <c r="E30" i="155"/>
  <c r="F30" i="155" s="1"/>
  <c r="T50" i="40" s="1"/>
  <c r="F15" i="155"/>
  <c r="A207" i="30" s="1"/>
  <c r="B15" i="155"/>
  <c r="A2" i="140" l="1"/>
  <c r="A8" i="140"/>
  <c r="A14" i="140"/>
  <c r="A20" i="140"/>
  <c r="A10" i="140"/>
  <c r="A22" i="140"/>
  <c r="A5" i="140"/>
  <c r="A11" i="140"/>
  <c r="A17" i="140"/>
  <c r="A23" i="140"/>
  <c r="A7" i="140"/>
  <c r="A19" i="140"/>
  <c r="A3" i="140"/>
  <c r="A9" i="140"/>
  <c r="A15" i="140"/>
  <c r="A21" i="140"/>
  <c r="A4" i="140"/>
  <c r="A16" i="140"/>
  <c r="A6" i="140"/>
  <c r="A12" i="140"/>
  <c r="A18" i="140"/>
  <c r="A1" i="140"/>
  <c r="A13" i="140"/>
  <c r="G407" i="155"/>
  <c r="L25" i="144"/>
  <c r="AH4" i="147"/>
  <c r="AH4" i="39"/>
  <c r="A27" i="140"/>
  <c r="A26" i="140"/>
  <c r="A25" i="140"/>
  <c r="A24" i="140"/>
  <c r="B27" i="144"/>
  <c r="F10" i="144"/>
  <c r="M25" i="144"/>
  <c r="K25" i="144"/>
  <c r="AL27" i="29"/>
  <c r="AL28" i="29" s="1"/>
  <c r="AL30" i="29" s="1"/>
  <c r="L24" i="28" s="1"/>
  <c r="AV15" i="29"/>
  <c r="T5" i="140" l="1"/>
  <c r="A34" i="58" s="1"/>
  <c r="N25" i="144"/>
  <c r="AF29" i="20"/>
  <c r="AD20" i="31"/>
  <c r="AF15" i="39"/>
  <c r="AD15" i="32"/>
  <c r="AD16" i="32" s="1"/>
  <c r="N26" i="144"/>
  <c r="AD21" i="146"/>
  <c r="AF15" i="147"/>
  <c r="AD20" i="146"/>
  <c r="L24" i="145"/>
  <c r="AB12" i="147"/>
  <c r="AA17" i="146"/>
  <c r="AV16" i="29"/>
  <c r="AV20" i="29" s="1"/>
  <c r="AV19" i="29"/>
  <c r="AD21" i="31" s="1"/>
  <c r="I27" i="28" l="1"/>
  <c r="K26" i="28"/>
  <c r="I27" i="145"/>
  <c r="K26" i="145"/>
  <c r="I185" i="137"/>
  <c r="AF184" i="137"/>
  <c r="I179" i="137"/>
  <c r="AF178" i="137"/>
  <c r="I173" i="137"/>
  <c r="AF172" i="137"/>
  <c r="I167" i="137"/>
  <c r="AF166" i="137"/>
  <c r="I161" i="137"/>
  <c r="AF160" i="137"/>
  <c r="I155" i="137"/>
  <c r="AF154" i="137"/>
  <c r="I147" i="137"/>
  <c r="AF146" i="137"/>
  <c r="AF140" i="137"/>
  <c r="I141" i="137"/>
  <c r="I135" i="137"/>
  <c r="AF134" i="137"/>
  <c r="I129" i="137"/>
  <c r="AF128" i="137"/>
  <c r="I123" i="137"/>
  <c r="AF122" i="137"/>
  <c r="I109" i="137"/>
  <c r="AF108" i="137"/>
  <c r="I103" i="137"/>
  <c r="AF102" i="137"/>
  <c r="I97" i="137"/>
  <c r="AF96" i="137"/>
  <c r="I91" i="137"/>
  <c r="AF90" i="137"/>
  <c r="I85" i="137"/>
  <c r="AF84" i="137"/>
  <c r="I79" i="137"/>
  <c r="AF78" i="137"/>
  <c r="I71" i="137"/>
  <c r="AF70" i="137"/>
  <c r="I65" i="137"/>
  <c r="AF64" i="137"/>
  <c r="AF52" i="137"/>
  <c r="I59" i="137"/>
  <c r="AF58" i="137"/>
  <c r="I47" i="137"/>
  <c r="AF46" i="137"/>
  <c r="I41" i="137"/>
  <c r="AF40" i="137"/>
  <c r="I27" i="137"/>
  <c r="I33" i="137"/>
  <c r="AF32" i="137"/>
  <c r="AF26" i="137"/>
  <c r="I24" i="137"/>
  <c r="I22" i="137"/>
  <c r="I21" i="137"/>
  <c r="I15" i="137"/>
  <c r="P20" i="137"/>
  <c r="E20" i="137"/>
  <c r="AF20" i="137"/>
  <c r="AF14" i="137"/>
  <c r="I3" i="137"/>
  <c r="AF2" i="137"/>
  <c r="AF8" i="137"/>
  <c r="I188" i="137" l="1"/>
  <c r="I186" i="137"/>
  <c r="AS184" i="137"/>
  <c r="P184" i="137"/>
  <c r="E184" i="137"/>
  <c r="I182" i="137"/>
  <c r="I180" i="137"/>
  <c r="AS178" i="137"/>
  <c r="P178" i="137"/>
  <c r="E178" i="137"/>
  <c r="I176" i="137"/>
  <c r="I174" i="137"/>
  <c r="AS172" i="137"/>
  <c r="P172" i="137"/>
  <c r="E172" i="137"/>
  <c r="I170" i="137"/>
  <c r="I168" i="137"/>
  <c r="AS166" i="137"/>
  <c r="P166" i="137"/>
  <c r="E166" i="137"/>
  <c r="I164" i="137"/>
  <c r="I162" i="137"/>
  <c r="AS160" i="137"/>
  <c r="P160" i="137"/>
  <c r="E160" i="137"/>
  <c r="I158" i="137"/>
  <c r="I156" i="137"/>
  <c r="AS154" i="137"/>
  <c r="P154" i="137"/>
  <c r="E154" i="137"/>
  <c r="I150" i="137"/>
  <c r="I148" i="137"/>
  <c r="AS146" i="137"/>
  <c r="P146" i="137"/>
  <c r="E146" i="137"/>
  <c r="I144" i="137"/>
  <c r="I142" i="137"/>
  <c r="AS140" i="137"/>
  <c r="P140" i="137"/>
  <c r="E140" i="137"/>
  <c r="I138" i="137"/>
  <c r="I136" i="137"/>
  <c r="AS134" i="137"/>
  <c r="P134" i="137"/>
  <c r="E134" i="137"/>
  <c r="I132" i="137"/>
  <c r="I130" i="137"/>
  <c r="AS128" i="137"/>
  <c r="P128" i="137"/>
  <c r="E128" i="137"/>
  <c r="I126" i="137"/>
  <c r="I124" i="137"/>
  <c r="AS122" i="137"/>
  <c r="P122" i="137"/>
  <c r="E122" i="137"/>
  <c r="I120" i="137"/>
  <c r="I118" i="137"/>
  <c r="I117" i="137"/>
  <c r="AS116" i="137"/>
  <c r="AF116" i="137"/>
  <c r="P116" i="137"/>
  <c r="E116" i="137"/>
  <c r="I112" i="137"/>
  <c r="I110" i="137"/>
  <c r="AS108" i="137"/>
  <c r="P108" i="137"/>
  <c r="E108" i="137"/>
  <c r="I106" i="137"/>
  <c r="I104" i="137"/>
  <c r="AS102" i="137"/>
  <c r="P102" i="137"/>
  <c r="E102" i="137"/>
  <c r="I100" i="137"/>
  <c r="I98" i="137"/>
  <c r="AS96" i="137"/>
  <c r="P96" i="137"/>
  <c r="E96" i="137"/>
  <c r="I94" i="137"/>
  <c r="I92" i="137"/>
  <c r="AS90" i="137"/>
  <c r="P90" i="137"/>
  <c r="E90" i="137"/>
  <c r="I88" i="137"/>
  <c r="I86" i="137"/>
  <c r="AS84" i="137"/>
  <c r="P84" i="137"/>
  <c r="E84" i="137"/>
  <c r="I82" i="137"/>
  <c r="I80" i="137"/>
  <c r="AS78" i="137"/>
  <c r="P78" i="137"/>
  <c r="E78" i="137"/>
  <c r="I74" i="137"/>
  <c r="I72" i="137"/>
  <c r="AS70" i="137"/>
  <c r="P70" i="137"/>
  <c r="E70" i="137"/>
  <c r="I68" i="137"/>
  <c r="I66" i="137"/>
  <c r="AS64" i="137"/>
  <c r="P64" i="137"/>
  <c r="E64" i="137"/>
  <c r="I62" i="137"/>
  <c r="I60" i="137"/>
  <c r="AS58" i="137"/>
  <c r="P58" i="137"/>
  <c r="E58" i="137"/>
  <c r="I56" i="137"/>
  <c r="I54" i="137"/>
  <c r="I53" i="137"/>
  <c r="AS52" i="137"/>
  <c r="P52" i="137"/>
  <c r="E52" i="137"/>
  <c r="I50" i="137"/>
  <c r="I48" i="137"/>
  <c r="AS46" i="137"/>
  <c r="P46" i="137"/>
  <c r="E46" i="137"/>
  <c r="I44" i="137"/>
  <c r="I42" i="137"/>
  <c r="AS40" i="137"/>
  <c r="P40" i="137"/>
  <c r="E40" i="137"/>
  <c r="I36" i="137"/>
  <c r="I34" i="137"/>
  <c r="AS32" i="137"/>
  <c r="P32" i="137"/>
  <c r="E32" i="137"/>
  <c r="I30" i="137"/>
  <c r="I28" i="137"/>
  <c r="AS26" i="137"/>
  <c r="P26" i="137"/>
  <c r="E26" i="137"/>
  <c r="AS20" i="137"/>
  <c r="I18" i="137"/>
  <c r="I16" i="137"/>
  <c r="AS14" i="137"/>
  <c r="P14" i="137"/>
  <c r="E14" i="137"/>
  <c r="I12" i="137"/>
  <c r="I10" i="137"/>
  <c r="I9" i="137"/>
  <c r="AS8" i="137"/>
  <c r="P8" i="137"/>
  <c r="E8" i="137"/>
  <c r="I6" i="137"/>
  <c r="I4" i="137"/>
  <c r="AS2" i="137"/>
  <c r="P2" i="137"/>
  <c r="E2" i="137"/>
  <c r="P3" i="120" l="1"/>
  <c r="P4" i="120"/>
  <c r="P5" i="120"/>
  <c r="P6" i="120"/>
  <c r="P7" i="120"/>
  <c r="P8" i="120"/>
  <c r="P9" i="120"/>
  <c r="P10" i="120"/>
  <c r="P11" i="120"/>
  <c r="P12" i="120"/>
  <c r="P13" i="120"/>
  <c r="P14" i="120"/>
  <c r="P15" i="120"/>
  <c r="P16" i="120"/>
  <c r="P17" i="120"/>
  <c r="P18" i="120"/>
  <c r="P19" i="120"/>
  <c r="P20" i="120"/>
  <c r="P21" i="120"/>
  <c r="P22" i="120"/>
  <c r="P23" i="120"/>
  <c r="P24" i="120"/>
  <c r="P25" i="120"/>
  <c r="P26" i="120"/>
  <c r="P27" i="120"/>
  <c r="P28" i="120"/>
  <c r="P29" i="120"/>
  <c r="P30" i="120"/>
  <c r="P31" i="120"/>
  <c r="P32" i="120"/>
  <c r="P33" i="120"/>
  <c r="P34" i="120"/>
  <c r="P35" i="120"/>
  <c r="P36" i="120"/>
  <c r="P37" i="120"/>
  <c r="P38" i="120"/>
  <c r="P39" i="120"/>
  <c r="P40" i="120"/>
  <c r="P41" i="120"/>
  <c r="P42" i="120"/>
  <c r="P43" i="120"/>
  <c r="P44" i="120"/>
  <c r="P2" i="120"/>
  <c r="K2" i="44" l="1"/>
  <c r="K12" i="44" s="1"/>
  <c r="K1" i="44"/>
  <c r="E153" i="137" l="1"/>
  <c r="AN153" i="137"/>
  <c r="AA153" i="137"/>
  <c r="E115" i="137"/>
  <c r="AN115" i="137"/>
  <c r="AA115" i="137"/>
  <c r="E77" i="137"/>
  <c r="AN77" i="137"/>
  <c r="AA77" i="137"/>
  <c r="E39" i="137"/>
  <c r="AN39" i="137"/>
  <c r="AA39" i="137"/>
  <c r="E1" i="137" l="1"/>
  <c r="AA1" i="137"/>
  <c r="AN1" i="137"/>
  <c r="A74" i="30" l="1"/>
  <c r="AM20" i="106"/>
  <c r="AM53" i="106" l="1"/>
  <c r="AM51" i="106"/>
  <c r="AM50" i="106"/>
  <c r="AM49" i="106"/>
  <c r="AM48" i="106"/>
  <c r="AY9" i="103"/>
  <c r="L10" i="44" l="1"/>
  <c r="AM47" i="106" l="1"/>
  <c r="AM46" i="106"/>
  <c r="AM45" i="106"/>
  <c r="AM44" i="106"/>
  <c r="AM43" i="106"/>
  <c r="AM42" i="106"/>
  <c r="AM41" i="106"/>
  <c r="AM40" i="106"/>
  <c r="AM38" i="106"/>
  <c r="AM37" i="106"/>
  <c r="AM36" i="106"/>
  <c r="AM35" i="106"/>
  <c r="AM34" i="106"/>
  <c r="AM33" i="106"/>
  <c r="AM32" i="106"/>
  <c r="AM31" i="106"/>
  <c r="AM30" i="106"/>
  <c r="AM29" i="106"/>
  <c r="AM27" i="106"/>
  <c r="AM26" i="106"/>
  <c r="AM25" i="106"/>
  <c r="AM24" i="106"/>
  <c r="AM23" i="106"/>
  <c r="AM22" i="106"/>
  <c r="AM21" i="106"/>
  <c r="AM19" i="106"/>
  <c r="AM18" i="106"/>
  <c r="AM17" i="106"/>
  <c r="AM16" i="106"/>
  <c r="AM15" i="106"/>
  <c r="AM14" i="106"/>
  <c r="AM13" i="106"/>
  <c r="AM12" i="106"/>
  <c r="AM10" i="106"/>
  <c r="AM9" i="106"/>
  <c r="AM8" i="106"/>
  <c r="AM7" i="106"/>
  <c r="AM6" i="106"/>
  <c r="AY18" i="103"/>
  <c r="E8" i="44" l="1"/>
  <c r="D8" i="44"/>
  <c r="E3" i="44"/>
  <c r="E4" i="44"/>
  <c r="E5" i="44"/>
  <c r="E6" i="44"/>
  <c r="E7" i="44"/>
  <c r="E2" i="44"/>
  <c r="D7" i="44"/>
</calcChain>
</file>

<file path=xl/sharedStrings.xml><?xml version="1.0" encoding="utf-8"?>
<sst xmlns="http://schemas.openxmlformats.org/spreadsheetml/2006/main" count="8246" uniqueCount="4785">
  <si>
    <t>Yes/No</t>
  </si>
  <si>
    <t>No</t>
  </si>
  <si>
    <t>Marital Status</t>
  </si>
  <si>
    <t>Single</t>
  </si>
  <si>
    <t>Married</t>
  </si>
  <si>
    <t>Divorced</t>
  </si>
  <si>
    <t>Separated</t>
  </si>
  <si>
    <t>Widowed</t>
  </si>
  <si>
    <t>Race</t>
  </si>
  <si>
    <t>Asian</t>
  </si>
  <si>
    <t>White</t>
  </si>
  <si>
    <t>Black</t>
  </si>
  <si>
    <t>Nepali</t>
  </si>
  <si>
    <t>Bhutanese</t>
  </si>
  <si>
    <t>Indian</t>
  </si>
  <si>
    <t>Middle Eastern</t>
  </si>
  <si>
    <t>Hispanic</t>
  </si>
  <si>
    <t>Native American</t>
  </si>
  <si>
    <t>Mixed</t>
  </si>
  <si>
    <t>Unknown</t>
  </si>
  <si>
    <t>Gender</t>
  </si>
  <si>
    <t>Male</t>
  </si>
  <si>
    <t>Female</t>
  </si>
  <si>
    <t>Address</t>
  </si>
  <si>
    <t>City</t>
  </si>
  <si>
    <t>State</t>
  </si>
  <si>
    <t>Zip</t>
  </si>
  <si>
    <t>Date of Birth</t>
  </si>
  <si>
    <t>Waiver Program</t>
  </si>
  <si>
    <t>CCSP</t>
  </si>
  <si>
    <t>SOURCE</t>
  </si>
  <si>
    <t>Part A</t>
  </si>
  <si>
    <t>Part B</t>
  </si>
  <si>
    <t>Part C</t>
  </si>
  <si>
    <t>Part D</t>
  </si>
  <si>
    <t>Start of Care Date</t>
  </si>
  <si>
    <t>Case Mgmt</t>
  </si>
  <si>
    <t>Pruitt Atlanta</t>
  </si>
  <si>
    <t>Pruitt Augusta</t>
  </si>
  <si>
    <t>Next Step Atlanta</t>
  </si>
  <si>
    <t>Next Step Augusta</t>
  </si>
  <si>
    <t>Next Step Rome</t>
  </si>
  <si>
    <t>Next Step Tyrone</t>
  </si>
  <si>
    <t>Source Partners</t>
  </si>
  <si>
    <t>Source Care Mgmt</t>
  </si>
  <si>
    <t>CCSP Atlanta</t>
  </si>
  <si>
    <t>CCSP On My Watch</t>
  </si>
  <si>
    <t>Faith Source</t>
  </si>
  <si>
    <t>CM Office</t>
  </si>
  <si>
    <t>CM Name</t>
  </si>
  <si>
    <t>Relationship</t>
  </si>
  <si>
    <t>Has Key</t>
  </si>
  <si>
    <t>Spouse</t>
  </si>
  <si>
    <t>Child/In Law</t>
  </si>
  <si>
    <t>Friend</t>
  </si>
  <si>
    <t>Medical</t>
  </si>
  <si>
    <t>Other</t>
  </si>
  <si>
    <t>Self</t>
  </si>
  <si>
    <t>Parent</t>
  </si>
  <si>
    <t>Suite</t>
  </si>
  <si>
    <t>Office Phone</t>
  </si>
  <si>
    <t>Fax</t>
  </si>
  <si>
    <t>Payer Source</t>
  </si>
  <si>
    <t>CCSP Bill</t>
  </si>
  <si>
    <t>PMAO</t>
  </si>
  <si>
    <t>MAO</t>
  </si>
  <si>
    <t>Phone</t>
  </si>
  <si>
    <t>Check</t>
  </si>
  <si>
    <t>Credit Card</t>
  </si>
  <si>
    <t>DX Source</t>
  </si>
  <si>
    <t>Medicaid</t>
  </si>
  <si>
    <t>Alteration</t>
  </si>
  <si>
    <t>Medication Indicated</t>
  </si>
  <si>
    <t>Cardiovascular Function</t>
  </si>
  <si>
    <t>Mobility/Physicial Activity</t>
  </si>
  <si>
    <t>Kidney Function</t>
  </si>
  <si>
    <t>Hoyer Lift</t>
  </si>
  <si>
    <t>Dentures</t>
  </si>
  <si>
    <t>Nurse</t>
  </si>
  <si>
    <t>Personal Care</t>
  </si>
  <si>
    <t>Companion Care</t>
  </si>
  <si>
    <t>Reason 1</t>
  </si>
  <si>
    <t>Reason 2</t>
  </si>
  <si>
    <t>Reason 3</t>
  </si>
  <si>
    <t>Assess Reason</t>
  </si>
  <si>
    <t>New Admission</t>
  </si>
  <si>
    <t>Re-Evaluation</t>
  </si>
  <si>
    <t>Change in Condition</t>
  </si>
  <si>
    <t>Nurses</t>
  </si>
  <si>
    <t>Paille, Young Sarah RN</t>
  </si>
  <si>
    <t>Kim, Angie RN</t>
  </si>
  <si>
    <t>Springer, Rick RN</t>
  </si>
  <si>
    <t>Joung, Young Sarah RN</t>
  </si>
  <si>
    <t>Crawford, Sherri LPN</t>
  </si>
  <si>
    <t>Robinson, Farrah RN</t>
  </si>
  <si>
    <t>Education Level</t>
  </si>
  <si>
    <t>No Formal Education</t>
  </si>
  <si>
    <t>High School</t>
  </si>
  <si>
    <t>Some College</t>
  </si>
  <si>
    <t xml:space="preserve">Bachelor's </t>
  </si>
  <si>
    <t>Master's</t>
  </si>
  <si>
    <t>PHD</t>
  </si>
  <si>
    <t>Notes</t>
  </si>
  <si>
    <t>Unclean</t>
  </si>
  <si>
    <t>Cluttered</t>
  </si>
  <si>
    <t>Fair</t>
  </si>
  <si>
    <t>Poor</t>
  </si>
  <si>
    <t>Dogs</t>
  </si>
  <si>
    <t>Cats</t>
  </si>
  <si>
    <t>Safety Teaching</t>
  </si>
  <si>
    <t>Amount</t>
  </si>
  <si>
    <t>Living Will</t>
  </si>
  <si>
    <t>DNR</t>
  </si>
  <si>
    <t>Advance Directive</t>
  </si>
  <si>
    <t>Assist Level</t>
  </si>
  <si>
    <t>Vehicle</t>
  </si>
  <si>
    <t>Client's Car</t>
  </si>
  <si>
    <t>Aide's Car</t>
  </si>
  <si>
    <t>Handicapped Vehicle</t>
  </si>
  <si>
    <t>No Transportation</t>
  </si>
  <si>
    <t>Schedule</t>
  </si>
  <si>
    <t>Daily</t>
  </si>
  <si>
    <t>Weekly</t>
  </si>
  <si>
    <t>PRN</t>
  </si>
  <si>
    <t>Not Required</t>
  </si>
  <si>
    <t>Independent</t>
  </si>
  <si>
    <t>Hands On Assist</t>
  </si>
  <si>
    <t>Dependent</t>
  </si>
  <si>
    <t>Private Pay</t>
  </si>
  <si>
    <t>Trash</t>
  </si>
  <si>
    <t>Kitchen</t>
  </si>
  <si>
    <t>Bathroom</t>
  </si>
  <si>
    <t>Linens</t>
  </si>
  <si>
    <t>Sch Appts</t>
  </si>
  <si>
    <t>Goals</t>
  </si>
  <si>
    <t>Prognosis</t>
  </si>
  <si>
    <t>Disc Preference</t>
  </si>
  <si>
    <t>Family</t>
  </si>
  <si>
    <t>Nursing Home</t>
  </si>
  <si>
    <t>Community Arrangements</t>
  </si>
  <si>
    <t>Private Company</t>
  </si>
  <si>
    <t>PCP Determination</t>
  </si>
  <si>
    <t>Good</t>
  </si>
  <si>
    <t>Guarded</t>
  </si>
  <si>
    <t>Physician Name</t>
  </si>
  <si>
    <t>Speciality</t>
  </si>
  <si>
    <t>Sunday</t>
  </si>
  <si>
    <t>Monday</t>
  </si>
  <si>
    <t>Tuesday</t>
  </si>
  <si>
    <t>Wednesday</t>
  </si>
  <si>
    <t>Thursday</t>
  </si>
  <si>
    <t>Friday</t>
  </si>
  <si>
    <t>Saturday</t>
  </si>
  <si>
    <t>Report Errors</t>
  </si>
  <si>
    <t>Medication List (Medicaid and Private Pay)</t>
  </si>
  <si>
    <t>Medication Name</t>
  </si>
  <si>
    <t>Dosage</t>
  </si>
  <si>
    <t>Frequency</t>
  </si>
  <si>
    <t>Route</t>
  </si>
  <si>
    <t>New/Change/DX</t>
  </si>
  <si>
    <t>Medication Status</t>
  </si>
  <si>
    <t>New</t>
  </si>
  <si>
    <t>Current</t>
  </si>
  <si>
    <t>Change</t>
  </si>
  <si>
    <t>Discontinued</t>
  </si>
  <si>
    <t>weight</t>
  </si>
  <si>
    <t>Appearance</t>
  </si>
  <si>
    <t xml:space="preserve">Good </t>
  </si>
  <si>
    <t>Dishelved</t>
  </si>
  <si>
    <t>vital sch</t>
  </si>
  <si>
    <t>Waived</t>
  </si>
  <si>
    <t>split sch</t>
  </si>
  <si>
    <t>AM</t>
  </si>
  <si>
    <t>PM</t>
  </si>
  <si>
    <t>Right</t>
  </si>
  <si>
    <t>Left</t>
  </si>
  <si>
    <t>Temp</t>
  </si>
  <si>
    <t>Pulse</t>
  </si>
  <si>
    <t>Respirations</t>
  </si>
  <si>
    <t>Glucose</t>
  </si>
  <si>
    <t>Diabetes</t>
  </si>
  <si>
    <t>Type I</t>
  </si>
  <si>
    <t>Type II</t>
  </si>
  <si>
    <t>PulseOx</t>
  </si>
  <si>
    <t>Cognitive Function/Thought Process</t>
  </si>
  <si>
    <t>Pancreatic Function</t>
  </si>
  <si>
    <t>Respiratory Function</t>
  </si>
  <si>
    <t>Emotional Status</t>
  </si>
  <si>
    <t>GI Function</t>
  </si>
  <si>
    <t>GU Function</t>
  </si>
  <si>
    <t>Metabloic Function</t>
  </si>
  <si>
    <t>Thyroid Function</t>
  </si>
  <si>
    <t>Nervous System/Mobility and Physical Activity</t>
  </si>
  <si>
    <t>Immune System</t>
  </si>
  <si>
    <t>Hearing Level</t>
  </si>
  <si>
    <t>None</t>
  </si>
  <si>
    <t>Mild</t>
  </si>
  <si>
    <t>Moderate</t>
  </si>
  <si>
    <t>Severe</t>
  </si>
  <si>
    <t>Total</t>
  </si>
  <si>
    <t>Vision Level</t>
  </si>
  <si>
    <t>Vertigo</t>
  </si>
  <si>
    <t>Eyes</t>
  </si>
  <si>
    <t>Pain</t>
  </si>
  <si>
    <t>General Pain</t>
  </si>
  <si>
    <t>Specific Pain</t>
  </si>
  <si>
    <t>Chronic</t>
  </si>
  <si>
    <t>Sporadic</t>
  </si>
  <si>
    <t>Breakthrough</t>
  </si>
  <si>
    <t>Nutrition</t>
  </si>
  <si>
    <t>Appetite</t>
  </si>
  <si>
    <t>Fluids</t>
  </si>
  <si>
    <t>Anorexic</t>
  </si>
  <si>
    <t>Gain</t>
  </si>
  <si>
    <t>Loss</t>
  </si>
  <si>
    <t>Mouth</t>
  </si>
  <si>
    <t>NasoGastric Tube</t>
  </si>
  <si>
    <t>Jejunostomy</t>
  </si>
  <si>
    <t>Gastrostomy</t>
  </si>
  <si>
    <t>Aide</t>
  </si>
  <si>
    <t>Missing Teeth</t>
  </si>
  <si>
    <t>Broken Teeth</t>
  </si>
  <si>
    <t>Masses/Tumors</t>
  </si>
  <si>
    <t>Swallowing Problems</t>
  </si>
  <si>
    <t>Ulcerations</t>
  </si>
  <si>
    <t>Toothaches</t>
  </si>
  <si>
    <t>Gingivitis</t>
  </si>
  <si>
    <t>Dry Mouth</t>
  </si>
  <si>
    <t>Nausea</t>
  </si>
  <si>
    <t>Bowel Program</t>
  </si>
  <si>
    <t>Dribbling</t>
  </si>
  <si>
    <t>Urgency</t>
  </si>
  <si>
    <t>Burning</t>
  </si>
  <si>
    <t>Stones</t>
  </si>
  <si>
    <t>Nocturia</t>
  </si>
  <si>
    <t>Dialysis</t>
  </si>
  <si>
    <t>Current UTI</t>
  </si>
  <si>
    <t>Stoma</t>
  </si>
  <si>
    <t>Catheter</t>
  </si>
  <si>
    <t>Foley</t>
  </si>
  <si>
    <t>Condom</t>
  </si>
  <si>
    <t>Suprapubic</t>
  </si>
  <si>
    <t>SOB with Exertion</t>
  </si>
  <si>
    <t>Periodic</t>
  </si>
  <si>
    <t>SOB w/o Exertion</t>
  </si>
  <si>
    <t>Dizziness</t>
  </si>
  <si>
    <t>Cyanosis</t>
  </si>
  <si>
    <t>Pacemaker</t>
  </si>
  <si>
    <t>Chest Pain</t>
  </si>
  <si>
    <t>Edema</t>
  </si>
  <si>
    <t>Pitting</t>
  </si>
  <si>
    <t>Pedal</t>
  </si>
  <si>
    <t>Sacral</t>
  </si>
  <si>
    <t>Peripheral</t>
  </si>
  <si>
    <t>Capillary</t>
  </si>
  <si>
    <t>&lt; 3 seconds</t>
  </si>
  <si>
    <t>&gt; 3 seconds</t>
  </si>
  <si>
    <t>Pulmonary</t>
  </si>
  <si>
    <t>Cough Productive</t>
  </si>
  <si>
    <t>Cough Unproductive</t>
  </si>
  <si>
    <t>Uses Inhalers</t>
  </si>
  <si>
    <t>Scheduled</t>
  </si>
  <si>
    <t>Headaches</t>
  </si>
  <si>
    <t>Aphasia</t>
  </si>
  <si>
    <t>Paralysis</t>
  </si>
  <si>
    <t>Insomnia</t>
  </si>
  <si>
    <t>Syncope</t>
  </si>
  <si>
    <t>Too much sleep</t>
  </si>
  <si>
    <t>Seizures</t>
  </si>
  <si>
    <t>PERRLA</t>
  </si>
  <si>
    <t>Fatigue</t>
  </si>
  <si>
    <t>Both</t>
  </si>
  <si>
    <t>Speech</t>
  </si>
  <si>
    <t>Clear</t>
  </si>
  <si>
    <t>Mumbling</t>
  </si>
  <si>
    <t>Slurred</t>
  </si>
  <si>
    <t>Verbally Appropriate</t>
  </si>
  <si>
    <t>Skin</t>
  </si>
  <si>
    <t>No Medical Skin Problems</t>
  </si>
  <si>
    <t>Pigmentation Changes</t>
  </si>
  <si>
    <t>Rashes</t>
  </si>
  <si>
    <t>Bruising</t>
  </si>
  <si>
    <t>Moles</t>
  </si>
  <si>
    <t>Dryness</t>
  </si>
  <si>
    <t>Current Cancer</t>
  </si>
  <si>
    <t>Previous Cancer</t>
  </si>
  <si>
    <t>Decub level</t>
  </si>
  <si>
    <t>Stage 1</t>
  </si>
  <si>
    <t>Stage 2</t>
  </si>
  <si>
    <t>Stage 3</t>
  </si>
  <si>
    <t>Stage 4</t>
  </si>
  <si>
    <t>Mental</t>
  </si>
  <si>
    <t>Comatose</t>
  </si>
  <si>
    <t>Forgetful</t>
  </si>
  <si>
    <t>Confused</t>
  </si>
  <si>
    <t>Depression</t>
  </si>
  <si>
    <t>Disoriented</t>
  </si>
  <si>
    <t>Delusions</t>
  </si>
  <si>
    <t>Anger Issues</t>
  </si>
  <si>
    <t>Lethargic</t>
  </si>
  <si>
    <t>Agitated</t>
  </si>
  <si>
    <t>Hallucinations</t>
  </si>
  <si>
    <t>Anxiety</t>
  </si>
  <si>
    <t>Telephone</t>
  </si>
  <si>
    <t>Mental Stim</t>
  </si>
  <si>
    <t>Supervision</t>
  </si>
  <si>
    <t>Mobility</t>
  </si>
  <si>
    <t>Fractures</t>
  </si>
  <si>
    <t>Bedbound</t>
  </si>
  <si>
    <t>Swollen Joints</t>
  </si>
  <si>
    <t>Painful Joints</t>
  </si>
  <si>
    <t>Shuffling</t>
  </si>
  <si>
    <t>Muscle Weakness</t>
  </si>
  <si>
    <t>Atrophy</t>
  </si>
  <si>
    <t>Unable to bear weight</t>
  </si>
  <si>
    <t>Poor Balance</t>
  </si>
  <si>
    <t>Unsteady Gait</t>
  </si>
  <si>
    <t>Stiffness</t>
  </si>
  <si>
    <t>Leg Cramps</t>
  </si>
  <si>
    <t>Numbness</t>
  </si>
  <si>
    <t>Chairbound</t>
  </si>
  <si>
    <t>Amputation</t>
  </si>
  <si>
    <t>Cast</t>
  </si>
  <si>
    <t>Hemiplegia</t>
  </si>
  <si>
    <t>Paraplegia</t>
  </si>
  <si>
    <t>ROM</t>
  </si>
  <si>
    <t>Full</t>
  </si>
  <si>
    <t>Limited</t>
  </si>
  <si>
    <t>Bathing</t>
  </si>
  <si>
    <t>Dressing</t>
  </si>
  <si>
    <t>Grooming</t>
  </si>
  <si>
    <t>First Aid</t>
  </si>
  <si>
    <t>Report Falls</t>
  </si>
  <si>
    <t>Hospice</t>
  </si>
  <si>
    <t>Standby Assist</t>
  </si>
  <si>
    <t>Meals</t>
  </si>
  <si>
    <t>Client Name:</t>
  </si>
  <si>
    <t>Date of Birth:</t>
  </si>
  <si>
    <t>Designation of Client Representative</t>
  </si>
  <si>
    <t>Does the client have a designated representative?</t>
  </si>
  <si>
    <t>If yes, list the details below.  Client can have more than one.</t>
  </si>
  <si>
    <t>1st Representative</t>
  </si>
  <si>
    <t>Name:</t>
  </si>
  <si>
    <t>Address:</t>
  </si>
  <si>
    <t>Relation:</t>
  </si>
  <si>
    <t>Lives w/client:</t>
  </si>
  <si>
    <t>Has Key:</t>
  </si>
  <si>
    <t>2nd Representative</t>
  </si>
  <si>
    <t>Phone:</t>
  </si>
  <si>
    <t>Records and information pertaining to Health and Well Being</t>
  </si>
  <si>
    <t>Access to records pertaining to client and/or client care</t>
  </si>
  <si>
    <t>Receipt of information and notices pertaining to client's care or condition.</t>
  </si>
  <si>
    <t>Advance Directives</t>
  </si>
  <si>
    <t>I have been given written materials on my rights to accept or refuse medical treatment and/or services and on my right to formulate Advance Directives.</t>
  </si>
  <si>
    <t>I understand that I am not required to have Advance Directives in order to receive services or medical treatment from Prosper Home Care.</t>
  </si>
  <si>
    <t>I desire that the terms of any Advance Directive that I execute will be followed by Prosper Home Care.</t>
  </si>
  <si>
    <t>By signing below, I understand the following three statements:</t>
  </si>
  <si>
    <t>Read each statement below.  Place a checkmark beside the most appropriate statement.</t>
  </si>
  <si>
    <t>I have executed an Advance Directive and will provide a copy to Prosper Home Care.</t>
  </si>
  <si>
    <t>I decline to give Prosper Home Care a copy of my Advance Directive.</t>
  </si>
  <si>
    <t>I do not have an Advance Directive and do not wish to discuss the matter further.</t>
  </si>
  <si>
    <t>I do not have an Advance Directive but would like more information.</t>
  </si>
  <si>
    <t>Copies of Healthcare Documents in the Home</t>
  </si>
  <si>
    <t>Please place a checkmark next to each document that can be found in the home.</t>
  </si>
  <si>
    <t>No Healthcare Documents</t>
  </si>
  <si>
    <t>Location of these documents if applicable:</t>
  </si>
  <si>
    <t>By digitally signing below and physically signing the Document Confirmation Page, I acknowledge that the above information is true and correct to the best of my knowledge.  I authorize Prosper Home Care agents to speak to the parties listed on this form about all aspect of my care and condition.</t>
  </si>
  <si>
    <t>Client/Representative Digital Signature</t>
  </si>
  <si>
    <t>Date</t>
  </si>
  <si>
    <t>RN Name</t>
  </si>
  <si>
    <t>RN Digital Signature</t>
  </si>
  <si>
    <t>DOB:</t>
  </si>
  <si>
    <t>Investigation of Complaints</t>
  </si>
  <si>
    <t>As a consumer receiving services from Prosper Home Care, each client has the right to be informed of the complaint procedures and the right to submit complaints without fear of discrimination or retaliation and to have them investigated by Prosper Home Care within a reasonable period of time.  Client may register a complaint or grievance against Prosper Home Care or employee and may submit it to the Administrator of Prosper.</t>
  </si>
  <si>
    <t xml:space="preserve">Any complaint or grievance registered with Prosper Home Care will be responded to within 24 hours and the client placing said complaint will be informed in writing as to a solution within 5 (five) business days.  Client can call for information or questions about the provider concerning a violation of licensing requirements that was not resolved to the client's satisfaction by complaining to the provider.  Every attempt will be made to arrive at a solution that will benefit the client.  If, after all actions, the client is still not satisfied, the client can place their complaint to the Department of Community Health without reprisal or disruption of service. </t>
  </si>
  <si>
    <t>Administrator Contact : 3088 Mercer University Drive Suite 100 Atlanta, GA 30341  Phone 678-310-6305  Fax 404-935-6110</t>
  </si>
  <si>
    <t>DCH HFRD 2 Peachtree Street NW Suite 31 Atlanta, Ga 30303 Phone 404-657-5850  Fax 404-657-8934</t>
  </si>
  <si>
    <t>Complaint Line:  404-657-5728 or 800-878-6442</t>
  </si>
  <si>
    <t>Personnel Code of Ethics</t>
  </si>
  <si>
    <t>Any employee of Prosper Home Care should not do any of the following.  Please report to Prosper Home Care any violations of this list.</t>
  </si>
  <si>
    <t>Use a client's car or funds for personal reasons.</t>
  </si>
  <si>
    <t>Consume a client's food or beverages without direct permission from the client to do so.</t>
  </si>
  <si>
    <t>Use a client's telephone for personal reasons.</t>
  </si>
  <si>
    <t>Discuss religious/political topics, or personal employee issues with a client/family member.</t>
  </si>
  <si>
    <t>Accept gifts or financial gratuities from a client or family member.</t>
  </si>
  <si>
    <t>Lend or borrow any item or money to or from a client.</t>
  </si>
  <si>
    <t>Sell or buy gifts, food or other items to or from a client.</t>
  </si>
  <si>
    <t>Purchase anything for a client, except as required by the care plan.</t>
  </si>
  <si>
    <t>Bring outside visitors (i.e. children, friends, relative, pets, etc.) to the client's home</t>
  </si>
  <si>
    <t>Smoke in the client's home or while on a shift for a client.</t>
  </si>
  <si>
    <t>Report for duty under the influence of alcohol or illegal substances.</t>
  </si>
  <si>
    <t>Sleep in the client's home.</t>
  </si>
  <si>
    <t>Remain in the client's home after services are rendered or visit after scheduled services are over.</t>
  </si>
  <si>
    <t>This notice describes how medical information about the client of Prosper Home Care may be used and disclosed and how the client can access this information.</t>
  </si>
  <si>
    <t>Who will follow this notice:</t>
  </si>
  <si>
    <t>.</t>
  </si>
  <si>
    <t>Any health care professional authorized to enter information into client's medical record.</t>
  </si>
  <si>
    <t>Any member of a volunteer group allowed to work with and help the client.</t>
  </si>
  <si>
    <t>All employees, staff and Prosper Home Care personnel.</t>
  </si>
  <si>
    <t>Prosper Home Care is required by law to do the following:</t>
  </si>
  <si>
    <t>Make sure that all medical information that identifies the client is kept confidential and private.</t>
  </si>
  <si>
    <t>Give client's the information of Prosper Home Care's legal duties and privacy practices with respect to Personal Health Information (PHI).</t>
  </si>
  <si>
    <t>Follow the terms of this notice.</t>
  </si>
  <si>
    <t>How Prosper Home Care may use and disclose medical information about a client:</t>
  </si>
  <si>
    <t>For Care and Treatment:</t>
  </si>
  <si>
    <t>Prosper Home Care may use medical information about a client to provide him/her with medical treatment  or care services, disclosing medical information about client to doctors, nurses, technicians, medical students or Prosper Home Care personnel who are involved in the care of the client.</t>
  </si>
  <si>
    <t>For Payment:</t>
  </si>
  <si>
    <t>For Company Operations:</t>
  </si>
  <si>
    <t>Prosper Home Care may use medical information about a client for company operations.  For example, Prosper Home Care may use medical information to review treatments and services and to evaluate the performance of company staff in caring for clients.</t>
  </si>
  <si>
    <t>Prosper Home Care may use medical information about a client so payment can be collected from the client, insurance company, Medicaid, or other third party payer.</t>
  </si>
  <si>
    <t>For Health Related Benefits and Services:</t>
  </si>
  <si>
    <t>Prosper Home Care may use medical information to tell a client about health-related benefits or services that may be of interest to the client.</t>
  </si>
  <si>
    <t>To Individuals Involved in Client Care or Payment of Client Care:</t>
  </si>
  <si>
    <t>Prosper Home Care may release medical information about a client to friends or family who are actively involved in the care of the client and whom client has signed a release of information for.</t>
  </si>
  <si>
    <t>Research:</t>
  </si>
  <si>
    <t>Under certain circumstances, Prosper Home Care may use and disclose medical information about a client for research purposes.  Prosper Home Care will always ask for client's specific written permission if the researcher will have access to the client's name, address or other information that reveals who client is and any PHI information.</t>
  </si>
  <si>
    <t>As Required By Law:</t>
  </si>
  <si>
    <t>Prosper Home Care will disclose medical information about a client when required to do so by federal, state, or local law.  This includes but is not limited to the following agencies:</t>
  </si>
  <si>
    <t>Adult Protective Services</t>
  </si>
  <si>
    <t>Georgia Department of Community Health</t>
  </si>
  <si>
    <t>Department of Family and Children's Services</t>
  </si>
  <si>
    <t>Medicaid CCSP and SOURCE Case Managers and Case Management Offices</t>
  </si>
  <si>
    <t>To Avert Serious Threat to Health or Safety:</t>
  </si>
  <si>
    <t>Prosper Home Care may disclose medical information about a client when necessary to prevent a serious threat to client's health and safety or to the health and safety of the public or another person.</t>
  </si>
  <si>
    <t>Client's Rights regarding medical information:</t>
  </si>
  <si>
    <t>Client has the right to inspect and copy medical information that may be used to make decision about client care and services.</t>
  </si>
  <si>
    <t>If client feels that medical information that Prosper Home Care has about the client is incorrect or incomplete, client may ask Prosper Home Care to amend that information in writing.</t>
  </si>
  <si>
    <t>Client has the right to request an accounting of disclosures.  This is a list of the disclosures that Prosper Home Care has made in regards to medical information about the client.</t>
  </si>
  <si>
    <t>Client has the right to restrict or limit which medical information Prosper Home care uses or discloses about the client for treatment, payment or health care operations.</t>
  </si>
  <si>
    <t>Client has the right to request confidential communications.</t>
  </si>
  <si>
    <t>Complaints:</t>
  </si>
  <si>
    <t>If a client believes that his/her privacy rights have been violated, the client may file a complaint with Prosper Home Care's HIPAA officer at 678-705-8717 or with the Georgia Department of Community Health at 404-657-5258.</t>
  </si>
  <si>
    <t>Other uses of Medical Information:</t>
  </si>
  <si>
    <t>Other uses and disclosures of medical information not covered by this notice or the laws that apply to Prosper Home Care will be made only with the client's specific written permission.</t>
  </si>
  <si>
    <t xml:space="preserve">My digital signature on this page and physical signature on the Document Confirmation page acknowledges that this document has been fully explained to me and that I have been given a copy of this document.  </t>
  </si>
  <si>
    <t>Prosper Home Care employees are required to document the vital signs of all clients on all shifts.  Each client may choose to refuse for employees to do this.  However, with certain medical conditions, monitoring vital signs everyday can be crucially important to one's health and could possibly prevent an emergency situation.</t>
  </si>
  <si>
    <t>For client's with one shift per day:</t>
  </si>
  <si>
    <t>By signing the Document Confirmation page and digitally signing this form, I acknowledge that I have been given a copy of this form and understand its contents.  I also acknowledge that I may choose whether or not to have my vitals taken during my shift.  As indicated by the selections below, I consent or decline to have my vitals take by the Prosper Home Care staff.  I understand that I may alter the choices on this form at any time in writing.</t>
  </si>
  <si>
    <t>Vital Sign</t>
  </si>
  <si>
    <t>Split Shift</t>
  </si>
  <si>
    <t>Corresponding Dx:</t>
  </si>
  <si>
    <t>Blood Pressure Monitoring</t>
  </si>
  <si>
    <t>Temperature Monitoring</t>
  </si>
  <si>
    <t>Pulse Monitoring</t>
  </si>
  <si>
    <t>Respiration Monitoring</t>
  </si>
  <si>
    <t>Glucose Monitoring</t>
  </si>
  <si>
    <t>Weight Monitoring</t>
  </si>
  <si>
    <t>For client's with 2 or more shifts per day:</t>
  </si>
  <si>
    <t>I have more than one shift per day.  I have indicated my choice above of whether or not I want my vitals taken in the am or in the pm according to the consents outlined above.</t>
  </si>
  <si>
    <t>Consent to Photo:</t>
  </si>
  <si>
    <t>By responding to the statements below, I am indicating my consent or non consent to have photos take of me.</t>
  </si>
  <si>
    <t>Photos of me for identification purposes.</t>
  </si>
  <si>
    <t>Photos of appropriate parts of my body for supporting documentation of medcial condition.</t>
  </si>
  <si>
    <t>Photos for the purpose of:</t>
  </si>
  <si>
    <t>Photographs taken will be placed in and remain part of the client medical record.</t>
  </si>
  <si>
    <t>By signing the Document Confirmation page and digitally signing this form, I acknowledge that I have been given a copy of this form and understand its contents.  I also acknowledge that I am making an informed decision for Prosper Home Care employees to not take my vitals during shifts.  I understand that monitoring my health status on a regular basis is important but I am choosing to monitor it on my own.</t>
  </si>
  <si>
    <t>Schedule Consent</t>
  </si>
  <si>
    <t>All clients admitted to Prosper Home Care have the following responsibilities:</t>
  </si>
  <si>
    <t>The responsibility to not use profanity.</t>
  </si>
  <si>
    <t>The responsibility to not use illegal drugs and not allow any visitors or other residents in the home to use or possess illegal drugs.</t>
  </si>
  <si>
    <t>The responsibility to notify Prosper Home Care of any changes in care needs including any events that take place outside of service hours, changes in medications, or changes to service times.  It is the responsibility of the client to notify the Prosper Home Care scheduling coordinators of any changes in schedule and not to communicate directly with the caregiver.</t>
  </si>
  <si>
    <t>The responsibility to treat caregivers and provider staff in a courteous and respectful manner, as well as cooperate with and respect the rights of the caregivers providing services.</t>
  </si>
  <si>
    <t>a.</t>
  </si>
  <si>
    <t>b.</t>
  </si>
  <si>
    <t>No physical abuse in any form.</t>
  </si>
  <si>
    <t>c.</t>
  </si>
  <si>
    <t>Do not engage staff in activities that violate Code of Ethics.</t>
  </si>
  <si>
    <t>d.</t>
  </si>
  <si>
    <t>Do no endanger the staff health and/or safety in any form.</t>
  </si>
  <si>
    <t>e.</t>
  </si>
  <si>
    <t>Do not ask staff to break Prosper Home Care policy or any government laws or regulations.</t>
  </si>
  <si>
    <t>Responsibility to participate actively in decisions regarding health care &amp; the service/care plan.</t>
  </si>
  <si>
    <t>The responsibility to comply with agreed upon care plans.</t>
  </si>
  <si>
    <t>Responsibility to be available to provider staff at times services are scheduled to be rendered.</t>
  </si>
  <si>
    <t>The responsibility to pay any cost share liability, if applicable.</t>
  </si>
  <si>
    <t>No verbal or physical threats towards staff.  Prosper Home Care caregivers will have the right to immediately leave the home if threatened.</t>
  </si>
  <si>
    <t>The responsibility to be as accurate as possible when providing information on health history and personal care needs.</t>
  </si>
  <si>
    <t>The responsibility to maintain a safe home environment or to inform provider(s) of the presence of any safety hazard in the home.</t>
  </si>
  <si>
    <t>Any violation of the above listed responsibilities may result in immediate cancellation of services.</t>
  </si>
  <si>
    <t>The responsibility to notify the client's physician(s), service provider(s) and/or caregivers of any changes in the clients condition.</t>
  </si>
  <si>
    <t>All clients admitted to Prosper Home Care have the following rights:</t>
  </si>
  <si>
    <t>The right of access to accurate and easy to understand information.</t>
  </si>
  <si>
    <t>The right to a choice of approved service provider(s).</t>
  </si>
  <si>
    <t>The right to accept or refuse services.</t>
  </si>
  <si>
    <t>The right to self-determination, including the opportunity to:</t>
  </si>
  <si>
    <t>Participate in preparing the care plan and any changes in the plan.</t>
  </si>
  <si>
    <t>Decide whether or not to participate in any given activity.</t>
  </si>
  <si>
    <t>Be involved to the extent possible in program planning and operation.</t>
  </si>
  <si>
    <t xml:space="preserve">d. </t>
  </si>
  <si>
    <t>Refuse care and be informed of the consequences of refusal.</t>
  </si>
  <si>
    <t xml:space="preserve">e. </t>
  </si>
  <si>
    <t>End participation in services at any time.</t>
  </si>
  <si>
    <t>The right to have property and residence treated with respect.</t>
  </si>
  <si>
    <t>The right to a safe, secure and clean environment.</t>
  </si>
  <si>
    <t>The right to confidential treatment of all information, including information in client's record.</t>
  </si>
  <si>
    <t>The right to receive services in accordance with the current care plan.</t>
  </si>
  <si>
    <t>The right to receive a written notice of the address and telephone number of the state licensing authority, the Department of Community Health, which further explains that the department is charged with the responsibility of licensing the provider and investigating client complaints, which appear to violate licensing regulations.</t>
  </si>
  <si>
    <t>The right to obtain a copy of Prosper Home Care's most recent completed report of licensure inspection from Prosper Home Care upon written request.  Prosper Home Care is not required to release the report of licensure inspection until Prosper Home Care has had an opportunity to file a written plan of correction for the violations, if any, identified.  Prosper Home Care reserves the right to charge a nominal fee for copying.</t>
  </si>
  <si>
    <t>The right to review client's record upon request.</t>
  </si>
  <si>
    <t>The right to receive adequate and appropriate care and services without discrimination.</t>
  </si>
  <si>
    <t>The right to be treated as an adult with respect, consideration and dignity including privacy in treatment and in care of personal needs.</t>
  </si>
  <si>
    <t>The right to voice grievances and complaints regarding treatment or care that furnished or not furnished without fear of retaliation, discrimination, coercion or reprisal.</t>
  </si>
  <si>
    <t>The right to be fully informed, at the time of admission, of care plan, services, related charges and any changes in the service plan.</t>
  </si>
  <si>
    <t>The right to be advised in advance of the provider(s) who will furnish care and the frequency and duration of visits ordered or requested.</t>
  </si>
  <si>
    <t>The right to participate in a program of services designed to encourage independence, learning, growth and awareness of constructive ways to develop one's interests and talents.</t>
  </si>
  <si>
    <t>The right to be cared for in an atmosphere of sincere interest and concern in which needed support and services are provided.</t>
  </si>
  <si>
    <t>The right to communicate with others and to be understood by others to the extent of the client's capability.</t>
  </si>
  <si>
    <t>The right to requirement for written consent for release of information to person's not authorized under the law to receive that information.</t>
  </si>
  <si>
    <t>The right to be informed of the name, business telephone number and business address of the person supervising the services and how to contact that person.</t>
  </si>
  <si>
    <t>The right to be fully and promptly informed of any cost share liability and the consequences if any cost share is not paid.</t>
  </si>
  <si>
    <t>The right to be free from mental, verbal, sexual and physical abuse, neglect, exploitation, isolation, excessive medication, corporal or unusual punishment, including interference with daily functions of living.</t>
  </si>
  <si>
    <t>The right to be free from chemical or physical restraints.</t>
  </si>
  <si>
    <t>The right to be informed of the complaint procedures and the right to submit complaints without fear of discrimination or retaliation and to have them investigated by the provider within a reasonable period of time.  The complaint procedure provided shall include the name, business address and telephone number of the person designated by the provider to handle complaints and questions.</t>
  </si>
  <si>
    <t>The right to be fully informed, as evidenced by the client's written acknowledgement of these rights, of all rules and regulations regarding client conduct and responsibilities.</t>
  </si>
  <si>
    <t>Department of Community Health</t>
  </si>
  <si>
    <t>Healthcare Facility Regulation Division</t>
  </si>
  <si>
    <t>Healthcare Section</t>
  </si>
  <si>
    <t>Two Peachtree Street NW Suite 31</t>
  </si>
  <si>
    <t>Atlanta, GA 30303-3142</t>
  </si>
  <si>
    <t>Phone: 404-657-5850</t>
  </si>
  <si>
    <t>Complaints Only: 404-657-5728 or 1-800-878-6442</t>
  </si>
  <si>
    <t>Fax: 404-657-8934</t>
  </si>
  <si>
    <t>Digital signature below and physical signature on the Document Confirmation page indicates acceptance by client of the full two page Statement of Client's Rights.</t>
  </si>
  <si>
    <t>In order to ensure the most positive experience with our clients and our employees, Prosper Home Care has put policies in place for both clients and employees to follow.  Listed below are these policies.  By signing on the back of this page, the client agrees to abide by these policies.  The client also agrees to keep the furnished copy of this form readily accessible for both client and employee.</t>
  </si>
  <si>
    <t>ALL SCHEDULE CHANGES MUST go through the Prosper Home Care scheduling coordinators.  Clients should NOT communicate any changes to the caregiver directly.  This leads to miscommunications and the possibility of missed shifts.  Prosper Home Care is NOT responsible for any missed shifts that were communicated directly to the client's caregiver.</t>
  </si>
  <si>
    <t>Prosper Home Care employees are not allowed to give clients their cell phone, email, address, or any other personal information to clients or client's family members.  It is also not allowed for employees to communicate or visit with clients or their family members outside of their scheduled shifts.  If any information needs to be communicated after hours, employees and clients are instructed to call the scheduling coordinators.</t>
  </si>
  <si>
    <t>Prosper Home Care reserves the right to conduct announced supervisory visits at any time care is scheduled.  These visits will occur at a minimum of every 60 days.  Refusing a supervisory visit could result in termination of services provided by Prosper Home Care and possibility termination of eligibility in the Medicaid program.</t>
  </si>
  <si>
    <t>Prosper Home Care requests that clients keep supervisors informed of any concerns, complaints or abnormal situations as they arise with respect to their caregivers, supervisors, or other Prosper Home Care staff.  Prosper Home Care can usually diffuse any situation before it becomes a problem.  However, if the staff at Prosper Home Care is not aware of the issues, it is impossible for it to be addressed.</t>
  </si>
  <si>
    <t>It is not acceptable for clients to give caregivers any cash, gifts, or other incentives for providing services.  It is also not acceptable for clients to loan any money to caregivers.  This includes giving a caregiver gas money for travel for the client.  Services will be terminated if a client gives a caregiver cash for any reason or loans the caregiver money.  Prosper Home Care is NOT responsible for recouping this loan if given.</t>
  </si>
  <si>
    <t>Services are NOT extended to other members of the client's household.  This includes laundry, housekeeping, meal preparation, kitchen cleaning, transportation, etc.  Prosper Home Care caregivers are not allowed to watch children belonging to the client.  Only the client is to receive services from Prosper Caregivers.</t>
  </si>
  <si>
    <t>Prosper Home Care strictly prohibits clients from directly paying, contracting, or employing any Prosper employee for any type of service.  Doing so will result in termination of the service agreement and termination of the Prosper Home Care employee.</t>
  </si>
  <si>
    <t>Prosper Home Care reserves the right to charge a $30 fee for time and travel for any shift that is not cancelled within 1 hour of the shift time.  Services will be terminated for multiple late cancelations or unpaid cancellation charges.</t>
  </si>
  <si>
    <t>Clients who receive hourly services are not responsible or expected to provide food for the caregivers.  Clients may do so if they wish, but it is not required.</t>
  </si>
  <si>
    <t>Clients who receive live in care are required to provide staple food items for the caregivers.</t>
  </si>
  <si>
    <t>Holidays (Private Pay Only)</t>
  </si>
  <si>
    <t>Prosper Home Care recognizes the Holidays listed below and will charge time and half for services delivered on these days.  Clients who do not wish to receive care on a Holiday may call their care coordinator and cancel the shift.  If the shift is not cancelled and Prosper Home Care provides services on a Holiday, the client will be billed the time and a half rate for the entire 24 hour period.</t>
  </si>
  <si>
    <t>New Years Day</t>
  </si>
  <si>
    <t>MLK JR Day</t>
  </si>
  <si>
    <t>Labor Day</t>
  </si>
  <si>
    <t>4th of July</t>
  </si>
  <si>
    <t>Memorial Day</t>
  </si>
  <si>
    <t>Thanksgiving Day</t>
  </si>
  <si>
    <t>Christmas Day</t>
  </si>
  <si>
    <t>Housekeeping Guidelines</t>
  </si>
  <si>
    <t>Prosper Home Care caregivers are happy to provide our clients with light housekeeping services.  These services are included in the quoted hourly or daily rates.  Listed below are some of the duties that caregivers can perform.  All services apply to the client's possessions and areas only.  These services are not extended to other people living in the home.</t>
  </si>
  <si>
    <t>Permitted Services</t>
  </si>
  <si>
    <t>Non Permitted Services</t>
  </si>
  <si>
    <t>Cleaning kitchen</t>
  </si>
  <si>
    <t>Washing windows, blinds, or draperies</t>
  </si>
  <si>
    <t>Cleaning bathroom</t>
  </si>
  <si>
    <t>Scrubbing carpets</t>
  </si>
  <si>
    <t>Dusting</t>
  </si>
  <si>
    <t>Moving furniture including mattresses</t>
  </si>
  <si>
    <t>Sweep/Mop/Vacuum</t>
  </si>
  <si>
    <t>Clean inside stove or oven</t>
  </si>
  <si>
    <t>Make Bed/Change Linens</t>
  </si>
  <si>
    <t>Washing baseboards</t>
  </si>
  <si>
    <t>Laundry</t>
  </si>
  <si>
    <t>Clean inside fireplace</t>
  </si>
  <si>
    <t>Ironing</t>
  </si>
  <si>
    <t>Yard work of any kind</t>
  </si>
  <si>
    <t>Remove trash</t>
  </si>
  <si>
    <t>Washing of vehicles</t>
  </si>
  <si>
    <t>Organizing closets or cupboards</t>
  </si>
  <si>
    <t>Fixing meals for other members of the household</t>
  </si>
  <si>
    <t>Tidy up</t>
  </si>
  <si>
    <t>Cleaning up after other members of the household</t>
  </si>
  <si>
    <t>Walking/Caring for pets</t>
  </si>
  <si>
    <t>Moving heavy boxes or other items</t>
  </si>
  <si>
    <t>Meds distributed by:</t>
  </si>
  <si>
    <t>Case Manager:</t>
  </si>
  <si>
    <t>Physician Name:</t>
  </si>
  <si>
    <t>Pharmacy Name:</t>
  </si>
  <si>
    <t>Physician Phone:</t>
  </si>
  <si>
    <t>Pharmacy Phone:</t>
  </si>
  <si>
    <t>Allergies:</t>
  </si>
  <si>
    <t>Medications</t>
  </si>
  <si>
    <t>Food</t>
  </si>
  <si>
    <t>Environmental</t>
  </si>
  <si>
    <t>RN Signature</t>
  </si>
  <si>
    <t>DOB</t>
  </si>
  <si>
    <t>Client's health prognosis:</t>
  </si>
  <si>
    <t>Admission Date:</t>
  </si>
  <si>
    <t>Payer Source:</t>
  </si>
  <si>
    <t>Is client able to participate in the discharge planning process?</t>
  </si>
  <si>
    <t>If no, why?</t>
  </si>
  <si>
    <t>Is family present and participating in the discharge planning process?</t>
  </si>
  <si>
    <t>If yes, who?</t>
  </si>
  <si>
    <t>Discharge Preferences:</t>
  </si>
  <si>
    <t>Nursing Home:  Client will be transferred to a nursing facility or other residential facility.</t>
  </si>
  <si>
    <t>Community Resources:  Client will investigate alternative waiver programs and community resources available for care.</t>
  </si>
  <si>
    <t>Private Arrangements:  Client will contract with another provider.</t>
  </si>
  <si>
    <t>PCP will determine:  Client will discuss alternative with PCP.</t>
  </si>
  <si>
    <t>Client 1st Choice</t>
  </si>
  <si>
    <t>Preference:</t>
  </si>
  <si>
    <t>Specifics:</t>
  </si>
  <si>
    <t>Client 2nd Choice</t>
  </si>
  <si>
    <t>Family Care:  Client will be under the care of family for the forseeable future.</t>
  </si>
  <si>
    <t>In the event of an environmental emergency or disaster, Prosper Home Care assigns triage levels to all clients. These levels will be based on each client's diagnoses, family or community support available, client's living arrangements, etc. During a disaster, client's at the highest triage level will be secured care first, then Prosper Home Care will move down the list based on these levels. This assessment will happen upon admission, at the yearly re-evaluation, and any time a client's condition or living situation has a significant change.</t>
  </si>
  <si>
    <t>Client living situation:</t>
  </si>
  <si>
    <t>Dwelling Type:</t>
  </si>
  <si>
    <t>Total living in home:</t>
  </si>
  <si>
    <t>Hospital Preference:</t>
  </si>
  <si>
    <t>Description of Levels</t>
  </si>
  <si>
    <t>Level 1 – Highest Priority – Clients in this priority level need uninterrupted services. In the case of disaster or emergency, every possible effort must be made to see this client. The patient’s condition is highly unstable and deterioration or inpatient admission is highly probably if the patient is not seen. Examples include clients who require life sustaining equipment or medication, those who need highly skilled wound care, and unstable clients who have no caregiver or informal support to provide care.</t>
  </si>
  <si>
    <t>Level 2 – Moderate Priority – Services for clients at this priority level may be postponed with telephone contact. A caregiver can provide basic care until the emergency situation improves. The client’s condition is somewhat unstable and requires care that should be provided that day but can be postponed without harm to the client.</t>
  </si>
  <si>
    <t>Level 3 – Low Priority – The client may be stable and has access to informal support to provide care. The client can safely miss a scheduled visit if basic care is provided by family members, other informal support, or by the client themselves.</t>
  </si>
  <si>
    <t>Level 4 – Lowest Priority – Clients for whom visits may be postponed 72 hours or more with little or no adverse effects, clients who have a willing and able caregiver available, or clients who are independent in most activities of daily living ADLs.</t>
  </si>
  <si>
    <t>This form has been fully explained to me and I acknowledge that I understand its contents by allowing my digital signature on this page and signing my physical signature on the Document Confirmation Page.</t>
  </si>
  <si>
    <t>Level Assigned based on client condition and family support:</t>
  </si>
  <si>
    <t xml:space="preserve">Prosper Home Care is required by law to conduct supervisory visits while service is being provided.  These supervisory visits are conducted by the company's RN or LPN.  Visits are mandatory and are at no cost to the client.  </t>
  </si>
  <si>
    <t>The client's level of care and payer source will determine the frequency at which these visits must be completed.  Listed below is the frequency for your particular service.</t>
  </si>
  <si>
    <t>Some events will require an additional supervisory visit.  For example, if a client is admitted to the hospital, a supervisory visit must be completed upon discharge BEFORE services can resume.  This is required by Medicaid law and ensures that the care plan is updated appropriately.</t>
  </si>
  <si>
    <t>By signing below, the client acknowledges that supervisory visits are mandatory and will make accommodations to ensure that the nurse is allowed to complete the visit in a compliant and timely manner.  The client also acknowledges that services can be placed on hold if the nurse is not allowed by the client or the client's representative to complete the visit within the required frequency.</t>
  </si>
  <si>
    <t>Level of Care Supervisory Visit Frequency:</t>
  </si>
  <si>
    <t>Every 60-62 Calendar Days</t>
  </si>
  <si>
    <t>Client/Representative Physical Signature</t>
  </si>
  <si>
    <t>RN Physical Signature</t>
  </si>
  <si>
    <t>Client is rebrokering from another company:</t>
  </si>
  <si>
    <t>I chose to change service providers based on the following issues or complaints with my previous provider:</t>
  </si>
  <si>
    <t>CM Phone:</t>
  </si>
  <si>
    <t>Emergency Phone #</t>
  </si>
  <si>
    <t>Agency Phone Numbers</t>
  </si>
  <si>
    <t>Emergency Contact Name:</t>
  </si>
  <si>
    <t>Mon</t>
  </si>
  <si>
    <t>Tue</t>
  </si>
  <si>
    <t>Wed</t>
  </si>
  <si>
    <t>Thurs</t>
  </si>
  <si>
    <t>Fri</t>
  </si>
  <si>
    <t>Sat</t>
  </si>
  <si>
    <t>Sun</t>
  </si>
  <si>
    <t>Total Hours per week</t>
  </si>
  <si>
    <t>Information Updates and Reviews</t>
  </si>
  <si>
    <t>Rapport with Client/Family is Adequate?</t>
  </si>
  <si>
    <t>Yes</t>
  </si>
  <si>
    <t>Type of Services:</t>
  </si>
  <si>
    <t>Client's General Appearance:</t>
  </si>
  <si>
    <t>Client makes appropriate decisions?</t>
  </si>
  <si>
    <t>Client receives nursing care?</t>
  </si>
  <si>
    <t>Start of Care Date:</t>
  </si>
  <si>
    <t>Remarks: Personal Support Services will start after client's admission to services.</t>
  </si>
  <si>
    <t>Provider Assessment completed by an RN</t>
  </si>
  <si>
    <t>Plan of Care initiated and discussed with client.</t>
  </si>
  <si>
    <t>Schedule discussed with client.</t>
  </si>
  <si>
    <t>Nurse will follow up every 60-62 days.</t>
  </si>
  <si>
    <t>Client was given contact number for provider.</t>
  </si>
  <si>
    <t>Client verbalized understanding of services and frequency of services.</t>
  </si>
  <si>
    <t>Client was given copies of all consent forms signed.</t>
  </si>
  <si>
    <t>Client's picture was taken.</t>
  </si>
  <si>
    <t>P</t>
  </si>
  <si>
    <t>Medicaid #:</t>
  </si>
  <si>
    <t>Specific Medical Information</t>
  </si>
  <si>
    <t>Devices Used:</t>
  </si>
  <si>
    <t>Diagnoses:</t>
  </si>
  <si>
    <t>Surgical History:</t>
  </si>
  <si>
    <t>Oxygen Use:</t>
  </si>
  <si>
    <t>Liters:</t>
  </si>
  <si>
    <t>Vision Loss:</t>
  </si>
  <si>
    <t>Hearing Loss:</t>
  </si>
  <si>
    <t>Current UTI:</t>
  </si>
  <si>
    <t>History of UTI:</t>
  </si>
  <si>
    <t>Symptoms from CCSP/Source Assessment:</t>
  </si>
  <si>
    <t>Recent Events:</t>
  </si>
  <si>
    <t>History of Falls:</t>
  </si>
  <si>
    <t>Apt:</t>
  </si>
  <si>
    <t>City:</t>
  </si>
  <si>
    <t>State:</t>
  </si>
  <si>
    <t>Zip:</t>
  </si>
  <si>
    <t>County:</t>
  </si>
  <si>
    <t>Home Phone:</t>
  </si>
  <si>
    <t>Cell Phone:</t>
  </si>
  <si>
    <t>Social Security #:</t>
  </si>
  <si>
    <t>Medicare #:</t>
  </si>
  <si>
    <t>Primary Physician:</t>
  </si>
  <si>
    <t>UPIN #:</t>
  </si>
  <si>
    <t>Fax:</t>
  </si>
  <si>
    <t>Supervising RN:</t>
  </si>
  <si>
    <t>Advance Directives:</t>
  </si>
  <si>
    <t>Emergency Contacts</t>
  </si>
  <si>
    <t>Contact Name:</t>
  </si>
  <si>
    <t>Diagnoses</t>
  </si>
  <si>
    <t>Assigned Cost Share per Month at the time of Admission:</t>
  </si>
  <si>
    <t>An estimated cost share shall be collected from the client monthly based on the cost share amount provided by the CCSP case manager at the time of admission.</t>
  </si>
  <si>
    <t>Prosper Home Care will hold the client responsible for paying the entire cost share or the entire cost of services if DFACS determines that the client is ineligible for Medicaid or if the client fails to proceed with the Medicaid application.</t>
  </si>
  <si>
    <t>The signature here acknowledges this policy and the agreement to pay cost share in full each month.  The signature below also acknowledges that service will be placed on hold until the cost share is paid.</t>
  </si>
  <si>
    <t>If the client overpays the cost share, the next monthly payment will be reduced to reflect the overpayment.</t>
  </si>
  <si>
    <t xml:space="preserve">Client Statement:  </t>
  </si>
  <si>
    <t>I understand that if I fail to pay this amount, or a payment plan is not instituted in writing between me and Prosper Home Care, services may be placed on hold or terminated with 30 days notice.</t>
  </si>
  <si>
    <t xml:space="preserve">I understand that if my application for Medicaid CCSP Program is denied or not completed, that I am responsible for the full charges of all services received by Prosper Home Care.  </t>
  </si>
  <si>
    <t>By signing the Document Confirmation page and digitally signing this form, I acknowledge that I have been given a copy of this form and understand its contents.  I also acknowledge that I am solely responsible for the paying the cost share monthly.</t>
  </si>
  <si>
    <t>Prosper Home Care will offer client's transportation for errands and shopping with the following restrictions:</t>
  </si>
  <si>
    <t>Transportation will occur only once per week.</t>
  </si>
  <si>
    <t>Transportation cannot exceed more than 10 miles round trip.</t>
  </si>
  <si>
    <t>Prosper Home Care will NOT provide transportation to doctor's appointments without the written approval of the Prosper Home Care Administrator.  Transportation to doctor's appointments must be made through Medicaid Transportation.  Doctor's appointments include but are not limited to the following:</t>
  </si>
  <si>
    <t>a</t>
  </si>
  <si>
    <t>Primary Care Physician</t>
  </si>
  <si>
    <t>b</t>
  </si>
  <si>
    <t>Any Specialist Physician</t>
  </si>
  <si>
    <t>c</t>
  </si>
  <si>
    <t>Physical or Occupational Therapy</t>
  </si>
  <si>
    <t>d</t>
  </si>
  <si>
    <t>Chiropractors</t>
  </si>
  <si>
    <t>e</t>
  </si>
  <si>
    <t xml:space="preserve">f </t>
  </si>
  <si>
    <t>Emergency Room</t>
  </si>
  <si>
    <t>Transportation will not be provided to any person other than the client receiving service.  No family members or friends may ride in the vehicle with a Prosper Home Care employee.</t>
  </si>
  <si>
    <t>Prosper Home Care employees will not run errands or do any other type of activity for any other member of the household.</t>
  </si>
  <si>
    <t>Prosper Home Care employees are prohibited from accepting any money for transportation from the client.  Any client found to be paying the caregiver directly for transportation will be in danger of having services terminated.</t>
  </si>
  <si>
    <t>By digitally signing this form and physically signing the Document Confirmation Form, I understand the above listed rules about transportation.  I also acknowledge that I will contact Medicaid Transportation to schedule transportation to doctor's appointments and that I must schedule at least 3 days prior to the appointment.   I understand that if I fail to make those arrangements, Prosper Home Care employees will not provide that transportation and that I will have to make arrangements with family or friends.</t>
  </si>
  <si>
    <t>I have been given the number for SouthEast Trans to call to schedule transportation to doctor's appointments.</t>
  </si>
  <si>
    <t>SouthEast Trans - 678-510-4538</t>
  </si>
  <si>
    <t>Contacts Permitted to Receive Information about Client</t>
  </si>
  <si>
    <t>Contact Name 1:</t>
  </si>
  <si>
    <t>Lives with Client</t>
  </si>
  <si>
    <t>POA</t>
  </si>
  <si>
    <t>Email:</t>
  </si>
  <si>
    <t>POA(Power of Attorney)</t>
  </si>
  <si>
    <t>DHR</t>
  </si>
  <si>
    <t>DHR(Designated Healthcare Representative)</t>
  </si>
  <si>
    <t>Contact Name 2:</t>
  </si>
  <si>
    <t>Contact Name 3:</t>
  </si>
  <si>
    <t>Contacts not Authorized to Receive Information about Client</t>
  </si>
  <si>
    <t>I authorize Prosper Home Care employees to have access to my personal funds for home management purposes.  These purposes include but are not limited to paying bills, shopping and buying gasoline as requested or stated in the service plan.  The client or responsible party will provide the caregiver with a debit card, credit card, cash, or checkbook linked to a separate account used exclusively for these purposes.  The client or responsible party is responsible for maintaining an adequate cash level in this account and tracking purchases.  The Prosper Home Care employee is responsible for providing receipts for all purchases made whenever possible.  Please do not give our employees gifts of cash.</t>
  </si>
  <si>
    <t>By initialing and selecting "Accept," I authorize Prosper Home Care employees to have access to my personal vehicle for home management and transportation services. I acknowledge that I am responsible for securing and maintaining proper auto insurance which covers other drivers.  Home management and transportation duties include, but are not limited to, shopping, doctor's appointments, errands, etc as needed.  The client or responsible party agree to the terms of this waiver as well as to hold both the employee and Prosper Home Care harmless of any liability arising from the use of their vehicle.</t>
  </si>
  <si>
    <t>By initialing and selecting "Accept," I authorize Prosper Home Care employees providing my care to transport myself, and only myself, in their personal vehicles.  I acknowledge that I am to be billed at the rate of $0.55 per mile.  This fee is assessed whether I am in the vehicle or the employee is running errands for me but without me in the vehicle.  The employee will complete a mileage log which I will sign at the end of each week.  By selecting "Decline," I acknowledge that Prosper Home Care employees will provide no transportation for me in their personal vehicle including errands.</t>
  </si>
  <si>
    <t>By initialing and selecting "Accept," I authorize Prosper Home Care employees providing my care to transfer me using a Hoyer lift located in my home.  I understand and acknowledge that using a Hoyer lift with only one employee operating it can be dangerous and haphazard.  Therefore, I agree to hold Prosper Home Care or any of its employees harmless of any liability as a result of using this lift.  I acknowledge that Prosper Home Care and its employees will make every effort to ensure my safety while using this equipment.</t>
  </si>
  <si>
    <t>Financially Responsible Person</t>
  </si>
  <si>
    <t>Relationship to Client:</t>
  </si>
  <si>
    <t>Notes on Invoice Management:</t>
  </si>
  <si>
    <t>Prosper Home Care bills on a bi-weekly basis.  All invoices are due upon receipt.  Any invoice not paid in full within 14 days of the invoice date will be subject to a 5% late fee compounded weekly.  Services may be suspended if payment is not received by the 15th day after the invoice date.</t>
  </si>
  <si>
    <t>Preferred Payment Method:</t>
  </si>
  <si>
    <t>Check Payments</t>
  </si>
  <si>
    <t>Prosper Home Care requires that a deposit check equal to the estimated cost of 2 weeks of service be given at the time of admission.  The company will deposit the check and create a credit on the account.</t>
  </si>
  <si>
    <t>Amount:</t>
  </si>
  <si>
    <t>Check #:</t>
  </si>
  <si>
    <t>Name on credit card (must be the same as the financially responsible party):</t>
  </si>
  <si>
    <t>Card Number:</t>
  </si>
  <si>
    <t>CVV</t>
  </si>
  <si>
    <t>Exp:</t>
  </si>
  <si>
    <t>Billing Zip Code:</t>
  </si>
  <si>
    <t>Card Type:</t>
  </si>
  <si>
    <t>q</t>
  </si>
  <si>
    <t>Visa</t>
  </si>
  <si>
    <t>M/C</t>
  </si>
  <si>
    <t xml:space="preserve">q </t>
  </si>
  <si>
    <t>AmEx</t>
  </si>
  <si>
    <t>Discover</t>
  </si>
  <si>
    <t>Financially Resp Physical Signature</t>
  </si>
  <si>
    <t>Hourly Schedule Totals</t>
  </si>
  <si>
    <t>1st</t>
  </si>
  <si>
    <t>2nd</t>
  </si>
  <si>
    <t>3rd</t>
  </si>
  <si>
    <t>Total Hourly Cost Per week</t>
  </si>
  <si>
    <t>2 week Cost</t>
  </si>
  <si>
    <t>Live In Schedule Totals</t>
  </si>
  <si>
    <t>Total Live In Cost Per week</t>
  </si>
  <si>
    <t>2 week cost</t>
  </si>
  <si>
    <t>Per Visit Totals</t>
  </si>
  <si>
    <t>Total Visits</t>
  </si>
  <si>
    <t>Total Visits per week</t>
  </si>
  <si>
    <t>Cost Per week</t>
  </si>
  <si>
    <t>mon</t>
  </si>
  <si>
    <t>tue</t>
  </si>
  <si>
    <t>wed</t>
  </si>
  <si>
    <t>thur</t>
  </si>
  <si>
    <t>fri</t>
  </si>
  <si>
    <t>sat</t>
  </si>
  <si>
    <t>Total Two Week Cost Hourly</t>
  </si>
  <si>
    <t>Total Two Week Cost Live In</t>
  </si>
  <si>
    <t>Total Two Week Cost Per Visit</t>
  </si>
  <si>
    <t>Cost to Display on Agreement</t>
  </si>
  <si>
    <t>Total Deposit Required:</t>
  </si>
  <si>
    <t>Assessment Date:</t>
  </si>
  <si>
    <t>Medically Frail/Compromised:</t>
  </si>
  <si>
    <t>RN Initials</t>
  </si>
  <si>
    <t>Reason for Assessment:</t>
  </si>
  <si>
    <t>Medical History Received From:</t>
  </si>
  <si>
    <t>Relationship:</t>
  </si>
  <si>
    <t>Home Environment</t>
  </si>
  <si>
    <t>Home Condition:</t>
  </si>
  <si>
    <t>Total living in household:</t>
  </si>
  <si>
    <t>Pets:</t>
  </si>
  <si>
    <t>Residence Type:</t>
  </si>
  <si>
    <t>Primary Informal Caregiver:</t>
  </si>
  <si>
    <t>Living Situation:</t>
  </si>
  <si>
    <t>Notes:</t>
  </si>
  <si>
    <t>Safety</t>
  </si>
  <si>
    <t>General Safety Condition:</t>
  </si>
  <si>
    <t>Is there an ERS system installed in the home?</t>
  </si>
  <si>
    <t>Is client cognitively able to use the ERS System?</t>
  </si>
  <si>
    <t>Vital Signs</t>
  </si>
  <si>
    <t>Blood Pressure:</t>
  </si>
  <si>
    <t>Temp:</t>
  </si>
  <si>
    <t>Resp:</t>
  </si>
  <si>
    <t>Pulse:</t>
  </si>
  <si>
    <t>PulseOx:</t>
  </si>
  <si>
    <t>Height:</t>
  </si>
  <si>
    <t>Clients General Appearance:</t>
  </si>
  <si>
    <t>Allergies</t>
  </si>
  <si>
    <t>Personal Habits</t>
  </si>
  <si>
    <t>Smoking:</t>
  </si>
  <si>
    <t>Alcohol:</t>
  </si>
  <si>
    <t>Recreational Drugs:</t>
  </si>
  <si>
    <t>Amt:</t>
  </si>
  <si>
    <t>Last Use:</t>
  </si>
  <si>
    <t>Years:</t>
  </si>
  <si>
    <t>Educated client on the dangers of smoking while oxygen is present.</t>
  </si>
  <si>
    <t>Educated client that aides will not serve, transport, handle or take away alcoholic beverages.</t>
  </si>
  <si>
    <t>Educated client that aides will not provide service if there are illegal drugs in the home, regardless of who they belong to.</t>
  </si>
  <si>
    <t>Culture and Spirituality</t>
  </si>
  <si>
    <t>Cultural History/Nationality:</t>
  </si>
  <si>
    <t>Refused to Disclose</t>
  </si>
  <si>
    <t>Will culture or religion affect care or teaching?</t>
  </si>
  <si>
    <t>If yes, specifics:</t>
  </si>
  <si>
    <t>Communication and Education</t>
  </si>
  <si>
    <t>Native Language:</t>
  </si>
  <si>
    <t>Primary Language:</t>
  </si>
  <si>
    <t>Education Level:</t>
  </si>
  <si>
    <t>Able to communicate in English?</t>
  </si>
  <si>
    <t xml:space="preserve">Medical History </t>
  </si>
  <si>
    <t>Historical Narrative:</t>
  </si>
  <si>
    <t>Primary Pharmacy:</t>
  </si>
  <si>
    <t>Person responsible for medication purchase, storage and administration:</t>
  </si>
  <si>
    <t>Surgical History</t>
  </si>
  <si>
    <t>Has the client had any surgeries?</t>
  </si>
  <si>
    <t>Surgery:</t>
  </si>
  <si>
    <t>Approx Date:</t>
  </si>
  <si>
    <t>Teaching Provided</t>
  </si>
  <si>
    <t>No Reports of Pain</t>
  </si>
  <si>
    <t>Intensity Level:</t>
  </si>
  <si>
    <t>Affects sleep:</t>
  </si>
  <si>
    <t>What brings relief?</t>
  </si>
  <si>
    <t>Location of Specific Pain:</t>
  </si>
  <si>
    <t>Freq:</t>
  </si>
  <si>
    <t>Does client attend a pain clinic?</t>
  </si>
  <si>
    <t>Clinic Name:</t>
  </si>
  <si>
    <t>Visit Freq:</t>
  </si>
  <si>
    <t>Skin/Wounds</t>
  </si>
  <si>
    <t>Does client have any skin wounds?</t>
  </si>
  <si>
    <t>Who is treating wounds?</t>
  </si>
  <si>
    <t>Treatment Plan:</t>
  </si>
  <si>
    <t>Reason:</t>
  </si>
  <si>
    <t>Speciality:</t>
  </si>
  <si>
    <t>Any changes?</t>
  </si>
  <si>
    <t>Cardiovascular</t>
  </si>
  <si>
    <t>No Medical Cardiovascular Problems</t>
  </si>
  <si>
    <t>History of Infarction</t>
  </si>
  <si>
    <t>Throbbing</t>
  </si>
  <si>
    <t>Dull</t>
  </si>
  <si>
    <t>Capillary Refill:</t>
  </si>
  <si>
    <t>Heart Sounds:</t>
  </si>
  <si>
    <t>Gastrointestinal</t>
  </si>
  <si>
    <t>No Medical Gastrointestinal Problems</t>
  </si>
  <si>
    <t>Heartburn</t>
  </si>
  <si>
    <t>Constipation</t>
  </si>
  <si>
    <t>Belching</t>
  </si>
  <si>
    <t>Diarrhea</t>
  </si>
  <si>
    <t>Flatus</t>
  </si>
  <si>
    <t>Colostomy Bag</t>
  </si>
  <si>
    <t>Bowel Incontinence</t>
  </si>
  <si>
    <t>Wears Diapers/Pads</t>
  </si>
  <si>
    <t>Date of Last BM:</t>
  </si>
  <si>
    <t>Recent weight change?</t>
  </si>
  <si>
    <t>Type of Change:</t>
  </si>
  <si>
    <t>Appetite:</t>
  </si>
  <si>
    <t>Prescribed Diet:</t>
  </si>
  <si>
    <t>Suggested Diet:</t>
  </si>
  <si>
    <t>Nourishment consumed by:</t>
  </si>
  <si>
    <t>Who performs program?</t>
  </si>
  <si>
    <t>Genitourinary</t>
  </si>
  <si>
    <t>History of UTI</t>
  </si>
  <si>
    <t>Does client have a catheter?</t>
  </si>
  <si>
    <t>Type:</t>
  </si>
  <si>
    <t>Care Schedule:</t>
  </si>
  <si>
    <t>No Medical Pulmonary Problems</t>
  </si>
  <si>
    <t>Sleep Apnea</t>
  </si>
  <si>
    <t>Difficulty clearing airway secretions</t>
  </si>
  <si>
    <t>Right Lung Sounds:</t>
  </si>
  <si>
    <t>Left Lung Sounds:</t>
  </si>
  <si>
    <t>Airway Sounds:</t>
  </si>
  <si>
    <t>Neurological</t>
  </si>
  <si>
    <t>Orientation</t>
  </si>
  <si>
    <t>Person</t>
  </si>
  <si>
    <t>Place</t>
  </si>
  <si>
    <t>Time</t>
  </si>
  <si>
    <t>No Medical Neurological Problems</t>
  </si>
  <si>
    <t>Unequal grasp</t>
  </si>
  <si>
    <t>Pupil Reaction:</t>
  </si>
  <si>
    <t>Eyes Open:</t>
  </si>
  <si>
    <t>Mental/Psychological</t>
  </si>
  <si>
    <t>Difficult Word Choice</t>
  </si>
  <si>
    <t>Behavior Issues</t>
  </si>
  <si>
    <t>Violent</t>
  </si>
  <si>
    <t>Aggressive</t>
  </si>
  <si>
    <t>Suicidal</t>
  </si>
  <si>
    <t>Personality</t>
  </si>
  <si>
    <t>Calm</t>
  </si>
  <si>
    <t>Cooperative</t>
  </si>
  <si>
    <t>Grief Management</t>
  </si>
  <si>
    <t>Good Coping Ability</t>
  </si>
  <si>
    <t>Delayed Grieving</t>
  </si>
  <si>
    <t>Family Support</t>
  </si>
  <si>
    <t>Short Term Memory Loss</t>
  </si>
  <si>
    <t>Long Term Memory Loss</t>
  </si>
  <si>
    <t>No Medical Mental/Psychological Problems</t>
  </si>
  <si>
    <t>Abnormal Thought Process</t>
  </si>
  <si>
    <t>Inappropriate Decision Making</t>
  </si>
  <si>
    <t>Devices Used</t>
  </si>
  <si>
    <t>Devices used in the home:</t>
  </si>
  <si>
    <t>No Medical Mobility Problems</t>
  </si>
  <si>
    <t>Quadriplegia</t>
  </si>
  <si>
    <t>Able to bear weight without assistance</t>
  </si>
  <si>
    <t>Able to bear weight with DME or Aide assistance</t>
  </si>
  <si>
    <t>Fall Risk?</t>
  </si>
  <si>
    <t>Range of Motion:</t>
  </si>
  <si>
    <t>RUE</t>
  </si>
  <si>
    <t>RLE</t>
  </si>
  <si>
    <t>LUE</t>
  </si>
  <si>
    <t>LLE</t>
  </si>
  <si>
    <t>Progress Note</t>
  </si>
  <si>
    <t>Service Type:</t>
  </si>
  <si>
    <t>Email Address:</t>
  </si>
  <si>
    <t>Referral Date:</t>
  </si>
  <si>
    <t>Referral Source:</t>
  </si>
  <si>
    <t>Contact Date:</t>
  </si>
  <si>
    <t>Projected start of care date:</t>
  </si>
  <si>
    <t>Requested services in client's/responsible party's own words:</t>
  </si>
  <si>
    <t>Financially Responsible Party</t>
  </si>
  <si>
    <t>Relation to Client:</t>
  </si>
  <si>
    <t>Payment Method:</t>
  </si>
  <si>
    <t>Invoice Notes:</t>
  </si>
  <si>
    <t>Schedule and Charges</t>
  </si>
  <si>
    <t>Tues</t>
  </si>
  <si>
    <t>Thur</t>
  </si>
  <si>
    <t>Schedule Snapshot</t>
  </si>
  <si>
    <t>Duration:</t>
  </si>
  <si>
    <t>Times:</t>
  </si>
  <si>
    <t>Total Hours per Week:</t>
  </si>
  <si>
    <t>Frequency:</t>
  </si>
  <si>
    <t>See Schedule Snapshot</t>
  </si>
  <si>
    <t>Days per weel</t>
  </si>
  <si>
    <t>Average Weekly Cost:</t>
  </si>
  <si>
    <t>Client's can confirm Prosper Home Care's Private Home Care Provider License by calling the Georgia Department of Community Health at 404-657-5550.  Copies may also be requested from the Prosper Home Care office.</t>
  </si>
  <si>
    <t>Financially Responsible Party Physical Signature</t>
  </si>
  <si>
    <t>Client Physical Signature</t>
  </si>
  <si>
    <t xml:space="preserve">By signing below, I acknowledge that I have read and understood this service agreement including costs and that I have received a copy of the Client's Rights and Responsibilities, HIPAA Privacy Practices, Prosper Service Policies and other consent forms.  </t>
  </si>
  <si>
    <t>**Services days and times may vary per advance client/representative request. 
 Therefore, average cost may vary.</t>
  </si>
  <si>
    <t>Discharge will occur at client's/responsible party's request or when Personal Support Services are no longer appropriate.</t>
  </si>
  <si>
    <t>Start of Care date:</t>
  </si>
  <si>
    <t>Total Units per Week:</t>
  </si>
  <si>
    <t>Billing and Charges</t>
  </si>
  <si>
    <t>Billing Mechanism:</t>
  </si>
  <si>
    <t>Billing Frequency:</t>
  </si>
  <si>
    <t>PSS Services Ordered by Case Manager</t>
  </si>
  <si>
    <t>PSX Services Ordered by Case Manager</t>
  </si>
  <si>
    <t>Billing Rate CCSP:</t>
  </si>
  <si>
    <t>per unit</t>
  </si>
  <si>
    <t>Source:</t>
  </si>
  <si>
    <t>**PSS - Less than 3 hours per shift</t>
  </si>
  <si>
    <t>**PSX - 3 hours or more per shift</t>
  </si>
  <si>
    <t>Schedule and Units</t>
  </si>
  <si>
    <t>Authorizations</t>
  </si>
  <si>
    <t>I authorize Prosper Home Care staff access to my personal vehicle for my errands and appointments.  I agree to maintain proper insurance and will furnish a copy to Prosper.  If I do not have a vehicle, I agree to abide by the rules set forth in the Transportation Policy to which I will sign.</t>
  </si>
  <si>
    <t>Discharge</t>
  </si>
  <si>
    <t>Client will be discharges to community when service are no longer needed, per client's/responsible party's request, case manager order, Prosper Home Care's request for rebroker or when Personal Support Services are no longer appropriate.  In case of discharge by Prosper, client will receive a written "Discharge Notice" 30 days prior to discharge date.</t>
  </si>
  <si>
    <t>Client  has the right to cancel this Service Agreement at any time.</t>
  </si>
  <si>
    <t>License Verification</t>
  </si>
  <si>
    <t>Clients can call for information or questions about the provider concerning any violation of licensing requirements that was not resolved to the client's satisfaction by notifying the provider.  Client's can place their complaints with the DCH HFRD without fear of retribution.</t>
  </si>
  <si>
    <t>Ga Department of Community Health - Healthcare Facility Regulation Division - Healthcare Section</t>
  </si>
  <si>
    <t>2 Peachtree Street NW Suite 31 Atlanta, Ga 30303   Phone: 404-657-5850   Fax:404-657-8934</t>
  </si>
  <si>
    <t>By signing below, I acknowledge that I have read, understood and agree to abide by the policies set forth in this Service Agreement.  I also acknowledge that I have received instruction, educational materials, copies of consent forms and verbalized understanding of the Client's Rights and Responsibilities.</t>
  </si>
  <si>
    <t>Acknowledgement</t>
  </si>
  <si>
    <t xml:space="preserve">Georgia Department of Human Services
</t>
  </si>
  <si>
    <t>Name of Individual/Consumer/Patient/Applicant</t>
  </si>
  <si>
    <t>IFAVAILABLE:</t>
  </si>
  <si>
    <t>AUTHORIZATION  FOR RELEASE OF INFORMATION      </t>
  </si>
  <si>
    <t>I hereby request and authorize:</t>
  </si>
  <si>
    <t>Home Care of West GA LLC dba Prosper Home Care</t>
  </si>
  <si>
    <t>(Name of Person or Agency Requesting Information)</t>
  </si>
  <si>
    <t>3088 Mercer University Dr #100 Atlanta, Ga 30341</t>
  </si>
  <si>
    <t>(Address)</t>
  </si>
  <si>
    <t>to obtain from:</t>
  </si>
  <si>
    <t>Healthcare Providers</t>
  </si>
  <si>
    <t>(Name of Person or Agency Holding the Information)</t>
  </si>
  <si>
    <t>the following type(s) of information from my records (and any specific portion thereof):</t>
  </si>
  <si>
    <t>Medical, Social and Psychological Information</t>
  </si>
  <si>
    <t>for the purpose of:</t>
  </si>
  <si>
    <t>Personal Support Services Screening</t>
  </si>
  <si>
    <t>I understand that the  federal Privacy Rule HIPAA does not protect the privacy of information if re-disclosed, and therefore request that all information obtained from this person or agency be held strictly confidential and not be further released by the recipient. I further understand that my eligibility for benefits, treatment or  payment is not conditioned upon my provision of this authorization. I intend this document to be a valid authorization conforming to all requirements of the Privacy Rule and  understand that my authorization will remain in effect for: (PLEASE CHECK ONE)</t>
  </si>
  <si>
    <t>ninety (90) days unless I specify an earlier expiration date here:</t>
  </si>
  <si>
    <t>Q</t>
  </si>
  <si>
    <t>one (1) year.</t>
  </si>
  <si>
    <t>(Date)</t>
  </si>
  <si>
    <t>the period necessary to complete all transactions  on matters related to services provided to me.</t>
  </si>
  <si>
    <t>I understand that unless otherwise limited by state or federal regulation, and except to the extent that action has been taken based upon it, I may withdraw this authorization at any time.</t>
  </si>
  <si>
    <t>(Signature of Individual/Consumer/Patient/Applicant)</t>
  </si>
  <si>
    <t xml:space="preserve">(Signature of Witness)                      </t>
  </si>
  <si>
    <t>(Title or Relationship to Individual)</t>
  </si>
  <si>
    <t>(Signature of Parent or other legally Authorized Representative, where applicable)</t>
  </si>
  <si>
    <t>USE THIS SPACE ONLY IF AUTHORIZATION IS WITHDRAWN</t>
  </si>
  <si>
    <t>Community Care Services</t>
  </si>
  <si>
    <t>L-1</t>
  </si>
  <si>
    <t>I, knowing that I have a condition(s) requiring Personal Support Services encompassing routine medical and personal care services as may be ordered by my primary physician or by any other physician responsible for my medical care, consent to treatment by employees of Prosper Home Care and by those members of its professional staff who are assigned to my care.</t>
  </si>
  <si>
    <t>I authorize Prosper Home Care to obtain emergency medical treatment that might be required for me while Prosper Home Care staff is rendering services.  In authorizing such treatment, I agree to pay all costs related to the emergency medical care, including the cost of emergency transportation.  I understand that in case of emergency, the person I have designated as an emergency contact will be notified immediately.</t>
  </si>
  <si>
    <t>I authorize Prosper Home Care to release any medical records concerning my illness and/or treatment to hospitals, physicians and other medical agencies or institutions.</t>
  </si>
  <si>
    <t>I understand that I have the right to request how PHI is used or disclosed for treatment, payment, or healthcare operations.  Prosper Home Care is not required to agree to those restrictions, but if agreed, is bound by that agreement made in writing.  By signing the Document Confirmation Page and digitally signing this form, I acknowledge consent to the use of PHI for treatment, payment or healthcare operations.  I understand that I have the right to revoke this agreement at any time in writing.</t>
  </si>
  <si>
    <t>I authorize Prosper Home Care the release of all records required to act on this request and hereby request that payment of authorized medical benefits be made on my behalf to Prosper Home Care.  I further agree to promptly pay any unpaid balance not covered by my insurance company or third party payer.  In the event that medical benefits are paid directly to me for services provided by Prosper Home Care, I agree to promptly forward all monies received to Prosper Home Care.</t>
  </si>
  <si>
    <t>Policy #:</t>
  </si>
  <si>
    <t>By responding yes or no, I authorize or do not authorize Prosper Home Care the release of information including the specific lab test of HIV or the diagnosis of AIDS or AIDS related conditions, all medical records or other information regarding treatment, hospitalization, including psychological impairment, drug abuse and/or alcoholism or sickle cell anemia.</t>
  </si>
  <si>
    <t>This consent form expires on __________________________. (If no date is stated, this consent form will expire 5 years from the date of signature.)  Client may revoke this consent at any time by giving Prosper Home Care written notification.</t>
  </si>
  <si>
    <t>Discharge Date:</t>
  </si>
  <si>
    <t>Private Insurance:</t>
  </si>
  <si>
    <t>Marital Status:</t>
  </si>
  <si>
    <t>Gender:</t>
  </si>
  <si>
    <t>Race:</t>
  </si>
  <si>
    <t>Age:</t>
  </si>
  <si>
    <t>Transportation Provider:</t>
  </si>
  <si>
    <t>Medicaid Program:</t>
  </si>
  <si>
    <t>Indigent:</t>
  </si>
  <si>
    <t>Case Management Office:</t>
  </si>
  <si>
    <t>Case Manager Name:</t>
  </si>
  <si>
    <t>Case Manager Phone:</t>
  </si>
  <si>
    <t>Case Manager Fax:</t>
  </si>
  <si>
    <t>By physically signing this form, I agree to the following:</t>
  </si>
  <si>
    <t>Disaster Plan Triage Level</t>
  </si>
  <si>
    <t>Discharge Planning</t>
  </si>
  <si>
    <t>Prosper Home Care Service Policies (2 page document)</t>
  </si>
  <si>
    <t>Client's Choice to Rebroker</t>
  </si>
  <si>
    <t>Investigation of Complaints and Personnel Code of Ethics</t>
  </si>
  <si>
    <t>Designation of Client Representative and Advance Directives</t>
  </si>
  <si>
    <t>HIPAA Notice of Privacy Practices</t>
  </si>
  <si>
    <t>Vitals Waiver and Consent to Photograph</t>
  </si>
  <si>
    <t>Statement of Client's Rights (2 page document)</t>
  </si>
  <si>
    <t>Statement of Client's Responsibilities</t>
  </si>
  <si>
    <t>Medicaid Waiver Program Transportation Policy</t>
  </si>
  <si>
    <t>Consent to PSS, Emergency Treatment, Release of Information and Statement to Remit Payment</t>
  </si>
  <si>
    <t>Copies of all of the above listed and signed documents are provided to client at the time of admission.</t>
  </si>
  <si>
    <t>By physically signing this form, I agree that I have reviewed and physically signed the following documents:</t>
  </si>
  <si>
    <t>Medicaid Document Confirmation Form</t>
  </si>
  <si>
    <t>Required Supervision of Services</t>
  </si>
  <si>
    <t>Cost Share Collection Policy</t>
  </si>
  <si>
    <t>Appendix L</t>
  </si>
  <si>
    <t>Copies of the above signed forms are provided to client at the time of admission.</t>
  </si>
  <si>
    <t>Service Waivers</t>
  </si>
  <si>
    <t>Emergency Contacts Authorization</t>
  </si>
  <si>
    <t>Private Pay Document Confirmation Form</t>
  </si>
  <si>
    <t>Private Pay Financial Agreement</t>
  </si>
  <si>
    <t>Scheduling Rules:</t>
  </si>
  <si>
    <t>Primary Dx:</t>
  </si>
  <si>
    <t>Secondary Dx:</t>
  </si>
  <si>
    <t>Tertiary Dx:</t>
  </si>
  <si>
    <t>Alteration:</t>
  </si>
  <si>
    <t>Medication Allergies:</t>
  </si>
  <si>
    <t>Food Allergies:</t>
  </si>
  <si>
    <t>Environmental Allergies:</t>
  </si>
  <si>
    <t>Nutritional Needs:</t>
  </si>
  <si>
    <t>**Note: Aides are not allowed to provide tube feedings unless certified as a proxy caregiver.  No meds will ever be put in tubes by aides.</t>
  </si>
  <si>
    <t>Approach 1:</t>
  </si>
  <si>
    <t>Approach 2:</t>
  </si>
  <si>
    <t>Approach 3:</t>
  </si>
  <si>
    <t>Assist client with specific tasks in order to achieve goals.</t>
  </si>
  <si>
    <t>Strictly follow the frequency in order to assist client with ADLs and IADLs.</t>
  </si>
  <si>
    <t>Provide services according to frequency.</t>
  </si>
  <si>
    <t>Educated client/aide on the dangers of smoking when oxygen is present.</t>
  </si>
  <si>
    <t>Educated client/aide that aides will not serve, transport, prepare or take away alcohol.</t>
  </si>
  <si>
    <t>Blood Pressure</t>
  </si>
  <si>
    <t>Temperature</t>
  </si>
  <si>
    <t>BM</t>
  </si>
  <si>
    <t>Weight</t>
  </si>
  <si>
    <t>Corresp DX</t>
  </si>
  <si>
    <t>Vital Signs Monitoring Schedule</t>
  </si>
  <si>
    <t>N/A</t>
  </si>
  <si>
    <t>Functional Limitations</t>
  </si>
  <si>
    <t>ADL</t>
  </si>
  <si>
    <t>Hearing</t>
  </si>
  <si>
    <t>Vision</t>
  </si>
  <si>
    <t>Eating</t>
  </si>
  <si>
    <t>Breathing</t>
  </si>
  <si>
    <t>Cognitive</t>
  </si>
  <si>
    <t xml:space="preserve">Medication  </t>
  </si>
  <si>
    <t>Dress Upper</t>
  </si>
  <si>
    <t>Dress Lower</t>
  </si>
  <si>
    <t>Toileting</t>
  </si>
  <si>
    <t>Meal Prep</t>
  </si>
  <si>
    <t>Transportation</t>
  </si>
  <si>
    <t>Housekeeping</t>
  </si>
  <si>
    <t>Limitations</t>
  </si>
  <si>
    <t>Bladder Incontinence</t>
  </si>
  <si>
    <t>City, State Zip:</t>
  </si>
  <si>
    <t>Re-Assessment:</t>
  </si>
  <si>
    <t>RN Initials:</t>
  </si>
  <si>
    <t>Fall Risk:</t>
  </si>
  <si>
    <t>Choking Risk:</t>
  </si>
  <si>
    <t>On Oxygen:</t>
  </si>
  <si>
    <t>Type of Services Provided:</t>
  </si>
  <si>
    <t>Schedule Information</t>
  </si>
  <si>
    <t>Medications and Allergies</t>
  </si>
  <si>
    <t>Medications:  SEE MEDICATION PROFILE IN CLIENT FOLDER.</t>
  </si>
  <si>
    <t>Medical Treatments</t>
  </si>
  <si>
    <t>Wounds:</t>
  </si>
  <si>
    <t>Supplements Taken:</t>
  </si>
  <si>
    <t>If tubal, who performs:</t>
  </si>
  <si>
    <t>Special Procedures</t>
  </si>
  <si>
    <t>Bowel Program:</t>
  </si>
  <si>
    <t>Catheter Care:</t>
  </si>
  <si>
    <t>Who Performs:</t>
  </si>
  <si>
    <t>Schedule:</t>
  </si>
  <si>
    <t>Goals and Discharge Plans</t>
  </si>
  <si>
    <t>Specific Goals:</t>
  </si>
  <si>
    <t>General Goals:</t>
  </si>
  <si>
    <t>Maintain home cleanliness, facilitate proper treatment, promote physical, cognitive and emotional health, prevent institutionalization, strengthen support system, provide a safe environment and ensure proper hygiene.</t>
  </si>
  <si>
    <t>Discharge Plan:</t>
  </si>
  <si>
    <t>Client and Aide Education and Specifics</t>
  </si>
  <si>
    <t>Teaching Provided:</t>
  </si>
  <si>
    <t>Cultural/Religious Specifics:</t>
  </si>
  <si>
    <t>Pets in Home:</t>
  </si>
  <si>
    <t>Aide responsible for pet care.</t>
  </si>
  <si>
    <t>**Aides: Refer to the service record form for abnormal values.  Report all abnormal values to the Nurse Supervisor immediately.</t>
  </si>
  <si>
    <t>Aide Recommendations for Assistance with ADLs</t>
  </si>
  <si>
    <t>Transportation:</t>
  </si>
  <si>
    <t>Housekeeping:</t>
  </si>
  <si>
    <t>Hearing:</t>
  </si>
  <si>
    <t>Vision:</t>
  </si>
  <si>
    <t>Breathing:</t>
  </si>
  <si>
    <t>Speech:</t>
  </si>
  <si>
    <t>Cognition:</t>
  </si>
  <si>
    <t>Telephone Use:</t>
  </si>
  <si>
    <t>Aide Task Schedule and Recommendations</t>
  </si>
  <si>
    <t>Full description of task found on the Service Record Form.</t>
  </si>
  <si>
    <t>Task</t>
  </si>
  <si>
    <t>Nail Care</t>
  </si>
  <si>
    <t>Oral Hygiene</t>
  </si>
  <si>
    <t>Push Fluids</t>
  </si>
  <si>
    <t>Dx Spec Diet</t>
  </si>
  <si>
    <t>Eating Assist</t>
  </si>
  <si>
    <t>Food Storage</t>
  </si>
  <si>
    <t>Cooking Equipment</t>
  </si>
  <si>
    <t>Transfers</t>
  </si>
  <si>
    <t>Repositioning</t>
  </si>
  <si>
    <t>Cue Activity</t>
  </si>
  <si>
    <t>Cue ROM</t>
  </si>
  <si>
    <t>ERS Place</t>
  </si>
  <si>
    <t>Med Reminders</t>
  </si>
  <si>
    <t>RX Pick UP</t>
  </si>
  <si>
    <t>Univ Prec</t>
  </si>
  <si>
    <t>Intake/Output</t>
  </si>
  <si>
    <t>Report Changes</t>
  </si>
  <si>
    <t>Sweep, Vac</t>
  </si>
  <si>
    <t>Shopping</t>
  </si>
  <si>
    <t>Socialization</t>
  </si>
  <si>
    <t>Bill Pay</t>
  </si>
  <si>
    <t>Reading/Writing</t>
  </si>
  <si>
    <t>CG Relief</t>
  </si>
  <si>
    <t>Ment Stim</t>
  </si>
  <si>
    <t>Ambulation</t>
  </si>
  <si>
    <t>Medical Tasks</t>
  </si>
  <si>
    <t>Cognition</t>
  </si>
  <si>
    <t>Walking</t>
  </si>
  <si>
    <t>Recommendations</t>
  </si>
  <si>
    <t>Care Plan Update:</t>
  </si>
  <si>
    <t>Target Date:</t>
  </si>
  <si>
    <t>Special Needs</t>
  </si>
  <si>
    <t xml:space="preserve"> </t>
  </si>
  <si>
    <t xml:space="preserve">Instructed client on safety measures and fall precaution when ambulating, to keep all cords out of the flow of traffic, use only slip resistant rugs and runners, have properly working smoke detector, keep exits and passageways clear and well lit, to keep all medicines in original containers and clearly marked. Client verbalized understanding of instructions. </t>
  </si>
  <si>
    <t>Prosper Home Care Service Record Form</t>
  </si>
  <si>
    <t>Page 1 of 2</t>
  </si>
  <si>
    <t>Period Start Date:</t>
  </si>
  <si>
    <t>Employee Name:</t>
  </si>
  <si>
    <t>Period End Date:</t>
  </si>
  <si>
    <t>Black ink only! Do not use white out! Must be neat and legible or will not be accepted. No scribble.  No military time, Am/Pm Only.</t>
  </si>
  <si>
    <t>SU</t>
  </si>
  <si>
    <t>M</t>
  </si>
  <si>
    <t>TU</t>
  </si>
  <si>
    <t>W</t>
  </si>
  <si>
    <t>TH</t>
  </si>
  <si>
    <t>F</t>
  </si>
  <si>
    <t>SA</t>
  </si>
  <si>
    <t>Time In</t>
  </si>
  <si>
    <t>Time Out</t>
  </si>
  <si>
    <t>Date Signed</t>
  </si>
  <si>
    <t>Total Hrs</t>
  </si>
  <si>
    <t>All service record forms must be signed with date and initialed by both client and employee to be accepted.</t>
  </si>
  <si>
    <t>Client Int</t>
  </si>
  <si>
    <t>Employee Int</t>
  </si>
  <si>
    <t>VITALS (Enter Values, not checkmarks. Circle values reported to RN)</t>
  </si>
  <si>
    <t>PERSONAL CARE (Checkmarks)</t>
  </si>
  <si>
    <t>Assist with Dressing - Monitor for balance and safety</t>
  </si>
  <si>
    <t>Assist with Toileting - Cueing &amp; perineal cleaning, changing diaper</t>
  </si>
  <si>
    <t>Assist with Grooming and Shampooing Hair</t>
  </si>
  <si>
    <t>Nail Care - Filing Fingernails Only, Never cut nails or file toenails</t>
  </si>
  <si>
    <t>Assist with Oral Hygiene, Clean dentures</t>
  </si>
  <si>
    <t>AMBULATION AND MOBILITY (Checkmarks)</t>
  </si>
  <si>
    <t>Assist In/Out of Bed, Chair, Wheelchair</t>
  </si>
  <si>
    <t>Assist with Walking - Monitor for safety</t>
  </si>
  <si>
    <t>Repositioning every two hours</t>
  </si>
  <si>
    <t>Encourage and Cue Physical activity or use of DME</t>
  </si>
  <si>
    <t>Encourage and Cue range of motion exercises</t>
  </si>
  <si>
    <t>Place Phone or ERS in client's reach before leaving</t>
  </si>
  <si>
    <t>Report any falls or injuries on or off shift, notate details on back</t>
  </si>
  <si>
    <t>OFFICE USE ONLY: Date Received Stamp</t>
  </si>
  <si>
    <t>___/___/_____ M/D/Y</t>
  </si>
  <si>
    <t>Client Signature</t>
  </si>
  <si>
    <t>Service record forms are due every Tuesday by 5pm immediately following last service date for this week.</t>
  </si>
  <si>
    <t>Page 2 of 2</t>
  </si>
  <si>
    <t>NUTRITION (Checkmarks)</t>
  </si>
  <si>
    <t>Keep fluids within client's reach during shift and before leaving</t>
  </si>
  <si>
    <t>Prepare meals and clean dishes</t>
  </si>
  <si>
    <t>Encourage and educate on balanced and diagnosis specific meals</t>
  </si>
  <si>
    <t>Assist with eating - hand feeding or tube feeding (never put meds in tube)</t>
  </si>
  <si>
    <t>Observe/Report meal accumulation and food storage</t>
  </si>
  <si>
    <t>Observe/Report cooking equipment failure</t>
  </si>
  <si>
    <t>MEDICATIONS / MEDICALLY RELATED TASKS (checkmarks)</t>
  </si>
  <si>
    <t>Remind/Assist with medications - Never choose medication or fill pill box</t>
  </si>
  <si>
    <t>Pharmacy - pick up or drop off prescriptions</t>
  </si>
  <si>
    <t>Report medication errors, missed meds or new meds (Report to Supervisor)</t>
  </si>
  <si>
    <t>Provide watchful supervision and oversight</t>
  </si>
  <si>
    <t>Applying basic first aid in case of minor injury, report to supervisor</t>
  </si>
  <si>
    <t>Utilizing universal precautions</t>
  </si>
  <si>
    <t>Documenting client's intake and output as requested</t>
  </si>
  <si>
    <t>Observing/Reporting changes in client's condition</t>
  </si>
  <si>
    <t>HOUSEKEEPING (Client areas only, not extended to others in the home, client is responsible for providing all cleaning products and equipment)</t>
  </si>
  <si>
    <t>Laundry - wash/dry/fold/put away</t>
  </si>
  <si>
    <t>Vacuum, sweep, mop, dust</t>
  </si>
  <si>
    <t>Remove trash daily</t>
  </si>
  <si>
    <t>Clean kitchen, microwave, fridge, stove top, oven (wipe down only)</t>
  </si>
  <si>
    <t>Clean bathroom, sink, toilet, tub, countertop, floor</t>
  </si>
  <si>
    <t>Change linens, make bed</t>
  </si>
  <si>
    <t>Assist with household shopping once a week (only client allowed in vehicle)</t>
  </si>
  <si>
    <t>COGNITIVE STIMULATION / HOUSEHOLD MANAGEMENT (checkmarks)</t>
  </si>
  <si>
    <t>Encourage puzzles, crafts, participation in social activities</t>
  </si>
  <si>
    <t>Assist with bill paying, assistance and Medicaid applications</t>
  </si>
  <si>
    <t>Reading, writing, and interpreting books or other documents</t>
  </si>
  <si>
    <t>Schedule medical appointments, accompany as needed (client only)</t>
  </si>
  <si>
    <t>Providing caregiver relief, companion sitter services</t>
  </si>
  <si>
    <t>Encourage conversation and mental stimulation</t>
  </si>
  <si>
    <t>COMMUNICATION</t>
  </si>
  <si>
    <t>YES/NO</t>
  </si>
  <si>
    <t>If YES, note date and give details.</t>
  </si>
  <si>
    <t>Did client have or report any falls or injuries?</t>
  </si>
  <si>
    <t>Did client have any bruising, wounds, or skin tears?</t>
  </si>
  <si>
    <t>Did employee note any signs of abuse or neglect?</t>
  </si>
  <si>
    <t>Has the condition of the client changed this week?</t>
  </si>
  <si>
    <t>Did client have any dr's appts or visit urgent care?</t>
  </si>
  <si>
    <t>Did the client go to the ER?</t>
  </si>
  <si>
    <t>Service Synopsis - Please write a brief summary of how services went this week and detail any incidents or changes.</t>
  </si>
  <si>
    <t>Employee Initials ___________</t>
  </si>
  <si>
    <t>Prosper Home Care</t>
  </si>
  <si>
    <t>3088 Mercer University Drive Suite 100</t>
  </si>
  <si>
    <t>Employee Signature</t>
  </si>
  <si>
    <t>Date signed</t>
  </si>
  <si>
    <t>Atlanta, GA 30341</t>
  </si>
  <si>
    <t>RN name:</t>
  </si>
  <si>
    <t>Prosper Home Care Service Record Form Example</t>
  </si>
  <si>
    <t>Cost Share:</t>
  </si>
  <si>
    <t>Status:</t>
  </si>
  <si>
    <t xml:space="preserve">Daily   </t>
  </si>
  <si>
    <t>This area is for nurse review and sign off.</t>
  </si>
  <si>
    <t>Client must sign on the last day of service for the week.</t>
  </si>
  <si>
    <t>Employee must sign on the last day of service for the week.</t>
  </si>
  <si>
    <t>Nurse Assessment Tool</t>
  </si>
  <si>
    <t>This file belongs to:</t>
  </si>
  <si>
    <t>Check Rec'd from:</t>
  </si>
  <si>
    <t>Visit Type</t>
  </si>
  <si>
    <t>Visit Date</t>
  </si>
  <si>
    <t>Visit type</t>
  </si>
  <si>
    <t>C</t>
  </si>
  <si>
    <t>BP SYS</t>
  </si>
  <si>
    <t>BP DIA</t>
  </si>
  <si>
    <t>Client Satisfaction</t>
  </si>
  <si>
    <t>Extremely Satisfied</t>
  </si>
  <si>
    <t>Satisfied</t>
  </si>
  <si>
    <t>Neutral</t>
  </si>
  <si>
    <t>Dissatisfied</t>
  </si>
  <si>
    <t>Extremely Dissatisfied</t>
  </si>
  <si>
    <t>Triggered</t>
  </si>
  <si>
    <t>Visit After Fall</t>
  </si>
  <si>
    <t>Visit After Hospitalization</t>
  </si>
  <si>
    <t>Visit for Condition Change</t>
  </si>
  <si>
    <t>Visit to Follow Up after Incident</t>
  </si>
  <si>
    <t>/</t>
  </si>
  <si>
    <t>Date of Visit:</t>
  </si>
  <si>
    <t>Reason for Visit:</t>
  </si>
  <si>
    <t>Nurse Name:</t>
  </si>
  <si>
    <t>Type of Care Provided:</t>
  </si>
  <si>
    <t>Client Service Satisfaction</t>
  </si>
  <si>
    <t>Is aide present during visit?</t>
  </si>
  <si>
    <t>If yes, name of aide:</t>
  </si>
  <si>
    <t>Client rating on services being provided:</t>
  </si>
  <si>
    <t>Aide Punctuality:</t>
  </si>
  <si>
    <t>Aide Professionalism:</t>
  </si>
  <si>
    <t>Schedule Adherence:</t>
  </si>
  <si>
    <t>Universal Precautions:</t>
  </si>
  <si>
    <t>Aide Confidentiality:</t>
  </si>
  <si>
    <t>Aide Communication:</t>
  </si>
  <si>
    <t>Care Plan Adherence:</t>
  </si>
  <si>
    <t>Notes on any dissatisfactory ratings:</t>
  </si>
  <si>
    <t>Vital Signs Assessment</t>
  </si>
  <si>
    <t>Last BM Date</t>
  </si>
  <si>
    <t>Significant changes since last visit?</t>
  </si>
  <si>
    <t>Body Systems Review</t>
  </si>
  <si>
    <t xml:space="preserve">Body System  </t>
  </si>
  <si>
    <t>Change Y/N</t>
  </si>
  <si>
    <t>If yes, details</t>
  </si>
  <si>
    <t>Gastro/Genitourinary</t>
  </si>
  <si>
    <t>Behavior Patterns</t>
  </si>
  <si>
    <t>Details:</t>
  </si>
  <si>
    <t>Last Physician Appointment</t>
  </si>
  <si>
    <t>Date of Last Physician Appt:</t>
  </si>
  <si>
    <t>Reason for Appt:</t>
  </si>
  <si>
    <t>Diagnosis and Medication Review</t>
  </si>
  <si>
    <t>Any changes to client's diagnoses?</t>
  </si>
  <si>
    <t>Any changes to medications?</t>
  </si>
  <si>
    <t>If yes, REFER TO UPDATED MEDICATION PROFILE ATTACHED.</t>
  </si>
  <si>
    <t>Needs, Participation and Progress</t>
  </si>
  <si>
    <t>Client appears to be in good hygiene and well kept?</t>
  </si>
  <si>
    <t>If no, details:</t>
  </si>
  <si>
    <t>Residence is clean, pest free, orderly and safe for ambulation?</t>
  </si>
  <si>
    <t>Has weight remained stable?</t>
  </si>
  <si>
    <t>Are nutritional needs being met?</t>
  </si>
  <si>
    <t>Are client's social and psychological needs being met?</t>
  </si>
  <si>
    <t>Is current care plan still appropriate for client's need?</t>
  </si>
  <si>
    <t>With the current care plan, client will most likely:</t>
  </si>
  <si>
    <t>Based on current condition or disease state, client is likely to:</t>
  </si>
  <si>
    <t>Client verbalized understanding of teaching and materials presented?</t>
  </si>
  <si>
    <t>Client participated in the supervisory visit and care plan?</t>
  </si>
  <si>
    <t>Client verbalized that overall needs are being met?</t>
  </si>
  <si>
    <t>Goals and Teaching</t>
  </si>
  <si>
    <t>Goals at Admission:</t>
  </si>
  <si>
    <t>Goal status at the time of visit:</t>
  </si>
  <si>
    <t>Teaching provided during visit:</t>
  </si>
  <si>
    <t>Narrative and Communication</t>
  </si>
  <si>
    <t>Visit findings communicated to:</t>
  </si>
  <si>
    <t>Client Digital Signature</t>
  </si>
  <si>
    <t>If aide is present, check all that apply:</t>
  </si>
  <si>
    <t>Wearing name tag</t>
  </si>
  <si>
    <t>Appropriately dressed</t>
  </si>
  <si>
    <t>Attentive</t>
  </si>
  <si>
    <t>Able to locate care plan</t>
  </si>
  <si>
    <t>Universal Precautions</t>
  </si>
  <si>
    <t>Follows care plan</t>
  </si>
  <si>
    <t>Knowledgeable of condition</t>
  </si>
  <si>
    <t>CCSP Athens</t>
  </si>
  <si>
    <t>(404) 222-2417</t>
  </si>
  <si>
    <t>(404) 527-8041</t>
  </si>
  <si>
    <t>CCSP McIntosh</t>
  </si>
  <si>
    <t>(706) 675-2985</t>
  </si>
  <si>
    <t>CCSP Sabea</t>
  </si>
  <si>
    <t>Concerted Services</t>
  </si>
  <si>
    <t>(912) 583-3900</t>
  </si>
  <si>
    <t>(912) 583-3919</t>
  </si>
  <si>
    <t>Faith SOURCE</t>
  </si>
  <si>
    <t>(770) 416-1910</t>
  </si>
  <si>
    <t>(770) 925-1448</t>
  </si>
  <si>
    <t>Legacy Link CCSP</t>
  </si>
  <si>
    <t>(706) 354-1621</t>
  </si>
  <si>
    <t>Next Step Care Augusta</t>
  </si>
  <si>
    <t>(706) 737-0705</t>
  </si>
  <si>
    <t>(706) 737-0250</t>
  </si>
  <si>
    <t>Next Step Care Rome</t>
  </si>
  <si>
    <t>(888) 762-2420</t>
  </si>
  <si>
    <t>(706) 378-1330</t>
  </si>
  <si>
    <t>Next Step Care Source</t>
  </si>
  <si>
    <t>(678) 806-3522</t>
  </si>
  <si>
    <t>(678) 806-3525</t>
  </si>
  <si>
    <t>Next Step Care Tyrone</t>
  </si>
  <si>
    <t xml:space="preserve">(888) 762-2420 </t>
  </si>
  <si>
    <t>(770) 742-0913</t>
  </si>
  <si>
    <t>Pruitt Augusta Source</t>
  </si>
  <si>
    <t>(706) 651-1535</t>
  </si>
  <si>
    <t>(706) 863-9401</t>
  </si>
  <si>
    <t>SOURCE Blue Ridge</t>
  </si>
  <si>
    <t>(706) 258-5300</t>
  </si>
  <si>
    <t>SOURCE Case Management</t>
  </si>
  <si>
    <t>(770) 717-2692</t>
  </si>
  <si>
    <t>SOURCE Fulton</t>
  </si>
  <si>
    <t>(770) 925-1143</t>
  </si>
  <si>
    <t>(678) 533-6488</t>
  </si>
  <si>
    <t>SOURCE Partners</t>
  </si>
  <si>
    <t>(404) 581-4782</t>
  </si>
  <si>
    <t>(404) 527-0606</t>
  </si>
  <si>
    <t>(706) 707-8005</t>
  </si>
  <si>
    <t>(706) 447-3925</t>
  </si>
  <si>
    <t>Is this assessment a Re-Evaluation?</t>
  </si>
  <si>
    <t>If yes, complete the Client Satisfaction Survey.</t>
  </si>
  <si>
    <t>Is aide present during this assessment?</t>
  </si>
  <si>
    <t>If no, leave this section blank.</t>
  </si>
  <si>
    <t>Tina Cho</t>
  </si>
  <si>
    <t>tina@prospercare.com</t>
  </si>
  <si>
    <t>yes</t>
  </si>
  <si>
    <t>Olga Elizarova</t>
  </si>
  <si>
    <t>Policies</t>
  </si>
  <si>
    <t>By signing below, I also acknowledge understanding that Prosper Home Care uses digital signatures on all supervisory visits and re-evaluations.  I agree to the use of digital signatures on future nursing visits.  I understand that all documents that require a physical signature will always require a physical signature.</t>
  </si>
  <si>
    <t>All Shifts</t>
  </si>
  <si>
    <t>Scheduled SV</t>
  </si>
  <si>
    <t>SV Type</t>
  </si>
  <si>
    <t>Date of Evaluation:</t>
  </si>
  <si>
    <t>Skills Observation</t>
  </si>
  <si>
    <t>EmpEvAl Home</t>
  </si>
  <si>
    <t>Clean</t>
  </si>
  <si>
    <t>Vitals</t>
  </si>
  <si>
    <t>Personal Care Tasks</t>
  </si>
  <si>
    <t>BP</t>
  </si>
  <si>
    <t>Resp</t>
  </si>
  <si>
    <t>Vac, Sweep</t>
  </si>
  <si>
    <t>Satisfactory</t>
  </si>
  <si>
    <t>Cue Activity/ROM</t>
  </si>
  <si>
    <t>Phone by Client</t>
  </si>
  <si>
    <t>Assist w/eating</t>
  </si>
  <si>
    <t>Expirations</t>
  </si>
  <si>
    <t>Equipment</t>
  </si>
  <si>
    <t>Read/Interpret</t>
  </si>
  <si>
    <t>Condition of Client's Home</t>
  </si>
  <si>
    <t>Kitchen:</t>
  </si>
  <si>
    <t>Bathroom:</t>
  </si>
  <si>
    <t>Living Area:</t>
  </si>
  <si>
    <t>Bedroom:</t>
  </si>
  <si>
    <t>Training Provided</t>
  </si>
  <si>
    <t>AccuCheck</t>
  </si>
  <si>
    <t>Tube Feeding</t>
  </si>
  <si>
    <t>Infection Control</t>
  </si>
  <si>
    <t>Hoyer</t>
  </si>
  <si>
    <t>Diet Requirements</t>
  </si>
  <si>
    <t>Dementia Training</t>
  </si>
  <si>
    <t>Catheter Care</t>
  </si>
  <si>
    <t>Disease Process</t>
  </si>
  <si>
    <t>SRF Documentation</t>
  </si>
  <si>
    <t>Notes about Employee's Performance</t>
  </si>
  <si>
    <t>Nurse Signature</t>
  </si>
  <si>
    <t>Care Coordinator Review</t>
  </si>
  <si>
    <t>Clocks in and out every shift</t>
  </si>
  <si>
    <t>Turns timesheets in on time</t>
  </si>
  <si>
    <t>Completed timesheets correctly</t>
  </si>
  <si>
    <t>Arrives to work on time</t>
  </si>
  <si>
    <t>Communicates professionally</t>
  </si>
  <si>
    <t>Provides sufficient notice when unable to work</t>
  </si>
  <si>
    <t>Completes tasks as required</t>
  </si>
  <si>
    <t>Follows client care plan</t>
  </si>
  <si>
    <t>Receptive to constructive criticism</t>
  </si>
  <si>
    <t>Keeps supervisor informed of client changes</t>
  </si>
  <si>
    <t>Comments</t>
  </si>
  <si>
    <t>Feedback from Care Coordinator</t>
  </si>
  <si>
    <t>Plan of Correction</t>
  </si>
  <si>
    <t>Needs Improvement by</t>
  </si>
  <si>
    <t>Care Coordinator Signature</t>
  </si>
  <si>
    <t>EmpEval Tasks</t>
  </si>
  <si>
    <t>Improvement Needed</t>
  </si>
  <si>
    <t>Not Observed</t>
  </si>
  <si>
    <t>Date:</t>
  </si>
  <si>
    <t>Cue 2 hours</t>
  </si>
  <si>
    <t>ANNOUNCEMENTS</t>
  </si>
  <si>
    <t/>
  </si>
  <si>
    <t>PCP Name</t>
  </si>
  <si>
    <t>Space is used for announcements.</t>
  </si>
  <si>
    <t>Green, Shannon LPN</t>
  </si>
  <si>
    <t>PCP Name:</t>
  </si>
  <si>
    <t>Is this a new PCP?</t>
  </si>
  <si>
    <t>New Medical Treatments?</t>
  </si>
  <si>
    <t>PT</t>
  </si>
  <si>
    <t>OT</t>
  </si>
  <si>
    <t>ST</t>
  </si>
  <si>
    <t>IT</t>
  </si>
  <si>
    <t>HH</t>
  </si>
  <si>
    <t>Discharge Planning Update</t>
  </si>
  <si>
    <t>Supervisory Visit</t>
  </si>
  <si>
    <t>Date Completed</t>
  </si>
  <si>
    <t>Nurse Name</t>
  </si>
  <si>
    <t>Previous Visit Completed on:</t>
  </si>
  <si>
    <t>Initial Assessment</t>
  </si>
  <si>
    <t>Email Address</t>
  </si>
  <si>
    <t>Category</t>
  </si>
  <si>
    <t>Sherri@prospercare.com</t>
  </si>
  <si>
    <t>Shannon@prospercare.com</t>
  </si>
  <si>
    <t>Angie@prospercare.com</t>
  </si>
  <si>
    <t>Farrah@prospercare.com</t>
  </si>
  <si>
    <t>Rick@prospercare.com</t>
  </si>
  <si>
    <t>sarah@prospercare.com</t>
  </si>
  <si>
    <t>SherriCrawford</t>
  </si>
  <si>
    <t>ShannonGreen</t>
  </si>
  <si>
    <t>AngieKim</t>
  </si>
  <si>
    <t>FarrahRobinson</t>
  </si>
  <si>
    <t>RickSpringer</t>
  </si>
  <si>
    <t>YoungJoung</t>
  </si>
  <si>
    <t>joung@prospercare.com</t>
  </si>
  <si>
    <t>SarahPaille</t>
  </si>
  <si>
    <t>No deposit is required for credit card or ACH payments.  By signing below, you authorize Prosper Home Care to charge the credit card or checking account listed at the time the invoice is run.  Prosper Home Care will then send the invoice marked paid.</t>
  </si>
  <si>
    <t>Credit Card Payments/ACH</t>
  </si>
  <si>
    <t>For ACH: Please attach a voided check.</t>
  </si>
  <si>
    <t>Community</t>
  </si>
  <si>
    <t>American</t>
  </si>
  <si>
    <t>Augusta</t>
  </si>
  <si>
    <t>Korean</t>
  </si>
  <si>
    <t>Nepalese</t>
  </si>
  <si>
    <t>Community:</t>
  </si>
  <si>
    <t>Address 1</t>
  </si>
  <si>
    <t>Type</t>
  </si>
  <si>
    <t>Upin</t>
  </si>
  <si>
    <t>Adams, Samuel F.</t>
  </si>
  <si>
    <t>Sandy Springs</t>
  </si>
  <si>
    <t>GA</t>
  </si>
  <si>
    <t>PCP</t>
  </si>
  <si>
    <t>(404) 255-9100</t>
  </si>
  <si>
    <t>(404) 257-7171</t>
  </si>
  <si>
    <t>Adebisi, Julius K.</t>
  </si>
  <si>
    <t>C7</t>
  </si>
  <si>
    <t>Alpharetta</t>
  </si>
  <si>
    <t>H29401</t>
  </si>
  <si>
    <t>(678) 319-9901</t>
  </si>
  <si>
    <t>(678) 319-9902</t>
  </si>
  <si>
    <t>Ajayi, Julius Olukayode</t>
  </si>
  <si>
    <t>B/C</t>
  </si>
  <si>
    <t>Suwanee</t>
  </si>
  <si>
    <t>G54425</t>
  </si>
  <si>
    <t>(678) 546-2840</t>
  </si>
  <si>
    <t>(678) 546-2844</t>
  </si>
  <si>
    <t>Alfonso, Susana A.</t>
  </si>
  <si>
    <t>Dunwoody</t>
  </si>
  <si>
    <t>H46128</t>
  </si>
  <si>
    <t>(404) 778-6920</t>
  </si>
  <si>
    <t>(404) 778-6901</t>
  </si>
  <si>
    <t>Almand, Marshall David</t>
  </si>
  <si>
    <t>Conyers</t>
  </si>
  <si>
    <t>D28788</t>
  </si>
  <si>
    <t>(770) 922-3023</t>
  </si>
  <si>
    <t>(770) 929-1016</t>
  </si>
  <si>
    <t>Alvarez, Victor M.</t>
  </si>
  <si>
    <t>Norcross</t>
  </si>
  <si>
    <t>(770) 417-2018</t>
  </si>
  <si>
    <t>(888) 652-6961</t>
  </si>
  <si>
    <t>Anderson, William J.</t>
  </si>
  <si>
    <t>Lilburn</t>
  </si>
  <si>
    <t>A99668</t>
  </si>
  <si>
    <t>(770) 935-9546</t>
  </si>
  <si>
    <t>(770) 923-1839</t>
  </si>
  <si>
    <t>Asghar, Nasir Ali</t>
  </si>
  <si>
    <t>Woodstock</t>
  </si>
  <si>
    <t>(678) 494-9669</t>
  </si>
  <si>
    <t>(678) 494-9670</t>
  </si>
  <si>
    <t>Ash, Zavier Carvel</t>
  </si>
  <si>
    <t>A</t>
  </si>
  <si>
    <t>Snellville</t>
  </si>
  <si>
    <t>H60660</t>
  </si>
  <si>
    <t>(404) 296-8500</t>
  </si>
  <si>
    <t>(404) 296-9005</t>
  </si>
  <si>
    <t>Ashley, Angela</t>
  </si>
  <si>
    <t>Atlanta</t>
  </si>
  <si>
    <t>H00708</t>
  </si>
  <si>
    <t>(404) 616-5469</t>
  </si>
  <si>
    <t>Austin, Colleen S</t>
  </si>
  <si>
    <t>(404) 851-2300</t>
  </si>
  <si>
    <t>(404) 851-2357</t>
  </si>
  <si>
    <t>Bacchus, Terrell</t>
  </si>
  <si>
    <t>Decatur</t>
  </si>
  <si>
    <t>(404) 836-0272</t>
  </si>
  <si>
    <t>(404) 836-0291</t>
  </si>
  <si>
    <t>Bain, McKinley T.</t>
  </si>
  <si>
    <t>Marietta</t>
  </si>
  <si>
    <t>H21635</t>
  </si>
  <si>
    <t>(770) 427-7800</t>
  </si>
  <si>
    <t>(770) 427-6565</t>
  </si>
  <si>
    <t>Banks, Sandra K.</t>
  </si>
  <si>
    <t>G 52521</t>
  </si>
  <si>
    <t>Barcley, Charles Duane</t>
  </si>
  <si>
    <t>(770) 981-2100</t>
  </si>
  <si>
    <t>(770) 808-8445</t>
  </si>
  <si>
    <t>Barnhill, James</t>
  </si>
  <si>
    <t>Lawrenceville</t>
  </si>
  <si>
    <t>(770) 962-4895</t>
  </si>
  <si>
    <t>(770) 962-4792</t>
  </si>
  <si>
    <t>Basden, Cheryl</t>
  </si>
  <si>
    <t>Forest Park</t>
  </si>
  <si>
    <t>(404) 362-0282</t>
  </si>
  <si>
    <t>(404) 761-0477</t>
  </si>
  <si>
    <t>Beck, Teresa</t>
  </si>
  <si>
    <t>H33448</t>
  </si>
  <si>
    <t>Benson, Kathryn M.</t>
  </si>
  <si>
    <t>Duluth</t>
  </si>
  <si>
    <t>E85749</t>
  </si>
  <si>
    <t>(770) 813-9775</t>
  </si>
  <si>
    <t>(770) 813-8976</t>
  </si>
  <si>
    <t>Benson, Samantha</t>
  </si>
  <si>
    <t>(678) 474-9633</t>
  </si>
  <si>
    <t>(678) 474-9752</t>
  </si>
  <si>
    <t>Bernald, Annette</t>
  </si>
  <si>
    <t>(404) 874-3102</t>
  </si>
  <si>
    <t>Bhushan, Anju</t>
  </si>
  <si>
    <t>H00715</t>
  </si>
  <si>
    <t>(770) 622-9002</t>
  </si>
  <si>
    <t>(770) 622-9004</t>
  </si>
  <si>
    <t>Black, Melissa P.</t>
  </si>
  <si>
    <t>23938P001</t>
  </si>
  <si>
    <t>(404) 728-6363</t>
  </si>
  <si>
    <t>(404) 728-6298</t>
  </si>
  <si>
    <t>Blackington, Rebecca</t>
  </si>
  <si>
    <t>(770) 475-2233</t>
  </si>
  <si>
    <t>(770) 740-9617</t>
  </si>
  <si>
    <t>Blake, Bryan D.</t>
  </si>
  <si>
    <t>Lithia Springs</t>
  </si>
  <si>
    <t>G 54440</t>
  </si>
  <si>
    <t>(770) 739-1233</t>
  </si>
  <si>
    <t>(770) 948-4930</t>
  </si>
  <si>
    <t>BLAKENEY, RASHAWN M</t>
  </si>
  <si>
    <t xml:space="preserve"> H91960</t>
  </si>
  <si>
    <t>(706) 855-5650</t>
  </si>
  <si>
    <t>(706) 863-0821</t>
  </si>
  <si>
    <t>Bondulich, Claudio S.</t>
  </si>
  <si>
    <t>North Decatur</t>
  </si>
  <si>
    <t>I00945</t>
  </si>
  <si>
    <t>(404) 501-2900</t>
  </si>
  <si>
    <t>(404) 501-2992</t>
  </si>
  <si>
    <t>Boone, Daniel</t>
  </si>
  <si>
    <t>2B</t>
  </si>
  <si>
    <t>Evans</t>
  </si>
  <si>
    <t>(706) 774-7400</t>
  </si>
  <si>
    <t>(706) 774-5792</t>
  </si>
  <si>
    <t>Bradshaw, Mark MD</t>
  </si>
  <si>
    <t>(404) 455-5304</t>
  </si>
  <si>
    <t>(404) 455-5173</t>
  </si>
  <si>
    <t>Briglevich, Rose</t>
  </si>
  <si>
    <t>Smyrna</t>
  </si>
  <si>
    <t>D29019</t>
  </si>
  <si>
    <t>(770) 433-0434</t>
  </si>
  <si>
    <t>(770) 433-0435</t>
  </si>
  <si>
    <t>Brown, Emma Carrie</t>
  </si>
  <si>
    <t>Winder</t>
  </si>
  <si>
    <t>(770) 586-0017</t>
  </si>
  <si>
    <t>(770) 586-5460</t>
  </si>
  <si>
    <t>Buck - Patterson, Cheryl D.</t>
  </si>
  <si>
    <t>H21637</t>
  </si>
  <si>
    <t>(404) 778-6100</t>
  </si>
  <si>
    <t>(404) 778-6160</t>
  </si>
  <si>
    <t>Bunce, Antonia R.</t>
  </si>
  <si>
    <t>H61887</t>
  </si>
  <si>
    <t>(678) 843-6460</t>
  </si>
  <si>
    <t>(678) 843-6469</t>
  </si>
  <si>
    <t>Byrd, Marcia</t>
  </si>
  <si>
    <t>(404) 577-1231</t>
  </si>
  <si>
    <t>(404) 215-9061</t>
  </si>
  <si>
    <t>Cabanas, Israel J.</t>
  </si>
  <si>
    <t>Stone Mountain</t>
  </si>
  <si>
    <t>G19113</t>
  </si>
  <si>
    <t>(404) 292-5676</t>
  </si>
  <si>
    <t>(404) 299-8657</t>
  </si>
  <si>
    <t>Cadle, Harriet E.</t>
  </si>
  <si>
    <t>Kennesaw</t>
  </si>
  <si>
    <t>511I500239</t>
  </si>
  <si>
    <t>(770) 345-5641</t>
  </si>
  <si>
    <t>(770) 345-6692</t>
  </si>
  <si>
    <t>CAMELIA/ ENCOMPASS, HOSPICE/ HH</t>
  </si>
  <si>
    <t>111704</t>
  </si>
  <si>
    <t>(678) 218-5745</t>
  </si>
  <si>
    <t>(770) 794-8302</t>
  </si>
  <si>
    <t>Care, Next Step</t>
  </si>
  <si>
    <t>Carr, John P.</t>
  </si>
  <si>
    <t>D39555</t>
  </si>
  <si>
    <t>(706) 863-0411</t>
  </si>
  <si>
    <t>Caso, James</t>
  </si>
  <si>
    <t>G 34520</t>
  </si>
  <si>
    <t>(706) 736-5244</t>
  </si>
  <si>
    <t>(706) 726-5246</t>
  </si>
  <si>
    <t>Cassoobhoy, Murtaza</t>
  </si>
  <si>
    <t>H 00722</t>
  </si>
  <si>
    <t>(770) 220-2723</t>
  </si>
  <si>
    <t>(770) 393-2332</t>
  </si>
  <si>
    <t>Casteel, Linda</t>
  </si>
  <si>
    <t>(770) 979-1818</t>
  </si>
  <si>
    <t>Cato, Candace D.</t>
  </si>
  <si>
    <t>Challa, Sudha</t>
  </si>
  <si>
    <t>Chamblee</t>
  </si>
  <si>
    <t>(770) 220-0741</t>
  </si>
  <si>
    <t>(770) 220-2839</t>
  </si>
  <si>
    <t>Chang, Shi Chieh</t>
  </si>
  <si>
    <t>E58122</t>
  </si>
  <si>
    <t>(770) 451-1146</t>
  </si>
  <si>
    <t>(770) 821-1044</t>
  </si>
  <si>
    <t>Chisolm, Lee G.</t>
  </si>
  <si>
    <t>Athens</t>
  </si>
  <si>
    <t>H91262</t>
  </si>
  <si>
    <t>(706) 208-1406</t>
  </si>
  <si>
    <t>(706) 208-1407</t>
  </si>
  <si>
    <t>CHristie, Donovan W.</t>
  </si>
  <si>
    <t>(404) 761-2766</t>
  </si>
  <si>
    <t>(404) 761-6523</t>
  </si>
  <si>
    <t>Chung, Hak Sung</t>
  </si>
  <si>
    <t>(770) 622-2020</t>
  </si>
  <si>
    <t>(770) 622-2021</t>
  </si>
  <si>
    <t>Church, Nicholas</t>
  </si>
  <si>
    <t>(404) 778-8600</t>
  </si>
  <si>
    <t>(404) 778-8695</t>
  </si>
  <si>
    <t>Clark, Teresa E.</t>
  </si>
  <si>
    <t>(404) 351-3974</t>
  </si>
  <si>
    <t>(404) 350-7935</t>
  </si>
  <si>
    <t>Clopton, Charles</t>
  </si>
  <si>
    <t>Ellenwood</t>
  </si>
  <si>
    <t>G80073</t>
  </si>
  <si>
    <t>(770) 507-0112</t>
  </si>
  <si>
    <t>(404) 346-1511</t>
  </si>
  <si>
    <t>Cohen, Steven L.</t>
  </si>
  <si>
    <t>Austell</t>
  </si>
  <si>
    <t>(770) 732-1055</t>
  </si>
  <si>
    <t>(770) 732-0175</t>
  </si>
  <si>
    <t>Cole, Frank</t>
  </si>
  <si>
    <t>Fayetteville</t>
  </si>
  <si>
    <t>(770) 460-4285</t>
  </si>
  <si>
    <t>Colleman, Patrick</t>
  </si>
  <si>
    <t>(404) 367-3000</t>
  </si>
  <si>
    <t>Collier, Millard J.</t>
  </si>
  <si>
    <t>D 61141</t>
  </si>
  <si>
    <t>(770) 948-5400</t>
  </si>
  <si>
    <t>Collins, James G.</t>
  </si>
  <si>
    <t>(706) 854-2180</t>
  </si>
  <si>
    <t>(706) 854-2181</t>
  </si>
  <si>
    <t>Colvin, Randall K</t>
  </si>
  <si>
    <t>G27649</t>
  </si>
  <si>
    <t>(706) 650-7799</t>
  </si>
  <si>
    <t>(706) 650-9540</t>
  </si>
  <si>
    <t>Cooper, Kieran Alexander</t>
  </si>
  <si>
    <t>B39314</t>
  </si>
  <si>
    <t>(678) 499-8633</t>
  </si>
  <si>
    <t>(678) 510-7555</t>
  </si>
  <si>
    <t>Cronic, Randy</t>
  </si>
  <si>
    <t>(678) 417-1780</t>
  </si>
  <si>
    <t>(678) 417-8825</t>
  </si>
  <si>
    <t>Crooker, Christopher S.</t>
  </si>
  <si>
    <t>(770) 277-8554</t>
  </si>
  <si>
    <t>(770) 277-1799</t>
  </si>
  <si>
    <t>Dambach, Robert Thomas Jr.</t>
  </si>
  <si>
    <t>Sugar Hill</t>
  </si>
  <si>
    <t>E97659</t>
  </si>
  <si>
    <t>(770) 945-1990</t>
  </si>
  <si>
    <t>(770) 945-3631</t>
  </si>
  <si>
    <t>Dannehl, Karl</t>
  </si>
  <si>
    <t>(404) 367-3070</t>
  </si>
  <si>
    <t>(404) 367-3085</t>
  </si>
  <si>
    <t>Dao, Lynda</t>
  </si>
  <si>
    <t>I38474</t>
  </si>
  <si>
    <t>(770) 384-9900</t>
  </si>
  <si>
    <t>(770) 384-9912</t>
  </si>
  <si>
    <t>Delmazo, Jacinta</t>
  </si>
  <si>
    <t>Emory Midtown</t>
  </si>
  <si>
    <t>(404) 577-1112</t>
  </si>
  <si>
    <t>Dentsch, Samuel</t>
  </si>
  <si>
    <t>(770) 682-8442</t>
  </si>
  <si>
    <t>(770) 682-8200</t>
  </si>
  <si>
    <t>Desai, Rohit M.</t>
  </si>
  <si>
    <t>(770) 381-8752</t>
  </si>
  <si>
    <t>(404) 296-5599</t>
  </si>
  <si>
    <t>Deshpande, Priya S.</t>
  </si>
  <si>
    <t>G00899</t>
  </si>
  <si>
    <t>(706) 868-7380</t>
  </si>
  <si>
    <t>(706) 868-7223</t>
  </si>
  <si>
    <t>Devu, Indira</t>
  </si>
  <si>
    <t>H88534</t>
  </si>
  <si>
    <t>(770) 955-1814</t>
  </si>
  <si>
    <t>(770) 952-1118</t>
  </si>
  <si>
    <t>Dichristina, Michael Angel</t>
  </si>
  <si>
    <t>Jonesboro</t>
  </si>
  <si>
    <t>(770) 968-7933</t>
  </si>
  <si>
    <t>(770) 968-6521</t>
  </si>
  <si>
    <t>Dickens, Rio Dion</t>
  </si>
  <si>
    <t>(404) 778-2700</t>
  </si>
  <si>
    <t>Downs, Amanda Jane</t>
  </si>
  <si>
    <t>Watkinsville</t>
  </si>
  <si>
    <t>G30243</t>
  </si>
  <si>
    <t>(706) 769-3331</t>
  </si>
  <si>
    <t>(706) 769-3360</t>
  </si>
  <si>
    <t>Dretler, Robin Henry</t>
  </si>
  <si>
    <t>D29338</t>
  </si>
  <si>
    <t>(404) 297-9755</t>
  </si>
  <si>
    <t>(404) 297-5005</t>
  </si>
  <si>
    <t>Drexinger, Bernard R</t>
  </si>
  <si>
    <t>Roswell</t>
  </si>
  <si>
    <t>E70731</t>
  </si>
  <si>
    <t>(770) 751-1589</t>
  </si>
  <si>
    <t>(770) 751-1660</t>
  </si>
  <si>
    <t>Drummond, John A.</t>
  </si>
  <si>
    <t>(404) 446-0456</t>
  </si>
  <si>
    <t>(404) 355-7184</t>
  </si>
  <si>
    <t>Dua, Amit K. MD</t>
  </si>
  <si>
    <t>Cumming</t>
  </si>
  <si>
    <t>H49102</t>
  </si>
  <si>
    <t>(770) 887-5553</t>
  </si>
  <si>
    <t>(770) 844-3813</t>
  </si>
  <si>
    <t>Duckett, James</t>
  </si>
  <si>
    <t>(770) 889-0891</t>
  </si>
  <si>
    <t>(770) 889-0354</t>
  </si>
  <si>
    <t>Duncan, Wallace</t>
  </si>
  <si>
    <t>E</t>
  </si>
  <si>
    <t>Lithonia</t>
  </si>
  <si>
    <t>G21584</t>
  </si>
  <si>
    <t>(770) 987-8400</t>
  </si>
  <si>
    <t>(770) 987-8494</t>
  </si>
  <si>
    <t>Dutta, Leena</t>
  </si>
  <si>
    <t>G 54065</t>
  </si>
  <si>
    <t>(770) 751-2777</t>
  </si>
  <si>
    <t>(770) 751-2773</t>
  </si>
  <si>
    <t>Emeruwa, Catherine</t>
  </si>
  <si>
    <t>B</t>
  </si>
  <si>
    <t>Peachtree City</t>
  </si>
  <si>
    <t>(770) 632-6093</t>
  </si>
  <si>
    <t>English, Jeffrey MD</t>
  </si>
  <si>
    <t>13BDDFD</t>
  </si>
  <si>
    <t>(770) 429-1455</t>
  </si>
  <si>
    <t>(404) 351-7309</t>
  </si>
  <si>
    <t>Entrekin, John Manor, MD</t>
  </si>
  <si>
    <t>Erinne, Samuel C.</t>
  </si>
  <si>
    <t>East Point</t>
  </si>
  <si>
    <t>F31881</t>
  </si>
  <si>
    <t>(404) 768-4626</t>
  </si>
  <si>
    <t>(404) 768-4631</t>
  </si>
  <si>
    <t>Etter, Bridget MD</t>
  </si>
  <si>
    <t>(404) 365-0966</t>
  </si>
  <si>
    <t>(770) 603-3777</t>
  </si>
  <si>
    <t>Eyzaguirre, William A</t>
  </si>
  <si>
    <t>(678) 547-1045</t>
  </si>
  <si>
    <t>(678) 547-1048</t>
  </si>
  <si>
    <t>Faraque, Sarius</t>
  </si>
  <si>
    <t>H003943</t>
  </si>
  <si>
    <t>Faught, Raymond</t>
  </si>
  <si>
    <t>B-220</t>
  </si>
  <si>
    <t>(404) 778-3444</t>
  </si>
  <si>
    <t>(404) 778-4218</t>
  </si>
  <si>
    <t>Feldman, Larry</t>
  </si>
  <si>
    <t>(770) 422-0064</t>
  </si>
  <si>
    <t>(770) 422-1765</t>
  </si>
  <si>
    <t>Fowler, Reginald Stephen, MD</t>
  </si>
  <si>
    <t>D39884</t>
  </si>
  <si>
    <t>(678) 704-8000</t>
  </si>
  <si>
    <t>(404) 350-8873</t>
  </si>
  <si>
    <t>Franco, Juan Carlos</t>
  </si>
  <si>
    <t>(678) 945-2100</t>
  </si>
  <si>
    <t>(770) 941-3870</t>
  </si>
  <si>
    <t>Frantz, Robert Clark</t>
  </si>
  <si>
    <t>H 42585</t>
  </si>
  <si>
    <t>(770) 921-6900</t>
  </si>
  <si>
    <t>(770) 921-6313</t>
  </si>
  <si>
    <t>Friedman, Mark G.</t>
  </si>
  <si>
    <t>(678) 718-2940</t>
  </si>
  <si>
    <t>(678) 718-2941</t>
  </si>
  <si>
    <t>Frinks, Andrew</t>
  </si>
  <si>
    <t>Tucker</t>
  </si>
  <si>
    <t>(770) 938-1757</t>
  </si>
  <si>
    <t>(770) 938-1759</t>
  </si>
  <si>
    <t>Fuller, Tama</t>
  </si>
  <si>
    <t>(404) 256-3178</t>
  </si>
  <si>
    <t>(404) 256-3583</t>
  </si>
  <si>
    <t>Gandy, Laura Agnew</t>
  </si>
  <si>
    <t>(404) 892-2131</t>
  </si>
  <si>
    <t>(404) 215-9222</t>
  </si>
  <si>
    <t>Gelly, John A.</t>
  </si>
  <si>
    <t>(770) 427-4682</t>
  </si>
  <si>
    <t>(770) 499-8562</t>
  </si>
  <si>
    <t>George, Elizabeth</t>
  </si>
  <si>
    <t>H28066</t>
  </si>
  <si>
    <t>(678) 388-2184</t>
  </si>
  <si>
    <t>(678) 388-2188</t>
  </si>
  <si>
    <t>Glass, Jonathan</t>
  </si>
  <si>
    <t>Goodman, Daniel S.</t>
  </si>
  <si>
    <t>D39985</t>
  </si>
  <si>
    <t>(770) 455-7082</t>
  </si>
  <si>
    <t>(770) 455-7087</t>
  </si>
  <si>
    <t>Gotlieb, Edward M.</t>
  </si>
  <si>
    <t>D</t>
  </si>
  <si>
    <t>(404) 296-3800</t>
  </si>
  <si>
    <t>(404) 297-8753</t>
  </si>
  <si>
    <t>Goza, Sara H.</t>
  </si>
  <si>
    <t>D 29606</t>
  </si>
  <si>
    <t>(770) 460-4281</t>
  </si>
  <si>
    <t>(770) 460-4002</t>
  </si>
  <si>
    <t>Grady Health, System</t>
  </si>
  <si>
    <t>(404) 616-1000</t>
  </si>
  <si>
    <t>Grady Hospital, any doctor</t>
  </si>
  <si>
    <t>Graves, Taylor</t>
  </si>
  <si>
    <t>Green, Arthur</t>
  </si>
  <si>
    <t>D40008</t>
  </si>
  <si>
    <t>(770) 934-7876</t>
  </si>
  <si>
    <t>(678) 990-7236</t>
  </si>
  <si>
    <t>Gul, Rahim</t>
  </si>
  <si>
    <t>(678) 380-8353</t>
  </si>
  <si>
    <t>(678) 380-8388</t>
  </si>
  <si>
    <t>Gunadeva, Padmini</t>
  </si>
  <si>
    <t>G17823</t>
  </si>
  <si>
    <t>(770) 978-3388</t>
  </si>
  <si>
    <t>(770) 978-0807</t>
  </si>
  <si>
    <t>Halcyon, Hospice doctor</t>
  </si>
  <si>
    <t>(678) 717-0969</t>
  </si>
  <si>
    <t>Halkos, Alexander</t>
  </si>
  <si>
    <t>(404) 778-7667</t>
  </si>
  <si>
    <t>(404) 778-8199</t>
  </si>
  <si>
    <t>Hanagud, Shaanta A.</t>
  </si>
  <si>
    <t>H40319</t>
  </si>
  <si>
    <t>Haritage, Medical House</t>
  </si>
  <si>
    <t>300-13</t>
  </si>
  <si>
    <t>(888) 461-9765</t>
  </si>
  <si>
    <t>(678) 381-1684</t>
  </si>
  <si>
    <t>Harjee, Gulshan S.</t>
  </si>
  <si>
    <t>D40061</t>
  </si>
  <si>
    <t>(770) 934-6832</t>
  </si>
  <si>
    <t>(770) 938-0837</t>
  </si>
  <si>
    <t>Harrover, James David</t>
  </si>
  <si>
    <t>1C</t>
  </si>
  <si>
    <t>H50675</t>
  </si>
  <si>
    <t>(706) 854-2160</t>
  </si>
  <si>
    <t>(706) 854-2930</t>
  </si>
  <si>
    <t>Hasso, Liza</t>
  </si>
  <si>
    <t>(404) 685-0800</t>
  </si>
  <si>
    <t>(404) 685-0812</t>
  </si>
  <si>
    <t>Head, Delphanie Deshan</t>
  </si>
  <si>
    <t>H 43538</t>
  </si>
  <si>
    <t>(404) 524-8950</t>
  </si>
  <si>
    <t>(404) 524-8948</t>
  </si>
  <si>
    <t>Helton, Timothy D.</t>
  </si>
  <si>
    <t>(770) 973-7302</t>
  </si>
  <si>
    <t>(770) 971-6692</t>
  </si>
  <si>
    <t>Hendler, David N.</t>
  </si>
  <si>
    <t>(770) 565-8998</t>
  </si>
  <si>
    <t>(770) 565-8901</t>
  </si>
  <si>
    <t>Henry, Kela Yvette</t>
  </si>
  <si>
    <t>Hill</t>
  </si>
  <si>
    <t>H 78582</t>
  </si>
  <si>
    <t>(770) 932-0547</t>
  </si>
  <si>
    <t>(770) 932-4035</t>
  </si>
  <si>
    <t>Herbert, Jennifer MD</t>
  </si>
  <si>
    <t>Martinez</t>
  </si>
  <si>
    <t>(706) 228-2565</t>
  </si>
  <si>
    <t>(706) 868-1405</t>
  </si>
  <si>
    <t>Herrera, Robert</t>
  </si>
  <si>
    <t>2-460</t>
  </si>
  <si>
    <t>(404) 256-1104</t>
  </si>
  <si>
    <t>(404) 256-0321</t>
  </si>
  <si>
    <t>High, Thomas J.</t>
  </si>
  <si>
    <t>(404) 255-7325</t>
  </si>
  <si>
    <t>(404) 255-3055</t>
  </si>
  <si>
    <t>Hillson, Willie Joseph</t>
  </si>
  <si>
    <t>D 29763</t>
  </si>
  <si>
    <t>(706) 736-3210</t>
  </si>
  <si>
    <t>(706) 736-2674</t>
  </si>
  <si>
    <t>Hodge, Rasean T.</t>
  </si>
  <si>
    <t>Springs</t>
  </si>
  <si>
    <t>956428296 A</t>
  </si>
  <si>
    <t>(404) 856-6110</t>
  </si>
  <si>
    <t>(404) 842-1058</t>
  </si>
  <si>
    <t>Hogue, Davis Brewer</t>
  </si>
  <si>
    <t>G29394</t>
  </si>
  <si>
    <t>Homestead, Hospice</t>
  </si>
  <si>
    <t>200-100</t>
  </si>
  <si>
    <t>(770) 797-9300</t>
  </si>
  <si>
    <t>(678) 966-0071</t>
  </si>
  <si>
    <t>Hood, Fred K.</t>
  </si>
  <si>
    <t>Stockbridge</t>
  </si>
  <si>
    <t>G90424</t>
  </si>
  <si>
    <t>(404) 778-6886</t>
  </si>
  <si>
    <t>(404) 778-6819</t>
  </si>
  <si>
    <t>Hoodbhoy, Nadeem N.</t>
  </si>
  <si>
    <t>(770) 929-0813</t>
  </si>
  <si>
    <t>(770) 922-8653</t>
  </si>
  <si>
    <t>Hooper, Joseph Allen</t>
  </si>
  <si>
    <t xml:space="preserve"> H57797</t>
  </si>
  <si>
    <t>Hospice, Heartland</t>
  </si>
  <si>
    <t>(706) 860-7374</t>
  </si>
  <si>
    <t>(706) 860-9410</t>
  </si>
  <si>
    <t>Houser, John III</t>
  </si>
  <si>
    <t>(404) 699-1353</t>
  </si>
  <si>
    <t>(404) 699-5919</t>
  </si>
  <si>
    <t>Hudson, Lori A, NP</t>
  </si>
  <si>
    <t>Temple</t>
  </si>
  <si>
    <t>(770) 562-9007</t>
  </si>
  <si>
    <t>(770) 562-9060</t>
  </si>
  <si>
    <t>Hudson, Yacoba</t>
  </si>
  <si>
    <t>(770) 926-8717</t>
  </si>
  <si>
    <t>(770) 926-0220</t>
  </si>
  <si>
    <t>Huggins, Sarah C.</t>
  </si>
  <si>
    <t>D 29817</t>
  </si>
  <si>
    <t>(770) 469-7000</t>
  </si>
  <si>
    <t>(770) 879-0436</t>
  </si>
  <si>
    <t>Husain, Noureen</t>
  </si>
  <si>
    <t>(770) 941-7709</t>
  </si>
  <si>
    <t>(770) 941-6441</t>
  </si>
  <si>
    <t>Hutchings, Walter</t>
  </si>
  <si>
    <t>Macon</t>
  </si>
  <si>
    <t>(478) 405-2222</t>
  </si>
  <si>
    <t>(478) 405-2229</t>
  </si>
  <si>
    <t>Isenstein, Douglas A.</t>
  </si>
  <si>
    <t>D29846</t>
  </si>
  <si>
    <t>(770) 979-0367</t>
  </si>
  <si>
    <t>(770) 979-1830</t>
  </si>
  <si>
    <t>Jackson, Ralph</t>
  </si>
  <si>
    <t>(770) 476-2273</t>
  </si>
  <si>
    <t>(770) 476-2274</t>
  </si>
  <si>
    <t>Jimerson II, Andrew</t>
  </si>
  <si>
    <t>(678) 205-8400</t>
  </si>
  <si>
    <t>(678) 681-1371</t>
  </si>
  <si>
    <t>John, Lin</t>
  </si>
  <si>
    <t>H42374</t>
  </si>
  <si>
    <t>(404) 352-2020</t>
  </si>
  <si>
    <t>(404) 350-7381</t>
  </si>
  <si>
    <t>Johnson, Khadeja</t>
  </si>
  <si>
    <t>(404) 756-1400</t>
  </si>
  <si>
    <t>(404) 756-1494</t>
  </si>
  <si>
    <t>Jones, George W.</t>
  </si>
  <si>
    <t>D70486</t>
  </si>
  <si>
    <t>(404) 686-8181</t>
  </si>
  <si>
    <t>(404) 686-5975</t>
  </si>
  <si>
    <t>Jordan, Thomas M.</t>
  </si>
  <si>
    <t>(770) 343-8565</t>
  </si>
  <si>
    <t>(770) 343-8651</t>
  </si>
  <si>
    <t>Kaldas, Eman MD</t>
  </si>
  <si>
    <t>H53757</t>
  </si>
  <si>
    <t>(706) 792-5075</t>
  </si>
  <si>
    <t>(706) 792-5085</t>
  </si>
  <si>
    <t>Kang, Chistopher C.</t>
  </si>
  <si>
    <t>Creek</t>
  </si>
  <si>
    <t>E 32191</t>
  </si>
  <si>
    <t>(770) 497-4188</t>
  </si>
  <si>
    <t>(770) 497-4189</t>
  </si>
  <si>
    <t>Kang, Young</t>
  </si>
  <si>
    <t>(678) 417-0077</t>
  </si>
  <si>
    <t>(678) 417-0337</t>
  </si>
  <si>
    <t>Kaplan, Richard David</t>
  </si>
  <si>
    <t>E19951</t>
  </si>
  <si>
    <t>(404) 256-3135</t>
  </si>
  <si>
    <t>(404) 256-3137</t>
  </si>
  <si>
    <t>Kaufmann, Robert S.</t>
  </si>
  <si>
    <t>E19950</t>
  </si>
  <si>
    <t>(404) 881-9727</t>
  </si>
  <si>
    <t>(404) 523-9184</t>
  </si>
  <si>
    <t>Kellar, Scott, DO</t>
  </si>
  <si>
    <t>E89431</t>
  </si>
  <si>
    <t>Kelly, Linda</t>
  </si>
  <si>
    <t>(770) 664-9299</t>
  </si>
  <si>
    <t>(770) 667-1704</t>
  </si>
  <si>
    <t>Kennedy, Sheila</t>
  </si>
  <si>
    <t>(404) 578-4983</t>
  </si>
  <si>
    <t>(678) 578-4988</t>
  </si>
  <si>
    <t>Kessler, Alexander</t>
  </si>
  <si>
    <t>(770) 345-2300</t>
  </si>
  <si>
    <t>Kessler, Benjamin Gr.</t>
  </si>
  <si>
    <t>G85434</t>
  </si>
  <si>
    <t>(706) 733-0188</t>
  </si>
  <si>
    <t>(706) 491-6729</t>
  </si>
  <si>
    <t>Khan, Ayesha</t>
  </si>
  <si>
    <t>20211i7619</t>
  </si>
  <si>
    <t>(770) 938-1266</t>
  </si>
  <si>
    <t>(770) 939-4093</t>
  </si>
  <si>
    <t>Khan, Khurram A.</t>
  </si>
  <si>
    <t>Briarcliff</t>
  </si>
  <si>
    <t>Khan, Mehwish</t>
  </si>
  <si>
    <t>(404) 497-1020</t>
  </si>
  <si>
    <t>(404) 252-1530</t>
  </si>
  <si>
    <t>Khan, Mohammad</t>
  </si>
  <si>
    <t>(770) 428-8118</t>
  </si>
  <si>
    <t>Khouri, Joseph MD</t>
  </si>
  <si>
    <t>D40350</t>
  </si>
  <si>
    <t>(404) 778-6510</t>
  </si>
  <si>
    <t>(404) 778-6548</t>
  </si>
  <si>
    <t>Kim, Chang Soo</t>
  </si>
  <si>
    <t>D45845</t>
  </si>
  <si>
    <t>(770) 614-9799</t>
  </si>
  <si>
    <t>(770) 614-9789</t>
  </si>
  <si>
    <t>Kim, Jin Ahn</t>
  </si>
  <si>
    <t>700-701A</t>
  </si>
  <si>
    <t>(678) 417-1255</t>
  </si>
  <si>
    <t>(678) 417-1258</t>
  </si>
  <si>
    <t>Kim, Jo Myeong</t>
  </si>
  <si>
    <t>(770) 858-5252</t>
  </si>
  <si>
    <t>(770) 858-5254</t>
  </si>
  <si>
    <t>Kim, Shawn</t>
  </si>
  <si>
    <t>(770) 864-5510</t>
  </si>
  <si>
    <t>Kim, Sooil</t>
  </si>
  <si>
    <t>G-6</t>
  </si>
  <si>
    <t>D40357</t>
  </si>
  <si>
    <t>(770) 446-0929</t>
  </si>
  <si>
    <t>(770) 446-6977</t>
  </si>
  <si>
    <t>Kim, Sun Hee</t>
  </si>
  <si>
    <t>D45842</t>
  </si>
  <si>
    <t>Koval, Gregg M</t>
  </si>
  <si>
    <t>(404) 250-4863</t>
  </si>
  <si>
    <t>KRACHMAN, BRIAN S.</t>
  </si>
  <si>
    <t>(404) 255-9244</t>
  </si>
  <si>
    <t>(404) 255-9114</t>
  </si>
  <si>
    <t>Kure, Ravinder K.</t>
  </si>
  <si>
    <t>F48660</t>
  </si>
  <si>
    <t>(678) 289-0188</t>
  </si>
  <si>
    <t>(678) 289-0187</t>
  </si>
  <si>
    <t>Kwon, Dennis</t>
  </si>
  <si>
    <t>Doraville</t>
  </si>
  <si>
    <t>Kwon, Yong Ku</t>
  </si>
  <si>
    <t>O04834</t>
  </si>
  <si>
    <t>Lacayo, Emilio</t>
  </si>
  <si>
    <t>G45795</t>
  </si>
  <si>
    <t>(404) 350-3860</t>
  </si>
  <si>
    <t>(404) 609-7660</t>
  </si>
  <si>
    <t>Ladipo, Olanrewaju O.</t>
  </si>
  <si>
    <t>(404) 454-6785</t>
  </si>
  <si>
    <t>(404) 537-1707</t>
  </si>
  <si>
    <t>Lafosse, Vera DO</t>
  </si>
  <si>
    <t>HB-4000</t>
  </si>
  <si>
    <t>(706) 721-4588</t>
  </si>
  <si>
    <t>(706) 721-7264</t>
  </si>
  <si>
    <t>Lane, Kevin A.</t>
  </si>
  <si>
    <t>Langford, Terry Newton</t>
  </si>
  <si>
    <t>Hiram</t>
  </si>
  <si>
    <t>G86830</t>
  </si>
  <si>
    <t>(770) 222-5488</t>
  </si>
  <si>
    <t>(770) 222-5491</t>
  </si>
  <si>
    <t>Le, Long Hoang</t>
  </si>
  <si>
    <t>200-201</t>
  </si>
  <si>
    <t>G 60349</t>
  </si>
  <si>
    <t>(770) 777-9845</t>
  </si>
  <si>
    <t>(770) 777-9846</t>
  </si>
  <si>
    <t>Lee, Peter K</t>
  </si>
  <si>
    <t>(770) 670-6565</t>
  </si>
  <si>
    <t>(770) 670-6566</t>
  </si>
  <si>
    <t>Lemke, Jimmy V.</t>
  </si>
  <si>
    <t>7A</t>
  </si>
  <si>
    <t>E77496</t>
  </si>
  <si>
    <t>(706) 722-0463</t>
  </si>
  <si>
    <t>(706) 722-3590</t>
  </si>
  <si>
    <t>Lioda, Bonney</t>
  </si>
  <si>
    <t>(770) 716-5490</t>
  </si>
  <si>
    <t>(770) 692-9868</t>
  </si>
  <si>
    <t>Liotta, Richard</t>
  </si>
  <si>
    <t>Buford</t>
  </si>
  <si>
    <t>F96449</t>
  </si>
  <si>
    <t>Mack, Edward C</t>
  </si>
  <si>
    <t>11BDBCV</t>
  </si>
  <si>
    <t>(404) 241-0103</t>
  </si>
  <si>
    <t>(404) 241-0069</t>
  </si>
  <si>
    <t>Malave, Hector A.</t>
  </si>
  <si>
    <t>H80138</t>
  </si>
  <si>
    <t>(404) 252-7970</t>
  </si>
  <si>
    <t>(404) 252-0553</t>
  </si>
  <si>
    <t>Maloney, John</t>
  </si>
  <si>
    <t>(678) 878-3441</t>
  </si>
  <si>
    <t>Margletta, Susan C.</t>
  </si>
  <si>
    <t>F 55408</t>
  </si>
  <si>
    <t>(770) 582-1911</t>
  </si>
  <si>
    <t>(770) 582-1942</t>
  </si>
  <si>
    <t>Marler, Kevin</t>
  </si>
  <si>
    <t>(770) 487-1454</t>
  </si>
  <si>
    <t>(770) 487-9974</t>
  </si>
  <si>
    <t>Marsh, Robert W.</t>
  </si>
  <si>
    <t>(770) 939-6000</t>
  </si>
  <si>
    <t>(770) 491-9195</t>
  </si>
  <si>
    <t>Masor, Jonathan Jay</t>
  </si>
  <si>
    <t>D30155001</t>
  </si>
  <si>
    <t>(404) 778-0480</t>
  </si>
  <si>
    <t>(404) 778-2785</t>
  </si>
  <si>
    <t>Mauer, Catherine T.</t>
  </si>
  <si>
    <t>108-109</t>
  </si>
  <si>
    <t>(678) 289-8184</t>
  </si>
  <si>
    <t>(678) 565-9856</t>
  </si>
  <si>
    <t>(770) 493-4620</t>
  </si>
  <si>
    <t>(770) 270-5301</t>
  </si>
  <si>
    <t>McCuiston, Steven J.</t>
  </si>
  <si>
    <t>E91374</t>
  </si>
  <si>
    <t>Mehta, Anand Pravin</t>
  </si>
  <si>
    <t>(770) 740-1753</t>
  </si>
  <si>
    <t>(770) 740-8503</t>
  </si>
  <si>
    <t>Mellits, Arnold B.</t>
  </si>
  <si>
    <t>C500</t>
  </si>
  <si>
    <t>G54531</t>
  </si>
  <si>
    <t>(678) 775-2284</t>
  </si>
  <si>
    <t>(678) 775-2285</t>
  </si>
  <si>
    <t>Midha, Raju</t>
  </si>
  <si>
    <t>(770) 492-8665</t>
  </si>
  <si>
    <t>(770) 492-8663</t>
  </si>
  <si>
    <t>Miller, Alan</t>
  </si>
  <si>
    <t>50B</t>
  </si>
  <si>
    <t>(770) 458-8381</t>
  </si>
  <si>
    <t>(770) 458-7472</t>
  </si>
  <si>
    <t>Miller, Celeste</t>
  </si>
  <si>
    <t>B2</t>
  </si>
  <si>
    <t>(404) 691-7006</t>
  </si>
  <si>
    <t>(404) 629-9498</t>
  </si>
  <si>
    <t>Miller, Fredd E.</t>
  </si>
  <si>
    <t>G71154</t>
  </si>
  <si>
    <t>(770) 455-9337</t>
  </si>
  <si>
    <t>(770) 455-9339</t>
  </si>
  <si>
    <t>Mohanty, Namita</t>
  </si>
  <si>
    <t>(706) 721-4078</t>
  </si>
  <si>
    <t>(706) 721-6918</t>
  </si>
  <si>
    <t>Monahan, Nan R.</t>
  </si>
  <si>
    <t>G57821</t>
  </si>
  <si>
    <t>(404) 355-1966</t>
  </si>
  <si>
    <t>(404) 603-2801</t>
  </si>
  <si>
    <t>Moore, Harold Earl</t>
  </si>
  <si>
    <t>(770) 322-7983</t>
  </si>
  <si>
    <t>Mosieri, Eberechukwu</t>
  </si>
  <si>
    <t>Moxa, Richard</t>
  </si>
  <si>
    <t>(678) 597-3180</t>
  </si>
  <si>
    <t>(678) 597-3181</t>
  </si>
  <si>
    <t>Munir, Sofia R.</t>
  </si>
  <si>
    <t>I52409</t>
  </si>
  <si>
    <t>(770) 487-7807</t>
  </si>
  <si>
    <t>(770) 487-7619</t>
  </si>
  <si>
    <t>Murro, Anthony</t>
  </si>
  <si>
    <t>D 40728</t>
  </si>
  <si>
    <t>(706) 721-3325</t>
  </si>
  <si>
    <t>(706) 721-3377</t>
  </si>
  <si>
    <t>Musani, Sadrudin LB</t>
  </si>
  <si>
    <t>D 40727</t>
  </si>
  <si>
    <t>(404) 659-1421</t>
  </si>
  <si>
    <t>(404) 521-1416</t>
  </si>
  <si>
    <t>Na, Song</t>
  </si>
  <si>
    <t>(678) 456-5059</t>
  </si>
  <si>
    <t>(678) 546-5470</t>
  </si>
  <si>
    <t>Nariani, Sanjay</t>
  </si>
  <si>
    <t>(678) 714-8522</t>
  </si>
  <si>
    <t>Newman, Danny A</t>
  </si>
  <si>
    <t>H76731</t>
  </si>
  <si>
    <t>(706) 733-4823</t>
  </si>
  <si>
    <t>(706) 733-4856</t>
  </si>
  <si>
    <t>Niaz, Saira Tariq</t>
  </si>
  <si>
    <t>(770) 322-9660</t>
  </si>
  <si>
    <t>(770) 322-1981</t>
  </si>
  <si>
    <t>Nwoke, Mary O</t>
  </si>
  <si>
    <t>(770) 688-1087</t>
  </si>
  <si>
    <t>(770) 277-4018</t>
  </si>
  <si>
    <t>Ogundipe, John O.</t>
  </si>
  <si>
    <t>G 02934</t>
  </si>
  <si>
    <t>(404) 252-2002</t>
  </si>
  <si>
    <t>(404) 252-2112</t>
  </si>
  <si>
    <t>Ohagwu, Christian C.</t>
  </si>
  <si>
    <t>Park</t>
  </si>
  <si>
    <t>(404) 766-1970</t>
  </si>
  <si>
    <t>(404) 766-6221</t>
  </si>
  <si>
    <t>O'Heron, Sara</t>
  </si>
  <si>
    <t>F52628</t>
  </si>
  <si>
    <t>(770) 631-4873</t>
  </si>
  <si>
    <t>(770) 631-0684</t>
  </si>
  <si>
    <t>Ojo, Olufunso  A.</t>
  </si>
  <si>
    <t>I 14932</t>
  </si>
  <si>
    <t>(770) 484-3092</t>
  </si>
  <si>
    <t>(770) 484-3096</t>
  </si>
  <si>
    <t>Opanuga, Ademola A.</t>
  </si>
  <si>
    <t>(404) 365-0160</t>
  </si>
  <si>
    <t>(404) 365-0751</t>
  </si>
  <si>
    <t>Osborne, William, MD</t>
  </si>
  <si>
    <t>D30400</t>
  </si>
  <si>
    <t>(770) 716-7999</t>
  </si>
  <si>
    <t>(770) 716-8444</t>
  </si>
  <si>
    <t>Osinuga, Oladayo</t>
  </si>
  <si>
    <t>2D</t>
  </si>
  <si>
    <t>Point</t>
  </si>
  <si>
    <t>Overstreet-Wright, Angela</t>
  </si>
  <si>
    <t>H10149</t>
  </si>
  <si>
    <t>(706) 790-4440</t>
  </si>
  <si>
    <t>(706) 790-4393</t>
  </si>
  <si>
    <t>Padhiar, Hemen</t>
  </si>
  <si>
    <t>I30626</t>
  </si>
  <si>
    <t>(770) 844-0877</t>
  </si>
  <si>
    <t>(770) 844-0891</t>
  </si>
  <si>
    <t>Pan, Qiuping</t>
  </si>
  <si>
    <t>V</t>
  </si>
  <si>
    <t>(770) 457-6043</t>
  </si>
  <si>
    <t>Paradela, Mark</t>
  </si>
  <si>
    <t>Monroe</t>
  </si>
  <si>
    <t>(706) 549-8931</t>
  </si>
  <si>
    <t>Parikh, Asha N.</t>
  </si>
  <si>
    <t>D42310</t>
  </si>
  <si>
    <t>(404) 634-1556</t>
  </si>
  <si>
    <t>(404) 634-1557</t>
  </si>
  <si>
    <t>Parikh, Naresh</t>
  </si>
  <si>
    <t>D41971</t>
  </si>
  <si>
    <t>(770) 962-6443</t>
  </si>
  <si>
    <t>(770) 962-8355</t>
  </si>
  <si>
    <t>Parrish, Ramon O</t>
  </si>
  <si>
    <t xml:space="preserve"> E53986</t>
  </si>
  <si>
    <t>(706) 721-4264</t>
  </si>
  <si>
    <t>Parrott, Thomas</t>
  </si>
  <si>
    <t>Mountain</t>
  </si>
  <si>
    <t>B86232</t>
  </si>
  <si>
    <t>(770) 925-2010</t>
  </si>
  <si>
    <t>(770) 925-1665</t>
  </si>
  <si>
    <t>Parry, Scott</t>
  </si>
  <si>
    <t xml:space="preserve">B </t>
  </si>
  <si>
    <t>(404) 541-0944</t>
  </si>
  <si>
    <t>(404) 541-0989</t>
  </si>
  <si>
    <t>Patel, Beena S</t>
  </si>
  <si>
    <t>F60457</t>
  </si>
  <si>
    <t>(770) 394-7868</t>
  </si>
  <si>
    <t>(770) 394-6588</t>
  </si>
  <si>
    <t>Patel, Chirag</t>
  </si>
  <si>
    <t>(404) 761-1550</t>
  </si>
  <si>
    <t>Patel, Nipun</t>
  </si>
  <si>
    <t>G75905</t>
  </si>
  <si>
    <t>(770) 493-6767</t>
  </si>
  <si>
    <t>(770) 493-6797</t>
  </si>
  <si>
    <t>Patel, Rajandra</t>
  </si>
  <si>
    <t>D91041</t>
  </si>
  <si>
    <t>(770) 998-5000</t>
  </si>
  <si>
    <t>(770) 552-2869</t>
  </si>
  <si>
    <t>Paulk, Kirk A.</t>
  </si>
  <si>
    <t>(404) 252-8141</t>
  </si>
  <si>
    <t>Pepper, Kara J.</t>
  </si>
  <si>
    <t>Pervaiz, Sumera, MD</t>
  </si>
  <si>
    <t>(706) 721-3157</t>
  </si>
  <si>
    <t>(706) 721-6123</t>
  </si>
  <si>
    <t>Peterson, Randal Erik MD</t>
  </si>
  <si>
    <t>Grovetown</t>
  </si>
  <si>
    <t>(706) 922-1600</t>
  </si>
  <si>
    <t>(706) 922-1010</t>
  </si>
  <si>
    <t>Philippe, Jean Joseph</t>
  </si>
  <si>
    <t>2-120</t>
  </si>
  <si>
    <t>D90633</t>
  </si>
  <si>
    <t>(404) 250-1204</t>
  </si>
  <si>
    <t>(404) 250-1205</t>
  </si>
  <si>
    <t>Pingeton, Robin A.</t>
  </si>
  <si>
    <t>(678) 577-1421</t>
  </si>
  <si>
    <t>Pirani, Aziz A.</t>
  </si>
  <si>
    <t>(770) 559-3501</t>
  </si>
  <si>
    <t>(770) 696-9078</t>
  </si>
  <si>
    <t>Pirani, Safia A.</t>
  </si>
  <si>
    <t>Clarkston</t>
  </si>
  <si>
    <t>I56366</t>
  </si>
  <si>
    <t>(470) 355-7896</t>
  </si>
  <si>
    <t>(470) 355-7897</t>
  </si>
  <si>
    <t>Pollock, Mark</t>
  </si>
  <si>
    <t>(404) 499-0533</t>
  </si>
  <si>
    <t>(404) 499-0531</t>
  </si>
  <si>
    <t>Price, Thomas</t>
  </si>
  <si>
    <t>I12600</t>
  </si>
  <si>
    <t>(404) 728-6902</t>
  </si>
  <si>
    <t>(404) 728-6425</t>
  </si>
  <si>
    <t>Puhalovich, Frank</t>
  </si>
  <si>
    <t>F 65106</t>
  </si>
  <si>
    <t>Pujari, Monisha, MD</t>
  </si>
  <si>
    <t>(404) 364-7243</t>
  </si>
  <si>
    <t>Pursley, George Clark</t>
  </si>
  <si>
    <t>E 16161</t>
  </si>
  <si>
    <t>(706) 869-9222</t>
  </si>
  <si>
    <t>(706) 869-1527</t>
  </si>
  <si>
    <t>Rafeedie, George K, MD</t>
  </si>
  <si>
    <t>Rafigue, Shahid</t>
  </si>
  <si>
    <t>F99903</t>
  </si>
  <si>
    <t>(770) 736-1735</t>
  </si>
  <si>
    <t>(770) 736-1228</t>
  </si>
  <si>
    <t>Ramos-Gonzalez, Margarita Perla</t>
  </si>
  <si>
    <t>(404) 616-9304</t>
  </si>
  <si>
    <t>(404) 616-6555</t>
  </si>
  <si>
    <t>Ramprasad, Sharmila</t>
  </si>
  <si>
    <t>(770) 627-3986</t>
  </si>
  <si>
    <t>(770) 872-0517</t>
  </si>
  <si>
    <t>Ray, Larry</t>
  </si>
  <si>
    <t>(404) 296-3111</t>
  </si>
  <si>
    <t>(404) 297-7340</t>
  </si>
  <si>
    <t>Read, John</t>
  </si>
  <si>
    <t>(770) 931-6365</t>
  </si>
  <si>
    <t>Reagan Medical Center, Hamilton MC</t>
  </si>
  <si>
    <t>Dacula</t>
  </si>
  <si>
    <t>(678) 549-9800</t>
  </si>
  <si>
    <t>(678) 344-8600</t>
  </si>
  <si>
    <t>Reday, Shrawantika</t>
  </si>
  <si>
    <t>(678) 403-4600</t>
  </si>
  <si>
    <t>(770) 971-6994</t>
  </si>
  <si>
    <t>Reddy, Satyanarayan K.</t>
  </si>
  <si>
    <t>Emory Medical Oncology</t>
  </si>
  <si>
    <t>GPR6884</t>
  </si>
  <si>
    <t>(678) 843-7110</t>
  </si>
  <si>
    <t>(678) 843-7027</t>
  </si>
  <si>
    <t>Reimer, Nickolas B.</t>
  </si>
  <si>
    <t>(404) 778-3012</t>
  </si>
  <si>
    <t>Reines, Susan Shaw</t>
  </si>
  <si>
    <t>F 16014</t>
  </si>
  <si>
    <t>(404) 508-7981</t>
  </si>
  <si>
    <t>(404) 294-6316</t>
  </si>
  <si>
    <t>Rezaei-Amiri, Mandana</t>
  </si>
  <si>
    <t>G 90433</t>
  </si>
  <si>
    <t>(770) 933-9333</t>
  </si>
  <si>
    <t>(770) 579-9331</t>
  </si>
  <si>
    <t>Rhee, Joh MD</t>
  </si>
  <si>
    <t>H27674</t>
  </si>
  <si>
    <t>(404) 778-7000</t>
  </si>
  <si>
    <t>(404) 778-7117</t>
  </si>
  <si>
    <t>Rodriguez, Deborah MD</t>
  </si>
  <si>
    <t>K49770</t>
  </si>
  <si>
    <t>(770) 670-6920</t>
  </si>
  <si>
    <t>(770) 670-6927</t>
  </si>
  <si>
    <t>Rohatgi, Surbhi MD</t>
  </si>
  <si>
    <t>Ross, Jane</t>
  </si>
  <si>
    <t>(770) 938-9761</t>
  </si>
  <si>
    <t>Royston, Elliot</t>
  </si>
  <si>
    <t>(770) 939-5130</t>
  </si>
  <si>
    <t>Sabin, Bruce J.</t>
  </si>
  <si>
    <t>E19594</t>
  </si>
  <si>
    <t>(770) 979-8022</t>
  </si>
  <si>
    <t>(770) 979-1098</t>
  </si>
  <si>
    <t>Samuels, Angella V.</t>
  </si>
  <si>
    <t>K</t>
  </si>
  <si>
    <t>(770) 248-1637</t>
  </si>
  <si>
    <t>(770) 248-1638</t>
  </si>
  <si>
    <t>Sayeed, Javaid</t>
  </si>
  <si>
    <t>Dallas</t>
  </si>
  <si>
    <t>D30721</t>
  </si>
  <si>
    <t>(770) 455-6000</t>
  </si>
  <si>
    <t>(770) 445-9779</t>
  </si>
  <si>
    <t>Scharyi, George</t>
  </si>
  <si>
    <t>D26874</t>
  </si>
  <si>
    <t>(770) 491-8434</t>
  </si>
  <si>
    <t>Seidel, David</t>
  </si>
  <si>
    <t>(770) 677-6147</t>
  </si>
  <si>
    <t>(770) 677-7333</t>
  </si>
  <si>
    <t>Seok, Woun Hue</t>
  </si>
  <si>
    <t>11SCDJC</t>
  </si>
  <si>
    <t>(678) 417-0332</t>
  </si>
  <si>
    <t>(678) 417-0313</t>
  </si>
  <si>
    <t>Setia, Vandana N.</t>
  </si>
  <si>
    <t>100-101</t>
  </si>
  <si>
    <t>Bogart</t>
  </si>
  <si>
    <t>G 54565</t>
  </si>
  <si>
    <t>(706) 546-9839</t>
  </si>
  <si>
    <t>(706) 546-9347</t>
  </si>
  <si>
    <t>Shaefer Jr, Charles F.</t>
  </si>
  <si>
    <t>D41087</t>
  </si>
  <si>
    <t>(706) 854-2923</t>
  </si>
  <si>
    <t>Shah, Meena J.</t>
  </si>
  <si>
    <t>D 41847</t>
  </si>
  <si>
    <t>(770) 995-3300</t>
  </si>
  <si>
    <t>(770) 995-0794</t>
  </si>
  <si>
    <t>Shama, Savitha</t>
  </si>
  <si>
    <t>(404) 832-1054</t>
  </si>
  <si>
    <t>(678) 401-0292</t>
  </si>
  <si>
    <t>Shelton, Courtney</t>
  </si>
  <si>
    <t>H50406</t>
  </si>
  <si>
    <t>(404) 222-9914</t>
  </si>
  <si>
    <t>(404) 524-5902</t>
  </si>
  <si>
    <t>Shroff, Ninshant</t>
  </si>
  <si>
    <t>Douglasville</t>
  </si>
  <si>
    <t>(770) 949-0555</t>
  </si>
  <si>
    <t>(770) 949-4424</t>
  </si>
  <si>
    <t>Shroft, Girish</t>
  </si>
  <si>
    <t>D30822</t>
  </si>
  <si>
    <t>Silver, Heather</t>
  </si>
  <si>
    <t>(404) 778-2701</t>
  </si>
  <si>
    <t>Singh, Brij M.</t>
  </si>
  <si>
    <t>Rome</t>
  </si>
  <si>
    <t>G52997</t>
  </si>
  <si>
    <t>(706) 235-1132</t>
  </si>
  <si>
    <t>(706) 295-4163</t>
  </si>
  <si>
    <t>Singh, Inder Paul</t>
  </si>
  <si>
    <t>G08439</t>
  </si>
  <si>
    <t>(770) 493-1800</t>
  </si>
  <si>
    <t>(770) 493-1860</t>
  </si>
  <si>
    <t>Singh, Jitendra P.</t>
  </si>
  <si>
    <t>G28443</t>
  </si>
  <si>
    <t>(678) 686-9521</t>
  </si>
  <si>
    <t>Singh, Rajender</t>
  </si>
  <si>
    <t>128A</t>
  </si>
  <si>
    <t>Johns Creek</t>
  </si>
  <si>
    <t>G 24320</t>
  </si>
  <si>
    <t>Singhal, Meenu G., MD</t>
  </si>
  <si>
    <t>(706) 650-7563</t>
  </si>
  <si>
    <t>(706) 560-0512</t>
  </si>
  <si>
    <t>Smith, Anthony V</t>
  </si>
  <si>
    <t>(706) 738-9824</t>
  </si>
  <si>
    <t>(706) 736-4111</t>
  </si>
  <si>
    <t>Smith, Jason</t>
  </si>
  <si>
    <t>G14975</t>
  </si>
  <si>
    <t>(404) 350-1122</t>
  </si>
  <si>
    <t>(404) 609-7608</t>
  </si>
  <si>
    <t>Smith, Stephen</t>
  </si>
  <si>
    <t>Soto-Barreto, Dialyn L.</t>
  </si>
  <si>
    <t>(404) 728-6214</t>
  </si>
  <si>
    <t>Srinivasiah, Jayanthi</t>
  </si>
  <si>
    <t>(770) 496-5555</t>
  </si>
  <si>
    <t>(770) 939-2887</t>
  </si>
  <si>
    <t>Stovall, Raymond L.</t>
  </si>
  <si>
    <t>D30927</t>
  </si>
  <si>
    <t>(678) 375-5858</t>
  </si>
  <si>
    <t>(678) 376-5500</t>
  </si>
  <si>
    <t>Stubbs, Miguel E.</t>
  </si>
  <si>
    <t>(678) 556-9460</t>
  </si>
  <si>
    <t>(678) 556-9462</t>
  </si>
  <si>
    <t>Syed, Aazrum I.</t>
  </si>
  <si>
    <t>(678) 867-0904</t>
  </si>
  <si>
    <t>(678) 867-0905</t>
  </si>
  <si>
    <t>Syed, Riaz Ali</t>
  </si>
  <si>
    <t>F95099</t>
  </si>
  <si>
    <t>(678) 377-0900</t>
  </si>
  <si>
    <t>(678) 377-6556</t>
  </si>
  <si>
    <t>Syed, Zaidi</t>
  </si>
  <si>
    <t>(770) 287-0290</t>
  </si>
  <si>
    <t>(770) 287-8597</t>
  </si>
  <si>
    <t>Tam, Kim H.</t>
  </si>
  <si>
    <t>Charlotte</t>
  </si>
  <si>
    <t>NC</t>
  </si>
  <si>
    <t>(704) 342-8115</t>
  </si>
  <si>
    <t>(704) 344-2691</t>
  </si>
  <si>
    <t>Taranto, Alan I.</t>
  </si>
  <si>
    <t>D30976</t>
  </si>
  <si>
    <t>(404) 778-6070</t>
  </si>
  <si>
    <t>(678) 843-6350</t>
  </si>
  <si>
    <t>Thadani, Sharmila</t>
  </si>
  <si>
    <t>11SCDZF</t>
  </si>
  <si>
    <t>(404) 686-5759</t>
  </si>
  <si>
    <t>Thomas, Difulco J.</t>
  </si>
  <si>
    <t>D29302</t>
  </si>
  <si>
    <t>(770) 938-6509</t>
  </si>
  <si>
    <t>Todd, Daulton E.</t>
  </si>
  <si>
    <t>E 01115</t>
  </si>
  <si>
    <t>(770) 781-6373</t>
  </si>
  <si>
    <t>(770) 781-6381</t>
  </si>
  <si>
    <t>Tomeo, Jay Anthony</t>
  </si>
  <si>
    <t>E 41723</t>
  </si>
  <si>
    <t>Torrijos, Emma B.</t>
  </si>
  <si>
    <t>(770) 903-0130</t>
  </si>
  <si>
    <t>(770) 903-0131</t>
  </si>
  <si>
    <t>Toth, James M.</t>
  </si>
  <si>
    <t>G59789</t>
  </si>
  <si>
    <t>(404) 365-4797</t>
  </si>
  <si>
    <t>Traub, Nomi Lisa</t>
  </si>
  <si>
    <t>H 12408</t>
  </si>
  <si>
    <t>(404) 265-1044</t>
  </si>
  <si>
    <t>(404) 265-1047</t>
  </si>
  <si>
    <t>Trinity, Hospice</t>
  </si>
  <si>
    <t>(706) 729-6000</t>
  </si>
  <si>
    <t>Trivedi, Nimisha J.</t>
  </si>
  <si>
    <t>Donough</t>
  </si>
  <si>
    <t>I01657</t>
  </si>
  <si>
    <t>(678) 272-7280</t>
  </si>
  <si>
    <t>(678) 272-7290</t>
  </si>
  <si>
    <t>Turner, Suzanne F</t>
  </si>
  <si>
    <t>H20360</t>
  </si>
  <si>
    <t>(404) 446-3600</t>
  </si>
  <si>
    <t>(404) 446-3609</t>
  </si>
  <si>
    <t>Ullah, Syed Zia</t>
  </si>
  <si>
    <t>(770) 934-6337</t>
  </si>
  <si>
    <t>Vanalstine, Andrew Louis</t>
  </si>
  <si>
    <t>H42335</t>
  </si>
  <si>
    <t>(706) 731-9918</t>
  </si>
  <si>
    <t>Vayner, Galina</t>
  </si>
  <si>
    <t>(770) 903-0120</t>
  </si>
  <si>
    <t>(770) 903-0169</t>
  </si>
  <si>
    <t>Verbitsky, Izabella</t>
  </si>
  <si>
    <t>(404) 251-2930</t>
  </si>
  <si>
    <t>Verras, Athanasios</t>
  </si>
  <si>
    <t>F32104</t>
  </si>
  <si>
    <t>(770) 491-1285</t>
  </si>
  <si>
    <t>(770) 491-3164</t>
  </si>
  <si>
    <t>Villa-Garcia, Pablo Ramon MD</t>
  </si>
  <si>
    <t>(770) 452-5642</t>
  </si>
  <si>
    <t>(770) 452-5643</t>
  </si>
  <si>
    <t>Voljavec, Alexander S.</t>
  </si>
  <si>
    <t>F37675</t>
  </si>
  <si>
    <t>Wallace, Tracey C.</t>
  </si>
  <si>
    <t>G46640</t>
  </si>
  <si>
    <t>(770) 509-1025</t>
  </si>
  <si>
    <t>(770) 509-1884</t>
  </si>
  <si>
    <t>Wang, Regina</t>
  </si>
  <si>
    <t>H55451</t>
  </si>
  <si>
    <t>Webster, Jacob</t>
  </si>
  <si>
    <t>Mobile</t>
  </si>
  <si>
    <t>AL</t>
  </si>
  <si>
    <t>(251) 435-1200</t>
  </si>
  <si>
    <t>(251) 435-6352</t>
  </si>
  <si>
    <t>Weeks, Thomas L.</t>
  </si>
  <si>
    <t>Weinstein, Hospice</t>
  </si>
  <si>
    <t>(404) 351-1897</t>
  </si>
  <si>
    <t>(404) 351-0182</t>
  </si>
  <si>
    <t>Whitehead, Eddie L.</t>
  </si>
  <si>
    <t>E61585</t>
  </si>
  <si>
    <t>(770) 593-2382</t>
  </si>
  <si>
    <t>(678) 514-2527</t>
  </si>
  <si>
    <t>White-Williams, Dorothy A. O.</t>
  </si>
  <si>
    <t xml:space="preserve">C </t>
  </si>
  <si>
    <t>H48013</t>
  </si>
  <si>
    <t>(404) 298-9333</t>
  </si>
  <si>
    <t>(404) 298-9931</t>
  </si>
  <si>
    <t>Wickliffe, Charles W.</t>
  </si>
  <si>
    <t>(404) 605-2800</t>
  </si>
  <si>
    <t>(404) 351-5983</t>
  </si>
  <si>
    <t>Wieskopf, Bram D.</t>
  </si>
  <si>
    <t>(678) 494-4450</t>
  </si>
  <si>
    <t>(678) 494-6265</t>
  </si>
  <si>
    <t>Williams, John P.</t>
  </si>
  <si>
    <t>(770) 736-3008</t>
  </si>
  <si>
    <t>Williams, Tina V.</t>
  </si>
  <si>
    <t>D 50550</t>
  </si>
  <si>
    <t>(770) 903-0134</t>
  </si>
  <si>
    <t>(770) 903-0135</t>
  </si>
  <si>
    <t>Willie, Claire K.</t>
  </si>
  <si>
    <t>Riverdale</t>
  </si>
  <si>
    <t>(770) 907-4949</t>
  </si>
  <si>
    <t>(770) 907-4022</t>
  </si>
  <si>
    <t>Wilson, Jeremiah J.</t>
  </si>
  <si>
    <t>(706) 922-0600</t>
  </si>
  <si>
    <t>(706) 922-0604</t>
  </si>
  <si>
    <t>Yoon, Sangwook Tim</t>
  </si>
  <si>
    <t>(404) 778-7155</t>
  </si>
  <si>
    <t>Zelnak, Amelia</t>
  </si>
  <si>
    <t>(404) 778-1900</t>
  </si>
  <si>
    <t>(404) 778-5550</t>
  </si>
  <si>
    <t>5670 Peachtree Dunwoody Road</t>
  </si>
  <si>
    <t>401 S Main Street</t>
  </si>
  <si>
    <t>2930 Horizon Park Drive</t>
  </si>
  <si>
    <t>4500 N Shallowford Rd</t>
  </si>
  <si>
    <t>1301 Well Brook Circle</t>
  </si>
  <si>
    <t>3720 Davinci Court</t>
  </si>
  <si>
    <t>4120 Five Forks Trickum Road Sw</t>
  </si>
  <si>
    <t>100 Stone Forest Drive</t>
  </si>
  <si>
    <t>5470 Memorial Drive</t>
  </si>
  <si>
    <t>80 Jesse Hill Jr Drive</t>
  </si>
  <si>
    <t>5670 Peachtree Dunwoody Rd Ne</t>
  </si>
  <si>
    <t>2124 Candler Road</t>
  </si>
  <si>
    <t>1930 Powder Springs Road</t>
  </si>
  <si>
    <t>4367 Snapfinger Woods Drive</t>
  </si>
  <si>
    <t>600 Professional Drive</t>
  </si>
  <si>
    <t>4940 Governors Drive</t>
  </si>
  <si>
    <t>4500 N Shallowford Road</t>
  </si>
  <si>
    <t>3497 Duluth Park Lane</t>
  </si>
  <si>
    <t>3340 Paddocks Pkwy</t>
  </si>
  <si>
    <t>619 Parkin Street Ne</t>
  </si>
  <si>
    <t>3890 Johns Creek Pkwy</t>
  </si>
  <si>
    <t>1365 Clifton Road Ne</t>
  </si>
  <si>
    <t>3400 A Old Milton Pkwy</t>
  </si>
  <si>
    <t>939 Thornton Road</t>
  </si>
  <si>
    <t>3634 J Dewey Gray Cir</t>
  </si>
  <si>
    <t>2675 North Decatur Road</t>
  </si>
  <si>
    <t>465 North Belair Road</t>
  </si>
  <si>
    <t>1100 Peachtree Street</t>
  </si>
  <si>
    <t>3969 South Cobb Drive</t>
  </si>
  <si>
    <t>4 Sawannah Street</t>
  </si>
  <si>
    <t>875 Johnson Ferry Road Ne</t>
  </si>
  <si>
    <t>5669 Peachtree Dunwoody Road</t>
  </si>
  <si>
    <t>3401 Boulevard Ne</t>
  </si>
  <si>
    <t>5462 Memorial Drive</t>
  </si>
  <si>
    <t>134 Riverstone Ter</t>
  </si>
  <si>
    <t>1705 Enterprise Way</t>
  </si>
  <si>
    <t>2825 Breckenridge Road</t>
  </si>
  <si>
    <t>3623 J Dewey Gray Cir</t>
  </si>
  <si>
    <t>2123 Wrightsboro Road</t>
  </si>
  <si>
    <t>5 Dunwoody Place</t>
  </si>
  <si>
    <t>3725 Zoar Road</t>
  </si>
  <si>
    <t>1821 Clifton Road Ne</t>
  </si>
  <si>
    <t>4961 Buford Hwy</t>
  </si>
  <si>
    <t>5008 Buford Hwy</t>
  </si>
  <si>
    <t>1500 Oglethorpe Avenue</t>
  </si>
  <si>
    <t>725 North Central Avenue</t>
  </si>
  <si>
    <t>2070 Pleasant Hill Road</t>
  </si>
  <si>
    <t>4153 Flat Scholas Pkwy</t>
  </si>
  <si>
    <t>2045 Peachtree Road</t>
  </si>
  <si>
    <t>195 Fairview Road</t>
  </si>
  <si>
    <t>1790 Mulkey Road</t>
  </si>
  <si>
    <t>101 Yorktown Drive</t>
  </si>
  <si>
    <t>232 19Th Street Nw</t>
  </si>
  <si>
    <t>393 Thornton Road</t>
  </si>
  <si>
    <t>4321 University Parkway</t>
  </si>
  <si>
    <t>1701 Magnolia Way</t>
  </si>
  <si>
    <t>448 Ralph David Abernathy Blvd Sw</t>
  </si>
  <si>
    <t>3660 Howell Ferry Road</t>
  </si>
  <si>
    <t>748 Old Norcross Road</t>
  </si>
  <si>
    <t>4720 Nelson Brogdon Blvd</t>
  </si>
  <si>
    <t>1800 Howell Mill Rd Nw</t>
  </si>
  <si>
    <t>562 Concord Road</t>
  </si>
  <si>
    <t>316 West Pike Street</t>
  </si>
  <si>
    <t>3616 Steve Reynolds Blvd</t>
  </si>
  <si>
    <t>3614 D J Dewey Gray Circle</t>
  </si>
  <si>
    <t>2520 Windy Hill Road</t>
  </si>
  <si>
    <t>6568 A Tara Blvd</t>
  </si>
  <si>
    <t>1525 Clifton Road</t>
  </si>
  <si>
    <t>1351 Stonebridge Pkwy</t>
  </si>
  <si>
    <t>2665 North Decatur Road</t>
  </si>
  <si>
    <t>1325 Northmeadow Pkwy</t>
  </si>
  <si>
    <t>35 Collier Rd Nw</t>
  </si>
  <si>
    <t>1400 Northside Forsyth Drive</t>
  </si>
  <si>
    <t>318 Tribble Gap Road</t>
  </si>
  <si>
    <t>5900 Hillandale Drive</t>
  </si>
  <si>
    <t>3000 Hospice Blvd</t>
  </si>
  <si>
    <t>403 Hwy 74 N</t>
  </si>
  <si>
    <t>3200 Downwood Circle</t>
  </si>
  <si>
    <t>1029 Cleveland Avenue</t>
  </si>
  <si>
    <t>2400 Mt. Zion Pkwy</t>
  </si>
  <si>
    <t>5677 Buford Hwy</t>
  </si>
  <si>
    <t>1595 Spalding Drive</t>
  </si>
  <si>
    <t>3525 Busbee Drive Nw</t>
  </si>
  <si>
    <t>1680 Hospital South Drive</t>
  </si>
  <si>
    <t>1121 Johnson Ferry Road</t>
  </si>
  <si>
    <t>1200 Lakeside Pkwy</t>
  </si>
  <si>
    <t>1100 Lake Hearn Drive</t>
  </si>
  <si>
    <t>550 Peachtree Street Ne</t>
  </si>
  <si>
    <t>54 Tower Road</t>
  </si>
  <si>
    <t>207 River Park N Drive</t>
  </si>
  <si>
    <t>1365 Clifton Road</t>
  </si>
  <si>
    <t>4553 North Shallowford Road</t>
  </si>
  <si>
    <t>5405 Memorial Drive</t>
  </si>
  <si>
    <t>80 Jesse Hill Jr. Drive Se</t>
  </si>
  <si>
    <t>1821 Cliffton Road</t>
  </si>
  <si>
    <t>2545 Lawrenceville Hwy</t>
  </si>
  <si>
    <t>3945 Lawrenceville Hwy</t>
  </si>
  <si>
    <t>2764 West Main Street</t>
  </si>
  <si>
    <t>1435 Haw Creek Circle E</t>
  </si>
  <si>
    <t>2801 North Decatur Road</t>
  </si>
  <si>
    <t>201 W Ponce De Leon Avenue</t>
  </si>
  <si>
    <t>925 Main Street</t>
  </si>
  <si>
    <t>2536 Lawrenceville Hwy</t>
  </si>
  <si>
    <t>465 N Belair Rd</t>
  </si>
  <si>
    <t>2233 Peachtree Road</t>
  </si>
  <si>
    <t>285 Boulevard Ne</t>
  </si>
  <si>
    <t>1010 Johnson Ferry Road</t>
  </si>
  <si>
    <t>2155 Post Oak Tritt Rd</t>
  </si>
  <si>
    <t>4585 Nelson Brogdon Blvd</t>
  </si>
  <si>
    <t>3851 Evans To Locks Road</t>
  </si>
  <si>
    <t>100 Johnson Ferry Road</t>
  </si>
  <si>
    <t>960 Johnson Ferry Road</t>
  </si>
  <si>
    <t>2045 Gordon Hwy</t>
  </si>
  <si>
    <t>6000 Lake Forrest Drive</t>
  </si>
  <si>
    <t>1080 Holcomb Bridge Road</t>
  </si>
  <si>
    <t>830 Eagles Landing Pkwy</t>
  </si>
  <si>
    <t>2020 Honey Creek Rkwy</t>
  </si>
  <si>
    <t>3614D J Dewey Gray Circle</t>
  </si>
  <si>
    <t xml:space="preserve">153 Davis Road </t>
  </si>
  <si>
    <t>2600 Martin Luther King Drive</t>
  </si>
  <si>
    <t>431 Sage Street</t>
  </si>
  <si>
    <t>9766 Hwy 92</t>
  </si>
  <si>
    <t>1805 Parke Plaza Circle</t>
  </si>
  <si>
    <t>1664 Mulhey Road</t>
  </si>
  <si>
    <t>3096 Riverside Drive</t>
  </si>
  <si>
    <t>1800 Tree Lane Road</t>
  </si>
  <si>
    <t>4390 Plassent Hill Road</t>
  </si>
  <si>
    <t>6920 Mcginnis Ferry Road</t>
  </si>
  <si>
    <t>2020 Peachtree Road Nw</t>
  </si>
  <si>
    <t>1800 Howell Mill Road</t>
  </si>
  <si>
    <t>550 Peachtree Street</t>
  </si>
  <si>
    <t>1285 Upper Hembree Rd</t>
  </si>
  <si>
    <t>3121 Peach Orchard Rd</t>
  </si>
  <si>
    <t>10710 Medlock Bridge Road</t>
  </si>
  <si>
    <t>4855 River Green Pkwy</t>
  </si>
  <si>
    <t>5673 Peachtree Dunwoody Road</t>
  </si>
  <si>
    <t xml:space="preserve">4120 Five Forks Trickum Rd </t>
  </si>
  <si>
    <t>1428 Dunwoody Village</t>
  </si>
  <si>
    <t>1430 Five Forks Trickum Rd</t>
  </si>
  <si>
    <t>1 Freedom Way</t>
  </si>
  <si>
    <t>2362 Main Street</t>
  </si>
  <si>
    <t>875 Johnson Ferry Rd Ne</t>
  </si>
  <si>
    <t>754 Cherokee Street</t>
  </si>
  <si>
    <t>3903 South Cobb Drive</t>
  </si>
  <si>
    <t>530 Highland Station Drive</t>
  </si>
  <si>
    <t>1325 Satellite Blvd</t>
  </si>
  <si>
    <t>2400 Pleasant Hill Road</t>
  </si>
  <si>
    <t>6185 Buford Hwy</t>
  </si>
  <si>
    <t>5667 Peachtree Dunwoody</t>
  </si>
  <si>
    <t>4890 Roswell Rd</t>
  </si>
  <si>
    <t>1016 Hospital Drive</t>
  </si>
  <si>
    <t>6330 Primrose Hill Court</t>
  </si>
  <si>
    <t>105 Collier Road</t>
  </si>
  <si>
    <t>4600 W Village Pl Se</t>
  </si>
  <si>
    <t>1120 15Th Steet</t>
  </si>
  <si>
    <t>1899 Lake Road</t>
  </si>
  <si>
    <t>3180 N Point Pkwy</t>
  </si>
  <si>
    <t>3840 Peachtree Industrial Blvd</t>
  </si>
  <si>
    <t>820 St. Sebastian Way</t>
  </si>
  <si>
    <t>745 South Glynn Street</t>
  </si>
  <si>
    <t>2855 Candler Rd</t>
  </si>
  <si>
    <t>755 Mount Vernon Hwy</t>
  </si>
  <si>
    <t>700 Old Roswell Lakes Pkwy</t>
  </si>
  <si>
    <t>3941 Holcomb Bridge Rd</t>
  </si>
  <si>
    <t>440 Prine Point</t>
  </si>
  <si>
    <t>3163 Tucker Norcross Road</t>
  </si>
  <si>
    <t>1215 Eagles Landing Pkwy</t>
  </si>
  <si>
    <t>4905 Lavista Road</t>
  </si>
  <si>
    <t>2500 Hospital Blvd</t>
  </si>
  <si>
    <t>3400 Old Milton Pkwy</t>
  </si>
  <si>
    <t>2680 Lawrenceville Hwy</t>
  </si>
  <si>
    <t>3699 Cascade Rd Sw</t>
  </si>
  <si>
    <t>5885 Glenridge Drive Ne</t>
  </si>
  <si>
    <t>1120 15Th Street</t>
  </si>
  <si>
    <t>35 Collier Road</t>
  </si>
  <si>
    <t>5461 Hillandale Drive</t>
  </si>
  <si>
    <t>3505 Duluth Park Lane</t>
  </si>
  <si>
    <t>2579 Hwy 54</t>
  </si>
  <si>
    <t>315 Boulevard Ne</t>
  </si>
  <si>
    <t>4995 Lanier Island Pkwy</t>
  </si>
  <si>
    <t>3463 Lawrenceville-Suwanee Road</t>
  </si>
  <si>
    <t>1443 Anthony Road</t>
  </si>
  <si>
    <t>575 Old Norcross Rd</t>
  </si>
  <si>
    <t>1500 S Johnson Ferry Road</t>
  </si>
  <si>
    <t>5536 Old National Hwy</t>
  </si>
  <si>
    <t>1201 Georgian Park</t>
  </si>
  <si>
    <t>8225 Mall Pkwy</t>
  </si>
  <si>
    <t>2911 Piedmont Road Ne</t>
  </si>
  <si>
    <t>105 Carnegie Pl</t>
  </si>
  <si>
    <t>1203 Cleveland Ave</t>
  </si>
  <si>
    <t>2467 Golden Camp Rd</t>
  </si>
  <si>
    <t>1505 Northside Blvd</t>
  </si>
  <si>
    <t>3245 Flowers Road</t>
  </si>
  <si>
    <t>696 Breedlove Drive</t>
  </si>
  <si>
    <t>#3 Corporate Square</t>
  </si>
  <si>
    <t>845 Scenic Hwy</t>
  </si>
  <si>
    <t>1499 Walton Way</t>
  </si>
  <si>
    <t>1192 Rockbridge Road</t>
  </si>
  <si>
    <t>730 Ponce De Leon Place Ne</t>
  </si>
  <si>
    <t>8095 Roswell Road</t>
  </si>
  <si>
    <t>1136 Cleveland Avenue</t>
  </si>
  <si>
    <t>3646 Chamblee Tucker Road</t>
  </si>
  <si>
    <t>2965 Johnson Ferry Road</t>
  </si>
  <si>
    <t>2885 Glenridge Drive</t>
  </si>
  <si>
    <t>4039 Gateway Blvd</t>
  </si>
  <si>
    <t>5825 Clenridge Drive Ne</t>
  </si>
  <si>
    <t xml:space="preserve">3915 Miles Way </t>
  </si>
  <si>
    <t>4025 Lawrenceville Hwy</t>
  </si>
  <si>
    <t>3660 Market Street</t>
  </si>
  <si>
    <t>1841 Clifton Road Ne</t>
  </si>
  <si>
    <t>1938 Peachtree Road Nw</t>
  </si>
  <si>
    <t>1219 W Wheeler Pkwy</t>
  </si>
  <si>
    <t>2351 Henry Clower Blvd</t>
  </si>
  <si>
    <t>1863 Memorial Drive Se</t>
  </si>
  <si>
    <t>3104 Creekside Village Drive</t>
  </si>
  <si>
    <t>3650 Steve Reynolds Blvd</t>
  </si>
  <si>
    <t>3685 Braselton Hwy</t>
  </si>
  <si>
    <t>3939 Roswell Road</t>
  </si>
  <si>
    <t>445 Win Way</t>
  </si>
  <si>
    <t>1686 Roswell Road</t>
  </si>
  <si>
    <t>59 Executive Part Sne</t>
  </si>
  <si>
    <t>771 Old Norcross Road</t>
  </si>
  <si>
    <t>1462 Montreal Road</t>
  </si>
  <si>
    <t>1790 Presidential Circle</t>
  </si>
  <si>
    <t>5675 Jimmy Carter Blvd</t>
  </si>
  <si>
    <t>504 West Memorial Drive</t>
  </si>
  <si>
    <t>3495 Piedmont Road</t>
  </si>
  <si>
    <t>3500 Duluth Park Lane</t>
  </si>
  <si>
    <t>1181 Langford Drive</t>
  </si>
  <si>
    <t>447 North Belair Road</t>
  </si>
  <si>
    <t>475 Philip Blvd</t>
  </si>
  <si>
    <t>735 N Main St</t>
  </si>
  <si>
    <t>6025 Professional Pkwy</t>
  </si>
  <si>
    <t>1525 Clifton Road Ne</t>
  </si>
  <si>
    <t>1170 Chulio Road</t>
  </si>
  <si>
    <t>2130 Lavista Exec Park Drive</t>
  </si>
  <si>
    <t>3000 Old Alabama Road</t>
  </si>
  <si>
    <t>363 North Belair Road</t>
  </si>
  <si>
    <t>1417 Pendleton Road</t>
  </si>
  <si>
    <t>2712 Lawrenceville Hwy</t>
  </si>
  <si>
    <t>575 Professional Drive</t>
  </si>
  <si>
    <t>3001 South Cobb Drive</t>
  </si>
  <si>
    <t>11820 Northfall Ln</t>
  </si>
  <si>
    <t>870 Collins Hill Road</t>
  </si>
  <si>
    <t>318/5 Preservation Circle</t>
  </si>
  <si>
    <t>1918 Randolph Road</t>
  </si>
  <si>
    <t>5671 Peachtree Dunwoody Road</t>
  </si>
  <si>
    <t>550 Peachtree St. N.E.</t>
  </si>
  <si>
    <t>418 Pirkle Ferry Rd</t>
  </si>
  <si>
    <t>1435 Broadmoor Blvd Ne</t>
  </si>
  <si>
    <t>285 Noulevard Ne</t>
  </si>
  <si>
    <t>345 Huntington Place Court</t>
  </si>
  <si>
    <t>1357 Hembree Road</t>
  </si>
  <si>
    <t>1417 Pendleton Rd</t>
  </si>
  <si>
    <t>6330 Primerose Hill Court</t>
  </si>
  <si>
    <t>1459 Montreal Road</t>
  </si>
  <si>
    <t>2007 Montreal Road</t>
  </si>
  <si>
    <t>4897 Buford Hwy</t>
  </si>
  <si>
    <t>1100 Johnson Ferry Road Ne</t>
  </si>
  <si>
    <t>1700 Springhill Avenue</t>
  </si>
  <si>
    <t>3150 Howell Mill Rd Nw</t>
  </si>
  <si>
    <t>487 Winn Way</t>
  </si>
  <si>
    <t>3700 Market Street</t>
  </si>
  <si>
    <t>275 Collier Road Nw</t>
  </si>
  <si>
    <t>1192 Buckhead Xing</t>
  </si>
  <si>
    <t>2121 Fountain Drive</t>
  </si>
  <si>
    <t>1324 Highway 138 Sw</t>
  </si>
  <si>
    <t>127 Telfair St</t>
  </si>
  <si>
    <t>59 Executive Park South Ne</t>
  </si>
  <si>
    <t>1762 Clifton Road</t>
  </si>
  <si>
    <t>Pharmacy</t>
  </si>
  <si>
    <t>Pharmalife</t>
  </si>
  <si>
    <t>Global Pharmacy</t>
  </si>
  <si>
    <t>Medicine Shoppe</t>
  </si>
  <si>
    <t>Kim's Pharmacy</t>
  </si>
  <si>
    <t>Yoo Pharmacy</t>
  </si>
  <si>
    <t>Lavang Pharmacy</t>
  </si>
  <si>
    <t>VN Pharmacy</t>
  </si>
  <si>
    <t>Lacey's Pharmacy</t>
  </si>
  <si>
    <t>Corner Pharmacy</t>
  </si>
  <si>
    <t>Caring Pharmacy</t>
  </si>
  <si>
    <t>Wai Kui Famcare Pharmacy</t>
  </si>
  <si>
    <t>Shinn's Pharmacy</t>
  </si>
  <si>
    <t>Tanganh Pharmacy</t>
  </si>
  <si>
    <t>Express Pharmacy</t>
  </si>
  <si>
    <t>PharmaShouth</t>
  </si>
  <si>
    <t>Dyspnea</t>
  </si>
  <si>
    <t>Test Pharmacy</t>
  </si>
  <si>
    <t>**NOTE: TURN OFF AUTOSAVE!!!!!  Before you begin this assessment, click the file button above.  Choose print and select the Canon ip110 printer.  Then just back out.  This will make sure that your printer is set up correctly.  You need to have your printer on and plugged in to to do this.  Also have Outlook open on your computer.</t>
  </si>
  <si>
    <t>Nurse Digital Signature</t>
  </si>
  <si>
    <t>Waived/PRN</t>
  </si>
  <si>
    <t>Waived/Refused</t>
  </si>
  <si>
    <t>Any significant changes or update in body system function?</t>
  </si>
  <si>
    <t>amount</t>
  </si>
  <si>
    <t>frequency</t>
  </si>
  <si>
    <t>Status</t>
  </si>
  <si>
    <t>Status Legend:  N = New, CU = Current, CH = Change, DX = Discontinued</t>
  </si>
  <si>
    <t>Nurse Physical Signature</t>
  </si>
  <si>
    <t>Nurse name</t>
  </si>
  <si>
    <t>Middle School</t>
  </si>
  <si>
    <t>Elementary School</t>
  </si>
  <si>
    <t>Chemotherapy</t>
  </si>
  <si>
    <t>Schedule Notes:</t>
  </si>
  <si>
    <t>Vitals Waiver, Consent to Photograph Update</t>
  </si>
  <si>
    <t>Dates Reviewed or Updated</t>
  </si>
  <si>
    <t>RN Signature (if applicable)</t>
  </si>
  <si>
    <t>Radiation</t>
  </si>
  <si>
    <t>Rehab</t>
  </si>
  <si>
    <t>Disaster Plan Triage Level Update</t>
  </si>
  <si>
    <t>Is there more than one exit?</t>
  </si>
  <si>
    <t>Re-Evaluation from Medicaid</t>
  </si>
  <si>
    <t>Significant Changes from Medicaid</t>
  </si>
  <si>
    <t>Physician Addition/Hosp Dx Papers</t>
  </si>
  <si>
    <t>Acupunture</t>
  </si>
  <si>
    <t>By responding to the statements below, I am indicating my consent or non consent to have photos taken of me.</t>
  </si>
  <si>
    <t>Diagnosis</t>
  </si>
  <si>
    <t>ICD 10 Code</t>
  </si>
  <si>
    <t>Source of Diagnosis</t>
  </si>
  <si>
    <t>Satisfaction Survey</t>
  </si>
  <si>
    <t>ICD10 Code</t>
  </si>
  <si>
    <t>Source Of Dx</t>
  </si>
  <si>
    <t xml:space="preserve"> I am aware that I am responsible for the cost of services under the CCSP program and agree to pay the amount listed above each month to Prosper Home Care.</t>
  </si>
  <si>
    <t>Sibling</t>
  </si>
  <si>
    <t>Medical Treatment Specifics:</t>
  </si>
  <si>
    <t>Wound Care:</t>
  </si>
  <si>
    <t>Incontinence:</t>
  </si>
  <si>
    <t>Current mobility devices being used:</t>
  </si>
  <si>
    <t>If yes, REFER TO UPDATED DIAGNOSIS LIST ATTACHED.</t>
  </si>
  <si>
    <t>Supervising RN Signature (If visit completed by LPN)</t>
  </si>
  <si>
    <t>Date Reviewed and Signed</t>
  </si>
  <si>
    <t>Catheter/Bowel Program:</t>
  </si>
  <si>
    <t>2 hour</t>
  </si>
  <si>
    <t>3 hour</t>
  </si>
  <si>
    <t>Visit</t>
  </si>
  <si>
    <t>4 hour</t>
  </si>
  <si>
    <t>Day of the week</t>
  </si>
  <si>
    <t>1st shift</t>
  </si>
  <si>
    <t>2nd shift</t>
  </si>
  <si>
    <t>3rd shift</t>
  </si>
  <si>
    <t>1st visit</t>
  </si>
  <si>
    <t>2nd visit</t>
  </si>
  <si>
    <t>3rd visit</t>
  </si>
  <si>
    <t>s</t>
  </si>
  <si>
    <t>m</t>
  </si>
  <si>
    <t>t</t>
  </si>
  <si>
    <t>w</t>
  </si>
  <si>
    <t>th</t>
  </si>
  <si>
    <t>f</t>
  </si>
  <si>
    <t>Live In</t>
  </si>
  <si>
    <t>1st value</t>
  </si>
  <si>
    <t>2nd value</t>
  </si>
  <si>
    <t>3rd value</t>
  </si>
  <si>
    <t>Per week</t>
  </si>
  <si>
    <t>Per Two weeks</t>
  </si>
  <si>
    <t>Per Visit Rate (1 hour shift):</t>
  </si>
  <si>
    <t>2 hour shift rate (Per Hour):</t>
  </si>
  <si>
    <t>3 hour shift rate (Per Hour)</t>
  </si>
  <si>
    <t>4 or more Hour shift rate (Per Hour):</t>
  </si>
  <si>
    <t>Mileage rate (Per Mile):</t>
  </si>
  <si>
    <t>Live in rate (Per 24 hour period):</t>
  </si>
  <si>
    <t>Total Estimated Hours for 2 weeks:</t>
  </si>
  <si>
    <t>Calculated based on billing rates associated with shift length.</t>
  </si>
  <si>
    <t>Shift hours</t>
  </si>
  <si>
    <t>4 or more hour shift rate (Per Hour):</t>
  </si>
  <si>
    <t>RN Sign Date</t>
  </si>
  <si>
    <t>Effective Date of Change:</t>
  </si>
  <si>
    <t>Progress Notes</t>
  </si>
  <si>
    <t>Responsible Party Physical Signature</t>
  </si>
  <si>
    <t>Address 2</t>
  </si>
  <si>
    <t>Office Fax</t>
  </si>
  <si>
    <t>Client Specialist Physicians (if applicable)</t>
  </si>
  <si>
    <t>Client Specialist Physicians Form (if applicable)</t>
  </si>
  <si>
    <t xml:space="preserve">My digital signature on this page and physical signature on the Document Confirmation page acknowledges that this document has been fully explained to me and that I have been given a copy of this document. I authorize Prosper Home Care staff to communicate with the following physicians in regards to any aspects of my care. </t>
  </si>
  <si>
    <t>Address 2:</t>
  </si>
  <si>
    <t>Physician Attention:</t>
  </si>
  <si>
    <t>Client expired.</t>
  </si>
  <si>
    <t>PSS services no longer required or appropriate.</t>
  </si>
  <si>
    <t>Client requested another provider.</t>
  </si>
  <si>
    <t>Services not provided for more than 60 days.</t>
  </si>
  <si>
    <t>Client in rehabilitation center more than 100 days.</t>
  </si>
  <si>
    <t>Client moved out of service area.</t>
  </si>
  <si>
    <t>Client transferred to Nursing Facility/Hospice.</t>
  </si>
  <si>
    <t>Company requested rebroker/discontinuation of services.</t>
  </si>
  <si>
    <t>Client does not meet LOC and refused appeal.</t>
  </si>
  <si>
    <t>Client's lost Medicaid Eligibility.</t>
  </si>
  <si>
    <t>Physician Fax:</t>
  </si>
  <si>
    <t>Discharge Reason:</t>
  </si>
  <si>
    <t>Last Day of Services:</t>
  </si>
  <si>
    <t>If you have any questions or concerns, please contact our office at 678-705-8717 within 30 days.</t>
  </si>
  <si>
    <t>Prosper RN Signature</t>
  </si>
  <si>
    <t>Administrator Signature</t>
  </si>
  <si>
    <t>Unable to weigh</t>
  </si>
  <si>
    <t>Choi, Seung Mae RN</t>
  </si>
  <si>
    <t>Choi, Seung Mae</t>
  </si>
  <si>
    <t>seung@prospercare.com</t>
  </si>
  <si>
    <t>SeungChoi</t>
  </si>
  <si>
    <t>Educated client/aide that services will not be provided if there are illegal drugs in the home.</t>
  </si>
  <si>
    <t>Medication</t>
  </si>
  <si>
    <t xml:space="preserve"> vision loss. </t>
  </si>
  <si>
    <t xml:space="preserve">Severe hearing loss. </t>
  </si>
  <si>
    <t xml:space="preserve"> vision loss. Unable to read English. </t>
  </si>
  <si>
    <t>Toileting Schedule:</t>
  </si>
  <si>
    <t>Mouth Condition</t>
  </si>
  <si>
    <t>No Medical Problems with Mouth</t>
  </si>
  <si>
    <t>Upper</t>
  </si>
  <si>
    <t>Lower</t>
  </si>
  <si>
    <t>Days</t>
  </si>
  <si>
    <t>Effective Date of Change</t>
  </si>
  <si>
    <t>Other:</t>
  </si>
  <si>
    <t>Irregular Heart Rhythm</t>
  </si>
  <si>
    <t>Chewing Difficulty</t>
  </si>
  <si>
    <t>General Purposes</t>
  </si>
  <si>
    <t>3525 Gwinnett Pl DR NW</t>
  </si>
  <si>
    <t>(866) 800-4923</t>
  </si>
  <si>
    <t>Month</t>
  </si>
  <si>
    <t>January</t>
  </si>
  <si>
    <t>February</t>
  </si>
  <si>
    <t>March</t>
  </si>
  <si>
    <t>April</t>
  </si>
  <si>
    <t>May</t>
  </si>
  <si>
    <t>June</t>
  </si>
  <si>
    <t>July</t>
  </si>
  <si>
    <t>August</t>
  </si>
  <si>
    <t>September</t>
  </si>
  <si>
    <t>November</t>
  </si>
  <si>
    <t>December</t>
  </si>
  <si>
    <t>October</t>
  </si>
  <si>
    <t>Last Visit Date</t>
  </si>
  <si>
    <t>Current date</t>
  </si>
  <si>
    <t>current type</t>
  </si>
  <si>
    <t>next date</t>
  </si>
  <si>
    <t>next type</t>
  </si>
  <si>
    <t>Re-Evaluation month</t>
  </si>
  <si>
    <t>Last Visit type</t>
  </si>
  <si>
    <t>(470)395-9398</t>
  </si>
  <si>
    <t>Medicaid/Client Cost Share</t>
  </si>
  <si>
    <t>Monthly</t>
  </si>
  <si>
    <t>Cost Share Billing Frequency:</t>
  </si>
  <si>
    <t>Prosper Home Care bills for the cost share on a monthly basis.  All invoices are due upon receipt.  Any invoice not paid in full within 14 days of the invoice date will be subject to a 5% late fee compounded weekly.  If cost share payments are not made, Prosper Home Care will request client to be rebrokered.</t>
  </si>
  <si>
    <t>Prosper Home Care requires that a deposit check equal to the cost share monthly amount be given at the time of admission.  The company will deposit the check and create a credit on the account.</t>
  </si>
  <si>
    <t>Wound Care</t>
  </si>
  <si>
    <t>Ostomy Care</t>
  </si>
  <si>
    <t>SN Freq</t>
  </si>
  <si>
    <t>Bi-Weekly</t>
  </si>
  <si>
    <t>Bi-Monthly</t>
  </si>
  <si>
    <t>SN Disc</t>
  </si>
  <si>
    <t>RN</t>
  </si>
  <si>
    <t>LPN</t>
  </si>
  <si>
    <t>Required Discipline</t>
  </si>
  <si>
    <t>Fall Precautions</t>
  </si>
  <si>
    <t>IV Safety</t>
  </si>
  <si>
    <t>Oxygen Safety</t>
  </si>
  <si>
    <t>Bleeding Precautions</t>
  </si>
  <si>
    <t>Alert</t>
  </si>
  <si>
    <t>Certification From</t>
  </si>
  <si>
    <t>Certification To</t>
  </si>
  <si>
    <t>Primary DX:</t>
  </si>
  <si>
    <t>Secondary:</t>
  </si>
  <si>
    <t>Tertiary:</t>
  </si>
  <si>
    <t>Environment</t>
  </si>
  <si>
    <t>DME:</t>
  </si>
  <si>
    <t>Safety Measures</t>
  </si>
  <si>
    <t>Clear Pathways/Safe Ambulation</t>
  </si>
  <si>
    <t>Medication Management</t>
  </si>
  <si>
    <t>Sharps Disposal</t>
  </si>
  <si>
    <t>Mental Status</t>
  </si>
  <si>
    <t>Oriented</t>
  </si>
  <si>
    <t>Depressed</t>
  </si>
  <si>
    <t>Hearing Loss</t>
  </si>
  <si>
    <t>Vision Loss</t>
  </si>
  <si>
    <t>Nutritional Requirements:</t>
  </si>
  <si>
    <t>Skilled Nursing Physician Orders</t>
  </si>
  <si>
    <t>Required Discipline:</t>
  </si>
  <si>
    <t>Rehab Potential:</t>
  </si>
  <si>
    <t>Client will be knowledgeable in all instructions provided.</t>
  </si>
  <si>
    <t>Wound/Incision will show signs of healing by discharge date.</t>
  </si>
  <si>
    <t>Client will be independent in medication management.</t>
  </si>
  <si>
    <t>Client will be independent in IV therapy.</t>
  </si>
  <si>
    <t>Client will follow up with physician as instructed and report any complications.</t>
  </si>
  <si>
    <t>Discharge Plan</t>
  </si>
  <si>
    <t>Client will be discharged when skilled nursing services are no longer needed or appropriate.</t>
  </si>
  <si>
    <t>Client will be discharge if Medicaid services are terminated. (Applicable to Medicaid Paid Services only.)</t>
  </si>
  <si>
    <t>Rn Name:</t>
  </si>
  <si>
    <t>Physician Certification</t>
  </si>
  <si>
    <t>I certify/recertify that this client needs intermittent skilled nursing care.  The client is under my care and I have authorized services on this plan of care and will periodically review the plan.</t>
  </si>
  <si>
    <t>Physician Signature</t>
  </si>
  <si>
    <t>Date Faxed to PCP:</t>
  </si>
  <si>
    <t>Purpose of Visit:</t>
  </si>
  <si>
    <t>Teaching/Training</t>
  </si>
  <si>
    <t>IV Therapy</t>
  </si>
  <si>
    <t>List specifics:</t>
  </si>
  <si>
    <t>Aseptic Technique</t>
  </si>
  <si>
    <t>Sterile Technique</t>
  </si>
  <si>
    <t>Cleansed with:</t>
  </si>
  <si>
    <t>Covered with</t>
  </si>
  <si>
    <t>Gauze</t>
  </si>
  <si>
    <t>ABD Pad</t>
  </si>
  <si>
    <t>Tefla</t>
  </si>
  <si>
    <t>Wound Vac Applied</t>
  </si>
  <si>
    <t>Black Foam</t>
  </si>
  <si>
    <t>White Foam</t>
  </si>
  <si>
    <t>Silver Foam</t>
  </si>
  <si>
    <t>Canister Changed</t>
  </si>
  <si>
    <t>Constant Suction</t>
  </si>
  <si>
    <t>Intermittent Suction</t>
  </si>
  <si>
    <t>Pressure</t>
  </si>
  <si>
    <t>mmHg</t>
  </si>
  <si>
    <t>Drainage in canister:</t>
  </si>
  <si>
    <t>mls</t>
  </si>
  <si>
    <t>Color:</t>
  </si>
  <si>
    <t>Drug Given:</t>
  </si>
  <si>
    <t>Dose:</t>
  </si>
  <si>
    <t>via</t>
  </si>
  <si>
    <t>Minutes:</t>
  </si>
  <si>
    <t>Flushed Line</t>
  </si>
  <si>
    <t>NS</t>
  </si>
  <si>
    <t>Before</t>
  </si>
  <si>
    <t>After meds/blood draw</t>
  </si>
  <si>
    <t>Heparin</t>
  </si>
  <si>
    <t>u/cc</t>
  </si>
  <si>
    <t>Peripheral IV Inserted (Site)</t>
  </si>
  <si>
    <t>Using(catheter)</t>
  </si>
  <si>
    <t>New Meds</t>
  </si>
  <si>
    <t>Medication Change</t>
  </si>
  <si>
    <t>Medication Profile Updated</t>
  </si>
  <si>
    <t>week(s)</t>
  </si>
  <si>
    <t>Counted narcotics</t>
  </si>
  <si>
    <t>Completed Narcotics Tracking sheet</t>
  </si>
  <si>
    <t xml:space="preserve">Filled pill box for </t>
  </si>
  <si>
    <t>Communication with Physician:</t>
  </si>
  <si>
    <t>Foley inserted</t>
  </si>
  <si>
    <t>FR</t>
  </si>
  <si>
    <t>CC</t>
  </si>
  <si>
    <t>Return</t>
  </si>
  <si>
    <t>Removed Foley</t>
  </si>
  <si>
    <t>Instructions given regarding complication</t>
  </si>
  <si>
    <t>Cleaned insertion site</t>
  </si>
  <si>
    <t>Inspected tubing for kinks</t>
  </si>
  <si>
    <t>Urine appearance:</t>
  </si>
  <si>
    <t>Changed bag</t>
  </si>
  <si>
    <t>Inspected and cleaned stoma site</t>
  </si>
  <si>
    <t>Removed adhesive</t>
  </si>
  <si>
    <t>Applied skin barrier</t>
  </si>
  <si>
    <t>Educated client/caregiver on complication and proper management techniques</t>
  </si>
  <si>
    <t>Temperature:</t>
  </si>
  <si>
    <t>Respirations:</t>
  </si>
  <si>
    <t>Glucose:</t>
  </si>
  <si>
    <t>Discontinued Meds</t>
  </si>
  <si>
    <t>Notes on Visit Outcome</t>
  </si>
  <si>
    <t>Certification/Signatures</t>
  </si>
  <si>
    <t>By signing below, client certifies that Prosper Home Care performed the tasks listed as stated.</t>
  </si>
  <si>
    <t>Time In:</t>
  </si>
  <si>
    <t>Time Out:</t>
  </si>
  <si>
    <t>Client Digital Signature:</t>
  </si>
  <si>
    <t>Nurse Digital Signature:</t>
  </si>
  <si>
    <t>Admission for Skilled Nursing Services Date:</t>
  </si>
  <si>
    <t>Skilled Services to be Provided:</t>
  </si>
  <si>
    <t>Service Frequency:</t>
  </si>
  <si>
    <t>Visits per Frequency:</t>
  </si>
  <si>
    <t>Charges for Services</t>
  </si>
  <si>
    <t>LPN Visit Rate per Visit:</t>
  </si>
  <si>
    <t>RN Visit Rate per Visit:</t>
  </si>
  <si>
    <t>No Charge, Paid by Medicaid</t>
  </si>
  <si>
    <t>ACH</t>
  </si>
  <si>
    <t>Attach voided check</t>
  </si>
  <si>
    <t>Card Number</t>
  </si>
  <si>
    <t>Expiration Date</t>
  </si>
  <si>
    <t>Billing Zip Code</t>
  </si>
  <si>
    <t>Name on Card</t>
  </si>
  <si>
    <t>Cardholder Signature</t>
  </si>
  <si>
    <t>Client Physical Signature:</t>
  </si>
  <si>
    <t>Nurse Physical Signature:</t>
  </si>
  <si>
    <t>Visit Reason</t>
  </si>
  <si>
    <t>TEMP</t>
  </si>
  <si>
    <t>PULSE</t>
  </si>
  <si>
    <t>RESP</t>
  </si>
  <si>
    <t>PULSEOX</t>
  </si>
  <si>
    <t>Physician's Orders:</t>
  </si>
  <si>
    <t>Dates of Visits</t>
  </si>
  <si>
    <t>Noted Changes</t>
  </si>
  <si>
    <t>Service Type(s):</t>
  </si>
  <si>
    <t>If Private Pay, Complete Payment Information</t>
  </si>
  <si>
    <t>Client will be discharged when independent maintenance of tasks can be managed safely and accurately by client.</t>
  </si>
  <si>
    <t>Dates of Prev visits:</t>
  </si>
  <si>
    <t>Changes from prev visits:</t>
  </si>
  <si>
    <t>Hospitalizations:</t>
  </si>
  <si>
    <t>Falls, corrective action:</t>
  </si>
  <si>
    <t>If yes, specifics(Issues)</t>
  </si>
  <si>
    <t>ADL/IADL</t>
  </si>
  <si>
    <t>Support System</t>
  </si>
  <si>
    <t>Blood Glucose</t>
  </si>
  <si>
    <t>Respiration</t>
  </si>
  <si>
    <t>RN Name:</t>
  </si>
  <si>
    <t>Case Manager Signature</t>
  </si>
  <si>
    <t>Office: 678-705-8717</t>
  </si>
  <si>
    <t>Fax: 404-935-6110</t>
  </si>
  <si>
    <t>TO:</t>
  </si>
  <si>
    <t>Fax #:</t>
  </si>
  <si>
    <t>Re:</t>
  </si>
  <si>
    <t>FROM:</t>
  </si>
  <si>
    <t>Pages:</t>
  </si>
  <si>
    <t>CC:</t>
  </si>
  <si>
    <t>We are providing skilled nursing services to your patient.  In order for Medicaid to continue to pay for the these services,</t>
  </si>
  <si>
    <t>a current, physician signed copy of the care plan must be kept in the patient records at our office.  Care plans will be sent</t>
  </si>
  <si>
    <t>to your office for signature every two months.</t>
  </si>
  <si>
    <t>Please review, sign and fax back this care plan as soon as possible.</t>
  </si>
  <si>
    <t>Thank you!</t>
  </si>
  <si>
    <t>Phone #:</t>
  </si>
  <si>
    <t>Devices Needed/Recommended:</t>
  </si>
  <si>
    <t>Procedure History</t>
  </si>
  <si>
    <t>Medical Procedure History</t>
  </si>
  <si>
    <t>Location:</t>
  </si>
  <si>
    <t>Procedure Name</t>
  </si>
  <si>
    <t>Approximate Date</t>
  </si>
  <si>
    <t>Procedure History:</t>
  </si>
  <si>
    <t>Cost Share Amount:</t>
  </si>
  <si>
    <t>Billing Prior Authorization:</t>
  </si>
  <si>
    <t>From Date:</t>
  </si>
  <si>
    <t>To Date:</t>
  </si>
  <si>
    <t>Date Sent:</t>
  </si>
  <si>
    <t>Client/Family Given</t>
  </si>
  <si>
    <t>FL List</t>
  </si>
  <si>
    <t>Telephone Use</t>
  </si>
  <si>
    <t>Tremors</t>
  </si>
  <si>
    <t>Page 1</t>
  </si>
  <si>
    <t>Page 2</t>
  </si>
  <si>
    <t>Page 3</t>
  </si>
  <si>
    <t>Page 4</t>
  </si>
  <si>
    <t>Page 5</t>
  </si>
  <si>
    <t>Devices Needed/Recomm:</t>
  </si>
  <si>
    <t>Last Updated:</t>
  </si>
  <si>
    <t>Client requires a bowel program?</t>
  </si>
  <si>
    <t>Upper Extremity Contractures</t>
  </si>
  <si>
    <t>Lower Extremity Contractures</t>
  </si>
  <si>
    <t xml:space="preserve">  All mobility limitations apply. Fluid restriction. </t>
  </si>
  <si>
    <t>On Call Supervisor 24 HR Support Line</t>
  </si>
  <si>
    <t>Office Line (Billing or other general questions)</t>
  </si>
  <si>
    <t>678-705-8717</t>
  </si>
  <si>
    <t>Client Information</t>
  </si>
  <si>
    <t>Hospice Agency:</t>
  </si>
  <si>
    <t>Copy Recd</t>
  </si>
  <si>
    <t>Reposition</t>
  </si>
  <si>
    <t>Q 15 M</t>
  </si>
  <si>
    <t>Q 30 M</t>
  </si>
  <si>
    <t>Q 1 HR</t>
  </si>
  <si>
    <t>Q 2 HR</t>
  </si>
  <si>
    <t xml:space="preserve">    vision loss. Allergies - .  All mobility limitations apply.</t>
  </si>
  <si>
    <t xml:space="preserve"> vision loss. Poor hygiene.  All mobility limitations apply. </t>
  </si>
  <si>
    <t>**Caregivers will provide CPR until a copy of the DNR order is received and filed in the client chart.</t>
  </si>
  <si>
    <t>Received Copy</t>
  </si>
  <si>
    <t>Copy Received</t>
  </si>
  <si>
    <t>Previous Visit Date</t>
  </si>
  <si>
    <t>Previous Visit Type</t>
  </si>
  <si>
    <t xml:space="preserve">Difficulty formulating speech at times. </t>
  </si>
  <si>
    <t xml:space="preserve"> vision loss.    </t>
  </si>
  <si>
    <t xml:space="preserve">  hearing loss. 1 </t>
  </si>
  <si>
    <t>Payer:</t>
  </si>
  <si>
    <t>Event Type</t>
  </si>
  <si>
    <t>Fall</t>
  </si>
  <si>
    <t>Hospital - ER</t>
  </si>
  <si>
    <t>Hospital - Admission</t>
  </si>
  <si>
    <t>Outpatient Procedure</t>
  </si>
  <si>
    <t>Inpatient Procedure</t>
  </si>
  <si>
    <t>Physician Appointment</t>
  </si>
  <si>
    <t>Date Reported</t>
  </si>
  <si>
    <t>Event type</t>
  </si>
  <si>
    <t>Event Date</t>
  </si>
  <si>
    <t>Event Details</t>
  </si>
  <si>
    <t>PCP Visit Reason</t>
  </si>
  <si>
    <t>Illness/Urgent Care</t>
  </si>
  <si>
    <t>Event Relation</t>
  </si>
  <si>
    <t>Case Manager</t>
  </si>
  <si>
    <t>Update Event Date</t>
  </si>
  <si>
    <t xml:space="preserve"> All mobility limitations apply.    </t>
  </si>
  <si>
    <t>Previous Visit Date(do not alter this column)</t>
  </si>
  <si>
    <t>Event Date:</t>
  </si>
  <si>
    <t>Event Type:</t>
  </si>
  <si>
    <t>Date Reported:</t>
  </si>
  <si>
    <t>Original Event Details:</t>
  </si>
  <si>
    <t>Follow Up Details:</t>
  </si>
  <si>
    <t>Additional Specifics:</t>
  </si>
  <si>
    <t>Follow Up Date:</t>
  </si>
  <si>
    <t>Event/Change (All others)</t>
  </si>
  <si>
    <t>Report Date:</t>
  </si>
  <si>
    <t>Reported By:</t>
  </si>
  <si>
    <t>Reason for Appointment:</t>
  </si>
  <si>
    <t>Any Changes from Appointment:</t>
  </si>
  <si>
    <t>Hospitalization (ER, Admission, Rehab)</t>
  </si>
  <si>
    <t>Original Reported Details</t>
  </si>
  <si>
    <t>Follow Up Details</t>
  </si>
  <si>
    <t>Follow Up Notes:</t>
  </si>
  <si>
    <t>Events Within the Last 120 days (See event log for full details.)</t>
  </si>
  <si>
    <t>Recent Events Within the Last 120 Days</t>
  </si>
  <si>
    <t>Nurse/Staff Signature</t>
  </si>
  <si>
    <t>RN Signature if LPN or Staff</t>
  </si>
  <si>
    <t>Nurse Assessment Fee:</t>
  </si>
  <si>
    <t>To be charged on first invoice.</t>
  </si>
  <si>
    <t>Total Cost of Service for 2 weeks:</t>
  </si>
  <si>
    <t>**Prosper Home Care reserves the right to charge a fee for the initial Nurse Assessment based on hours requested.  If this fee is applicable, it will be listed below.</t>
  </si>
  <si>
    <t>Client</t>
  </si>
  <si>
    <t>Caregiver - Prosper</t>
  </si>
  <si>
    <t>Staff - Prosper</t>
  </si>
  <si>
    <t>Macros Shortcuts</t>
  </si>
  <si>
    <t xml:space="preserve">    </t>
  </si>
  <si>
    <t>**Client consented to digital signatures at admission and acknowledged participating in the completion of this supervisory visit.</t>
  </si>
  <si>
    <t>Until further notice</t>
  </si>
  <si>
    <t xml:space="preserve"> STML.  </t>
  </si>
  <si>
    <t xml:space="preserve">Provide watchful supervision at all times. Client cannot be left alone. </t>
  </si>
  <si>
    <t xml:space="preserve">Provide cues, emotional support, mental stimulation, supervision and redirection as needed. Report significant changes. Client cannot be left alone. </t>
  </si>
  <si>
    <t>Please refer to Event Log in Client Chart.</t>
  </si>
  <si>
    <t>Assist with bathing and monitor for skin integrity. Do not leave client unattended. Sponge bath.</t>
  </si>
  <si>
    <t>Legal Representative Name:</t>
  </si>
  <si>
    <t>Understanding Benefits and Risks in Allowing Proxy Caregivers to Take Care of Me</t>
  </si>
  <si>
    <t>Georgia law now permits me, as an individual with a disability to choose to allow unlicensed proxy caregivers who have been properly trained to perform health maintenance activities for me. Health maintenance activities are those health-related things I would normally do for myself, but for my disability. Typically, a registered nurse would teach me how to do these things as part of my ongoing care. However, I could also be taught by my attending physician, an advance practice registered nurse, a physician’s assistant, a pharmacist, or physical, speech, and occupational therapists who are functioning within their scopes of licensed practice. My proxy caregivers will be taught by a licensed healthcare professional to do the health maintenance activities generally described below and more specifically listed on my written plan of care. Health maintenance activities are defined as those activities that have reasonably precise and unchanging directions, reasonably predictable outcomes and do not require complex observations, skills, or critical decisions. Health maintenance activities do not include things like administering medications by injection directly into the blood stream or taking care of a central intravenous line or a complex wound.</t>
  </si>
  <si>
    <t>I understand that:</t>
  </si>
  <si>
    <t>using proxy caregivers may make it more affordable or convenient for me to receive health maintenance activities I need in the place I consider my home rather than in a more structured kind of healthcare facility, such as a nursing home or hospital;</t>
  </si>
  <si>
    <t xml:space="preserve">my proxy caregivers are not licensed healthcare professionals and have not had the same extensive training that licensed healthcare professionals receive;
</t>
  </si>
  <si>
    <t>there may be additional health risks in having unlicensed proxy caregivers do health maintenance activities for me since they may not recognize an important change in my medical condition that needs to be assessed or treated by a licensed healthcare professional;</t>
  </si>
  <si>
    <t>I am consenting to my medical information being shared with my proxy caregivers to be trained to provide care to me;</t>
  </si>
  <si>
    <t>health maintenance activities will be provided pursuant to the written orders of an attending physician, advanced practice registered nurse, or physician’s assistant and further detailed in the written Plan of Care;</t>
  </si>
  <si>
    <t>my consent for proxy caregivers to perform health maintenance activities for me may be revoked at any time either orally or in writing by notifying the designated proxy caregiver or licensed healthcare professional involved with my care.</t>
  </si>
  <si>
    <t>My Health Maintenance Activities:</t>
  </si>
  <si>
    <t>I give consent for my proxy caregivers to do the following health maintenance activities for me.  These health maintenance activities may be further explained on my written Proxy Plan of Care document.</t>
  </si>
  <si>
    <t>My Proxy Caregivers:</t>
  </si>
  <si>
    <t>I give consent for the following proxy caregivers to do the health maintenance activities listed above for me.</t>
  </si>
  <si>
    <t>Proxy Relation List</t>
  </si>
  <si>
    <t>Advance Directive for HealthCare</t>
  </si>
  <si>
    <t>Married Person for Spouse</t>
  </si>
  <si>
    <t>Parent for Minor Child</t>
  </si>
  <si>
    <t>Guardian</t>
  </si>
  <si>
    <t>Female in relation to pregnancy/birth</t>
  </si>
  <si>
    <t>Adult Child for Parent</t>
  </si>
  <si>
    <t>Parent for Adult Child</t>
  </si>
  <si>
    <t>Adult for Sibling</t>
  </si>
  <si>
    <t>Grandparent for Grandchild</t>
  </si>
  <si>
    <t>Adult Grandchild for Grandparent</t>
  </si>
  <si>
    <t>Adult niece, nephew, aunt, uncle</t>
  </si>
  <si>
    <t>Adult Friend</t>
  </si>
  <si>
    <t>Temporary Guardian</t>
  </si>
  <si>
    <t>Admission date for PSS:</t>
  </si>
  <si>
    <t>Start date for Proxy Care:</t>
  </si>
  <si>
    <t>This is a supplemental Plan of Care.  All information on the Personal Support Services Care Plan applies.</t>
  </si>
  <si>
    <t>Proxy Lisencure</t>
  </si>
  <si>
    <t>Physician</t>
  </si>
  <si>
    <t>Physician's Assistant</t>
  </si>
  <si>
    <t>Advanced Practice Registered Nurse</t>
  </si>
  <si>
    <t>Licensure:</t>
  </si>
  <si>
    <t>Ordering Physician/Physician's Assistant/Advanced Practice Registered Nurse</t>
  </si>
  <si>
    <t>Specific Orders (Actual written and signed orders must be attached in client's record.)</t>
  </si>
  <si>
    <t>Caregivers trained as Proxy Caregivers who will be providing care:</t>
  </si>
  <si>
    <t>**Proof of training completion in caregiver record.</t>
  </si>
  <si>
    <t>Notification Protocols</t>
  </si>
  <si>
    <t>Company Standards</t>
  </si>
  <si>
    <t>All Prosper Home Care caregivers are W2 employees and must have satisfactory background checks and have signed affidavits that they have never been convicted of abuse, fraud or neglect.  Documentation is kept in the employee record.  Prosper carries professional liability insurance, workers compensation insurance and a criminal bond policy on all employees.  All caregivers are supervised by Registered Nurses.  Supervisory visits occur at minimum of every 60-62 days.  The Registered Nurse is responsible for creating, implementing and updating each client's plan of care and will provide supervision and skills re-assessments at minimum of every year.</t>
  </si>
  <si>
    <t>Caregiver Replacements</t>
  </si>
  <si>
    <t>Prosper allows clients to choose their proxy caregivers.  However, if a replacement is requested, an additional onboarding fee per caregiver may apply. If a proxy caregiver is unable to work and another caregiver listed on the care plan is not available, the client understands that the non-proxy replacement caregiver will not be able to perform the proxy task.  The client and/or family will be responsible for the proxy task on those days.</t>
  </si>
  <si>
    <t>Client Payor Source:</t>
  </si>
  <si>
    <t>Proxy Caregiver Onboarding Fee (per caregiver):</t>
  </si>
  <si>
    <t>Additional amount per hour (added to regular hourly rate):</t>
  </si>
  <si>
    <t>Proxy Care Plan and Informed Consent (if applicable)</t>
  </si>
  <si>
    <t>Private Pay Service Agreement</t>
  </si>
  <si>
    <t>Prosper Home Care RN has fully explained the following consents and forms to m and I provided a digital signature.</t>
  </si>
  <si>
    <t>Religious Affiliation:</t>
  </si>
  <si>
    <t>Decubitus Level:</t>
  </si>
  <si>
    <t>Vomiting</t>
  </si>
  <si>
    <t>Occasional</t>
  </si>
  <si>
    <t>No Medical Genitourinary Problems</t>
  </si>
  <si>
    <t>Nonverbal</t>
  </si>
  <si>
    <t>Univ Precautions</t>
  </si>
  <si>
    <t>Body Mechanics</t>
  </si>
  <si>
    <t>Photos of appropriate parts of my body for supporting documentation of medical condition.</t>
  </si>
  <si>
    <t>Medicaid Service Agreement</t>
  </si>
  <si>
    <t>I authorize Prosper Home Care staff to assist me with the use of my funds for bill paying and other activities such as shopping, entertainment, etc.  I understand that if I send staff to the store, I must provide them with enough funds to purchase items requested. Staff will not use their own money and be paid back upon return.</t>
  </si>
  <si>
    <t>Medicaid cost share for CCSP clients will be determined by DFACS and submitted to Prosper Home Care at the time of determination. From time to time, DFACS will submit updated cost share amounts and Prosper Home Care will institute these updates immediately upon receipt from DFACS and notify the client in writing.</t>
  </si>
  <si>
    <t>This form must be signed by the person who is responsible for paying for services.  Services will not begin without a signed agreement.  Any returned check or declined credit card transaction is subject to a $35 processing fee.</t>
  </si>
  <si>
    <t>Prosper Home Care will provide each client and/or responsible party with a copy of this document once it is singed.  If credit card or ache check information is entered on this form, Prosper Home Care will enter the credit card information into our secure practice management software, scan the form to a secure server and then shred the physical form.  No credit card or ache check information will be kept in the client file.</t>
  </si>
  <si>
    <t>The above name representatives have my permission and authorization to access to the following information:</t>
  </si>
  <si>
    <t>By digitally signing below and physically signing the Document Confirmation Form, I acknowledge that I have requested to transfer my personal support services through the Medicaid Waiver Program.  I understand that it is client's choice to work with a certain provider.  I acknowledge that I have not been coerced, bribed, promised additional services, intimidated, badgered or otherwise influenced by any employee or representative of Prosper Home Care to switch my services to their company.</t>
  </si>
  <si>
    <t>I also understand and acknowledge that I may choose to replace Prosper Home Care with another provider at any time without penalty or fear of retribution.  I acknowledge that I will keep Prosper Home Care informed of any issues, complaints or concerns and give them the chance to address and resolve them. I understand that I always have the right to choose the provider that renders my personal support services.</t>
  </si>
  <si>
    <t>Prosper Home Care acknowledges that some family members or friends may be empowered to handle the affairs of the client receiving services.  If the client does not have a designated POA, they may sigh this form and delegate others to act on their behalf with limited authority.  If the client is unable to sign this document for cognitive impairment reasons, a written POA for the delegated representative must be given to Prosper Home Care.  By digitally signing this document, the client and/or responsible party give permission to Prosper Home Care and its agents to speak with any contact listed.  Contacts that are not authorized to receive any information about the client will be listed separately.</t>
  </si>
  <si>
    <t>Specialty:</t>
  </si>
  <si>
    <t>My digital signature on this page and physical signature on the Document Confirmation page acknowledges that this document has been fully explained to me and that I have been given a copy of this document.  I agree to comply with the responsibilities listed above and understand that any violation of these responsibilities will result in termination of services.</t>
  </si>
  <si>
    <t>By digitally signing this form and physically signing the Document Confirmation page, I acknowledge that I have read and understood these policies and agree to abide by them.  I acknowledge that violation of any of these policies could result in termination of services.</t>
  </si>
  <si>
    <t>Family Care:  Client will be under the care of family for the foreseeable future.</t>
  </si>
  <si>
    <t>If a proxy caregiver see anything abnormal when providing care, the correct protocol is to call 911 (if applicable depending on the severity of the situation), follow instructions from the 911 operator, notify the Prosper supervisor and tend to the client.</t>
  </si>
  <si>
    <t>If signature above is not the client, enter the relationship of the signer to the client here:</t>
  </si>
  <si>
    <t>Ace Case Management</t>
  </si>
  <si>
    <t>(706) 354-0837</t>
  </si>
  <si>
    <t>(706) 675-1648</t>
  </si>
  <si>
    <t>(770) 538-2660</t>
  </si>
  <si>
    <t>(706) 632-0028</t>
  </si>
  <si>
    <t>(706) 255-1031</t>
  </si>
  <si>
    <t>Additional Notes</t>
  </si>
  <si>
    <t>PCP Changes</t>
  </si>
  <si>
    <t>Approximate</t>
  </si>
  <si>
    <t>Person Reporting</t>
  </si>
  <si>
    <t>Relation to client</t>
  </si>
  <si>
    <t>Follow Up Req</t>
  </si>
  <si>
    <t>FU Date</t>
  </si>
  <si>
    <t>FU Notes</t>
  </si>
  <si>
    <t>Hosp Admit</t>
  </si>
  <si>
    <t>Hosp Discharge</t>
  </si>
  <si>
    <t>PCP Specialty</t>
  </si>
  <si>
    <t>Update Nurse</t>
  </si>
  <si>
    <t>Printed</t>
  </si>
  <si>
    <t>Legacy Link Source</t>
  </si>
  <si>
    <t>Next Step Care Duluth</t>
  </si>
  <si>
    <t>Client's choice.</t>
  </si>
  <si>
    <t>For Housekeeping, Facility, Healthy Childcare and Transportation only accounts, a one time $100 administrative fee will be applied to the first invoice to cover account setup and scheduling costs.</t>
  </si>
  <si>
    <t>Dual Medicaid and Private Pay Schedule for Private Pay Hours</t>
  </si>
  <si>
    <t>Medicaid/Private Pay</t>
  </si>
  <si>
    <t>Rate</t>
  </si>
  <si>
    <t>4+</t>
  </si>
  <si>
    <t>Total Weekly Hours</t>
  </si>
  <si>
    <t>Daily Cost</t>
  </si>
  <si>
    <t>Totals</t>
  </si>
  <si>
    <t>2 week</t>
  </si>
  <si>
    <t>Number of days</t>
  </si>
  <si>
    <t>m.docuconf</t>
  </si>
  <si>
    <t>m.appendixl</t>
  </si>
  <si>
    <t>m.svcagreement</t>
  </si>
  <si>
    <t>m.costshare</t>
  </si>
  <si>
    <t>m.costsharefinancial</t>
  </si>
  <si>
    <t>ppm.supervision</t>
  </si>
  <si>
    <t>ppm.careplan1</t>
  </si>
  <si>
    <t>ppm.careplan2</t>
  </si>
  <si>
    <t>ppm.careplan3</t>
  </si>
  <si>
    <t>diagnosislist</t>
  </si>
  <si>
    <t>diagnosislistcont</t>
  </si>
  <si>
    <t>ppm.srf</t>
  </si>
  <si>
    <t>ppm.medprofile</t>
  </si>
  <si>
    <t>ppm.medprofilecont</t>
  </si>
  <si>
    <t>ppm.specphysician</t>
  </si>
  <si>
    <t>ppm.disaster</t>
  </si>
  <si>
    <t>ppm.discharge</t>
  </si>
  <si>
    <t>ppm.vitals</t>
  </si>
  <si>
    <t>ppm.bignum</t>
  </si>
  <si>
    <t>m.consentemerg</t>
  </si>
  <si>
    <t>ppm.hipaa</t>
  </si>
  <si>
    <t>ppm.rights</t>
  </si>
  <si>
    <t>ppm.responsibilities</t>
  </si>
  <si>
    <t>ppm.servicepolicies</t>
  </si>
  <si>
    <t>ppm.complaints</t>
  </si>
  <si>
    <t>m.transportation</t>
  </si>
  <si>
    <t>m.rebroker</t>
  </si>
  <si>
    <t>m.directives</t>
  </si>
  <si>
    <t>pp.docuconf</t>
  </si>
  <si>
    <t>pp.financial</t>
  </si>
  <si>
    <t>pp.svcagreement</t>
  </si>
  <si>
    <t>pp.contacts</t>
  </si>
  <si>
    <t>pp.waivers</t>
  </si>
  <si>
    <t>ppm.specphysicians</t>
  </si>
  <si>
    <t>Home Care of West GA LLC, dba Prosper Home Care, employs an outside company called The Group to assist with Medicaid billing.  The Group also assists clients with expediting the approval process with CCSP.  At times, it will be necessary for the The Group and it's employees to have access to client information, protected health data and other pertinent demographics to ensure that Medicaid applications are flowing through the system effeciently and quickly.  By reviewing and signing this autorization, I agree to allow agents of The Group access to required information to perform these tasks.  I also agree to allow agents of The Group to communicate with my case managers about any billing or approval issues as they arise.</t>
  </si>
  <si>
    <t>I voluntarily agree and consent to allow Prosper Home Care to release required information to The Group and its agents.</t>
  </si>
  <si>
    <t>I understand that The Group will have access to my health information including medical history, mental or physical condition and any treatments received.</t>
  </si>
  <si>
    <t>I understand that The Group will have access to my demographic information including but not limited to my Medicaid Identification Number, my social security number and date of birth.  I understand that my privacy is taken seriously by Prosper Home Care and The Group and that my information will not be shared with anyone outside of the confines of those agencies associated with my Medicaid application for CCSP or SOURCE waiver program services.</t>
  </si>
  <si>
    <t>I understand that this consent does not expire.  I understand that I may revoke this consent at any time by writing to Prosper Home Care at the address on the bottom of this authorization document.</t>
  </si>
  <si>
    <t>I understand that if my application is denied for any reason, I will be responsible for all charges for services already provided.</t>
  </si>
  <si>
    <t>I understand that authorizing The Group to assist with my application for Medicaid Waiver Services is not a guarantee of approval for services.  I understand that neither Prosper Home Care nor The Group have any decision authority and that final approval can only be granted by Medicaid directly.</t>
  </si>
  <si>
    <t>Prosper Home Care will provide each client and/or responsible party with a copy of this document once it is singed.  If credit card or ache check information is entered on this form, Prosper Home Care will enter the credit card information into our secure practice management software, scan the form to a secure server and then shred the physical form.  No credit card or ACH check information will be kept in the client file.</t>
  </si>
  <si>
    <t>I am requesting Home Care of West GA LLC dba Prosper Home Care submit claims on my behalf to the Long Term Care Insurance Company listed below.  I understand that Prosper Home Care will submit documentation to the LTC company including but not limited to the following:</t>
  </si>
  <si>
    <t>RN Observational Assessment</t>
  </si>
  <si>
    <t>Invoices</t>
  </si>
  <si>
    <t>Service Record Forms</t>
  </si>
  <si>
    <t>Current Care Plan</t>
  </si>
  <si>
    <t>I understand that at times the Long Term Care company may send direct correspondence to Prosper Home Care asking for additional medical or financial information as needed and I authorize Prosper Home Care to release that information.</t>
  </si>
  <si>
    <t>Long Term Care Company Name:</t>
  </si>
  <si>
    <t>Company Phone:</t>
  </si>
  <si>
    <t>Company Fax:</t>
  </si>
  <si>
    <t>Policy Number:</t>
  </si>
  <si>
    <t>Claim Number:</t>
  </si>
  <si>
    <t>I understand that I am responsible for reviewing the Service Record Forms completed by the caregivers each week and signing/initialing them each week.  Most LTC companies will not accept these forms without the client's signature.  If the client is unable to sign, then an approved family respresentative must review and the sign the form.</t>
  </si>
  <si>
    <t>Incident Reports</t>
  </si>
  <si>
    <t>I understand that I am financially responsible for all charges for service.  Unless otherwise arranged, I am required to pay invoices as they are received.  Prosper Home Care will submit all claims directly to the LTC company on my behalf to be reimbursed to me as the policy holder. I may request copies of any or all claims submitted.</t>
  </si>
  <si>
    <t>Primary Care Physician:</t>
  </si>
  <si>
    <t>Notification of discharge also sent to the following:</t>
  </si>
  <si>
    <t>Prosper Home Care would like to thank you for selecting our agency to assist you with your personal supports services needs.</t>
  </si>
  <si>
    <t>Cost Share Financial Agreement</t>
  </si>
  <si>
    <t>Authorization for The Group</t>
  </si>
  <si>
    <t>Funds and Vehicle Authorizations</t>
  </si>
  <si>
    <t>Timsina, Damber RN</t>
  </si>
  <si>
    <t>damber@prospercare.com</t>
  </si>
  <si>
    <t xml:space="preserve"> vision loss. Dizziness.  All mobility limitations apply. </t>
  </si>
  <si>
    <t xml:space="preserve"> vision loss. Dizziness.  All mobility limitations also apply.</t>
  </si>
  <si>
    <t xml:space="preserve"> vision loss. Dizziness.  All mobility limitations also apply. Limited ROM. </t>
  </si>
  <si>
    <t xml:space="preserve"> vision loss. Dizziness. Limited ROM.  All mobility limitations also apply. </t>
  </si>
  <si>
    <t xml:space="preserve"> Disoriented. vision loss.  All mobility limitations also apply. </t>
  </si>
  <si>
    <t>Weight (pounds):</t>
  </si>
  <si>
    <t xml:space="preserve">Provide catheter care as scheduled. </t>
  </si>
  <si>
    <t>Straight</t>
  </si>
  <si>
    <t>For client's on Hospice, do not call 911.  Call the Hospice Agency listed above.</t>
  </si>
  <si>
    <t>Sung, Si Ae RN</t>
  </si>
  <si>
    <t>Cho, Min Gi RN</t>
  </si>
  <si>
    <t>min@prospercare.com</t>
  </si>
  <si>
    <t>MinGiCho</t>
  </si>
  <si>
    <t>DamberTimsina</t>
  </si>
  <si>
    <t>ID</t>
  </si>
  <si>
    <t>Verissa Thomas</t>
  </si>
  <si>
    <t>Verissa@prospercare.com</t>
  </si>
  <si>
    <t>Leonard</t>
  </si>
  <si>
    <t>amh@prospercare.com</t>
  </si>
  <si>
    <t>Olga@prospercare.com</t>
  </si>
  <si>
    <t>Triggered and Scheduled SV</t>
  </si>
  <si>
    <t>Triggered SV</t>
  </si>
  <si>
    <t>Park, Michelle RN</t>
  </si>
  <si>
    <t>Initial Data (Medicaid and Private)</t>
  </si>
  <si>
    <t>Last Name</t>
  </si>
  <si>
    <t>First Name</t>
  </si>
  <si>
    <t>Middle Name</t>
  </si>
  <si>
    <t>Apartment</t>
  </si>
  <si>
    <t>County</t>
  </si>
  <si>
    <t>Home Phone</t>
  </si>
  <si>
    <t>Cell Phone</t>
  </si>
  <si>
    <t>Email</t>
  </si>
  <si>
    <t>Age</t>
  </si>
  <si>
    <t>Indigent</t>
  </si>
  <si>
    <t>Medicaid Identification Data (Medicaid Only)</t>
  </si>
  <si>
    <t>Medicaid Number</t>
  </si>
  <si>
    <t>Medicare Number</t>
  </si>
  <si>
    <t>Social Security</t>
  </si>
  <si>
    <t>Assessment Dates (Medicaid and Private Pay)</t>
  </si>
  <si>
    <t>Referral Date</t>
  </si>
  <si>
    <t>Care Plan Target Date</t>
  </si>
  <si>
    <t>Referral Source</t>
  </si>
  <si>
    <t>Contact Date</t>
  </si>
  <si>
    <t>Admission Date</t>
  </si>
  <si>
    <t>Assessment Date</t>
  </si>
  <si>
    <t>Re-Evaluation Date</t>
  </si>
  <si>
    <t>Case Management (Medicaid Only)</t>
  </si>
  <si>
    <t>Case Mgmt Office</t>
  </si>
  <si>
    <t>Case Manager Name</t>
  </si>
  <si>
    <t>Case Mgr Phone</t>
  </si>
  <si>
    <t>Case Mgr Fax</t>
  </si>
  <si>
    <t>Emergency Contact 1 (Medicaid and Private Pay)</t>
  </si>
  <si>
    <t>Name</t>
  </si>
  <si>
    <t>Live w/client</t>
  </si>
  <si>
    <t>Primary Caregiver</t>
  </si>
  <si>
    <t>Power of Attorney</t>
  </si>
  <si>
    <t>Healthcare Advocate</t>
  </si>
  <si>
    <t>Emergency Contact 2 (Medicaid and Private Pay)</t>
  </si>
  <si>
    <t>Emergency Contact 3 (Medicaid and Private Pay)</t>
  </si>
  <si>
    <t>Unauthorized Contacts (Medicaid and Private Pay)</t>
  </si>
  <si>
    <t>Any Unauth contacts?</t>
  </si>
  <si>
    <t>Name 1</t>
  </si>
  <si>
    <t>Relation 1</t>
  </si>
  <si>
    <t>Name 2</t>
  </si>
  <si>
    <t>Relation 2</t>
  </si>
  <si>
    <t>Name 3</t>
  </si>
  <si>
    <t>Relation 3</t>
  </si>
  <si>
    <t>Primary Physician (Medicaid and Private Pay)</t>
  </si>
  <si>
    <t>Multiple Offices?</t>
  </si>
  <si>
    <t>UPIN #</t>
  </si>
  <si>
    <t>Physician Type</t>
  </si>
  <si>
    <t>Medicaid Financial (Medicaid Only)</t>
  </si>
  <si>
    <t>PSS Ordered</t>
  </si>
  <si>
    <t>PSX Ordered</t>
  </si>
  <si>
    <t>Cost Share Amount</t>
  </si>
  <si>
    <t>CCSP Bill Status</t>
  </si>
  <si>
    <t>Private Pay Financial (Private Pay Only)</t>
  </si>
  <si>
    <t>PSS Hourly Rate</t>
  </si>
  <si>
    <t>PSX Hourly Rate</t>
  </si>
  <si>
    <t>Per Visit Rate</t>
  </si>
  <si>
    <t>Live In Rate</t>
  </si>
  <si>
    <t>Per Visit Sch</t>
  </si>
  <si>
    <t>Mileage Rate</t>
  </si>
  <si>
    <t>live in</t>
  </si>
  <si>
    <t>Private Pay Financially Responsible Party (Private Pay Only)</t>
  </si>
  <si>
    <t>Notes on Inv Mgmt</t>
  </si>
  <si>
    <t>Diagnosis List (Medicaid and Private Pay) DO NO USE</t>
  </si>
  <si>
    <t>Changes</t>
  </si>
  <si>
    <t>If no what</t>
  </si>
  <si>
    <t>Devices Used (Medicaid and Private Pay)</t>
  </si>
  <si>
    <t>Cane</t>
  </si>
  <si>
    <t>Scale</t>
  </si>
  <si>
    <t>Walker</t>
  </si>
  <si>
    <t>Bath Equipment</t>
  </si>
  <si>
    <t>Crutches</t>
  </si>
  <si>
    <t>Raised Toilet</t>
  </si>
  <si>
    <t>Manual W/C</t>
  </si>
  <si>
    <t>Wrist Brace</t>
  </si>
  <si>
    <t>Power W/C</t>
  </si>
  <si>
    <t>Compression Hose</t>
  </si>
  <si>
    <t>Leg Brace</t>
  </si>
  <si>
    <t>Hospital Bed</t>
  </si>
  <si>
    <t>Bed Rails</t>
  </si>
  <si>
    <t>Gait Belt</t>
  </si>
  <si>
    <t>Sliding Board</t>
  </si>
  <si>
    <t>Bedside Commode</t>
  </si>
  <si>
    <t>Shower Chair</t>
  </si>
  <si>
    <t>Grab Bars</t>
  </si>
  <si>
    <t>Diapers</t>
  </si>
  <si>
    <t>Incontinence Pads</t>
  </si>
  <si>
    <t>Glasses</t>
  </si>
  <si>
    <t>Back Brace</t>
  </si>
  <si>
    <t>Knee Brace</t>
  </si>
  <si>
    <t>Diabetic Shoes</t>
  </si>
  <si>
    <t>Hearing Aids</t>
  </si>
  <si>
    <t>CPAP</t>
  </si>
  <si>
    <t>Nebulizer</t>
  </si>
  <si>
    <t>O2 Tanks</t>
  </si>
  <si>
    <t>O2 Machine</t>
  </si>
  <si>
    <t>Addl Devices Needed</t>
  </si>
  <si>
    <t>List of Addl Devices</t>
  </si>
  <si>
    <t>Symptoms from Medicaid Assessment (Medicaid Only)</t>
  </si>
  <si>
    <t xml:space="preserve">Symptoms  </t>
  </si>
  <si>
    <t>Turn self</t>
  </si>
  <si>
    <t>Standing</t>
  </si>
  <si>
    <t>Diet and Hospital Preference (Medicaid and Private Pay)</t>
  </si>
  <si>
    <t>Prescribed Diet</t>
  </si>
  <si>
    <t>Suggested Diet</t>
  </si>
  <si>
    <t>Hospital Preference</t>
  </si>
  <si>
    <t>Start Assessment (Medicaid and Private Pay)</t>
  </si>
  <si>
    <t>Reason for Assess</t>
  </si>
  <si>
    <t>Medically Frail</t>
  </si>
  <si>
    <t>Requested Services</t>
  </si>
  <si>
    <t>Medicaid Service</t>
  </si>
  <si>
    <t>Rebroker?</t>
  </si>
  <si>
    <t>Nationality and Religion (Medicaid and Private Pay)</t>
  </si>
  <si>
    <t>Cultural History</t>
  </si>
  <si>
    <t>Refused</t>
  </si>
  <si>
    <t>Religion</t>
  </si>
  <si>
    <t>Will affect care?</t>
  </si>
  <si>
    <t>Religion Specifics</t>
  </si>
  <si>
    <t>Native Language</t>
  </si>
  <si>
    <t>Primary Language</t>
  </si>
  <si>
    <t>Communicate in Eng?</t>
  </si>
  <si>
    <t>Medical and Surgical History (Medicaid and Private Pay)</t>
  </si>
  <si>
    <t>Hist recd from</t>
  </si>
  <si>
    <t>surgeries?</t>
  </si>
  <si>
    <t>Historical Narrative</t>
  </si>
  <si>
    <t>surg 1</t>
  </si>
  <si>
    <t>date 1</t>
  </si>
  <si>
    <t>surg 2</t>
  </si>
  <si>
    <t>date 2</t>
  </si>
  <si>
    <t>surg 3</t>
  </si>
  <si>
    <t>date 3</t>
  </si>
  <si>
    <t>surg 4</t>
  </si>
  <si>
    <t>date 4</t>
  </si>
  <si>
    <t>surg 5</t>
  </si>
  <si>
    <t>date 5</t>
  </si>
  <si>
    <t>surg 6</t>
  </si>
  <si>
    <t>date 6</t>
  </si>
  <si>
    <t>surg 7</t>
  </si>
  <si>
    <t>date 7</t>
  </si>
  <si>
    <t>surg 8</t>
  </si>
  <si>
    <t>date 8</t>
  </si>
  <si>
    <t>Home Environment (Medicaid and Private Pay)</t>
  </si>
  <si>
    <t>House-Clean</t>
  </si>
  <si>
    <t>Pest Problem</t>
  </si>
  <si>
    <t>Safety - Good</t>
  </si>
  <si>
    <t>Uninhabitable</t>
  </si>
  <si>
    <t xml:space="preserve">House </t>
  </si>
  <si>
    <t>Trailer</t>
  </si>
  <si>
    <t>Facility</t>
  </si>
  <si>
    <t>Alone</t>
  </si>
  <si>
    <t>With Family</t>
  </si>
  <si>
    <t>With Other</t>
  </si>
  <si>
    <t>Staffed Facility</t>
  </si>
  <si>
    <t>Descr of Other</t>
  </si>
  <si>
    <t>No Pets</t>
  </si>
  <si>
    <t>Aide Resp for Care</t>
  </si>
  <si>
    <t>Total in household</t>
  </si>
  <si>
    <t>ERS system?</t>
  </si>
  <si>
    <t>Cognitive use of ERS</t>
  </si>
  <si>
    <t>Emergency Exit?</t>
  </si>
  <si>
    <t>Personal Habits (Medicaid and Private Pay)</t>
  </si>
  <si>
    <t>Smoke</t>
  </si>
  <si>
    <t>Years of Use</t>
  </si>
  <si>
    <t>Last Use</t>
  </si>
  <si>
    <t>Drink Alcohol</t>
  </si>
  <si>
    <t>Recreational Drugs</t>
  </si>
  <si>
    <t>Type/Amount</t>
  </si>
  <si>
    <t>O2 Education</t>
  </si>
  <si>
    <t>Alcohol Education</t>
  </si>
  <si>
    <t>Drug Education</t>
  </si>
  <si>
    <t>Advanced Directivces (Medicaid Only)</t>
  </si>
  <si>
    <t>Executed and Copy</t>
  </si>
  <si>
    <t>Decline Copy</t>
  </si>
  <si>
    <t>None and no discuss</t>
  </si>
  <si>
    <t>None and more info</t>
  </si>
  <si>
    <t>Client gave copy?</t>
  </si>
  <si>
    <t>Have Documents?</t>
  </si>
  <si>
    <t>Hospice DNR</t>
  </si>
  <si>
    <t>No Healthcare Dir</t>
  </si>
  <si>
    <t>Location of Docs</t>
  </si>
  <si>
    <t>Transportation (Medicaid and Private Pay)</t>
  </si>
  <si>
    <t>Client can drive</t>
  </si>
  <si>
    <t>Whose Vehicle</t>
  </si>
  <si>
    <t>House shop sch</t>
  </si>
  <si>
    <t>Can ride, cannot drive</t>
  </si>
  <si>
    <t>req handicapped</t>
  </si>
  <si>
    <t>Southeast</t>
  </si>
  <si>
    <t>10 mile limit</t>
  </si>
  <si>
    <t>vehicle authorization</t>
  </si>
  <si>
    <t>transportation prov</t>
  </si>
  <si>
    <t>mileage waiver (PP)</t>
  </si>
  <si>
    <t>Funds Authorization</t>
  </si>
  <si>
    <t>Housekeeping (Medicaid and Private Pay)</t>
  </si>
  <si>
    <t>Vacuum</t>
  </si>
  <si>
    <t>Specifics</t>
  </si>
  <si>
    <t>NOtes</t>
  </si>
  <si>
    <t>Laundry (Medicaid and Private Pay)</t>
  </si>
  <si>
    <t>Equip in home?</t>
  </si>
  <si>
    <t>Laundry Schedule</t>
  </si>
  <si>
    <t>Misc Household Tasks (Medicaid and Private Pay)</t>
  </si>
  <si>
    <t>Bill pay</t>
  </si>
  <si>
    <t>Caregiver Relief</t>
  </si>
  <si>
    <t>Bill Spec</t>
  </si>
  <si>
    <t>Appt Spec</t>
  </si>
  <si>
    <t>CG Spec</t>
  </si>
  <si>
    <t>Teaching and Goals (Medicaid and Private Pay)</t>
  </si>
  <si>
    <t xml:space="preserve">Teaching  </t>
  </si>
  <si>
    <t>Disaster Level (Medicaid and Private Pay)</t>
  </si>
  <si>
    <t>Level 1</t>
  </si>
  <si>
    <t>Level 2</t>
  </si>
  <si>
    <t>Level 3</t>
  </si>
  <si>
    <t>Level 4</t>
  </si>
  <si>
    <t>Discharge Planning (Medicaid and Private Pay)</t>
  </si>
  <si>
    <t>Client participate?</t>
  </si>
  <si>
    <t>Reason</t>
  </si>
  <si>
    <t>Family present</t>
  </si>
  <si>
    <t>Who?</t>
  </si>
  <si>
    <t>Disc Pref 1</t>
  </si>
  <si>
    <t>Disc Pref 2</t>
  </si>
  <si>
    <t>Recent Events (Medicaid and Private Pay)</t>
  </si>
  <si>
    <t>Falls</t>
  </si>
  <si>
    <t>Date of fall</t>
  </si>
  <si>
    <t>Cause of fall</t>
  </si>
  <si>
    <t>History of falls</t>
  </si>
  <si>
    <t>Fall Risk</t>
  </si>
  <si>
    <t>Rec to decrease falls</t>
  </si>
  <si>
    <t>Hospitalization</t>
  </si>
  <si>
    <t>Dates</t>
  </si>
  <si>
    <t>Length of stay</t>
  </si>
  <si>
    <t>New meds or dx</t>
  </si>
  <si>
    <t>Dx Papers</t>
  </si>
  <si>
    <t>Describe</t>
  </si>
  <si>
    <t>Recent med change</t>
  </si>
  <si>
    <t>date</t>
  </si>
  <si>
    <t>Names</t>
  </si>
  <si>
    <t>Last Phy Appt</t>
  </si>
  <si>
    <t>reason</t>
  </si>
  <si>
    <t>Schedule Rules (Medicaid and Private Pay)</t>
  </si>
  <si>
    <t>Case Manager Appr</t>
  </si>
  <si>
    <t>No variance</t>
  </si>
  <si>
    <t>PP 72 hours</t>
  </si>
  <si>
    <t>client can change</t>
  </si>
  <si>
    <t>only family can change</t>
  </si>
  <si>
    <t>Schedule Data (Medicaid and Private Pay)</t>
  </si>
  <si>
    <t>Total Hours</t>
  </si>
  <si>
    <t>Olga Notes</t>
  </si>
  <si>
    <t>Olga Eff Date</t>
  </si>
  <si>
    <t>SVC Date</t>
  </si>
  <si>
    <t>1st sun hours</t>
  </si>
  <si>
    <t>1st sun times</t>
  </si>
  <si>
    <t>1st mon hours</t>
  </si>
  <si>
    <t>1st mon times</t>
  </si>
  <si>
    <t>1st tues hours</t>
  </si>
  <si>
    <t>1st tues times</t>
  </si>
  <si>
    <t>1st wed hours</t>
  </si>
  <si>
    <t>1st wed times</t>
  </si>
  <si>
    <t>1st thur hours</t>
  </si>
  <si>
    <t>1st thur times</t>
  </si>
  <si>
    <t>1st fri hours</t>
  </si>
  <si>
    <t>1st fri times</t>
  </si>
  <si>
    <t>1st sat hours</t>
  </si>
  <si>
    <t>1st sat times</t>
  </si>
  <si>
    <t>2nd sun hours</t>
  </si>
  <si>
    <t>2nd sun times</t>
  </si>
  <si>
    <t>2nd mon hours</t>
  </si>
  <si>
    <t>2nd mon times</t>
  </si>
  <si>
    <t>2nd tues hours</t>
  </si>
  <si>
    <t>2nd tues times</t>
  </si>
  <si>
    <t>2nd wed hours</t>
  </si>
  <si>
    <t>2nd wed times</t>
  </si>
  <si>
    <t>2nd thur hours</t>
  </si>
  <si>
    <t>2nd thur times</t>
  </si>
  <si>
    <t>2nd fri hours</t>
  </si>
  <si>
    <t>2nd fri times</t>
  </si>
  <si>
    <t>2nd sat hours</t>
  </si>
  <si>
    <t>2nd sat times</t>
  </si>
  <si>
    <t>3rd sun hours</t>
  </si>
  <si>
    <t>3rd sun times</t>
  </si>
  <si>
    <t>3rd mon hours</t>
  </si>
  <si>
    <t>3rd mon times</t>
  </si>
  <si>
    <t>3rd tues hours</t>
  </si>
  <si>
    <t>3rd tues times</t>
  </si>
  <si>
    <t>3rd wed hours</t>
  </si>
  <si>
    <t>3rd wed times</t>
  </si>
  <si>
    <t>3rd thur hours</t>
  </si>
  <si>
    <t>3rd thur times</t>
  </si>
  <si>
    <t>3rd fri hours</t>
  </si>
  <si>
    <t>3rd fri times</t>
  </si>
  <si>
    <t>3rd sat hours</t>
  </si>
  <si>
    <t>3rd sat times</t>
  </si>
  <si>
    <t>Medication Tasks (Medicaid and Private Pay)</t>
  </si>
  <si>
    <t>Pharmacy Name</t>
  </si>
  <si>
    <t>Resp administration</t>
  </si>
  <si>
    <t>Med Allergies</t>
  </si>
  <si>
    <t>Food Allergies</t>
  </si>
  <si>
    <t>Environmental Allergies</t>
  </si>
  <si>
    <t>No Med Allergies</t>
  </si>
  <si>
    <t>No Food Allergies</t>
  </si>
  <si>
    <t>No Enviro Allergies</t>
  </si>
  <si>
    <t>Remind Meds</t>
  </si>
  <si>
    <t>Pick UP RX</t>
  </si>
  <si>
    <t>Educate Pill Boxes</t>
  </si>
  <si>
    <t>Educate Pill Food</t>
  </si>
  <si>
    <t>Educate Pill Bottles</t>
  </si>
  <si>
    <t>Educate feeding tube</t>
  </si>
  <si>
    <t>Medication List (Medicaid and Private Pay) DO NOT USE</t>
  </si>
  <si>
    <t>Medical Status on Admission (Medicaid and Private Pay)</t>
  </si>
  <si>
    <t>General Appearance</t>
  </si>
  <si>
    <t>Dx Correct</t>
  </si>
  <si>
    <t>Dx change</t>
  </si>
  <si>
    <t>Devices correct</t>
  </si>
  <si>
    <t>Devices needed?</t>
  </si>
  <si>
    <t>Device change</t>
  </si>
  <si>
    <t>Height</t>
  </si>
  <si>
    <t>oxygen use</t>
  </si>
  <si>
    <t>liters</t>
  </si>
  <si>
    <t>Weight mon sch</t>
  </si>
  <si>
    <t>Split Monitor</t>
  </si>
  <si>
    <t>Dx for weight 1</t>
  </si>
  <si>
    <t>dx for weight 2</t>
  </si>
  <si>
    <t>no dx for weight</t>
  </si>
  <si>
    <t>Blood Pressure (Medicaid and Private Pay)</t>
  </si>
  <si>
    <t>BP Value</t>
  </si>
  <si>
    <t>WNL</t>
  </si>
  <si>
    <t>Abnormal</t>
  </si>
  <si>
    <t>Sitting</t>
  </si>
  <si>
    <t>BP Monitor Sch</t>
  </si>
  <si>
    <t>Split Monitor Sch</t>
  </si>
  <si>
    <t>1st Dx</t>
  </si>
  <si>
    <t>2nd Dx</t>
  </si>
  <si>
    <t>No Dx for BP</t>
  </si>
  <si>
    <t>Temperature (Medicaid and Private Pay)</t>
  </si>
  <si>
    <t>Temp Value</t>
  </si>
  <si>
    <t>Oral</t>
  </si>
  <si>
    <t>Axillary</t>
  </si>
  <si>
    <t>Tympanic</t>
  </si>
  <si>
    <t>Rectal</t>
  </si>
  <si>
    <t>Temp Mont Sch</t>
  </si>
  <si>
    <t>Split Sch</t>
  </si>
  <si>
    <t>Pulse (Medicaid and Private Pay)</t>
  </si>
  <si>
    <t>Pulse value</t>
  </si>
  <si>
    <t>Right Arm</t>
  </si>
  <si>
    <t>Left Arm</t>
  </si>
  <si>
    <t>Pulse Monitoring Sch</t>
  </si>
  <si>
    <t>No Dx</t>
  </si>
  <si>
    <t>Respirations (Medicaid and Private Pay)</t>
  </si>
  <si>
    <t>Resp Value</t>
  </si>
  <si>
    <t>Resp Mon Sch</t>
  </si>
  <si>
    <t>Glucose (Medicaid and Private Pay)</t>
  </si>
  <si>
    <t>Client Diabetic?</t>
  </si>
  <si>
    <t>If no, instructtions</t>
  </si>
  <si>
    <t>Glucose Value</t>
  </si>
  <si>
    <t>Diabetes Type</t>
  </si>
  <si>
    <t>Diet Managed</t>
  </si>
  <si>
    <t>Medication Managed</t>
  </si>
  <si>
    <t>Insulin Managed</t>
  </si>
  <si>
    <t>Normal Range</t>
  </si>
  <si>
    <t>Testing Performed</t>
  </si>
  <si>
    <t>Sliding Scale?</t>
  </si>
  <si>
    <t>Enter Scale</t>
  </si>
  <si>
    <t>Glucose Mon Sch</t>
  </si>
  <si>
    <t>Pulse Ox (Medicaid and Private Pay)</t>
  </si>
  <si>
    <t>Pulse Ox Reading</t>
  </si>
  <si>
    <t>Finger</t>
  </si>
  <si>
    <t>Toe</t>
  </si>
  <si>
    <t>Right Appendage</t>
  </si>
  <si>
    <t>Left Appendage</t>
  </si>
  <si>
    <t>Oxygen Use</t>
  </si>
  <si>
    <t>Liters</t>
  </si>
  <si>
    <t>Ears (Medicaid and Private Pay)</t>
  </si>
  <si>
    <t>Ears No Problem</t>
  </si>
  <si>
    <t xml:space="preserve">HOH </t>
  </si>
  <si>
    <t>HOH Right</t>
  </si>
  <si>
    <t>no surg</t>
  </si>
  <si>
    <t>HOH Left</t>
  </si>
  <si>
    <t>Deaf</t>
  </si>
  <si>
    <t>Deaf Right</t>
  </si>
  <si>
    <t>Deaf Left</t>
  </si>
  <si>
    <t>Wear Aids</t>
  </si>
  <si>
    <t>Aids Right</t>
  </si>
  <si>
    <t>Aids Left</t>
  </si>
  <si>
    <t>Tinnitus</t>
  </si>
  <si>
    <t>Describe Other</t>
  </si>
  <si>
    <t>Level of Hear Loss</t>
  </si>
  <si>
    <t>Eyes (Medicaid and Private Pay)</t>
  </si>
  <si>
    <t>No problems</t>
  </si>
  <si>
    <t>Legally Blind</t>
  </si>
  <si>
    <t>Glaucoma</t>
  </si>
  <si>
    <t>Current cataracts</t>
  </si>
  <si>
    <t>previous cataracts</t>
  </si>
  <si>
    <t>blurred vision</t>
  </si>
  <si>
    <t>Mac Degenration</t>
  </si>
  <si>
    <t>other</t>
  </si>
  <si>
    <t>descr other</t>
  </si>
  <si>
    <t>Loss level</t>
  </si>
  <si>
    <t>Assist level</t>
  </si>
  <si>
    <t>Head and Neck (Medicaid and Private Pay)</t>
  </si>
  <si>
    <t>No Problems</t>
  </si>
  <si>
    <t>headaches</t>
  </si>
  <si>
    <t>Injuries/Wounds</t>
  </si>
  <si>
    <t>Nodules</t>
  </si>
  <si>
    <t>Masses</t>
  </si>
  <si>
    <t>Alopecia</t>
  </si>
  <si>
    <t>History of TBI</t>
  </si>
  <si>
    <t>Other Decr</t>
  </si>
  <si>
    <t>Nose and Throat (Medicaid and Private Pay)</t>
  </si>
  <si>
    <t>Congestion</t>
  </si>
  <si>
    <t>Loss of Smell</t>
  </si>
  <si>
    <t>Dysphagia</t>
  </si>
  <si>
    <t>Hoarseness</t>
  </si>
  <si>
    <t>Sore Throat</t>
  </si>
  <si>
    <t>Sinus Problems</t>
  </si>
  <si>
    <t>Pain (Medicaid and Private Pay)</t>
  </si>
  <si>
    <t>No Pain</t>
  </si>
  <si>
    <t>Location of Spec Pain</t>
  </si>
  <si>
    <t>Intensity General</t>
  </si>
  <si>
    <t>Intensity Specific</t>
  </si>
  <si>
    <t>General Sleep</t>
  </si>
  <si>
    <t>Specific Sleep</t>
  </si>
  <si>
    <t>Pain Clinic?</t>
  </si>
  <si>
    <t>Name of Clinic</t>
  </si>
  <si>
    <t>Relief General</t>
  </si>
  <si>
    <t>Relief Specific</t>
  </si>
  <si>
    <t>freq general</t>
  </si>
  <si>
    <t>freq specific</t>
  </si>
  <si>
    <t>Clinic frequency</t>
  </si>
  <si>
    <t>Nutrition (Medicaid and Private Pay)</t>
  </si>
  <si>
    <t>Compliant</t>
  </si>
  <si>
    <t>Non Compliant</t>
  </si>
  <si>
    <t>Recent Wgt Change</t>
  </si>
  <si>
    <t>Type of change</t>
  </si>
  <si>
    <t>Reason for change</t>
  </si>
  <si>
    <t>Food consumed by</t>
  </si>
  <si>
    <t>Person Tube Feed</t>
  </si>
  <si>
    <t>Tube feed sch</t>
  </si>
  <si>
    <t>Tube education meds</t>
  </si>
  <si>
    <t>Tube ed proxy</t>
  </si>
  <si>
    <t>Supplements</t>
  </si>
  <si>
    <t>Nutritional needs</t>
  </si>
  <si>
    <t>Choking Risk</t>
  </si>
  <si>
    <t>Assist level eating</t>
  </si>
  <si>
    <t>assist level meal prep</t>
  </si>
  <si>
    <t>Fluids specifics</t>
  </si>
  <si>
    <t>Prepare meal</t>
  </si>
  <si>
    <t>meal specifics</t>
  </si>
  <si>
    <t>diet ed</t>
  </si>
  <si>
    <t>diet ed specifics</t>
  </si>
  <si>
    <t>assist eating</t>
  </si>
  <si>
    <t>assist eating specifics</t>
  </si>
  <si>
    <t>monitor food</t>
  </si>
  <si>
    <t>monitor food specifics</t>
  </si>
  <si>
    <t>equip</t>
  </si>
  <si>
    <t>equip specifics</t>
  </si>
  <si>
    <t>oral hygiene</t>
  </si>
  <si>
    <t>oral hygiene spec</t>
  </si>
  <si>
    <t>Mouth Condition (Medicaid and Private Pay)</t>
  </si>
  <si>
    <t>No Medical Problems</t>
  </si>
  <si>
    <t>Surg 1</t>
  </si>
  <si>
    <t>Surg 2</t>
  </si>
  <si>
    <t>No Sur</t>
  </si>
  <si>
    <t>Upper Dentures</t>
  </si>
  <si>
    <t>Lower Dentures</t>
  </si>
  <si>
    <t>Other Describe</t>
  </si>
  <si>
    <t>Fluid Restriction</t>
  </si>
  <si>
    <t>CCs per day</t>
  </si>
  <si>
    <t>notes</t>
  </si>
  <si>
    <t>GastroIntestinal (Medicaid and Private Pay)</t>
  </si>
  <si>
    <t>vomitting</t>
  </si>
  <si>
    <t>heartburn</t>
  </si>
  <si>
    <t>constipation</t>
  </si>
  <si>
    <t>belching</t>
  </si>
  <si>
    <t>diarrhea</t>
  </si>
  <si>
    <t>flatus</t>
  </si>
  <si>
    <t>colostomy bag</t>
  </si>
  <si>
    <t>Incontinence</t>
  </si>
  <si>
    <t xml:space="preserve">Total </t>
  </si>
  <si>
    <t>Occassional</t>
  </si>
  <si>
    <t>Wears Pads/Diapers</t>
  </si>
  <si>
    <t>Date of Last GBM</t>
  </si>
  <si>
    <t>BM Monitoring Sche</t>
  </si>
  <si>
    <t>Complications</t>
  </si>
  <si>
    <t>Who performs</t>
  </si>
  <si>
    <t>Bowel Sch</t>
  </si>
  <si>
    <t>Aid Notes Bowel</t>
  </si>
  <si>
    <t>Notes Gastro</t>
  </si>
  <si>
    <t>Genitourinary (Medicaid and Private Pay)</t>
  </si>
  <si>
    <t>No Surg</t>
  </si>
  <si>
    <t>Hisotry of UTI</t>
  </si>
  <si>
    <t>condition</t>
  </si>
  <si>
    <t>Catheter Type</t>
  </si>
  <si>
    <t>details</t>
  </si>
  <si>
    <t>Catheter Care Sch</t>
  </si>
  <si>
    <t>Aide Toilet Sch</t>
  </si>
  <si>
    <t>Cardiovascular (Medicaid and Private Pay)</t>
  </si>
  <si>
    <t xml:space="preserve">Current </t>
  </si>
  <si>
    <t>Hisotry of Infarction</t>
  </si>
  <si>
    <t>Dull Pain</t>
  </si>
  <si>
    <t>Throbbing Pain</t>
  </si>
  <si>
    <t>Capillary Refill</t>
  </si>
  <si>
    <t>Heart Sounds</t>
  </si>
  <si>
    <t>Pulmonary (Medicaid and Private Pay)</t>
  </si>
  <si>
    <t>Aleep Apnea</t>
  </si>
  <si>
    <t>Diff Airway secretions</t>
  </si>
  <si>
    <t>Right Lung Sounds</t>
  </si>
  <si>
    <t>Left Lung Sounds</t>
  </si>
  <si>
    <t>Airway Sounds</t>
  </si>
  <si>
    <t>Assist Level Breathing</t>
  </si>
  <si>
    <t>Neurological (Medicaid and Private Pay)</t>
  </si>
  <si>
    <t>Unequal Grasp</t>
  </si>
  <si>
    <t>Pupil Reaction</t>
  </si>
  <si>
    <t>Eyes Open</t>
  </si>
  <si>
    <t>Speech (Medicaid and Private Pay)</t>
  </si>
  <si>
    <t>NonVerbal</t>
  </si>
  <si>
    <t>Word Choice Diff</t>
  </si>
  <si>
    <t>Skin (Medicaid and Private Pay)</t>
  </si>
  <si>
    <t>Wounds?</t>
  </si>
  <si>
    <t>Location of Wounds</t>
  </si>
  <si>
    <t>Decubitis Level</t>
  </si>
  <si>
    <t>Who Treats?</t>
  </si>
  <si>
    <t>Treatment Plan</t>
  </si>
  <si>
    <t>Mental/Psycological (Medicaid and Private Pay)</t>
  </si>
  <si>
    <t>Orient Person</t>
  </si>
  <si>
    <t>Orient Place</t>
  </si>
  <si>
    <t>Orient Time</t>
  </si>
  <si>
    <t>Behavior None</t>
  </si>
  <si>
    <t>Behavior Violent</t>
  </si>
  <si>
    <t>Behavior Aggressive</t>
  </si>
  <si>
    <t>Behavior Suicidal</t>
  </si>
  <si>
    <t>Personality Calm</t>
  </si>
  <si>
    <t>Personality Cooper</t>
  </si>
  <si>
    <t>Grief Good Coping</t>
  </si>
  <si>
    <t>Grief Delayed</t>
  </si>
  <si>
    <t>Grief Family</t>
  </si>
  <si>
    <t xml:space="preserve">STML </t>
  </si>
  <si>
    <t>LTML</t>
  </si>
  <si>
    <t>Cannot be left alone</t>
  </si>
  <si>
    <t>Abnormal Thoughts</t>
  </si>
  <si>
    <t>Poor Hygiene</t>
  </si>
  <si>
    <t>Inapp Decisions</t>
  </si>
  <si>
    <t>Puzzles</t>
  </si>
  <si>
    <t>Puzzles Spec</t>
  </si>
  <si>
    <t>Reading</t>
  </si>
  <si>
    <t>Reading Spec</t>
  </si>
  <si>
    <t>Mental Sim Spec</t>
  </si>
  <si>
    <t>Supervision Spec</t>
  </si>
  <si>
    <t>Telephone Use (Medicaid and Private Pay)</t>
  </si>
  <si>
    <t>Can dial</t>
  </si>
  <si>
    <t>Can Answer</t>
  </si>
  <si>
    <t>Able comm in English?</t>
  </si>
  <si>
    <t>Needs translation</t>
  </si>
  <si>
    <t>assist level</t>
  </si>
  <si>
    <t>Mobility (Medicaid and Private Pay)</t>
  </si>
  <si>
    <t>No Medical Mobility Prob</t>
  </si>
  <si>
    <t>Hoyer Release</t>
  </si>
  <si>
    <t>Contracture</t>
  </si>
  <si>
    <t>Able to bear w/dme</t>
  </si>
  <si>
    <t>Bear w/o assist</t>
  </si>
  <si>
    <t>Fall risk</t>
  </si>
  <si>
    <t>ROM RUE</t>
  </si>
  <si>
    <t>ROM RLE</t>
  </si>
  <si>
    <t>ROM LUE</t>
  </si>
  <si>
    <t>ROM LLE</t>
  </si>
  <si>
    <t>Mobility Additional (Medicaid and Private Pay)</t>
  </si>
  <si>
    <t>Grooming Unassisted</t>
  </si>
  <si>
    <t>Grooming Assist Level</t>
  </si>
  <si>
    <t>Grooming Notes</t>
  </si>
  <si>
    <t>Upper Body Unassist</t>
  </si>
  <si>
    <t>Upper Body Assist level</t>
  </si>
  <si>
    <t>Upper Body Notes</t>
  </si>
  <si>
    <t>Lower Body Unass</t>
  </si>
  <si>
    <t>Lower Body Assist level</t>
  </si>
  <si>
    <t>Lower Body Notes</t>
  </si>
  <si>
    <t>Bathing Unassist</t>
  </si>
  <si>
    <t>Bathing Assist Level</t>
  </si>
  <si>
    <t>Bathing Notes</t>
  </si>
  <si>
    <t>In out chair</t>
  </si>
  <si>
    <t>in out chair specifics</t>
  </si>
  <si>
    <t>walking</t>
  </si>
  <si>
    <t>walking specifics</t>
  </si>
  <si>
    <t xml:space="preserve">Reposition </t>
  </si>
  <si>
    <t>reposition specifics</t>
  </si>
  <si>
    <t>Enc phy act</t>
  </si>
  <si>
    <t>enc phy act specfics</t>
  </si>
  <si>
    <t xml:space="preserve">ROM </t>
  </si>
  <si>
    <t>ROM specifics</t>
  </si>
  <si>
    <t>Phone ERS</t>
  </si>
  <si>
    <t>Phone ERS Specifics</t>
  </si>
  <si>
    <t>Bathing Specifics</t>
  </si>
  <si>
    <t>Dressing Specifics</t>
  </si>
  <si>
    <t>Grooming Specifics</t>
  </si>
  <si>
    <t>Nail care</t>
  </si>
  <si>
    <t>nail care specifics</t>
  </si>
  <si>
    <t>First Aid specifics</t>
  </si>
  <si>
    <t>Unv Prec</t>
  </si>
  <si>
    <t>Unv Prec specifics</t>
  </si>
  <si>
    <t>Intake</t>
  </si>
  <si>
    <t>intake specifics</t>
  </si>
  <si>
    <t>Condition change</t>
  </si>
  <si>
    <t>Cond Change specifics</t>
  </si>
  <si>
    <t>Report falls specifics</t>
  </si>
  <si>
    <t>Spec Need</t>
  </si>
  <si>
    <t>Spec Need Specifics</t>
  </si>
  <si>
    <t>Medical Treatments (Medicaid and Private Pay)</t>
  </si>
  <si>
    <t>Receiving Treatment?</t>
  </si>
  <si>
    <t>Physical Therapy</t>
  </si>
  <si>
    <t>PT Company</t>
  </si>
  <si>
    <t>Chemo Company</t>
  </si>
  <si>
    <t>PT Schedule</t>
  </si>
  <si>
    <t>Chemo schedul</t>
  </si>
  <si>
    <t>Occ Therapy</t>
  </si>
  <si>
    <t>radiation</t>
  </si>
  <si>
    <t>OT Company</t>
  </si>
  <si>
    <t>radiation comp</t>
  </si>
  <si>
    <t>OT Schedule</t>
  </si>
  <si>
    <t>radiation sched</t>
  </si>
  <si>
    <t>Speech Therapy</t>
  </si>
  <si>
    <t>Speech Company</t>
  </si>
  <si>
    <t>Dialysis comp</t>
  </si>
  <si>
    <t>Speech Schedule</t>
  </si>
  <si>
    <t>Dialysis sche</t>
  </si>
  <si>
    <t>Infusion Therapy</t>
  </si>
  <si>
    <t>Acupuncture</t>
  </si>
  <si>
    <t>Infusion Company</t>
  </si>
  <si>
    <t>Acu Company</t>
  </si>
  <si>
    <t>Infusion Schedule</t>
  </si>
  <si>
    <t xml:space="preserve">Acu Sch </t>
  </si>
  <si>
    <t>Home Health</t>
  </si>
  <si>
    <t>Home Health Company</t>
  </si>
  <si>
    <t>Home Schedule</t>
  </si>
  <si>
    <t>Hospice Company</t>
  </si>
  <si>
    <t>Hospice Schedule</t>
  </si>
  <si>
    <t>Photo Consents/HIV (Medicaid and Private Pay)</t>
  </si>
  <si>
    <t>Consent Facial</t>
  </si>
  <si>
    <t>Consent Body</t>
  </si>
  <si>
    <t>Consent General</t>
  </si>
  <si>
    <t>Picture taken?</t>
  </si>
  <si>
    <t>Consent to HIV</t>
  </si>
  <si>
    <t>Progress Note (Medicaid and Private Pay)</t>
  </si>
  <si>
    <t>Auto Progress</t>
  </si>
  <si>
    <t>Written Note</t>
  </si>
  <si>
    <t>Service Policies (Medicaid and Private Pay)</t>
  </si>
  <si>
    <t>Sch Changes</t>
  </si>
  <si>
    <t>Aide Pers Infop</t>
  </si>
  <si>
    <t>Unannounced SV</t>
  </si>
  <si>
    <t>Concerns</t>
  </si>
  <si>
    <t>Cash</t>
  </si>
  <si>
    <t>Services not extended</t>
  </si>
  <si>
    <t>Direct Employ</t>
  </si>
  <si>
    <t>Dead Run Fee</t>
  </si>
  <si>
    <t>Light Housekeeping</t>
  </si>
  <si>
    <t>Servs not permitted</t>
  </si>
  <si>
    <t>Re Evaluation Snapshot (Medicaid and Private Pay)</t>
  </si>
  <si>
    <t>Sign Changes?</t>
  </si>
  <si>
    <t>List Changes</t>
  </si>
  <si>
    <t>Supervisory Visits (Medicaid and Private Pay)</t>
  </si>
  <si>
    <t>Date of Regular visit</t>
  </si>
  <si>
    <t>Demo Change</t>
  </si>
  <si>
    <t>Date of Triggered visit</t>
  </si>
  <si>
    <t>Reason for visit</t>
  </si>
  <si>
    <t>Caregiver present</t>
  </si>
  <si>
    <t>Add Names</t>
  </si>
  <si>
    <t>Name of CG</t>
  </si>
  <si>
    <t>Punctuality</t>
  </si>
  <si>
    <t>Professionalism</t>
  </si>
  <si>
    <t>Sch Adherence</t>
  </si>
  <si>
    <t>Universal Precaustions</t>
  </si>
  <si>
    <t>Confidentiality</t>
  </si>
  <si>
    <t>Communication</t>
  </si>
  <si>
    <t>Care plan</t>
  </si>
  <si>
    <t>Notes on ratings</t>
  </si>
  <si>
    <t>Vitals Changes</t>
  </si>
  <si>
    <t>recent illness</t>
  </si>
  <si>
    <t>illness notes</t>
  </si>
  <si>
    <t>falls notes</t>
  </si>
  <si>
    <t>hospitalization notes</t>
  </si>
  <si>
    <t>Triggered Visit y/n</t>
  </si>
  <si>
    <t>Incidents</t>
  </si>
  <si>
    <t>incidents notes</t>
  </si>
  <si>
    <t>dx updated</t>
  </si>
  <si>
    <t>meds updated</t>
  </si>
  <si>
    <t>dx request to remove</t>
  </si>
  <si>
    <t>mobility change</t>
  </si>
  <si>
    <t>mobility notes</t>
  </si>
  <si>
    <t>mental change</t>
  </si>
  <si>
    <t>mental notes</t>
  </si>
  <si>
    <t>cardio change</t>
  </si>
  <si>
    <t>cardio notes</t>
  </si>
  <si>
    <t>Pulmonary change</t>
  </si>
  <si>
    <t>pulmonary notes</t>
  </si>
  <si>
    <t>Gastro/Genit change</t>
  </si>
  <si>
    <t>Gastro/Genit notes</t>
  </si>
  <si>
    <t>Skin change</t>
  </si>
  <si>
    <t>skin notes</t>
  </si>
  <si>
    <t>Neuro change</t>
  </si>
  <si>
    <t>neuro notes</t>
  </si>
  <si>
    <t>Pain change</t>
  </si>
  <si>
    <t>pain notes</t>
  </si>
  <si>
    <t>behavioral change</t>
  </si>
  <si>
    <t>behavioral notes</t>
  </si>
  <si>
    <t>hygiene yes</t>
  </si>
  <si>
    <t>no</t>
  </si>
  <si>
    <t>residence clean yes</t>
  </si>
  <si>
    <t>weight stable yes</t>
  </si>
  <si>
    <t>nutrition yes</t>
  </si>
  <si>
    <t>social yes</t>
  </si>
  <si>
    <t>careplan yes</t>
  </si>
  <si>
    <t>care plan stable</t>
  </si>
  <si>
    <t>higher level</t>
  </si>
  <si>
    <t>avoid hosp</t>
  </si>
  <si>
    <t>avoid injury</t>
  </si>
  <si>
    <t>have needs met</t>
  </si>
  <si>
    <t>remain condition</t>
  </si>
  <si>
    <t>stablize</t>
  </si>
  <si>
    <t>deteriorate</t>
  </si>
  <si>
    <t>rapid deter</t>
  </si>
  <si>
    <t>goal remain</t>
  </si>
  <si>
    <t>met</t>
  </si>
  <si>
    <t>unlikely</t>
  </si>
  <si>
    <t>teaching</t>
  </si>
  <si>
    <t>understanding</t>
  </si>
  <si>
    <t>particiapte</t>
  </si>
  <si>
    <t>overall needs</t>
  </si>
  <si>
    <t>progress narrative</t>
  </si>
  <si>
    <t>family</t>
  </si>
  <si>
    <t>aides</t>
  </si>
  <si>
    <t>physician</t>
  </si>
  <si>
    <t>case mgr</t>
  </si>
  <si>
    <t>don</t>
  </si>
  <si>
    <t>last dr appt</t>
  </si>
  <si>
    <t>dr name</t>
  </si>
  <si>
    <t>type of appt</t>
  </si>
  <si>
    <t>changes</t>
  </si>
  <si>
    <t>last bm date</t>
  </si>
  <si>
    <t>speciality</t>
  </si>
  <si>
    <t>change details</t>
  </si>
  <si>
    <t>name tag</t>
  </si>
  <si>
    <t>appr dress</t>
  </si>
  <si>
    <t>attentive</t>
  </si>
  <si>
    <t>able to locate plan</t>
  </si>
  <si>
    <t>follow care plan</t>
  </si>
  <si>
    <t>Knowledgale about clietn</t>
  </si>
  <si>
    <t>Aide due for review?</t>
  </si>
  <si>
    <t>Type of Visit</t>
  </si>
  <si>
    <t>PCP Change y/n</t>
  </si>
  <si>
    <t>PCP Phone</t>
  </si>
  <si>
    <t>New Med Treat</t>
  </si>
  <si>
    <t>New procedures</t>
  </si>
  <si>
    <t>Procedures details</t>
  </si>
  <si>
    <t>Vital waiver change</t>
  </si>
  <si>
    <t>new pt</t>
  </si>
  <si>
    <t>ot</t>
  </si>
  <si>
    <t>st</t>
  </si>
  <si>
    <t>it</t>
  </si>
  <si>
    <t>home health</t>
  </si>
  <si>
    <t>hospice</t>
  </si>
  <si>
    <t>Previous Visit</t>
  </si>
  <si>
    <t>Sch Specifics</t>
  </si>
  <si>
    <t>Perm PCA?</t>
  </si>
  <si>
    <t>Pca Name</t>
  </si>
  <si>
    <t>Pca Phone</t>
  </si>
  <si>
    <t>Employee Evals</t>
  </si>
  <si>
    <t>blood pressure</t>
  </si>
  <si>
    <t>error check</t>
  </si>
  <si>
    <t>temp</t>
  </si>
  <si>
    <t>skills</t>
  </si>
  <si>
    <t>resp</t>
  </si>
  <si>
    <t>home</t>
  </si>
  <si>
    <t>pulse</t>
  </si>
  <si>
    <t>training</t>
  </si>
  <si>
    <t>dressing</t>
  </si>
  <si>
    <t>bathing</t>
  </si>
  <si>
    <t>toileting</t>
  </si>
  <si>
    <t>oral</t>
  </si>
  <si>
    <t>special</t>
  </si>
  <si>
    <t>laundry</t>
  </si>
  <si>
    <t>vac</t>
  </si>
  <si>
    <t>trash</t>
  </si>
  <si>
    <t>bathroom</t>
  </si>
  <si>
    <t>kitchen</t>
  </si>
  <si>
    <t>transfers</t>
  </si>
  <si>
    <t>reposito</t>
  </si>
  <si>
    <t>rom</t>
  </si>
  <si>
    <t>phone</t>
  </si>
  <si>
    <t>fluids</t>
  </si>
  <si>
    <t>meals</t>
  </si>
  <si>
    <t>eating</t>
  </si>
  <si>
    <t>expirations</t>
  </si>
  <si>
    <t>equipment</t>
  </si>
  <si>
    <t>social</t>
  </si>
  <si>
    <t>bill</t>
  </si>
  <si>
    <t>relief</t>
  </si>
  <si>
    <t>reading</t>
  </si>
  <si>
    <t>stimulation</t>
  </si>
  <si>
    <t>appears</t>
  </si>
  <si>
    <t>bathroon</t>
  </si>
  <si>
    <t xml:space="preserve">living </t>
  </si>
  <si>
    <t>bedroom</t>
  </si>
  <si>
    <t>respirations</t>
  </si>
  <si>
    <t>accucheck</t>
  </si>
  <si>
    <t>tube</t>
  </si>
  <si>
    <t>infection</t>
  </si>
  <si>
    <t>hoyer</t>
  </si>
  <si>
    <t>temptrain</t>
  </si>
  <si>
    <t>diet</t>
  </si>
  <si>
    <t>dementia</t>
  </si>
  <si>
    <t>bowel</t>
  </si>
  <si>
    <t>catheter</t>
  </si>
  <si>
    <t>mechanice</t>
  </si>
  <si>
    <t>disease</t>
  </si>
  <si>
    <t>blood train</t>
  </si>
  <si>
    <t>transfer train</t>
  </si>
  <si>
    <t>srf</t>
  </si>
  <si>
    <t>policies</t>
  </si>
  <si>
    <t>overall notes</t>
  </si>
  <si>
    <t xml:space="preserve">nurse </t>
  </si>
  <si>
    <t>note</t>
  </si>
  <si>
    <t>Error Checking</t>
  </si>
  <si>
    <t>Assessment</t>
  </si>
  <si>
    <t>Bloop Pressure</t>
  </si>
  <si>
    <t>Sv start</t>
  </si>
  <si>
    <t>recent</t>
  </si>
  <si>
    <t>satisfaction</t>
  </si>
  <si>
    <t>vitals</t>
  </si>
  <si>
    <t>Pulse Ox</t>
  </si>
  <si>
    <t>dxmed</t>
  </si>
  <si>
    <t>systems</t>
  </si>
  <si>
    <t>ears</t>
  </si>
  <si>
    <t>needs</t>
  </si>
  <si>
    <t>eyes</t>
  </si>
  <si>
    <t>comm</t>
  </si>
  <si>
    <t>head/neck</t>
  </si>
  <si>
    <t>clientsign</t>
  </si>
  <si>
    <t>Completed</t>
  </si>
  <si>
    <t>nose/throat</t>
  </si>
  <si>
    <t>nursesign</t>
  </si>
  <si>
    <t>skin</t>
  </si>
  <si>
    <t>populate</t>
  </si>
  <si>
    <t>aide review</t>
  </si>
  <si>
    <t>Mouth cond</t>
  </si>
  <si>
    <t>gastro</t>
  </si>
  <si>
    <t>genit</t>
  </si>
  <si>
    <t>Cardio</t>
  </si>
  <si>
    <t>Neuro</t>
  </si>
  <si>
    <t>pain</t>
  </si>
  <si>
    <t>m limit</t>
  </si>
  <si>
    <t>m tasks</t>
  </si>
  <si>
    <t>m adls</t>
  </si>
  <si>
    <t>home env</t>
  </si>
  <si>
    <t>h tasks</t>
  </si>
  <si>
    <t>telephone</t>
  </si>
  <si>
    <t>transp</t>
  </si>
  <si>
    <t xml:space="preserve">demo </t>
  </si>
  <si>
    <t>initial</t>
  </si>
  <si>
    <t>schedule</t>
  </si>
  <si>
    <t>appearance</t>
  </si>
  <si>
    <t>med only</t>
  </si>
  <si>
    <t>pp only</t>
  </si>
  <si>
    <t>em cont</t>
  </si>
  <si>
    <t>medical con</t>
  </si>
  <si>
    <t>history</t>
  </si>
  <si>
    <t>rec events</t>
  </si>
  <si>
    <t>med treat</t>
  </si>
  <si>
    <t>medication</t>
  </si>
  <si>
    <t>Teach</t>
  </si>
  <si>
    <t>Directives</t>
  </si>
  <si>
    <t>PN</t>
  </si>
  <si>
    <t>Review</t>
  </si>
  <si>
    <t>Client Sign</t>
  </si>
  <si>
    <t>Nurse Sign</t>
  </si>
  <si>
    <t>print</t>
  </si>
  <si>
    <t>Data Populated</t>
  </si>
  <si>
    <t>Satisfaction</t>
  </si>
  <si>
    <t>Internal SVC Agreement</t>
  </si>
  <si>
    <t>Sunday Y/n</t>
  </si>
  <si>
    <t>Total Units</t>
  </si>
  <si>
    <t>sun 1 hours</t>
  </si>
  <si>
    <t>mon 1 hours</t>
  </si>
  <si>
    <t>tues 1 hours</t>
  </si>
  <si>
    <t>wed 1 hours</t>
  </si>
  <si>
    <t>thurs 1 hours</t>
  </si>
  <si>
    <t>fri 1 hours</t>
  </si>
  <si>
    <t>sat 1 hours</t>
  </si>
  <si>
    <t>sun 1 times</t>
  </si>
  <si>
    <t>mon 1 times</t>
  </si>
  <si>
    <t>tues 1 times</t>
  </si>
  <si>
    <t>wed 1 times</t>
  </si>
  <si>
    <t>thurs 1 times</t>
  </si>
  <si>
    <t>fri 1 times</t>
  </si>
  <si>
    <t>sat 1 times</t>
  </si>
  <si>
    <t>sun 2 hours</t>
  </si>
  <si>
    <t>mon 2 hours</t>
  </si>
  <si>
    <t>tues 2 hours</t>
  </si>
  <si>
    <t>wed 2 hours</t>
  </si>
  <si>
    <t>thurs 2 hours</t>
  </si>
  <si>
    <t>fri 2 hours</t>
  </si>
  <si>
    <t>sat 2 hours</t>
  </si>
  <si>
    <t>sun 2 times</t>
  </si>
  <si>
    <t>mon 2 times</t>
  </si>
  <si>
    <t>tues 2 times</t>
  </si>
  <si>
    <t>wed 2 times</t>
  </si>
  <si>
    <t>thurs 2 times</t>
  </si>
  <si>
    <t>fri 2 times</t>
  </si>
  <si>
    <t>sat 2 times</t>
  </si>
  <si>
    <t>sun 3 hours</t>
  </si>
  <si>
    <t>mon 3 hours</t>
  </si>
  <si>
    <t>tues 3 hours</t>
  </si>
  <si>
    <t>wed 3 hours</t>
  </si>
  <si>
    <t>thurs 3 hours</t>
  </si>
  <si>
    <t>fri 3 hours</t>
  </si>
  <si>
    <t>sat 3 hours</t>
  </si>
  <si>
    <t>sun 3 times</t>
  </si>
  <si>
    <t>mon 3 times</t>
  </si>
  <si>
    <t>tues 3 times</t>
  </si>
  <si>
    <t>wed 3 times</t>
  </si>
  <si>
    <t>thurs 3 times</t>
  </si>
  <si>
    <t>fri 3 times</t>
  </si>
  <si>
    <t>sat 3 times</t>
  </si>
  <si>
    <t>4.4 Update</t>
  </si>
  <si>
    <t>Weight per client</t>
  </si>
  <si>
    <t>Unable to get on scale</t>
  </si>
  <si>
    <t>Added Dr List</t>
  </si>
  <si>
    <t>Discharge Date</t>
  </si>
  <si>
    <t>Last day of services</t>
  </si>
  <si>
    <t>Reason for dx</t>
  </si>
  <si>
    <t>Reason Specifics</t>
  </si>
  <si>
    <t>Client Status</t>
  </si>
  <si>
    <t>Active</t>
  </si>
  <si>
    <t>4.5 Update</t>
  </si>
  <si>
    <t xml:space="preserve">Added separate form to update care plan </t>
  </si>
  <si>
    <t>Fixed Incontinence problem on functional limitations</t>
  </si>
  <si>
    <t>Added toileting program to assessment</t>
  </si>
  <si>
    <t>Notes for care plan</t>
  </si>
  <si>
    <t>vision</t>
  </si>
  <si>
    <t xml:space="preserve">Bathing </t>
  </si>
  <si>
    <t>Trasnsportation</t>
  </si>
  <si>
    <t>Aide Recommendations</t>
  </si>
  <si>
    <t xml:space="preserve">Telephone Use   </t>
  </si>
  <si>
    <t>4.6 Update</t>
  </si>
  <si>
    <t>Added "Other" To Functional Limitations</t>
  </si>
  <si>
    <t>SVC Agreement Updates for print</t>
  </si>
  <si>
    <t>Effective date of change</t>
  </si>
  <si>
    <t>SVC Agreement date</t>
  </si>
  <si>
    <t>Hours per week</t>
  </si>
  <si>
    <t>Units per week</t>
  </si>
  <si>
    <t>4.7 Update</t>
  </si>
  <si>
    <t>Made Care plan edit page bigger</t>
  </si>
  <si>
    <t>Cardio Surg1</t>
  </si>
  <si>
    <t>Cardio Surg 2</t>
  </si>
  <si>
    <t>Cardio No Surg</t>
  </si>
  <si>
    <t>Specific Info Free Type</t>
  </si>
  <si>
    <t>Device Other Y/N</t>
  </si>
  <si>
    <t>Disaster Level Code</t>
  </si>
  <si>
    <t>Collation of Events</t>
  </si>
  <si>
    <t>Gastro Surg 1</t>
  </si>
  <si>
    <t>Gastro Surg 2</t>
  </si>
  <si>
    <t>No Gastro Surg</t>
  </si>
  <si>
    <t>Other Med Treat Y/N</t>
  </si>
  <si>
    <t>Other Company</t>
  </si>
  <si>
    <t>Other Treatment</t>
  </si>
  <si>
    <t>date rename format</t>
  </si>
  <si>
    <t>Irregular heart rhythm</t>
  </si>
  <si>
    <t>Chewing problems</t>
  </si>
  <si>
    <t>Trapeze Grab Bar</t>
  </si>
  <si>
    <t>Total Bowel</t>
  </si>
  <si>
    <t>Occ Bowel</t>
  </si>
  <si>
    <t>Total Bladde</t>
  </si>
  <si>
    <t>Occ Bladder</t>
  </si>
  <si>
    <t>Current SVC agree date</t>
  </si>
  <si>
    <t>Current Nurse</t>
  </si>
  <si>
    <t>4.8 Update</t>
  </si>
  <si>
    <t>Diet Code Updated</t>
  </si>
  <si>
    <t>P - Diabetic</t>
  </si>
  <si>
    <t>p - Low sodium</t>
  </si>
  <si>
    <t>p - low fat</t>
  </si>
  <si>
    <t>p - low cholesterol</t>
  </si>
  <si>
    <t>p - renal</t>
  </si>
  <si>
    <t>p - low sugar</t>
  </si>
  <si>
    <t>p - soft food</t>
  </si>
  <si>
    <t>p - no spicy food</t>
  </si>
  <si>
    <t>p - mechanical</t>
  </si>
  <si>
    <t>p - thickened liquid</t>
  </si>
  <si>
    <t>p - other</t>
  </si>
  <si>
    <t>p - other descr</t>
  </si>
  <si>
    <t>s - Diabetic</t>
  </si>
  <si>
    <t>s - Low sodium</t>
  </si>
  <si>
    <t>s - low fat</t>
  </si>
  <si>
    <t>s - low cholesterol</t>
  </si>
  <si>
    <t>s - renal</t>
  </si>
  <si>
    <t>s - low sugar</t>
  </si>
  <si>
    <t>s - soft food</t>
  </si>
  <si>
    <t>s - no spicy food</t>
  </si>
  <si>
    <t>s - mechanical</t>
  </si>
  <si>
    <t>s - thickened liquid</t>
  </si>
  <si>
    <t>s - other</t>
  </si>
  <si>
    <t>s - other descr</t>
  </si>
  <si>
    <t>All Presc</t>
  </si>
  <si>
    <t>All Suggested</t>
  </si>
  <si>
    <t>4.9 Update</t>
  </si>
  <si>
    <t>Updated reporting for visit dates</t>
  </si>
  <si>
    <t>Cleaned up previous visit incidents</t>
  </si>
  <si>
    <t>5.0 Update</t>
  </si>
  <si>
    <t>Fixed diet coding</t>
  </si>
  <si>
    <t>Disaster Level change</t>
  </si>
  <si>
    <t>Decline all photos</t>
  </si>
  <si>
    <t>Reg RX Diet</t>
  </si>
  <si>
    <t>Reg Sugg Diet</t>
  </si>
  <si>
    <t>5.2 Update</t>
  </si>
  <si>
    <t>Fixed Error Checking Code clearing</t>
  </si>
  <si>
    <t>Added Skilled Nursing Forms</t>
  </si>
  <si>
    <t>Skilled Nursing(Medication Management Only)</t>
  </si>
  <si>
    <t>Medication Mgmt</t>
  </si>
  <si>
    <t xml:space="preserve">Catheter Care  </t>
  </si>
  <si>
    <t>Iv/Infusion Therapy</t>
  </si>
  <si>
    <t>RN Visit Cost</t>
  </si>
  <si>
    <t>LPN Visit Cost</t>
  </si>
  <si>
    <t>RN NC Medicaid</t>
  </si>
  <si>
    <t>LPN NC Medicaid</t>
  </si>
  <si>
    <t>Financially Responsible</t>
  </si>
  <si>
    <t>Visits per frequency</t>
  </si>
  <si>
    <t xml:space="preserve">City </t>
  </si>
  <si>
    <t xml:space="preserve">Phone </t>
  </si>
  <si>
    <t>Clear Pathways</t>
  </si>
  <si>
    <t>Sharps Dispoal</t>
  </si>
  <si>
    <t>Orders from Physicians</t>
  </si>
  <si>
    <t>Knowledgeable</t>
  </si>
  <si>
    <t>Wound Heal</t>
  </si>
  <si>
    <t>Indep Meds</t>
  </si>
  <si>
    <t>Indep IV</t>
  </si>
  <si>
    <t>Follow up PCP</t>
  </si>
  <si>
    <t>No longer need</t>
  </si>
  <si>
    <t>indep maintenance</t>
  </si>
  <si>
    <t>medicaid termed</t>
  </si>
  <si>
    <t>SN Visit Form</t>
  </si>
  <si>
    <t>TeachTrain</t>
  </si>
  <si>
    <t>Wound care</t>
  </si>
  <si>
    <t>TeachTrain Provided</t>
  </si>
  <si>
    <t>Aseptic</t>
  </si>
  <si>
    <t>Steril</t>
  </si>
  <si>
    <t>Cleansed with</t>
  </si>
  <si>
    <t>Covered gauze</t>
  </si>
  <si>
    <t>ABD pad</t>
  </si>
  <si>
    <t>tefla</t>
  </si>
  <si>
    <t>wound vac</t>
  </si>
  <si>
    <t>black</t>
  </si>
  <si>
    <t>white</t>
  </si>
  <si>
    <t>silver</t>
  </si>
  <si>
    <t>canister changed</t>
  </si>
  <si>
    <t>constant suction</t>
  </si>
  <si>
    <t>intermittent suction</t>
  </si>
  <si>
    <t>pressure</t>
  </si>
  <si>
    <t>draingage mls</t>
  </si>
  <si>
    <t>drainage color</t>
  </si>
  <si>
    <t>wc notes</t>
  </si>
  <si>
    <t>Drug given</t>
  </si>
  <si>
    <t>dose</t>
  </si>
  <si>
    <t>minutes</t>
  </si>
  <si>
    <t>line flush ns</t>
  </si>
  <si>
    <t>before</t>
  </si>
  <si>
    <t>after</t>
  </si>
  <si>
    <t>peri iv inserted</t>
  </si>
  <si>
    <t>using</t>
  </si>
  <si>
    <t>new meds</t>
  </si>
  <si>
    <t>med change</t>
  </si>
  <si>
    <t>dx meds</t>
  </si>
  <si>
    <t>med prof updated</t>
  </si>
  <si>
    <t>fill box</t>
  </si>
  <si>
    <t>weeks</t>
  </si>
  <si>
    <t>counted narcs</t>
  </si>
  <si>
    <t>complete narc tracking</t>
  </si>
  <si>
    <t>comm with pcp</t>
  </si>
  <si>
    <t>foley inserted</t>
  </si>
  <si>
    <t>cc</t>
  </si>
  <si>
    <t>return</t>
  </si>
  <si>
    <t>removed foley</t>
  </si>
  <si>
    <t>instruc given</t>
  </si>
  <si>
    <t>clean site</t>
  </si>
  <si>
    <t>inspect tube</t>
  </si>
  <si>
    <t>urine appearance</t>
  </si>
  <si>
    <t>changed bag</t>
  </si>
  <si>
    <t>stoma site</t>
  </si>
  <si>
    <t>remove adhesive</t>
  </si>
  <si>
    <t>skin barrier</t>
  </si>
  <si>
    <t>education</t>
  </si>
  <si>
    <t>pulseox</t>
  </si>
  <si>
    <t>glucose</t>
  </si>
  <si>
    <t xml:space="preserve">time in </t>
  </si>
  <si>
    <t>time out</t>
  </si>
  <si>
    <t>peripher iv check</t>
  </si>
  <si>
    <t>Cleansed?</t>
  </si>
  <si>
    <t>Visit Type Flat</t>
  </si>
  <si>
    <t>PSS Services</t>
  </si>
  <si>
    <t>SN Services</t>
  </si>
  <si>
    <t>dates of prev visit</t>
  </si>
  <si>
    <t>Changes in last visits</t>
  </si>
  <si>
    <t>falls corrective plan</t>
  </si>
  <si>
    <t>hospitalizations</t>
  </si>
  <si>
    <t>Update 6.0</t>
  </si>
  <si>
    <t>Latex Allergy</t>
  </si>
  <si>
    <t>Procedures?</t>
  </si>
  <si>
    <t>Procedure 1</t>
  </si>
  <si>
    <t>Procedure 2</t>
  </si>
  <si>
    <t>Procedure 3</t>
  </si>
  <si>
    <t>Procedure 4</t>
  </si>
  <si>
    <t>Procedure 5</t>
  </si>
  <si>
    <t>Procedure 6</t>
  </si>
  <si>
    <t>Procedure 7</t>
  </si>
  <si>
    <t>Procedure 8</t>
  </si>
  <si>
    <t>procedure Error</t>
  </si>
  <si>
    <t>Billing PA</t>
  </si>
  <si>
    <t>Cert From</t>
  </si>
  <si>
    <t>Cert TO</t>
  </si>
  <si>
    <t>Fall Yes/No</t>
  </si>
  <si>
    <t>Fall Details</t>
  </si>
  <si>
    <t>Hospital Yes/No</t>
  </si>
  <si>
    <t>Hospital Details</t>
  </si>
  <si>
    <t>Mobility Surg 1</t>
  </si>
  <si>
    <t>Mobility Surg 2</t>
  </si>
  <si>
    <t>Surgery FL 3</t>
  </si>
  <si>
    <t>Surgery FL 4</t>
  </si>
  <si>
    <t>Surgery FL 5</t>
  </si>
  <si>
    <t>Surgery FL 6</t>
  </si>
  <si>
    <t>Surgery FL 7</t>
  </si>
  <si>
    <t>Surgery FL 8</t>
  </si>
  <si>
    <t>Dx Change</t>
  </si>
  <si>
    <t>Dx Change detail</t>
  </si>
  <si>
    <t>Assess BP Refused</t>
  </si>
  <si>
    <t>AssessGlucose Ref</t>
  </si>
  <si>
    <t>Upper Contractures</t>
  </si>
  <si>
    <t>Lower Contractures</t>
  </si>
  <si>
    <t>Obesity</t>
  </si>
  <si>
    <t>Has DNR</t>
  </si>
  <si>
    <t>Copy DNR Received</t>
  </si>
  <si>
    <t>Last Visit Processed</t>
  </si>
  <si>
    <t>Update Copy Made</t>
  </si>
  <si>
    <t>Merged Update Copy</t>
  </si>
  <si>
    <t>Note about sign date</t>
  </si>
  <si>
    <t>Do not alter</t>
  </si>
  <si>
    <t>Form being printed</t>
  </si>
  <si>
    <t>Print note check box</t>
  </si>
  <si>
    <t>Nurse Reviewer Name</t>
  </si>
  <si>
    <t>Form Update Date</t>
  </si>
  <si>
    <t>SV Info Received</t>
  </si>
  <si>
    <t>PN Info Received</t>
  </si>
  <si>
    <t>Other Received</t>
  </si>
  <si>
    <t>Other Details</t>
  </si>
  <si>
    <t>nurse name on form</t>
  </si>
  <si>
    <t>Do not alter this box</t>
  </si>
  <si>
    <t>Glucose Pop Assess</t>
  </si>
  <si>
    <t>Glucose Pop SV</t>
  </si>
  <si>
    <t>Supervising RN</t>
  </si>
  <si>
    <t>New Event Entered</t>
  </si>
  <si>
    <t>New Follow Up</t>
  </si>
  <si>
    <t>Event Change</t>
  </si>
  <si>
    <t>Nurse Digital Sign Name</t>
  </si>
  <si>
    <t>Digital Sign Date</t>
  </si>
  <si>
    <t>Digital Time 1</t>
  </si>
  <si>
    <t>Time 2</t>
  </si>
  <si>
    <t>Am</t>
  </si>
  <si>
    <t>Report Date</t>
  </si>
  <si>
    <t>approx date</t>
  </si>
  <si>
    <t>act date</t>
  </si>
  <si>
    <t>person original</t>
  </si>
  <si>
    <t>relation</t>
  </si>
  <si>
    <t>follow up req</t>
  </si>
  <si>
    <t>event type</t>
  </si>
  <si>
    <t>event details</t>
  </si>
  <si>
    <t>physician name</t>
  </si>
  <si>
    <t>change pcp</t>
  </si>
  <si>
    <t>discharge date</t>
  </si>
  <si>
    <t>follow up date</t>
  </si>
  <si>
    <t>nurse follow up</t>
  </si>
  <si>
    <t>Change nurse</t>
  </si>
  <si>
    <t>Follow up details</t>
  </si>
  <si>
    <t>New Discharge date</t>
  </si>
  <si>
    <t>SV 120 date</t>
  </si>
  <si>
    <t>Assess date for SV</t>
  </si>
  <si>
    <t>RN Assessment Fee Y/N</t>
  </si>
  <si>
    <t>Rn Fee Amount</t>
  </si>
  <si>
    <t>Admission Goals</t>
  </si>
  <si>
    <t>Surgeries since last</t>
  </si>
  <si>
    <t xml:space="preserve">Falls  </t>
  </si>
  <si>
    <t>Dr Appt</t>
  </si>
  <si>
    <t>Upcoming Proced</t>
  </si>
  <si>
    <t>temp Ass Refused</t>
  </si>
  <si>
    <t>resp ass refused</t>
  </si>
  <si>
    <t>pulse ass refused</t>
  </si>
  <si>
    <t>pulseox ass refused</t>
  </si>
  <si>
    <t>Bp Sv Ref</t>
  </si>
  <si>
    <t>Pulse SV Ref</t>
  </si>
  <si>
    <t>Resp SV Ref</t>
  </si>
  <si>
    <t>Temp Sv Ref</t>
  </si>
  <si>
    <t>PulseOx Sv Ref</t>
  </si>
  <si>
    <t>Weight sv ref</t>
  </si>
  <si>
    <t>weight sv unable</t>
  </si>
  <si>
    <t>glucose sv ref</t>
  </si>
  <si>
    <t>glucose sv na</t>
  </si>
  <si>
    <t>SV Sign Change YN</t>
  </si>
  <si>
    <t>Alone safe but rec</t>
  </si>
  <si>
    <t>safe to be alone</t>
  </si>
  <si>
    <t>int dx change date</t>
  </si>
  <si>
    <t>internal notes</t>
  </si>
  <si>
    <t>SV Devices Change</t>
  </si>
  <si>
    <t>SV Devices Updated</t>
  </si>
  <si>
    <t>Update 8.0 Proxy Care</t>
  </si>
  <si>
    <t xml:space="preserve">Client requires Proxy </t>
  </si>
  <si>
    <t>Intermittent Cath</t>
  </si>
  <si>
    <t>Proxy Caregiver 1</t>
  </si>
  <si>
    <t>Proxy Caregiver 2</t>
  </si>
  <si>
    <t>Proxy Caregiver 3</t>
  </si>
  <si>
    <t>legl rep</t>
  </si>
  <si>
    <t>Legal rep phone</t>
  </si>
  <si>
    <t>Legal Rep Relation</t>
  </si>
  <si>
    <t>proxy caregiver 4</t>
  </si>
  <si>
    <t>Specific Orders</t>
  </si>
  <si>
    <t>Ordering Doctor</t>
  </si>
  <si>
    <t>address</t>
  </si>
  <si>
    <t>state</t>
  </si>
  <si>
    <t>zip</t>
  </si>
  <si>
    <t>fax</t>
  </si>
  <si>
    <t>dr License type</t>
  </si>
  <si>
    <t>Add Hour Rate</t>
  </si>
  <si>
    <t>Onboarding</t>
  </si>
  <si>
    <t>Date of Proxy Agreement</t>
  </si>
  <si>
    <t>Leg Rep Y/N</t>
  </si>
  <si>
    <t>Other Additions to 8.1</t>
  </si>
  <si>
    <t>MsgBox Contents</t>
  </si>
  <si>
    <t>Client cannot sign checkbox</t>
  </si>
  <si>
    <t>Discharge Form Date</t>
  </si>
  <si>
    <t>Updated Copy Macro so that all files are copied via macro, not manual</t>
  </si>
  <si>
    <t>Old File Name</t>
  </si>
  <si>
    <t>Any lines added after this section will need to be added to the copy macro code</t>
  </si>
  <si>
    <t>Forced Physician Appointment Box</t>
  </si>
  <si>
    <t>Added Separate section for Dual Medicaid and Private Pay Paperwork</t>
  </si>
  <si>
    <t>Total Private Pay Hours</t>
  </si>
  <si>
    <t>8.5 After Audit</t>
  </si>
  <si>
    <t>SV Appropriate SVC</t>
  </si>
  <si>
    <t>Added authorization for the group</t>
  </si>
  <si>
    <t>LTC Company</t>
  </si>
  <si>
    <t>LTC Phone</t>
  </si>
  <si>
    <t>LTC Fax</t>
  </si>
  <si>
    <t>Policy Number</t>
  </si>
  <si>
    <t>Claim Number</t>
  </si>
  <si>
    <t>LTC y/n</t>
  </si>
  <si>
    <t>Fixed tab order</t>
  </si>
  <si>
    <t>Fixed copy bug with vitals</t>
  </si>
  <si>
    <t>Added another nurse</t>
  </si>
  <si>
    <t>Fixed clear code on SV</t>
  </si>
  <si>
    <t>8.7 Small Fixes</t>
  </si>
  <si>
    <t xml:space="preserve">Updated care plan code for vertigo, </t>
  </si>
  <si>
    <t>Updated Vitals Refusal Processing</t>
  </si>
  <si>
    <t>On Assessment</t>
  </si>
  <si>
    <t xml:space="preserve">BP  </t>
  </si>
  <si>
    <t>On SV</t>
  </si>
  <si>
    <t>Added vitals waiver to private pay print</t>
  </si>
  <si>
    <t>Fixed single form printing</t>
  </si>
  <si>
    <t>Added printing complete button</t>
  </si>
  <si>
    <t>Fixed procedure history</t>
  </si>
  <si>
    <t>Fixed individual print code</t>
  </si>
  <si>
    <t>Added code to remind about entering pcp appointment.</t>
  </si>
  <si>
    <t>Fixed Assessment Refusal codes on Vitals</t>
  </si>
  <si>
    <t>Blood Pressure                                                                                                                Report values less than 90/50, more than 180/100, out of client's normal range</t>
  </si>
  <si>
    <t>Temperature                                                                                                                     Report values more than 38.0C/101F or less than 35.0C/96F</t>
  </si>
  <si>
    <t>Respirations                                                                                                                     Count 1 full minute, Report values less than 12 or more than 25</t>
  </si>
  <si>
    <t>Pulse                                                                                                                                  Count 1 full minute, report values less than 50 or more than 100</t>
  </si>
  <si>
    <t>Blood Glucose (Report Values less than 50 or more than 350)</t>
  </si>
  <si>
    <t>Weight (Report value change of  +/- 5 pounds in one week)</t>
  </si>
  <si>
    <t>BM Date                                                                                                                           Circle date if more than 3 days and reported to supervisor</t>
  </si>
  <si>
    <t>Bathing - Write T-Tub, S-Shower, B-Bed bath, SP-Sponge Bath</t>
  </si>
  <si>
    <t>Special Needs - (Write BP for bowel program, CC for catheter care including emptying bag, PS for peg site cleaning)</t>
  </si>
  <si>
    <t>Client: By signing below, I confirm that this service record form is complete and accurate to the best of my knowledge.  I confirm that the employee worked the hours as listed and completed the tasks as marked.</t>
  </si>
  <si>
    <t xml:space="preserve">Employee: By signing below, I certify that the information contained in this service record form is accurate and subject to verification before receiving pay for these services.  I also acknowledge that I have not received any injury nor has my client received any injury in the performance of my duties.  </t>
  </si>
  <si>
    <t>Legal Representative Relation:</t>
  </si>
  <si>
    <t>State: GA</t>
  </si>
  <si>
    <t>Medications:  SEE ATTACHED MEDICATION PROFILE</t>
  </si>
  <si>
    <t>Fixed Event Reporting</t>
  </si>
  <si>
    <t>Nurse/Admin Report</t>
  </si>
  <si>
    <t>Approx</t>
  </si>
  <si>
    <t>admission date</t>
  </si>
  <si>
    <t>FU Nurse</t>
  </si>
  <si>
    <t>Event date</t>
  </si>
  <si>
    <t>FU date</t>
  </si>
  <si>
    <t>FU Details</t>
  </si>
  <si>
    <t>FU required</t>
  </si>
  <si>
    <t>Check Up</t>
  </si>
  <si>
    <t>Dr Wilson</t>
  </si>
  <si>
    <t>No changes reported.</t>
  </si>
  <si>
    <t>Digial New Signature</t>
  </si>
  <si>
    <t xml:space="preserve">Only once per week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</si>
</sst>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7" formatCode="&quot;$&quot;#,##0.00_);\(&quot;$&quot;#,##0.00\)"/>
    <numFmt numFmtId="8" formatCode="&quot;$&quot;#,##0.00_);[Red]\(&quot;$&quot;#,##0.00\)"/>
    <numFmt numFmtId="44" formatCode="_(&quot;$&quot;* #,##0.00_);_(&quot;$&quot;* \(#,##0.00\);_(&quot;$&quot;* &quot;-&quot;??_);_(@_)"/>
    <numFmt numFmtId="164" formatCode="[&lt;=9999999]###\-####;\(###\)\ ###\-####"/>
    <numFmt numFmtId="165" formatCode="_([$$-409]* #,##0.00_);_([$$-409]* \(#,##0.00\);_([$$-409]* &quot;-&quot;??_);_(@_)"/>
    <numFmt numFmtId="166" formatCode="[$-409]mmmm\ d\,\ yyyy;@"/>
    <numFmt numFmtId="167" formatCode="000\-00\-0000"/>
    <numFmt numFmtId="168" formatCode="000\ 000\ 000\ 000"/>
  </numFmts>
  <fonts count="51" x14ac:knownFonts="1">
    <font>
      <sz val="10"/>
      <color theme="1"/>
      <name val="Tahoma"/>
      <family val="2"/>
    </font>
    <font>
      <sz val="10"/>
      <name val="Times New Roman"/>
      <family val="1"/>
    </font>
    <font>
      <b/>
      <sz val="10"/>
      <name val="Times New Roman"/>
      <family val="1"/>
    </font>
    <font>
      <sz val="10"/>
      <color theme="1"/>
      <name val="Tahoma"/>
      <family val="2"/>
    </font>
    <font>
      <u/>
      <sz val="10"/>
      <color theme="10"/>
      <name val="Tahoma"/>
      <family val="2"/>
    </font>
    <font>
      <sz val="10"/>
      <color rgb="FF000000"/>
      <name val="Times New Roman"/>
      <family val="1"/>
    </font>
    <font>
      <b/>
      <sz val="12"/>
      <color theme="1"/>
      <name val="Wingdings 2"/>
      <family val="1"/>
      <charset val="2"/>
    </font>
    <font>
      <b/>
      <sz val="10"/>
      <color theme="1"/>
      <name val="Tahoma"/>
      <family val="2"/>
    </font>
    <font>
      <sz val="11"/>
      <color theme="1"/>
      <name val="Arial Rounded MT Bold"/>
      <family val="2"/>
    </font>
    <font>
      <sz val="11"/>
      <color theme="1"/>
      <name val="Tahoma"/>
      <family val="2"/>
    </font>
    <font>
      <b/>
      <sz val="14"/>
      <color theme="1"/>
      <name val="Tahoma"/>
      <family val="2"/>
    </font>
    <font>
      <sz val="14"/>
      <color theme="1"/>
      <name val="Tahoma"/>
      <family val="2"/>
    </font>
    <font>
      <b/>
      <sz val="10"/>
      <color theme="1"/>
      <name val="Wingdings 2"/>
      <family val="1"/>
      <charset val="2"/>
    </font>
    <font>
      <sz val="12"/>
      <color theme="1"/>
      <name val="Tahoma"/>
      <family val="2"/>
    </font>
    <font>
      <sz val="22"/>
      <color theme="1"/>
      <name val="Tahoma"/>
      <family val="2"/>
    </font>
    <font>
      <b/>
      <sz val="11"/>
      <color theme="1"/>
      <name val="Tahoma"/>
      <family val="2"/>
    </font>
    <font>
      <b/>
      <sz val="11"/>
      <color theme="1"/>
      <name val="Wingdings 2"/>
      <family val="1"/>
      <charset val="2"/>
    </font>
    <font>
      <sz val="10"/>
      <color theme="1"/>
      <name val="Wingdings"/>
      <charset val="2"/>
    </font>
    <font>
      <sz val="16"/>
      <color theme="1"/>
      <name val="Tahoma"/>
      <family val="2"/>
    </font>
    <font>
      <sz val="14"/>
      <color rgb="FF000000"/>
      <name val="Times New Roman"/>
      <family val="1"/>
    </font>
    <font>
      <b/>
      <sz val="10"/>
      <color rgb="FF000000"/>
      <name val="Times New Roman"/>
      <family val="1"/>
    </font>
    <font>
      <b/>
      <sz val="8"/>
      <color rgb="FF000000"/>
      <name val="Times New Roman"/>
      <family val="1"/>
    </font>
    <font>
      <sz val="8"/>
      <color rgb="FF000000"/>
      <name val="Times New Roman"/>
      <family val="1"/>
    </font>
    <font>
      <b/>
      <sz val="5"/>
      <color rgb="FF000000"/>
      <name val="Times New Roman"/>
      <family val="1"/>
    </font>
    <font>
      <sz val="5"/>
      <color rgb="FF000000"/>
      <name val="Times New Roman"/>
      <family val="1"/>
    </font>
    <font>
      <b/>
      <i/>
      <sz val="8"/>
      <color rgb="FF000000"/>
      <name val="Times New Roman"/>
      <family val="1"/>
    </font>
    <font>
      <b/>
      <i/>
      <sz val="10"/>
      <color rgb="FF000000"/>
      <name val="Times New Roman"/>
      <family val="1"/>
    </font>
    <font>
      <b/>
      <sz val="20"/>
      <color theme="1"/>
      <name val="Tahoma"/>
      <family val="2"/>
    </font>
    <font>
      <i/>
      <sz val="10"/>
      <color theme="1"/>
      <name val="Tahoma"/>
      <family val="2"/>
    </font>
    <font>
      <sz val="9"/>
      <color theme="1"/>
      <name val="Tahoma"/>
      <family val="2"/>
    </font>
    <font>
      <b/>
      <sz val="9"/>
      <color theme="1"/>
      <name val="Tahoma"/>
      <family val="2"/>
    </font>
    <font>
      <sz val="16"/>
      <color rgb="FF000000"/>
      <name val="Times New Roman"/>
      <family val="1"/>
    </font>
    <font>
      <b/>
      <i/>
      <sz val="9"/>
      <color rgb="FF000000"/>
      <name val="Times New Roman"/>
      <family val="1"/>
    </font>
    <font>
      <b/>
      <sz val="16"/>
      <color rgb="FF000000"/>
      <name val="Times New Roman"/>
      <family val="1"/>
    </font>
    <font>
      <b/>
      <sz val="9"/>
      <color rgb="FF000000"/>
      <name val="Times New Roman"/>
      <family val="1"/>
    </font>
    <font>
      <b/>
      <sz val="8"/>
      <color theme="1"/>
      <name val="Tahoma"/>
      <family val="2"/>
    </font>
    <font>
      <b/>
      <sz val="18"/>
      <color theme="1"/>
      <name val="Tahoma"/>
      <family val="2"/>
    </font>
    <font>
      <sz val="10"/>
      <color theme="0"/>
      <name val="Tahoma"/>
      <family val="2"/>
    </font>
    <font>
      <sz val="14"/>
      <color theme="1"/>
      <name val="Wingdings"/>
      <charset val="2"/>
    </font>
    <font>
      <sz val="36"/>
      <color theme="1"/>
      <name val="Tahoma"/>
      <family val="2"/>
    </font>
    <font>
      <sz val="48"/>
      <color theme="1"/>
      <name val="Tahoma"/>
      <family val="2"/>
    </font>
    <font>
      <u/>
      <sz val="10"/>
      <color theme="1"/>
      <name val="Tahoma"/>
      <family val="2"/>
    </font>
    <font>
      <b/>
      <sz val="12"/>
      <color theme="1"/>
      <name val="Tahoma"/>
      <family val="2"/>
    </font>
    <font>
      <b/>
      <sz val="10"/>
      <color rgb="FF000000"/>
      <name val="Tahoma"/>
      <family val="2"/>
    </font>
    <font>
      <sz val="8"/>
      <color theme="1"/>
      <name val="Tahoma"/>
      <family val="2"/>
    </font>
    <font>
      <sz val="10"/>
      <color theme="1"/>
      <name val="Wingdings 2"/>
      <family val="1"/>
      <charset val="2"/>
    </font>
    <font>
      <sz val="26"/>
      <color theme="0"/>
      <name val="Tahoma"/>
      <family val="2"/>
    </font>
    <font>
      <b/>
      <sz val="11"/>
      <color rgb="FF000000"/>
      <name val="Times New Roman"/>
      <family val="1"/>
    </font>
    <font>
      <b/>
      <i/>
      <sz val="10"/>
      <color theme="1"/>
      <name val="Tahoma"/>
      <family val="2"/>
    </font>
    <font>
      <b/>
      <sz val="10"/>
      <color theme="0"/>
      <name val="Tahoma"/>
      <family val="2"/>
    </font>
    <font>
      <b/>
      <i/>
      <sz val="14"/>
      <color theme="1"/>
      <name val="Tahoma"/>
      <family val="2"/>
    </font>
  </fonts>
  <fills count="16">
    <fill>
      <patternFill patternType="none"/>
    </fill>
    <fill>
      <patternFill patternType="gray125"/>
    </fill>
    <fill>
      <patternFill patternType="solid">
        <fgColor rgb="FFFFFF00"/>
        <bgColor indexed="64"/>
      </patternFill>
    </fill>
    <fill>
      <patternFill patternType="solid">
        <fgColor rgb="FFFFFFFF"/>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4" tint="-0.249977111117893"/>
        <bgColor indexed="64"/>
      </patternFill>
    </fill>
    <fill>
      <patternFill patternType="solid">
        <fgColor theme="0"/>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1"/>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right/>
      <top/>
      <bottom style="dotted">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bottom style="thick">
        <color indexed="64"/>
      </bottom>
      <diagonal/>
    </border>
    <border>
      <left style="thin">
        <color indexed="64"/>
      </left>
      <right/>
      <top style="thin">
        <color indexed="64"/>
      </top>
      <bottom/>
      <diagonal/>
    </border>
    <border>
      <left style="thin">
        <color indexed="64"/>
      </left>
      <right/>
      <top/>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right/>
      <top style="thick">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right/>
      <top style="medium">
        <color auto="1"/>
      </top>
      <bottom style="medium">
        <color auto="1"/>
      </bottom>
      <diagonal/>
    </border>
  </borders>
  <cellStyleXfs count="5">
    <xf numFmtId="0" fontId="0" fillId="0" borderId="0"/>
    <xf numFmtId="44" fontId="3" fillId="0" borderId="0" applyFont="0" applyFill="0" applyBorder="0" applyAlignment="0" applyProtection="0"/>
    <xf numFmtId="0" fontId="4" fillId="0" borderId="0" applyNumberFormat="0" applyFill="0" applyBorder="0" applyAlignment="0" applyProtection="0"/>
    <xf numFmtId="0" fontId="5" fillId="0" borderId="0"/>
    <xf numFmtId="9" fontId="3" fillId="0" borderId="0" applyFont="0" applyFill="0" applyBorder="0" applyAlignment="0" applyProtection="0"/>
  </cellStyleXfs>
  <cellXfs count="605">
    <xf numFmtId="0" fontId="0" fillId="0" borderId="0" xfId="0"/>
    <xf numFmtId="0" fontId="0" fillId="0" borderId="1" xfId="0" applyBorder="1"/>
    <xf numFmtId="14" fontId="0" fillId="0" borderId="0" xfId="0" applyNumberFormat="1"/>
    <xf numFmtId="0" fontId="6" fillId="0" borderId="0" xfId="0" applyFont="1"/>
    <xf numFmtId="0" fontId="7" fillId="0" borderId="0" xfId="0" applyFont="1"/>
    <xf numFmtId="0" fontId="0" fillId="0" borderId="0" xfId="0" applyAlignment="1">
      <alignment wrapText="1"/>
    </xf>
    <xf numFmtId="164" fontId="0" fillId="0" borderId="0" xfId="0" applyNumberFormat="1"/>
    <xf numFmtId="0" fontId="7" fillId="0" borderId="0" xfId="0" applyFont="1" applyAlignment="1">
      <alignment horizontal="left"/>
    </xf>
    <xf numFmtId="0" fontId="0" fillId="0" borderId="0" xfId="0" applyAlignment="1">
      <alignment horizontal="center"/>
    </xf>
    <xf numFmtId="0" fontId="0" fillId="0" borderId="0" xfId="0" applyProtection="1">
      <protection locked="0"/>
    </xf>
    <xf numFmtId="0" fontId="0" fillId="0" borderId="0" xfId="0" applyAlignment="1">
      <alignment horizontal="left" wrapText="1"/>
    </xf>
    <xf numFmtId="0" fontId="8" fillId="0" borderId="0" xfId="0" applyFont="1"/>
    <xf numFmtId="0" fontId="9" fillId="0" borderId="0" xfId="0" applyFont="1"/>
    <xf numFmtId="0" fontId="10" fillId="0" borderId="0" xfId="0" applyFont="1" applyAlignment="1">
      <alignment horizontal="center" wrapText="1"/>
    </xf>
    <xf numFmtId="0" fontId="0" fillId="0" borderId="0" xfId="0" applyAlignment="1">
      <alignment vertical="top" wrapText="1"/>
    </xf>
    <xf numFmtId="0" fontId="0" fillId="0" borderId="0" xfId="0" applyAlignment="1">
      <alignment horizontal="right" vertical="top" wrapText="1"/>
    </xf>
    <xf numFmtId="0" fontId="0" fillId="0" borderId="0" xfId="0" applyAlignment="1">
      <alignment horizontal="left"/>
    </xf>
    <xf numFmtId="0" fontId="8" fillId="0" borderId="0" xfId="0" applyFont="1" applyAlignment="1">
      <alignment horizontal="center"/>
    </xf>
    <xf numFmtId="0" fontId="8" fillId="0" borderId="0" xfId="0" applyFont="1" applyAlignment="1">
      <alignment wrapText="1"/>
    </xf>
    <xf numFmtId="0" fontId="11" fillId="0" borderId="0" xfId="0" applyFont="1"/>
    <xf numFmtId="0" fontId="10" fillId="0" borderId="0" xfId="0" applyFont="1" applyAlignment="1">
      <alignment horizontal="center"/>
    </xf>
    <xf numFmtId="0" fontId="12" fillId="0" borderId="0" xfId="0" applyFont="1"/>
    <xf numFmtId="0" fontId="0" fillId="0" borderId="2" xfId="0" applyBorder="1"/>
    <xf numFmtId="0" fontId="13" fillId="0" borderId="0" xfId="0" applyFont="1"/>
    <xf numFmtId="0" fontId="14" fillId="0" borderId="0" xfId="0" applyFont="1" applyAlignment="1">
      <alignment horizontal="center"/>
    </xf>
    <xf numFmtId="0" fontId="13" fillId="0" borderId="0" xfId="0" applyFont="1" applyAlignment="1">
      <alignment horizontal="right" vertical="top" wrapText="1"/>
    </xf>
    <xf numFmtId="0" fontId="9" fillId="0" borderId="0" xfId="0" applyFont="1" applyAlignment="1">
      <alignment wrapText="1"/>
    </xf>
    <xf numFmtId="0" fontId="15" fillId="0" borderId="0" xfId="0" applyFont="1" applyAlignment="1">
      <alignment horizontal="left"/>
    </xf>
    <xf numFmtId="0" fontId="16" fillId="0" borderId="0" xfId="0" applyFont="1"/>
    <xf numFmtId="0" fontId="7" fillId="0" borderId="0" xfId="0" applyFont="1" applyAlignment="1">
      <alignment horizontal="center" wrapText="1"/>
    </xf>
    <xf numFmtId="44" fontId="3" fillId="0" borderId="0" xfId="1"/>
    <xf numFmtId="0" fontId="0" fillId="0" borderId="3" xfId="0" applyBorder="1"/>
    <xf numFmtId="2" fontId="0" fillId="0" borderId="0" xfId="0" applyNumberFormat="1"/>
    <xf numFmtId="44" fontId="0" fillId="0" borderId="0" xfId="0" applyNumberFormat="1"/>
    <xf numFmtId="0" fontId="0" fillId="0" borderId="4" xfId="0" applyBorder="1"/>
    <xf numFmtId="0" fontId="0" fillId="0" borderId="7" xfId="0" applyBorder="1"/>
    <xf numFmtId="0" fontId="0" fillId="0" borderId="8" xfId="0" applyBorder="1"/>
    <xf numFmtId="0" fontId="0" fillId="0" borderId="0" xfId="0" applyAlignment="1">
      <alignment horizontal="left" vertical="top" wrapText="1"/>
    </xf>
    <xf numFmtId="0" fontId="8" fillId="0" borderId="9" xfId="0" applyFont="1" applyBorder="1"/>
    <xf numFmtId="0" fontId="0" fillId="0" borderId="9" xfId="0" applyBorder="1"/>
    <xf numFmtId="0" fontId="17" fillId="0" borderId="0" xfId="0" applyFont="1"/>
    <xf numFmtId="0" fontId="6" fillId="0" borderId="0" xfId="0" applyFont="1" applyAlignment="1">
      <alignment horizontal="left" vertical="top"/>
    </xf>
    <xf numFmtId="1" fontId="9" fillId="0" borderId="0" xfId="0" applyNumberFormat="1" applyFont="1"/>
    <xf numFmtId="0" fontId="18" fillId="0" borderId="0" xfId="0" applyFont="1" applyAlignment="1">
      <alignment vertical="center"/>
    </xf>
    <xf numFmtId="0" fontId="19" fillId="3" borderId="0" xfId="3" applyFont="1" applyFill="1" applyAlignment="1">
      <alignment horizontal="center" vertical="top"/>
    </xf>
    <xf numFmtId="0" fontId="5" fillId="3" borderId="0" xfId="3" applyFill="1" applyAlignment="1">
      <alignment horizontal="right" vertical="top"/>
    </xf>
    <xf numFmtId="0" fontId="5" fillId="3" borderId="0" xfId="3" applyFill="1" applyAlignment="1">
      <alignment horizontal="left" vertical="top"/>
    </xf>
    <xf numFmtId="0" fontId="20" fillId="3" borderId="0" xfId="3" applyFont="1" applyFill="1" applyAlignment="1">
      <alignment horizontal="left"/>
    </xf>
    <xf numFmtId="0" fontId="5" fillId="3" borderId="4" xfId="3" applyFill="1" applyBorder="1" applyAlignment="1">
      <alignment horizontal="left" vertical="top"/>
    </xf>
    <xf numFmtId="0" fontId="5" fillId="3" borderId="0" xfId="3" applyFill="1" applyAlignment="1">
      <alignment horizontal="left"/>
    </xf>
    <xf numFmtId="0" fontId="1" fillId="3" borderId="0" xfId="3" applyFont="1" applyFill="1" applyAlignment="1">
      <alignment horizontal="left" vertical="top"/>
    </xf>
    <xf numFmtId="0" fontId="5" fillId="3" borderId="3" xfId="3" applyFill="1" applyBorder="1" applyAlignment="1">
      <alignment horizontal="left" vertical="top"/>
    </xf>
    <xf numFmtId="0" fontId="21" fillId="3" borderId="10" xfId="3" applyFont="1" applyFill="1" applyBorder="1" applyAlignment="1">
      <alignment horizontal="left" vertical="top"/>
    </xf>
    <xf numFmtId="0" fontId="22" fillId="3" borderId="5" xfId="3" applyFont="1" applyFill="1" applyBorder="1" applyAlignment="1">
      <alignment horizontal="left" vertical="top"/>
    </xf>
    <xf numFmtId="0" fontId="22" fillId="3" borderId="6" xfId="3" applyFont="1" applyFill="1" applyBorder="1" applyAlignment="1">
      <alignment horizontal="left" vertical="top"/>
    </xf>
    <xf numFmtId="0" fontId="22" fillId="3" borderId="11" xfId="3" applyFont="1" applyFill="1" applyBorder="1" applyAlignment="1">
      <alignment horizontal="left" vertical="top"/>
    </xf>
    <xf numFmtId="0" fontId="5" fillId="0" borderId="0" xfId="3"/>
    <xf numFmtId="0" fontId="5" fillId="4" borderId="12" xfId="3" applyFill="1" applyBorder="1" applyAlignment="1">
      <alignment horizontal="center" vertical="top"/>
    </xf>
    <xf numFmtId="0" fontId="23" fillId="4" borderId="13" xfId="3" applyFont="1" applyFill="1" applyBorder="1" applyAlignment="1">
      <alignment horizontal="right" vertical="top" wrapText="1"/>
    </xf>
    <xf numFmtId="0" fontId="24" fillId="4" borderId="3" xfId="3" applyFont="1" applyFill="1" applyBorder="1" applyAlignment="1">
      <alignment horizontal="right" vertical="top"/>
    </xf>
    <xf numFmtId="0" fontId="23" fillId="4" borderId="3" xfId="3" applyFont="1" applyFill="1" applyBorder="1" applyAlignment="1">
      <alignment horizontal="right" vertical="top"/>
    </xf>
    <xf numFmtId="0" fontId="23" fillId="4" borderId="14" xfId="3" applyFont="1" applyFill="1" applyBorder="1" applyAlignment="1">
      <alignment horizontal="right" vertical="top" wrapText="1"/>
    </xf>
    <xf numFmtId="0" fontId="22" fillId="3" borderId="4" xfId="3" applyFont="1" applyFill="1" applyBorder="1" applyAlignment="1">
      <alignment horizontal="left" vertical="top"/>
    </xf>
    <xf numFmtId="0" fontId="22" fillId="3" borderId="0" xfId="3" applyFont="1" applyFill="1" applyAlignment="1">
      <alignment horizontal="left" vertical="top"/>
    </xf>
    <xf numFmtId="0" fontId="25" fillId="3" borderId="15" xfId="3" applyFont="1" applyFill="1" applyBorder="1" applyAlignment="1">
      <alignment horizontal="left" vertical="top"/>
    </xf>
    <xf numFmtId="0" fontId="25" fillId="3" borderId="4" xfId="3" applyFont="1" applyFill="1" applyBorder="1" applyAlignment="1">
      <alignment horizontal="left" vertical="top"/>
    </xf>
    <xf numFmtId="0" fontId="22" fillId="3" borderId="8" xfId="3" applyFont="1" applyFill="1" applyBorder="1" applyAlignment="1">
      <alignment horizontal="left" vertical="top"/>
    </xf>
    <xf numFmtId="0" fontId="20" fillId="5" borderId="16" xfId="3" applyFont="1" applyFill="1" applyBorder="1" applyAlignment="1">
      <alignment horizontal="left" vertical="top"/>
    </xf>
    <xf numFmtId="0" fontId="20" fillId="5" borderId="17" xfId="3" applyFont="1" applyFill="1" applyBorder="1" applyAlignment="1">
      <alignment horizontal="left" vertical="top"/>
    </xf>
    <xf numFmtId="0" fontId="5" fillId="3" borderId="16" xfId="3" applyFill="1" applyBorder="1" applyAlignment="1">
      <alignment horizontal="left" vertical="top"/>
    </xf>
    <xf numFmtId="0" fontId="5" fillId="3" borderId="17" xfId="3" applyFill="1" applyBorder="1" applyAlignment="1">
      <alignment horizontal="left" vertical="top"/>
    </xf>
    <xf numFmtId="0" fontId="5" fillId="3" borderId="18" xfId="3" applyFill="1" applyBorder="1" applyAlignment="1">
      <alignment horizontal="left" vertical="top"/>
    </xf>
    <xf numFmtId="0" fontId="5" fillId="3" borderId="19" xfId="3" applyFill="1" applyBorder="1" applyAlignment="1">
      <alignment horizontal="left" vertical="top"/>
    </xf>
    <xf numFmtId="0" fontId="5" fillId="3" borderId="20" xfId="3" applyFill="1" applyBorder="1" applyAlignment="1">
      <alignment horizontal="left" vertical="top"/>
    </xf>
    <xf numFmtId="0" fontId="26" fillId="3" borderId="0" xfId="3" applyFont="1" applyFill="1" applyAlignment="1">
      <alignment horizontal="left" vertical="top"/>
    </xf>
    <xf numFmtId="0" fontId="5" fillId="3" borderId="21" xfId="3" applyFill="1" applyBorder="1" applyAlignment="1">
      <alignment horizontal="left" vertical="top"/>
    </xf>
    <xf numFmtId="0" fontId="5" fillId="3" borderId="22" xfId="3" applyFill="1" applyBorder="1" applyAlignment="1">
      <alignment horizontal="left" vertical="top"/>
    </xf>
    <xf numFmtId="0" fontId="5" fillId="3" borderId="23" xfId="3" applyFill="1" applyBorder="1" applyAlignment="1">
      <alignment horizontal="left" vertical="top"/>
    </xf>
    <xf numFmtId="0" fontId="20" fillId="6" borderId="16" xfId="3" applyFont="1" applyFill="1" applyBorder="1" applyAlignment="1">
      <alignment horizontal="left" vertical="top"/>
    </xf>
    <xf numFmtId="0" fontId="20" fillId="6" borderId="17" xfId="3" applyFont="1" applyFill="1" applyBorder="1" applyAlignment="1">
      <alignment horizontal="left" vertical="top"/>
    </xf>
    <xf numFmtId="0" fontId="5" fillId="6" borderId="17" xfId="3" applyFill="1" applyBorder="1" applyAlignment="1">
      <alignment horizontal="left" vertical="top"/>
    </xf>
    <xf numFmtId="0" fontId="5" fillId="6" borderId="18" xfId="3" applyFill="1" applyBorder="1" applyAlignment="1">
      <alignment horizontal="left" vertical="top"/>
    </xf>
    <xf numFmtId="0" fontId="5" fillId="4" borderId="21" xfId="3" applyFill="1" applyBorder="1" applyAlignment="1">
      <alignment horizontal="left" vertical="top"/>
    </xf>
    <xf numFmtId="0" fontId="5" fillId="4" borderId="22" xfId="3" applyFill="1" applyBorder="1" applyAlignment="1">
      <alignment horizontal="left" vertical="top"/>
    </xf>
    <xf numFmtId="0" fontId="5" fillId="4" borderId="24" xfId="3" applyFill="1" applyBorder="1" applyAlignment="1">
      <alignment horizontal="left" vertical="top"/>
    </xf>
    <xf numFmtId="0" fontId="20" fillId="4" borderId="22" xfId="3" applyFont="1" applyFill="1" applyBorder="1" applyAlignment="1">
      <alignment horizontal="left" vertical="top"/>
    </xf>
    <xf numFmtId="0" fontId="5" fillId="4" borderId="23" xfId="3" applyFill="1" applyBorder="1" applyAlignment="1">
      <alignment horizontal="left" vertical="top"/>
    </xf>
    <xf numFmtId="0" fontId="20" fillId="3" borderId="3" xfId="3" applyFont="1" applyFill="1" applyBorder="1" applyAlignment="1">
      <alignment horizontal="left" vertical="top"/>
    </xf>
    <xf numFmtId="49" fontId="0" fillId="0" borderId="0" xfId="0" applyNumberFormat="1"/>
    <xf numFmtId="0" fontId="0" fillId="7" borderId="0" xfId="0" applyFill="1"/>
    <xf numFmtId="0" fontId="0" fillId="8" borderId="0" xfId="0" applyFill="1"/>
    <xf numFmtId="0" fontId="27" fillId="7" borderId="0" xfId="0" applyFont="1" applyFill="1" applyAlignment="1">
      <alignment horizontal="center" vertical="center"/>
    </xf>
    <xf numFmtId="0" fontId="0" fillId="7" borderId="0" xfId="0" applyFill="1" applyAlignment="1">
      <alignment horizontal="right" vertical="center"/>
    </xf>
    <xf numFmtId="0" fontId="27" fillId="7" borderId="5" xfId="0" applyFont="1" applyFill="1" applyBorder="1" applyAlignment="1">
      <alignment horizontal="center" vertical="center"/>
    </xf>
    <xf numFmtId="14" fontId="10" fillId="0" borderId="0" xfId="0" applyNumberFormat="1" applyFont="1" applyAlignment="1">
      <alignment horizontal="left"/>
    </xf>
    <xf numFmtId="164" fontId="11" fillId="0" borderId="0" xfId="0" applyNumberFormat="1" applyFont="1"/>
    <xf numFmtId="0" fontId="15" fillId="0" borderId="0" xfId="0" applyFont="1" applyAlignment="1">
      <alignment horizontal="center"/>
    </xf>
    <xf numFmtId="0" fontId="28" fillId="0" borderId="0" xfId="0" applyFont="1" applyAlignment="1">
      <alignment wrapText="1"/>
    </xf>
    <xf numFmtId="0" fontId="0" fillId="0" borderId="25" xfId="0" applyBorder="1" applyAlignment="1">
      <alignment horizontal="center"/>
    </xf>
    <xf numFmtId="14" fontId="0" fillId="0" borderId="0" xfId="0" applyNumberFormat="1" applyAlignment="1">
      <alignment horizontal="left"/>
    </xf>
    <xf numFmtId="0" fontId="7" fillId="0" borderId="0" xfId="0" applyFont="1" applyAlignment="1">
      <alignment horizontal="center" vertical="center"/>
    </xf>
    <xf numFmtId="0" fontId="15" fillId="0" borderId="4" xfId="0" applyFont="1" applyBorder="1"/>
    <xf numFmtId="0" fontId="0" fillId="9" borderId="0" xfId="0" applyFill="1" applyAlignment="1">
      <alignment horizontal="center"/>
    </xf>
    <xf numFmtId="0" fontId="7" fillId="9" borderId="0" xfId="0" applyFont="1" applyFill="1" applyAlignment="1">
      <alignment horizontal="center"/>
    </xf>
    <xf numFmtId="0" fontId="11" fillId="0" borderId="0" xfId="0" applyFont="1" applyAlignment="1">
      <alignment horizontal="center"/>
    </xf>
    <xf numFmtId="0" fontId="12" fillId="0" borderId="0" xfId="0" applyFont="1" applyAlignment="1">
      <alignment horizontal="left" wrapText="1"/>
    </xf>
    <xf numFmtId="0" fontId="4" fillId="0" borderId="0" xfId="2"/>
    <xf numFmtId="0" fontId="29" fillId="0" borderId="0" xfId="0" applyFont="1"/>
    <xf numFmtId="0" fontId="0" fillId="0" borderId="26" xfId="0" applyBorder="1"/>
    <xf numFmtId="0" fontId="30" fillId="0" borderId="0" xfId="0" applyFont="1" applyAlignment="1">
      <alignment horizontal="center" wrapText="1"/>
    </xf>
    <xf numFmtId="0" fontId="29" fillId="0" borderId="0" xfId="0" applyFont="1" applyAlignment="1">
      <alignment horizontal="center" wrapText="1"/>
    </xf>
    <xf numFmtId="0" fontId="42" fillId="0" borderId="0" xfId="0" applyFont="1" applyAlignment="1">
      <alignment vertical="top" wrapText="1"/>
    </xf>
    <xf numFmtId="0" fontId="42" fillId="0" borderId="0" xfId="0" applyFont="1" applyAlignment="1">
      <alignment horizontal="left" vertical="top" wrapText="1"/>
    </xf>
    <xf numFmtId="0" fontId="42" fillId="0" borderId="0" xfId="0" applyFont="1" applyAlignment="1">
      <alignment horizontal="left"/>
    </xf>
    <xf numFmtId="0" fontId="0" fillId="0" borderId="0" xfId="0" applyAlignment="1">
      <alignment vertical="top"/>
    </xf>
    <xf numFmtId="0" fontId="29" fillId="0" borderId="0" xfId="0" applyFont="1" applyAlignment="1">
      <alignment horizontal="left" wrapText="1"/>
    </xf>
    <xf numFmtId="0" fontId="7" fillId="0" borderId="0" xfId="0" applyFont="1" applyAlignment="1">
      <alignment vertical="top" wrapText="1"/>
    </xf>
    <xf numFmtId="14" fontId="7" fillId="0" borderId="0" xfId="0" applyNumberFormat="1" applyFont="1" applyAlignment="1">
      <alignment horizontal="left"/>
    </xf>
    <xf numFmtId="0" fontId="7" fillId="0" borderId="0" xfId="0" applyFont="1" applyAlignment="1">
      <alignment horizontal="left" vertical="top"/>
    </xf>
    <xf numFmtId="0" fontId="7" fillId="0" borderId="3" xfId="0" applyFont="1" applyBorder="1" applyAlignment="1">
      <alignment horizontal="left"/>
    </xf>
    <xf numFmtId="0" fontId="0" fillId="4" borderId="0" xfId="0" applyFill="1"/>
    <xf numFmtId="0" fontId="12" fillId="4" borderId="0" xfId="0" applyFont="1" applyFill="1" applyAlignment="1">
      <alignment horizontal="left" wrapText="1"/>
    </xf>
    <xf numFmtId="0" fontId="7" fillId="4" borderId="0" xfId="0" applyFont="1" applyFill="1" applyAlignment="1">
      <alignment horizontal="left"/>
    </xf>
    <xf numFmtId="0" fontId="7" fillId="4" borderId="0" xfId="0" applyFont="1" applyFill="1" applyAlignment="1">
      <alignment horizontal="left" wrapText="1"/>
    </xf>
    <xf numFmtId="0" fontId="7" fillId="4" borderId="0" xfId="0" applyFont="1" applyFill="1" applyAlignment="1">
      <alignment horizontal="left" vertical="top" wrapText="1"/>
    </xf>
    <xf numFmtId="0" fontId="7" fillId="0" borderId="0" xfId="0" applyFont="1" applyAlignment="1">
      <alignment horizontal="left" vertical="top" wrapText="1"/>
    </xf>
    <xf numFmtId="0" fontId="0" fillId="5" borderId="0" xfId="0" applyFill="1"/>
    <xf numFmtId="44" fontId="0" fillId="0" borderId="0" xfId="1" applyFont="1"/>
    <xf numFmtId="44" fontId="7" fillId="0" borderId="0" xfId="0" applyNumberFormat="1" applyFont="1"/>
    <xf numFmtId="44" fontId="7" fillId="0" borderId="0" xfId="1" applyFont="1"/>
    <xf numFmtId="0" fontId="0" fillId="12" borderId="0" xfId="0" applyFill="1" applyAlignment="1">
      <alignment horizontal="center"/>
    </xf>
    <xf numFmtId="0" fontId="10" fillId="7" borderId="0" xfId="0" applyFont="1" applyFill="1" applyAlignment="1">
      <alignment horizontal="center" vertical="center"/>
    </xf>
    <xf numFmtId="0" fontId="9" fillId="0" borderId="4" xfId="0" applyFont="1" applyBorder="1"/>
    <xf numFmtId="0" fontId="9" fillId="0" borderId="0" xfId="0" applyFont="1" applyAlignment="1">
      <alignment horizontal="left"/>
    </xf>
    <xf numFmtId="1" fontId="15" fillId="0" borderId="0" xfId="0" applyNumberFormat="1" applyFont="1" applyAlignment="1">
      <alignment horizontal="left"/>
    </xf>
    <xf numFmtId="0" fontId="18" fillId="0" borderId="0" xfId="0" applyFont="1"/>
    <xf numFmtId="0" fontId="45" fillId="0" borderId="0" xfId="0" applyFont="1"/>
    <xf numFmtId="0" fontId="0" fillId="0" borderId="0" xfId="0" applyAlignment="1">
      <alignment horizontal="right"/>
    </xf>
    <xf numFmtId="0" fontId="0" fillId="0" borderId="15" xfId="0" applyBorder="1"/>
    <xf numFmtId="0" fontId="7" fillId="0" borderId="0" xfId="0" applyFont="1" applyAlignment="1">
      <alignment horizontal="center"/>
    </xf>
    <xf numFmtId="14" fontId="7" fillId="0" borderId="0" xfId="0" applyNumberFormat="1" applyFont="1"/>
    <xf numFmtId="164" fontId="0" fillId="0" borderId="0" xfId="0" applyNumberFormat="1" applyAlignment="1">
      <alignment horizontal="left"/>
    </xf>
    <xf numFmtId="0" fontId="44" fillId="0" borderId="0" xfId="0" applyFont="1"/>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right" vertical="center"/>
    </xf>
    <xf numFmtId="0" fontId="0" fillId="10" borderId="55" xfId="0" applyFill="1" applyBorder="1"/>
    <xf numFmtId="0" fontId="0" fillId="0" borderId="25" xfId="0" applyBorder="1"/>
    <xf numFmtId="0" fontId="0" fillId="0" borderId="9" xfId="0" applyBorder="1" applyAlignment="1">
      <alignment horizontal="left" vertical="top" wrapText="1"/>
    </xf>
    <xf numFmtId="0" fontId="0" fillId="0" borderId="25" xfId="0" applyBorder="1" applyAlignment="1">
      <alignment horizontal="left" vertical="top" wrapText="1"/>
    </xf>
    <xf numFmtId="0" fontId="0" fillId="12" borderId="0" xfId="0" applyFill="1"/>
    <xf numFmtId="0" fontId="48" fillId="0" borderId="0" xfId="0" applyFont="1" applyAlignment="1">
      <alignment wrapText="1"/>
    </xf>
    <xf numFmtId="0" fontId="16" fillId="0" borderId="0" xfId="0" applyFont="1" applyAlignment="1">
      <alignment vertical="center"/>
    </xf>
    <xf numFmtId="0" fontId="28" fillId="0" borderId="0" xfId="0" applyFont="1"/>
    <xf numFmtId="0" fontId="7" fillId="4" borderId="0" xfId="0" applyFont="1" applyFill="1"/>
    <xf numFmtId="44" fontId="7" fillId="0" borderId="0" xfId="1" applyFont="1" applyAlignment="1">
      <alignment horizontal="left" vertical="top"/>
    </xf>
    <xf numFmtId="0" fontId="0" fillId="4" borderId="0" xfId="0" applyFill="1" applyAlignment="1">
      <alignment horizontal="left" vertical="top" wrapText="1"/>
    </xf>
    <xf numFmtId="0" fontId="0" fillId="0" borderId="0" xfId="1" applyNumberFormat="1" applyFont="1"/>
    <xf numFmtId="2" fontId="0" fillId="0" borderId="0" xfId="1" applyNumberFormat="1" applyFont="1"/>
    <xf numFmtId="0" fontId="15" fillId="0" borderId="0" xfId="0" applyFont="1" applyAlignment="1">
      <alignment vertical="top" wrapText="1"/>
    </xf>
    <xf numFmtId="0" fontId="0" fillId="0" borderId="0" xfId="0"/>
    <xf numFmtId="0" fontId="0" fillId="0" borderId="0" xfId="0"/>
    <xf numFmtId="0" fontId="0" fillId="0" borderId="0" xfId="0"/>
    <xf numFmtId="0" fontId="0" fillId="0" borderId="0" xfId="0"/>
    <xf numFmtId="0" fontId="7" fillId="0" borderId="0" xfId="0" applyFont="1"/>
    <xf numFmtId="0" fontId="7" fillId="0" borderId="0" xfId="0" applyFont="1" applyAlignment="1">
      <alignment horizontal="left"/>
    </xf>
    <xf numFmtId="14" fontId="7" fillId="0" borderId="0" xfId="0" applyNumberFormat="1" applyFont="1" applyAlignment="1">
      <alignment horizontal="left"/>
    </xf>
    <xf numFmtId="0" fontId="0" fillId="0" borderId="0" xfId="0"/>
    <xf numFmtId="0" fontId="0" fillId="0" borderId="0" xfId="0" applyAlignment="1">
      <alignment wrapText="1"/>
    </xf>
    <xf numFmtId="0" fontId="0" fillId="0" borderId="1" xfId="0" applyBorder="1"/>
    <xf numFmtId="14" fontId="0" fillId="0" borderId="0" xfId="0" applyNumberFormat="1"/>
    <xf numFmtId="44" fontId="3" fillId="0" borderId="0" xfId="1"/>
    <xf numFmtId="2" fontId="0" fillId="0" borderId="0" xfId="0" applyNumberFormat="1"/>
    <xf numFmtId="0" fontId="0" fillId="0" borderId="0" xfId="0"/>
    <xf numFmtId="0" fontId="0" fillId="2" borderId="0" xfId="0" applyFill="1"/>
    <xf numFmtId="168" fontId="0" fillId="0" borderId="0" xfId="0" applyNumberFormat="1"/>
    <xf numFmtId="14" fontId="0" fillId="2" borderId="0" xfId="0" applyNumberFormat="1" applyFill="1"/>
    <xf numFmtId="7" fontId="3" fillId="0" borderId="0" xfId="1" applyNumberFormat="1"/>
    <xf numFmtId="2" fontId="0" fillId="2" borderId="0" xfId="0" applyNumberFormat="1" applyFill="1"/>
    <xf numFmtId="0" fontId="0" fillId="5" borderId="1" xfId="0" applyFill="1" applyBorder="1"/>
    <xf numFmtId="1" fontId="0" fillId="0" borderId="0" xfId="4" applyNumberFormat="1" applyFont="1"/>
    <xf numFmtId="17" fontId="0" fillId="0" borderId="0" xfId="0" applyNumberFormat="1"/>
    <xf numFmtId="8" fontId="0" fillId="0" borderId="0" xfId="0" applyNumberFormat="1"/>
    <xf numFmtId="7" fontId="0" fillId="0" borderId="0" xfId="1" applyNumberFormat="1" applyFont="1"/>
    <xf numFmtId="0" fontId="0" fillId="0" borderId="0" xfId="0"/>
    <xf numFmtId="14" fontId="0" fillId="0" borderId="0" xfId="0" applyNumberFormat="1"/>
    <xf numFmtId="0" fontId="0" fillId="0" borderId="0" xfId="0" applyFill="1" applyBorder="1"/>
    <xf numFmtId="0" fontId="0" fillId="0" borderId="0" xfId="0"/>
    <xf numFmtId="0" fontId="7" fillId="0" borderId="0" xfId="0" applyFont="1" applyAlignment="1">
      <alignment horizontal="left"/>
    </xf>
    <xf numFmtId="0" fontId="7" fillId="0" borderId="0" xfId="0" applyFont="1"/>
    <xf numFmtId="14" fontId="0" fillId="0" borderId="0" xfId="0" applyNumberFormat="1"/>
    <xf numFmtId="164" fontId="7" fillId="0" borderId="0" xfId="0" applyNumberFormat="1" applyFont="1"/>
    <xf numFmtId="0" fontId="0" fillId="0" borderId="0" xfId="0"/>
    <xf numFmtId="0" fontId="7" fillId="0" borderId="0" xfId="0" applyFont="1"/>
    <xf numFmtId="14" fontId="0" fillId="0" borderId="1" xfId="0" applyNumberFormat="1" applyBorder="1"/>
    <xf numFmtId="0" fontId="0" fillId="0" borderId="0" xfId="0"/>
    <xf numFmtId="14" fontId="0" fillId="0" borderId="0" xfId="0" applyNumberFormat="1"/>
    <xf numFmtId="0" fontId="35" fillId="7" borderId="0" xfId="0" applyFont="1" applyFill="1" applyAlignment="1">
      <alignment vertical="center" wrapText="1"/>
    </xf>
    <xf numFmtId="0" fontId="14" fillId="7" borderId="0" xfId="0" applyFont="1" applyFill="1" applyAlignment="1">
      <alignment horizontal="center" vertical="center"/>
    </xf>
    <xf numFmtId="0" fontId="36" fillId="7" borderId="0" xfId="0" applyFont="1" applyFill="1" applyAlignment="1">
      <alignment horizontal="center" vertical="center"/>
    </xf>
    <xf numFmtId="0" fontId="36" fillId="7" borderId="4" xfId="0" applyFont="1" applyFill="1" applyBorder="1" applyAlignment="1">
      <alignment horizontal="center" vertical="center"/>
    </xf>
    <xf numFmtId="0" fontId="0" fillId="7" borderId="0" xfId="0" applyFill="1" applyAlignment="1">
      <alignment horizontal="right" vertical="center"/>
    </xf>
    <xf numFmtId="0" fontId="0" fillId="7" borderId="0" xfId="0" applyFill="1" applyAlignment="1">
      <alignment horizontal="center"/>
    </xf>
    <xf numFmtId="0" fontId="7" fillId="10" borderId="16" xfId="0" applyFont="1" applyFill="1" applyBorder="1" applyAlignment="1">
      <alignment horizontal="center" vertical="center"/>
    </xf>
    <xf numFmtId="0" fontId="7" fillId="10" borderId="17" xfId="0" applyFont="1" applyFill="1" applyBorder="1" applyAlignment="1">
      <alignment horizontal="center" vertical="center"/>
    </xf>
    <xf numFmtId="0" fontId="7" fillId="10" borderId="18" xfId="0" applyFont="1" applyFill="1" applyBorder="1" applyAlignment="1">
      <alignment horizontal="center" vertical="center"/>
    </xf>
    <xf numFmtId="0" fontId="7" fillId="10" borderId="19" xfId="0" applyFont="1" applyFill="1" applyBorder="1" applyAlignment="1">
      <alignment horizontal="center" vertical="center"/>
    </xf>
    <xf numFmtId="0" fontId="7" fillId="10" borderId="0" xfId="0" applyFont="1" applyFill="1" applyAlignment="1">
      <alignment horizontal="center" vertical="center"/>
    </xf>
    <xf numFmtId="0" fontId="7" fillId="10" borderId="20" xfId="0" applyFont="1" applyFill="1" applyBorder="1" applyAlignment="1">
      <alignment horizontal="center" vertical="center"/>
    </xf>
    <xf numFmtId="0" fontId="7" fillId="10" borderId="21" xfId="0" applyFont="1" applyFill="1" applyBorder="1" applyAlignment="1">
      <alignment horizontal="center" vertical="center"/>
    </xf>
    <xf numFmtId="0" fontId="7" fillId="10" borderId="22" xfId="0" applyFont="1" applyFill="1" applyBorder="1" applyAlignment="1">
      <alignment horizontal="center" vertical="center"/>
    </xf>
    <xf numFmtId="0" fontId="7" fillId="10" borderId="23" xfId="0" applyFont="1" applyFill="1" applyBorder="1" applyAlignment="1">
      <alignment horizontal="center" vertical="center"/>
    </xf>
    <xf numFmtId="14" fontId="10" fillId="7" borderId="5" xfId="0" applyNumberFormat="1" applyFont="1" applyFill="1" applyBorder="1" applyAlignment="1">
      <alignment horizontal="center" vertical="center"/>
    </xf>
    <xf numFmtId="0" fontId="7" fillId="7" borderId="0" xfId="0" applyFont="1" applyFill="1" applyAlignment="1">
      <alignment shrinkToFit="1"/>
    </xf>
    <xf numFmtId="0" fontId="7" fillId="7" borderId="0" xfId="0" applyFont="1" applyFill="1" applyAlignment="1">
      <alignment horizontal="center" vertical="center" shrinkToFit="1"/>
    </xf>
    <xf numFmtId="0" fontId="37" fillId="11" borderId="0" xfId="0" applyFont="1" applyFill="1" applyAlignment="1">
      <alignment horizontal="center"/>
    </xf>
    <xf numFmtId="0" fontId="0" fillId="0" borderId="0" xfId="0" applyAlignment="1">
      <alignment horizontal="left" vertical="top" wrapText="1"/>
    </xf>
    <xf numFmtId="0" fontId="0" fillId="0" borderId="0" xfId="0" applyAlignment="1">
      <alignment wrapText="1"/>
    </xf>
    <xf numFmtId="14" fontId="7" fillId="0" borderId="0" xfId="0" applyNumberFormat="1" applyFont="1" applyAlignment="1">
      <alignment horizontal="left"/>
    </xf>
    <xf numFmtId="0" fontId="7" fillId="0" borderId="0" xfId="0" applyFont="1" applyAlignment="1">
      <alignment horizontal="left"/>
    </xf>
    <xf numFmtId="0" fontId="0" fillId="0" borderId="10" xfId="0" applyBorder="1" applyAlignment="1">
      <alignment horizontal="center" vertical="top"/>
    </xf>
    <xf numFmtId="0" fontId="0" fillId="0" borderId="5" xfId="0" applyBorder="1" applyAlignment="1">
      <alignment horizontal="center" vertical="top"/>
    </xf>
    <xf numFmtId="0" fontId="0" fillId="0" borderId="6" xfId="0" applyBorder="1" applyAlignment="1">
      <alignment horizontal="center" vertical="top"/>
    </xf>
    <xf numFmtId="0" fontId="0" fillId="0" borderId="15" xfId="0" applyBorder="1" applyAlignment="1">
      <alignment horizontal="center" vertical="top"/>
    </xf>
    <xf numFmtId="0" fontId="0" fillId="0" borderId="4" xfId="0" applyBorder="1" applyAlignment="1">
      <alignment horizontal="center" vertical="top"/>
    </xf>
    <xf numFmtId="0" fontId="0" fillId="0" borderId="8" xfId="0" applyBorder="1" applyAlignment="1">
      <alignment horizontal="center" vertical="top"/>
    </xf>
    <xf numFmtId="0" fontId="7" fillId="0" borderId="10" xfId="0" applyFont="1" applyBorder="1" applyAlignment="1">
      <alignment horizontal="center" vertical="top"/>
    </xf>
    <xf numFmtId="0" fontId="7" fillId="0" borderId="5" xfId="0" applyFont="1" applyBorder="1" applyAlignment="1">
      <alignment horizontal="center" vertical="top"/>
    </xf>
    <xf numFmtId="0" fontId="7" fillId="0" borderId="6" xfId="0" applyFont="1" applyBorder="1" applyAlignment="1">
      <alignment horizontal="center" vertical="top"/>
    </xf>
    <xf numFmtId="0" fontId="7" fillId="0" borderId="15" xfId="0" applyFont="1" applyBorder="1" applyAlignment="1">
      <alignment horizontal="center" vertical="top"/>
    </xf>
    <xf numFmtId="0" fontId="7" fillId="0" borderId="4" xfId="0" applyFont="1" applyBorder="1" applyAlignment="1">
      <alignment horizontal="center" vertical="top"/>
    </xf>
    <xf numFmtId="0" fontId="7" fillId="0" borderId="8" xfId="0" applyFont="1" applyBorder="1" applyAlignment="1">
      <alignment horizontal="center" vertical="top"/>
    </xf>
    <xf numFmtId="0" fontId="0" fillId="5" borderId="0" xfId="0" applyFill="1" applyAlignment="1">
      <alignment horizontal="center"/>
    </xf>
    <xf numFmtId="0" fontId="7" fillId="0" borderId="0" xfId="0" applyFont="1"/>
    <xf numFmtId="0" fontId="7" fillId="4" borderId="0" xfId="0" applyFont="1" applyFill="1" applyAlignment="1">
      <alignment horizontal="left" vertical="top" wrapText="1"/>
    </xf>
    <xf numFmtId="0" fontId="0" fillId="0" borderId="1" xfId="0" applyBorder="1" applyAlignment="1">
      <alignment horizontal="center" vertical="top" wrapText="1"/>
    </xf>
    <xf numFmtId="0" fontId="7" fillId="0" borderId="1" xfId="0" applyFont="1" applyBorder="1" applyAlignment="1">
      <alignment horizontal="center" vertical="top"/>
    </xf>
    <xf numFmtId="0" fontId="30" fillId="0" borderId="1" xfId="0" applyFont="1" applyBorder="1" applyAlignment="1">
      <alignment horizontal="left" vertical="top" wrapText="1" shrinkToFit="1"/>
    </xf>
    <xf numFmtId="0" fontId="7" fillId="0" borderId="0" xfId="0" applyFont="1" applyAlignment="1">
      <alignment vertical="top" wrapText="1" shrinkToFit="1"/>
    </xf>
    <xf numFmtId="0" fontId="7" fillId="0" borderId="0" xfId="0" applyFont="1" applyAlignment="1">
      <alignment horizontal="left" vertical="top" wrapText="1"/>
    </xf>
    <xf numFmtId="0" fontId="0" fillId="0" borderId="0" xfId="0"/>
    <xf numFmtId="0" fontId="7" fillId="4" borderId="0" xfId="0" applyFont="1" applyFill="1" applyAlignment="1">
      <alignment horizontal="center"/>
    </xf>
    <xf numFmtId="0" fontId="30" fillId="0" borderId="10" xfId="0" applyFont="1" applyBorder="1" applyAlignment="1">
      <alignment vertical="top" wrapText="1" shrinkToFit="1"/>
    </xf>
    <xf numFmtId="0" fontId="30" fillId="0" borderId="5" xfId="0" applyFont="1" applyBorder="1" applyAlignment="1">
      <alignment vertical="top" wrapText="1" shrinkToFit="1"/>
    </xf>
    <xf numFmtId="0" fontId="30" fillId="0" borderId="6" xfId="0" applyFont="1" applyBorder="1" applyAlignment="1">
      <alignment vertical="top" wrapText="1" shrinkToFit="1"/>
    </xf>
    <xf numFmtId="0" fontId="30" fillId="0" borderId="15" xfId="0" applyFont="1" applyBorder="1" applyAlignment="1">
      <alignment vertical="top" wrapText="1" shrinkToFit="1"/>
    </xf>
    <xf numFmtId="0" fontId="30" fillId="0" borderId="4" xfId="0" applyFont="1" applyBorder="1" applyAlignment="1">
      <alignment vertical="top" wrapText="1" shrinkToFit="1"/>
    </xf>
    <xf numFmtId="0" fontId="30" fillId="0" borderId="8" xfId="0" applyFont="1" applyBorder="1" applyAlignment="1">
      <alignment vertical="top" wrapText="1" shrinkToFit="1"/>
    </xf>
    <xf numFmtId="0" fontId="30" fillId="0" borderId="10" xfId="0" applyFont="1" applyBorder="1" applyAlignment="1">
      <alignment horizontal="left" vertical="top" wrapText="1" shrinkToFit="1"/>
    </xf>
    <xf numFmtId="0" fontId="30" fillId="0" borderId="5" xfId="0" applyFont="1" applyBorder="1" applyAlignment="1">
      <alignment horizontal="left" vertical="top" wrapText="1" shrinkToFit="1"/>
    </xf>
    <xf numFmtId="0" fontId="30" fillId="0" borderId="6" xfId="0" applyFont="1" applyBorder="1" applyAlignment="1">
      <alignment horizontal="left" vertical="top" wrapText="1" shrinkToFit="1"/>
    </xf>
    <xf numFmtId="0" fontId="30" fillId="0" borderId="15" xfId="0" applyFont="1" applyBorder="1" applyAlignment="1">
      <alignment horizontal="left" vertical="top" wrapText="1" shrinkToFit="1"/>
    </xf>
    <xf numFmtId="0" fontId="30" fillId="0" borderId="4" xfId="0" applyFont="1" applyBorder="1" applyAlignment="1">
      <alignment horizontal="left" vertical="top" wrapText="1" shrinkToFit="1"/>
    </xf>
    <xf numFmtId="0" fontId="30" fillId="0" borderId="8" xfId="0" applyFont="1" applyBorder="1" applyAlignment="1">
      <alignment horizontal="left" vertical="top" wrapText="1" shrinkToFit="1"/>
    </xf>
    <xf numFmtId="0" fontId="0" fillId="0" borderId="1" xfId="0" applyBorder="1"/>
    <xf numFmtId="0" fontId="7" fillId="0" borderId="0" xfId="0" applyFont="1" applyAlignment="1">
      <alignment vertical="top" wrapText="1"/>
    </xf>
    <xf numFmtId="0" fontId="7" fillId="4" borderId="0" xfId="0" applyFont="1" applyFill="1"/>
    <xf numFmtId="0" fontId="0" fillId="4" borderId="0" xfId="0" applyFill="1"/>
    <xf numFmtId="0" fontId="0" fillId="4" borderId="0" xfId="0" applyFill="1" applyAlignment="1">
      <alignment vertical="top" wrapText="1"/>
    </xf>
    <xf numFmtId="0" fontId="30" fillId="0" borderId="0" xfId="0" applyFont="1" applyAlignment="1">
      <alignment horizontal="left" vertical="top" wrapText="1"/>
    </xf>
    <xf numFmtId="0" fontId="0" fillId="0" borderId="0" xfId="0" applyAlignment="1">
      <alignment vertical="top" wrapText="1"/>
    </xf>
    <xf numFmtId="0" fontId="0" fillId="0" borderId="0" xfId="0" applyAlignment="1">
      <alignment horizontal="center"/>
    </xf>
    <xf numFmtId="0" fontId="7" fillId="0" borderId="1" xfId="0" applyFont="1" applyBorder="1"/>
    <xf numFmtId="0" fontId="7" fillId="0" borderId="30" xfId="0" applyFont="1" applyBorder="1"/>
    <xf numFmtId="0" fontId="7" fillId="0" borderId="3" xfId="0" applyFont="1" applyBorder="1"/>
    <xf numFmtId="0" fontId="7" fillId="0" borderId="13" xfId="0" applyFont="1" applyBorder="1"/>
    <xf numFmtId="0" fontId="0" fillId="0" borderId="4" xfId="0" applyBorder="1"/>
    <xf numFmtId="0" fontId="7" fillId="0" borderId="4" xfId="0" applyFont="1" applyBorder="1" applyAlignment="1">
      <alignment horizontal="left"/>
    </xf>
    <xf numFmtId="0" fontId="48" fillId="0" borderId="0" xfId="0" applyFont="1"/>
    <xf numFmtId="14" fontId="7" fillId="0" borderId="4" xfId="0" applyNumberFormat="1" applyFont="1" applyBorder="1" applyAlignment="1">
      <alignment horizontal="left"/>
    </xf>
    <xf numFmtId="0" fontId="7" fillId="0" borderId="0" xfId="0" applyFont="1" applyAlignment="1">
      <alignment wrapText="1"/>
    </xf>
    <xf numFmtId="0" fontId="7" fillId="0" borderId="4" xfId="0" applyFont="1" applyBorder="1" applyAlignment="1">
      <alignment wrapText="1"/>
    </xf>
    <xf numFmtId="14" fontId="0" fillId="0" borderId="4" xfId="0" applyNumberFormat="1" applyBorder="1" applyAlignment="1">
      <alignment horizontal="left" vertical="top"/>
    </xf>
    <xf numFmtId="0" fontId="0" fillId="0" borderId="4" xfId="0" applyBorder="1" applyAlignment="1">
      <alignment horizontal="left" vertical="top"/>
    </xf>
    <xf numFmtId="0" fontId="28" fillId="0" borderId="0" xfId="0" applyFont="1" applyAlignment="1">
      <alignment vertical="top" wrapText="1"/>
    </xf>
    <xf numFmtId="0" fontId="48" fillId="0" borderId="0" xfId="0" applyFont="1" applyAlignment="1">
      <alignment vertical="center" wrapText="1"/>
    </xf>
    <xf numFmtId="0" fontId="7" fillId="0" borderId="4" xfId="0" applyFont="1" applyBorder="1"/>
    <xf numFmtId="14" fontId="0" fillId="0" borderId="0" xfId="0" applyNumberFormat="1"/>
    <xf numFmtId="0" fontId="7" fillId="4" borderId="0" xfId="0" applyFont="1" applyFill="1" applyAlignment="1">
      <alignment horizontal="left"/>
    </xf>
    <xf numFmtId="0" fontId="0" fillId="4" borderId="0" xfId="0" applyFill="1" applyAlignment="1">
      <alignment horizontal="left" wrapText="1"/>
    </xf>
    <xf numFmtId="14" fontId="7" fillId="0" borderId="0" xfId="0" applyNumberFormat="1" applyFont="1" applyAlignment="1">
      <alignment horizontal="left" vertical="top"/>
    </xf>
    <xf numFmtId="14" fontId="7" fillId="0" borderId="0" xfId="0" applyNumberFormat="1" applyFont="1" applyAlignment="1">
      <alignment horizontal="left" vertical="top" wrapText="1"/>
    </xf>
    <xf numFmtId="0" fontId="7" fillId="4" borderId="0" xfId="0" applyFont="1" applyFill="1" applyAlignment="1">
      <alignment vertical="top" wrapText="1"/>
    </xf>
    <xf numFmtId="0" fontId="30" fillId="4" borderId="0" xfId="0" applyFont="1" applyFill="1" applyAlignment="1">
      <alignment horizontal="left" vertical="top" wrapText="1"/>
    </xf>
    <xf numFmtId="0" fontId="10" fillId="0" borderId="0" xfId="0" applyFont="1"/>
    <xf numFmtId="0" fontId="0" fillId="0" borderId="0" xfId="0" applyAlignment="1">
      <alignment horizontal="left" wrapText="1"/>
    </xf>
    <xf numFmtId="0" fontId="0" fillId="0" borderId="0" xfId="0" applyProtection="1">
      <protection locked="0"/>
    </xf>
    <xf numFmtId="0" fontId="0" fillId="0" borderId="30" xfId="0" applyBorder="1"/>
    <xf numFmtId="0" fontId="0" fillId="0" borderId="3" xfId="0" applyBorder="1"/>
    <xf numFmtId="0" fontId="0" fillId="0" borderId="13" xfId="0" applyBorder="1"/>
    <xf numFmtId="0" fontId="7" fillId="0" borderId="0" xfId="0" applyFont="1" applyAlignment="1">
      <alignment shrinkToFit="1"/>
    </xf>
    <xf numFmtId="0" fontId="0" fillId="0" borderId="4" xfId="0" applyBorder="1" applyAlignment="1">
      <alignment horizontal="center"/>
    </xf>
    <xf numFmtId="0" fontId="48" fillId="0" borderId="0" xfId="0" applyFont="1" applyAlignment="1">
      <alignment horizontal="left" vertical="top" wrapText="1"/>
    </xf>
    <xf numFmtId="0" fontId="7" fillId="0" borderId="0" xfId="0" applyFont="1" applyAlignment="1">
      <alignment horizontal="left" shrinkToFit="1"/>
    </xf>
    <xf numFmtId="0" fontId="7" fillId="9" borderId="0" xfId="0" applyFont="1" applyFill="1" applyAlignment="1">
      <alignment horizontal="center"/>
    </xf>
    <xf numFmtId="0" fontId="0" fillId="0" borderId="0" xfId="0" applyAlignment="1">
      <alignment horizontal="left"/>
    </xf>
    <xf numFmtId="0" fontId="35" fillId="0" borderId="0" xfId="0" applyFont="1" applyAlignment="1">
      <alignment vertical="top" wrapText="1"/>
    </xf>
    <xf numFmtId="0" fontId="0" fillId="4" borderId="0" xfId="0" applyFill="1" applyAlignment="1">
      <alignment horizontal="center"/>
    </xf>
    <xf numFmtId="164" fontId="7" fillId="0" borderId="0" xfId="0" applyNumberFormat="1" applyFont="1" applyAlignment="1">
      <alignment horizontal="left"/>
    </xf>
    <xf numFmtId="0" fontId="0" fillId="0" borderId="0" xfId="0" applyAlignment="1">
      <alignment horizontal="right"/>
    </xf>
    <xf numFmtId="0" fontId="7" fillId="0" borderId="0" xfId="0" applyFont="1" applyAlignment="1">
      <alignment horizontal="center"/>
    </xf>
    <xf numFmtId="0" fontId="0" fillId="0" borderId="0" xfId="0" applyAlignment="1">
      <alignment horizontal="right" vertical="top" wrapText="1"/>
    </xf>
    <xf numFmtId="0" fontId="7" fillId="0" borderId="4" xfId="0" applyFont="1" applyBorder="1" applyAlignment="1">
      <alignment horizontal="left" vertical="top" wrapText="1"/>
    </xf>
    <xf numFmtId="0" fontId="7" fillId="0" borderId="3" xfId="0" applyFont="1" applyBorder="1" applyAlignment="1">
      <alignment horizontal="left" vertical="top" wrapText="1"/>
    </xf>
    <xf numFmtId="9" fontId="7" fillId="0" borderId="0" xfId="4" applyFont="1" applyAlignment="1">
      <alignment horizontal="center"/>
    </xf>
    <xf numFmtId="0" fontId="30" fillId="0" borderId="0" xfId="0" applyFont="1"/>
    <xf numFmtId="14" fontId="7" fillId="0" borderId="0" xfId="0" applyNumberFormat="1" applyFont="1"/>
    <xf numFmtId="14" fontId="7" fillId="0" borderId="4" xfId="0" applyNumberFormat="1" applyFont="1" applyBorder="1"/>
    <xf numFmtId="0" fontId="44" fillId="0" borderId="0" xfId="0" applyFont="1" applyAlignment="1">
      <alignment vertical="top" wrapText="1"/>
    </xf>
    <xf numFmtId="0" fontId="44" fillId="0" borderId="0" xfId="0" applyFont="1" applyAlignment="1">
      <alignment horizontal="left" vertical="top" wrapText="1"/>
    </xf>
    <xf numFmtId="0" fontId="7" fillId="0" borderId="0" xfId="0" applyFont="1" applyAlignment="1">
      <alignment horizontal="left" vertical="top"/>
    </xf>
    <xf numFmtId="14" fontId="7" fillId="0" borderId="40" xfId="0" applyNumberFormat="1" applyFont="1" applyBorder="1" applyAlignment="1">
      <alignment horizontal="center"/>
    </xf>
    <xf numFmtId="14" fontId="7" fillId="0" borderId="1" xfId="0" applyNumberFormat="1" applyFont="1" applyBorder="1" applyAlignment="1">
      <alignment horizontal="center"/>
    </xf>
    <xf numFmtId="14" fontId="7" fillId="0" borderId="42" xfId="0" applyNumberFormat="1" applyFont="1" applyBorder="1" applyAlignment="1">
      <alignment horizontal="center"/>
    </xf>
    <xf numFmtId="14" fontId="7" fillId="0" borderId="38" xfId="0" applyNumberFormat="1" applyFont="1" applyBorder="1" applyAlignment="1">
      <alignment horizontal="center"/>
    </xf>
    <xf numFmtId="14" fontId="7" fillId="0" borderId="1" xfId="0" applyNumberFormat="1" applyFont="1" applyBorder="1" applyAlignment="1">
      <alignment horizontal="center" wrapText="1"/>
    </xf>
    <xf numFmtId="14" fontId="7" fillId="0" borderId="38" xfId="0" applyNumberFormat="1" applyFont="1" applyBorder="1" applyAlignment="1">
      <alignment horizontal="center" wrapText="1"/>
    </xf>
    <xf numFmtId="0" fontId="7" fillId="0" borderId="1" xfId="0" applyFont="1" applyBorder="1" applyAlignment="1">
      <alignment horizontal="center"/>
    </xf>
    <xf numFmtId="0" fontId="7" fillId="0" borderId="38" xfId="0" applyFont="1" applyBorder="1" applyAlignment="1">
      <alignment horizontal="center"/>
    </xf>
    <xf numFmtId="0" fontId="0" fillId="0" borderId="38" xfId="0" applyBorder="1"/>
    <xf numFmtId="0" fontId="0" fillId="0" borderId="41" xfId="0" applyBorder="1"/>
    <xf numFmtId="0" fontId="0" fillId="0" borderId="39" xfId="0" applyBorder="1"/>
    <xf numFmtId="164" fontId="7" fillId="0" borderId="3" xfId="0" applyNumberFormat="1" applyFont="1" applyBorder="1" applyAlignment="1">
      <alignment horizontal="left" shrinkToFit="1"/>
    </xf>
    <xf numFmtId="164" fontId="7" fillId="0" borderId="3" xfId="0" applyNumberFormat="1" applyFont="1" applyBorder="1" applyAlignment="1">
      <alignment horizontal="left"/>
    </xf>
    <xf numFmtId="0" fontId="7" fillId="0" borderId="30" xfId="0" applyFont="1" applyBorder="1" applyAlignment="1">
      <alignment shrinkToFit="1"/>
    </xf>
    <xf numFmtId="0" fontId="7" fillId="0" borderId="3" xfId="0" applyFont="1" applyBorder="1" applyAlignment="1">
      <alignment shrinkToFit="1"/>
    </xf>
    <xf numFmtId="0" fontId="7" fillId="0" borderId="13" xfId="0" applyFont="1" applyBorder="1" applyAlignment="1">
      <alignment shrinkToFit="1"/>
    </xf>
    <xf numFmtId="49" fontId="7" fillId="0" borderId="30" xfId="0" applyNumberFormat="1" applyFont="1" applyBorder="1" applyAlignment="1">
      <alignment shrinkToFit="1"/>
    </xf>
    <xf numFmtId="0" fontId="7" fillId="0" borderId="1" xfId="0" applyFont="1" applyBorder="1" applyAlignment="1">
      <alignment shrinkToFit="1"/>
    </xf>
    <xf numFmtId="0" fontId="7" fillId="0" borderId="1" xfId="0" applyFont="1" applyBorder="1" applyAlignment="1">
      <alignment horizontal="center" shrinkToFit="1"/>
    </xf>
    <xf numFmtId="0" fontId="0" fillId="0" borderId="54" xfId="0" applyBorder="1" applyAlignment="1">
      <alignment horizontal="center" wrapText="1"/>
    </xf>
    <xf numFmtId="0" fontId="0" fillId="0" borderId="51" xfId="0" applyBorder="1" applyAlignment="1">
      <alignment horizontal="center" wrapText="1"/>
    </xf>
    <xf numFmtId="0" fontId="0" fillId="0" borderId="51" xfId="0" applyBorder="1" applyAlignment="1">
      <alignment horizontal="center"/>
    </xf>
    <xf numFmtId="0" fontId="0" fillId="0" borderId="5" xfId="0" applyBorder="1" applyAlignment="1">
      <alignment horizontal="center"/>
    </xf>
    <xf numFmtId="0" fontId="0" fillId="0" borderId="52" xfId="0" applyBorder="1" applyAlignment="1">
      <alignment horizontal="center"/>
    </xf>
    <xf numFmtId="0" fontId="7" fillId="0" borderId="3" xfId="0" applyFont="1" applyBorder="1" applyAlignment="1">
      <alignment horizontal="left"/>
    </xf>
    <xf numFmtId="164" fontId="7" fillId="0" borderId="3" xfId="0" applyNumberFormat="1" applyFont="1" applyBorder="1"/>
    <xf numFmtId="0" fontId="0" fillId="0" borderId="1" xfId="0" applyBorder="1" applyAlignment="1">
      <alignment shrinkToFit="1"/>
    </xf>
    <xf numFmtId="0" fontId="0" fillId="0" borderId="0" xfId="0" applyAlignment="1">
      <alignment shrinkToFit="1"/>
    </xf>
    <xf numFmtId="0" fontId="48" fillId="0" borderId="0" xfId="0" applyFont="1" applyAlignment="1">
      <alignment horizontal="center" shrinkToFit="1"/>
    </xf>
    <xf numFmtId="0" fontId="0" fillId="9" borderId="0" xfId="0" applyFill="1" applyAlignment="1">
      <alignment horizontal="center"/>
    </xf>
    <xf numFmtId="0" fontId="0" fillId="0" borderId="30" xfId="0" applyBorder="1" applyAlignment="1">
      <alignment shrinkToFit="1"/>
    </xf>
    <xf numFmtId="0" fontId="0" fillId="0" borderId="3" xfId="0" applyBorder="1" applyAlignment="1">
      <alignment shrinkToFit="1"/>
    </xf>
    <xf numFmtId="0" fontId="0" fillId="0" borderId="13" xfId="0" applyBorder="1" applyAlignment="1">
      <alignment shrinkToFit="1"/>
    </xf>
    <xf numFmtId="0" fontId="0" fillId="0" borderId="1" xfId="0" applyBorder="1" applyAlignment="1">
      <alignment horizontal="center"/>
    </xf>
    <xf numFmtId="0" fontId="0" fillId="0" borderId="30" xfId="0" applyBorder="1" applyAlignment="1">
      <alignment horizontal="center"/>
    </xf>
    <xf numFmtId="0" fontId="0" fillId="0" borderId="3" xfId="0" applyBorder="1" applyAlignment="1">
      <alignment horizontal="center"/>
    </xf>
    <xf numFmtId="0" fontId="0" fillId="0" borderId="13" xfId="0" applyBorder="1" applyAlignment="1">
      <alignment horizontal="center"/>
    </xf>
    <xf numFmtId="0" fontId="0" fillId="0" borderId="0" xfId="0" applyAlignment="1">
      <alignment horizontal="center" vertical="center" wrapText="1"/>
    </xf>
    <xf numFmtId="0" fontId="29" fillId="0" borderId="0" xfId="0" applyFont="1" applyAlignment="1">
      <alignment wrapText="1"/>
    </xf>
    <xf numFmtId="14" fontId="0" fillId="0" borderId="0" xfId="0" applyNumberFormat="1" applyAlignment="1">
      <alignment horizontal="left"/>
    </xf>
    <xf numFmtId="2" fontId="0" fillId="0" borderId="0" xfId="0" applyNumberFormat="1" applyAlignment="1">
      <alignment horizontal="left"/>
    </xf>
    <xf numFmtId="0" fontId="0" fillId="0" borderId="0" xfId="0" applyAlignment="1">
      <alignment wrapText="1" shrinkToFit="1"/>
    </xf>
    <xf numFmtId="0" fontId="0" fillId="0" borderId="1" xfId="0" applyBorder="1" applyAlignment="1">
      <alignment horizontal="center" vertical="center" wrapText="1"/>
    </xf>
    <xf numFmtId="164" fontId="0" fillId="0" borderId="0" xfId="0" applyNumberFormat="1" applyAlignment="1">
      <alignment shrinkToFit="1"/>
    </xf>
    <xf numFmtId="164" fontId="0" fillId="0" borderId="0" xfId="0" applyNumberFormat="1" applyAlignment="1">
      <alignment horizontal="left" shrinkToFit="1"/>
    </xf>
    <xf numFmtId="0" fontId="0" fillId="9" borderId="5" xfId="0" applyFill="1" applyBorder="1" applyAlignment="1">
      <alignment horizontal="center"/>
    </xf>
    <xf numFmtId="0" fontId="0" fillId="0" borderId="1" xfId="0" applyBorder="1" applyAlignment="1">
      <alignment vertical="top" wrapText="1" shrinkToFit="1"/>
    </xf>
    <xf numFmtId="14" fontId="0" fillId="0" borderId="4" xfId="0" applyNumberFormat="1" applyBorder="1" applyAlignment="1">
      <alignment horizontal="left"/>
    </xf>
    <xf numFmtId="0" fontId="0" fillId="0" borderId="1" xfId="0" applyBorder="1" applyAlignment="1">
      <alignment vertical="top"/>
    </xf>
    <xf numFmtId="0" fontId="0" fillId="0" borderId="1" xfId="0" applyBorder="1" applyAlignment="1">
      <alignment vertical="top" shrinkToFit="1"/>
    </xf>
    <xf numFmtId="0" fontId="0" fillId="0" borderId="4" xfId="0" applyBorder="1" applyAlignment="1">
      <alignment horizontal="left"/>
    </xf>
    <xf numFmtId="0" fontId="0" fillId="9" borderId="1" xfId="0" applyFill="1" applyBorder="1" applyAlignment="1">
      <alignment shrinkToFit="1"/>
    </xf>
    <xf numFmtId="0" fontId="0" fillId="9" borderId="27" xfId="0" applyFill="1" applyBorder="1" applyAlignment="1">
      <alignment horizontal="center" vertical="center" textRotation="90"/>
    </xf>
    <xf numFmtId="0" fontId="0" fillId="9" borderId="26" xfId="0" applyFill="1" applyBorder="1" applyAlignment="1">
      <alignment horizontal="center" vertical="center" textRotation="90"/>
    </xf>
    <xf numFmtId="0" fontId="0" fillId="9" borderId="53" xfId="0" applyFill="1" applyBorder="1" applyAlignment="1">
      <alignment horizontal="center" vertical="center" textRotation="90"/>
    </xf>
    <xf numFmtId="0" fontId="0" fillId="9" borderId="1" xfId="0" applyFill="1" applyBorder="1"/>
    <xf numFmtId="0" fontId="41" fillId="9" borderId="0" xfId="0" applyFont="1" applyFill="1" applyAlignment="1">
      <alignment horizontal="center"/>
    </xf>
    <xf numFmtId="0" fontId="0" fillId="0" borderId="1" xfId="0" applyBorder="1" applyAlignment="1">
      <alignment horizontal="center" vertical="center" textRotation="90"/>
    </xf>
    <xf numFmtId="0" fontId="0" fillId="9" borderId="1" xfId="0" applyFill="1" applyBorder="1" applyAlignment="1">
      <alignment horizontal="center" vertical="center" textRotation="90"/>
    </xf>
    <xf numFmtId="0" fontId="0" fillId="0" borderId="4" xfId="0" applyBorder="1" applyAlignment="1">
      <alignment shrinkToFit="1"/>
    </xf>
    <xf numFmtId="0" fontId="0" fillId="0" borderId="1" xfId="0" applyBorder="1" applyAlignment="1">
      <alignment horizontal="left" shrinkToFit="1"/>
    </xf>
    <xf numFmtId="0" fontId="0" fillId="0" borderId="1" xfId="0" applyBorder="1" applyAlignment="1">
      <alignment horizontal="left"/>
    </xf>
    <xf numFmtId="0" fontId="0" fillId="0" borderId="7" xfId="0" applyBorder="1"/>
    <xf numFmtId="0" fontId="0" fillId="0" borderId="10" xfId="0" applyBorder="1" applyAlignment="1">
      <alignment vertical="top"/>
    </xf>
    <xf numFmtId="0" fontId="0" fillId="0" borderId="5" xfId="0" applyBorder="1" applyAlignment="1">
      <alignment vertical="top"/>
    </xf>
    <xf numFmtId="0" fontId="0" fillId="0" borderId="6" xfId="0" applyBorder="1" applyAlignment="1">
      <alignment vertical="top"/>
    </xf>
    <xf numFmtId="0" fontId="0" fillId="0" borderId="11" xfId="0" applyBorder="1" applyAlignment="1">
      <alignment vertical="top"/>
    </xf>
    <xf numFmtId="0" fontId="0" fillId="0" borderId="0" xfId="0" applyAlignment="1">
      <alignment vertical="top"/>
    </xf>
    <xf numFmtId="0" fontId="0" fillId="0" borderId="7" xfId="0" applyBorder="1" applyAlignment="1">
      <alignment vertical="top"/>
    </xf>
    <xf numFmtId="0" fontId="0" fillId="0" borderId="15" xfId="0" applyBorder="1" applyAlignment="1">
      <alignment vertical="top"/>
    </xf>
    <xf numFmtId="0" fontId="0" fillId="0" borderId="4" xfId="0" applyBorder="1" applyAlignment="1">
      <alignment vertical="top"/>
    </xf>
    <xf numFmtId="0" fontId="0" fillId="0" borderId="8" xfId="0" applyBorder="1" applyAlignment="1">
      <alignment vertical="top"/>
    </xf>
    <xf numFmtId="0" fontId="0" fillId="0" borderId="0" xfId="0" applyAlignment="1">
      <alignment horizontal="left" vertical="top"/>
    </xf>
    <xf numFmtId="0" fontId="0" fillId="0" borderId="0" xfId="0" applyAlignment="1">
      <alignment horizontal="center" vertical="center" textRotation="90"/>
    </xf>
    <xf numFmtId="0" fontId="20" fillId="3" borderId="0" xfId="3" applyFont="1" applyFill="1" applyAlignment="1">
      <alignment horizontal="center" vertical="top"/>
    </xf>
    <xf numFmtId="0" fontId="5" fillId="3" borderId="12" xfId="3" applyFill="1" applyBorder="1" applyAlignment="1">
      <alignment horizontal="left" vertical="top"/>
    </xf>
    <xf numFmtId="0" fontId="5" fillId="3" borderId="3" xfId="3" applyFill="1" applyBorder="1" applyAlignment="1">
      <alignment horizontal="left" vertical="top"/>
    </xf>
    <xf numFmtId="0" fontId="5" fillId="3" borderId="13" xfId="3" applyFill="1" applyBorder="1" applyAlignment="1">
      <alignment horizontal="left" vertical="top"/>
    </xf>
    <xf numFmtId="0" fontId="20" fillId="4" borderId="30" xfId="3" applyFont="1" applyFill="1" applyBorder="1" applyAlignment="1">
      <alignment horizontal="center" vertical="center"/>
    </xf>
    <xf numFmtId="0" fontId="20" fillId="4" borderId="3" xfId="3" applyFont="1" applyFill="1" applyBorder="1" applyAlignment="1">
      <alignment horizontal="center" vertical="center"/>
    </xf>
    <xf numFmtId="0" fontId="20" fillId="4" borderId="14" xfId="3" applyFont="1" applyFill="1" applyBorder="1" applyAlignment="1">
      <alignment horizontal="center" vertical="center"/>
    </xf>
    <xf numFmtId="0" fontId="20" fillId="3" borderId="0" xfId="3" applyFont="1" applyFill="1" applyAlignment="1">
      <alignment horizontal="left" vertical="top" wrapText="1"/>
    </xf>
    <xf numFmtId="0" fontId="20" fillId="3" borderId="4" xfId="3" applyFont="1" applyFill="1" applyBorder="1" applyAlignment="1">
      <alignment horizontal="left" vertical="top" wrapText="1"/>
    </xf>
    <xf numFmtId="0" fontId="19" fillId="3" borderId="0" xfId="3" applyFont="1" applyFill="1" applyAlignment="1">
      <alignment horizontal="right" vertical="top"/>
    </xf>
    <xf numFmtId="0" fontId="5" fillId="3" borderId="28" xfId="3" applyFill="1" applyBorder="1" applyAlignment="1">
      <alignment horizontal="left" vertical="top"/>
    </xf>
    <xf numFmtId="0" fontId="5" fillId="3" borderId="24" xfId="3" applyFill="1" applyBorder="1" applyAlignment="1">
      <alignment horizontal="left" vertical="top"/>
    </xf>
    <xf numFmtId="0" fontId="5" fillId="3" borderId="29" xfId="3" applyFill="1" applyBorder="1" applyAlignment="1">
      <alignment horizontal="left" vertical="top"/>
    </xf>
    <xf numFmtId="0" fontId="20" fillId="5" borderId="31" xfId="3" applyFont="1" applyFill="1" applyBorder="1" applyAlignment="1">
      <alignment horizontal="left" vertical="top" wrapText="1"/>
    </xf>
    <xf numFmtId="0" fontId="20" fillId="5" borderId="32" xfId="3" applyFont="1" applyFill="1" applyBorder="1" applyAlignment="1">
      <alignment horizontal="left" vertical="top" wrapText="1"/>
    </xf>
    <xf numFmtId="0" fontId="20" fillId="5" borderId="33" xfId="3" applyFont="1" applyFill="1" applyBorder="1" applyAlignment="1">
      <alignment horizontal="left" vertical="top" wrapText="1"/>
    </xf>
    <xf numFmtId="0" fontId="20" fillId="5" borderId="34" xfId="3" applyFont="1" applyFill="1" applyBorder="1" applyAlignment="1">
      <alignment horizontal="center" vertical="top"/>
    </xf>
    <xf numFmtId="0" fontId="20" fillId="5" borderId="32" xfId="3" applyFont="1" applyFill="1" applyBorder="1" applyAlignment="1">
      <alignment horizontal="center" vertical="top"/>
    </xf>
    <xf numFmtId="0" fontId="20" fillId="5" borderId="35" xfId="3" applyFont="1" applyFill="1" applyBorder="1" applyAlignment="1">
      <alignment horizontal="center" vertical="top"/>
    </xf>
    <xf numFmtId="0" fontId="5" fillId="3" borderId="12" xfId="3" applyFill="1" applyBorder="1" applyAlignment="1">
      <alignment horizontal="left" vertical="top" wrapText="1"/>
    </xf>
    <xf numFmtId="0" fontId="5" fillId="3" borderId="3" xfId="3" applyFill="1" applyBorder="1" applyAlignment="1">
      <alignment horizontal="left" vertical="top" wrapText="1"/>
    </xf>
    <xf numFmtId="0" fontId="5" fillId="3" borderId="13" xfId="3" applyFill="1" applyBorder="1" applyAlignment="1">
      <alignment horizontal="left" vertical="top" wrapText="1"/>
    </xf>
    <xf numFmtId="0" fontId="20" fillId="0" borderId="30" xfId="3" applyFont="1" applyBorder="1" applyAlignment="1">
      <alignment horizontal="center" vertical="center"/>
    </xf>
    <xf numFmtId="0" fontId="20" fillId="0" borderId="3" xfId="3" applyFont="1" applyBorder="1" applyAlignment="1">
      <alignment horizontal="center" vertical="center"/>
    </xf>
    <xf numFmtId="0" fontId="20" fillId="0" borderId="14" xfId="3" applyFont="1" applyBorder="1" applyAlignment="1">
      <alignment horizontal="center" vertical="center"/>
    </xf>
    <xf numFmtId="0" fontId="20" fillId="0" borderId="36" xfId="3" applyFont="1" applyBorder="1" applyAlignment="1">
      <alignment horizontal="center" vertical="center"/>
    </xf>
    <xf numFmtId="0" fontId="20" fillId="0" borderId="24" xfId="3" applyFont="1" applyBorder="1" applyAlignment="1">
      <alignment horizontal="center" vertical="center"/>
    </xf>
    <xf numFmtId="0" fontId="20" fillId="0" borderId="37" xfId="3" applyFont="1" applyBorder="1" applyAlignment="1">
      <alignment horizontal="center" vertical="center"/>
    </xf>
    <xf numFmtId="0" fontId="5" fillId="4" borderId="38" xfId="3" applyFill="1" applyBorder="1" applyAlignment="1">
      <alignment horizontal="center" vertical="top"/>
    </xf>
    <xf numFmtId="0" fontId="5" fillId="4" borderId="39" xfId="3" applyFill="1" applyBorder="1" applyAlignment="1">
      <alignment horizontal="center" vertical="top"/>
    </xf>
    <xf numFmtId="0" fontId="31" fillId="3" borderId="11" xfId="3" applyFont="1" applyFill="1" applyBorder="1" applyAlignment="1">
      <alignment horizontal="left" vertical="top" wrapText="1"/>
    </xf>
    <xf numFmtId="0" fontId="31" fillId="3" borderId="0" xfId="3" applyFont="1" applyFill="1" applyAlignment="1">
      <alignment horizontal="left" vertical="top" wrapText="1"/>
    </xf>
    <xf numFmtId="0" fontId="31" fillId="3" borderId="7" xfId="3" applyFont="1" applyFill="1" applyBorder="1" applyAlignment="1">
      <alignment horizontal="left" vertical="top" wrapText="1"/>
    </xf>
    <xf numFmtId="0" fontId="5" fillId="4" borderId="1" xfId="3" applyFill="1" applyBorder="1" applyAlignment="1">
      <alignment horizontal="center" vertical="top"/>
    </xf>
    <xf numFmtId="0" fontId="5" fillId="4" borderId="41" xfId="3" applyFill="1" applyBorder="1" applyAlignment="1">
      <alignment horizontal="center" vertical="top"/>
    </xf>
    <xf numFmtId="0" fontId="5" fillId="4" borderId="40" xfId="3" applyFill="1" applyBorder="1" applyAlignment="1">
      <alignment horizontal="left" vertical="top"/>
    </xf>
    <xf numFmtId="0" fontId="5" fillId="4" borderId="1" xfId="3" applyFill="1" applyBorder="1" applyAlignment="1">
      <alignment horizontal="left" vertical="top"/>
    </xf>
    <xf numFmtId="0" fontId="5" fillId="3" borderId="17" xfId="3" applyFill="1" applyBorder="1" applyAlignment="1">
      <alignment horizontal="left" vertical="top" wrapText="1"/>
    </xf>
    <xf numFmtId="0" fontId="5" fillId="3" borderId="0" xfId="3" applyFill="1" applyAlignment="1">
      <alignment horizontal="left" vertical="top" wrapText="1"/>
    </xf>
    <xf numFmtId="0" fontId="5" fillId="4" borderId="12" xfId="3" applyFill="1" applyBorder="1" applyAlignment="1">
      <alignment horizontal="left" vertical="top"/>
    </xf>
    <xf numFmtId="0" fontId="5" fillId="4" borderId="3" xfId="3" applyFill="1" applyBorder="1" applyAlignment="1">
      <alignment horizontal="left" vertical="top"/>
    </xf>
    <xf numFmtId="0" fontId="5" fillId="4" borderId="13" xfId="3" applyFill="1" applyBorder="1" applyAlignment="1">
      <alignment horizontal="left" vertical="top"/>
    </xf>
    <xf numFmtId="0" fontId="5" fillId="4" borderId="41" xfId="3" applyFill="1" applyBorder="1" applyAlignment="1">
      <alignment horizontal="left" vertical="top"/>
    </xf>
    <xf numFmtId="0" fontId="20" fillId="6" borderId="32" xfId="3" applyFont="1" applyFill="1" applyBorder="1" applyAlignment="1">
      <alignment horizontal="center" vertical="top"/>
    </xf>
    <xf numFmtId="0" fontId="20" fillId="6" borderId="35" xfId="3" applyFont="1" applyFill="1" applyBorder="1" applyAlignment="1">
      <alignment horizontal="center" vertical="top"/>
    </xf>
    <xf numFmtId="0" fontId="5" fillId="4" borderId="42" xfId="3" applyFill="1" applyBorder="1" applyAlignment="1">
      <alignment horizontal="left" vertical="top"/>
    </xf>
    <xf numFmtId="0" fontId="5" fillId="4" borderId="38" xfId="3" applyFill="1" applyBorder="1" applyAlignment="1">
      <alignment horizontal="left" vertical="top"/>
    </xf>
    <xf numFmtId="0" fontId="20" fillId="4" borderId="36" xfId="3" applyFont="1" applyFill="1" applyBorder="1" applyAlignment="1">
      <alignment horizontal="center" vertical="center"/>
    </xf>
    <xf numFmtId="0" fontId="20" fillId="4" borderId="24" xfId="3" applyFont="1" applyFill="1" applyBorder="1" applyAlignment="1">
      <alignment horizontal="center" vertical="center"/>
    </xf>
    <xf numFmtId="0" fontId="20" fillId="4" borderId="37" xfId="3" applyFont="1" applyFill="1" applyBorder="1" applyAlignment="1">
      <alignment horizontal="center" vertical="center"/>
    </xf>
    <xf numFmtId="0" fontId="22" fillId="3" borderId="17" xfId="3" applyFont="1" applyFill="1" applyBorder="1" applyAlignment="1">
      <alignment horizontal="left" vertical="top" wrapText="1"/>
    </xf>
    <xf numFmtId="0" fontId="5" fillId="3" borderId="28" xfId="3" applyFill="1" applyBorder="1" applyAlignment="1">
      <alignment horizontal="left" vertical="top" wrapText="1"/>
    </xf>
    <xf numFmtId="0" fontId="5" fillId="3" borderId="24" xfId="3" applyFill="1" applyBorder="1" applyAlignment="1">
      <alignment horizontal="left" vertical="top" wrapText="1"/>
    </xf>
    <xf numFmtId="0" fontId="5" fillId="3" borderId="29" xfId="3" applyFill="1" applyBorder="1" applyAlignment="1">
      <alignment horizontal="left" vertical="top" wrapText="1"/>
    </xf>
    <xf numFmtId="0" fontId="20" fillId="3" borderId="22" xfId="3" applyFont="1" applyFill="1" applyBorder="1" applyAlignment="1">
      <alignment horizontal="center" vertical="top"/>
    </xf>
    <xf numFmtId="0" fontId="5" fillId="4" borderId="43" xfId="3" applyFill="1" applyBorder="1" applyAlignment="1">
      <alignment horizontal="center" vertical="top"/>
    </xf>
    <xf numFmtId="0" fontId="32" fillId="0" borderId="5" xfId="3" applyFont="1" applyBorder="1" applyAlignment="1">
      <alignment wrapText="1"/>
    </xf>
    <xf numFmtId="0" fontId="32" fillId="0" borderId="0" xfId="3" applyFont="1" applyAlignment="1">
      <alignment wrapText="1"/>
    </xf>
    <xf numFmtId="0" fontId="5" fillId="4" borderId="48" xfId="3" applyFill="1" applyBorder="1" applyAlignment="1">
      <alignment horizontal="center" vertical="top"/>
    </xf>
    <xf numFmtId="0" fontId="5" fillId="4" borderId="44" xfId="3" applyFill="1" applyBorder="1" applyAlignment="1">
      <alignment horizontal="center" vertical="top"/>
    </xf>
    <xf numFmtId="0" fontId="5" fillId="4" borderId="45" xfId="3" applyFill="1" applyBorder="1" applyAlignment="1">
      <alignment horizontal="center" vertical="top"/>
    </xf>
    <xf numFmtId="0" fontId="5" fillId="4" borderId="46" xfId="3" applyFill="1" applyBorder="1" applyAlignment="1">
      <alignment horizontal="center" vertical="top"/>
    </xf>
    <xf numFmtId="0" fontId="5" fillId="4" borderId="47" xfId="3" applyFill="1" applyBorder="1" applyAlignment="1">
      <alignment horizontal="center" vertical="top"/>
    </xf>
    <xf numFmtId="0" fontId="5" fillId="4" borderId="49" xfId="3" applyFill="1" applyBorder="1" applyAlignment="1">
      <alignment horizontal="center" vertical="top"/>
    </xf>
    <xf numFmtId="0" fontId="5" fillId="4" borderId="50" xfId="3" applyFill="1" applyBorder="1" applyAlignment="1">
      <alignment horizontal="center" vertical="top"/>
    </xf>
    <xf numFmtId="0" fontId="5" fillId="4" borderId="51" xfId="3" applyFill="1" applyBorder="1" applyAlignment="1">
      <alignment horizontal="center" vertical="top"/>
    </xf>
    <xf numFmtId="0" fontId="5" fillId="4" borderId="52" xfId="3" applyFill="1" applyBorder="1" applyAlignment="1">
      <alignment horizontal="center" vertical="top"/>
    </xf>
    <xf numFmtId="0" fontId="5" fillId="4" borderId="42" xfId="3" applyFill="1" applyBorder="1" applyAlignment="1">
      <alignment horizontal="center" vertical="top"/>
    </xf>
    <xf numFmtId="0" fontId="33" fillId="3" borderId="0" xfId="3" applyFont="1" applyFill="1" applyAlignment="1">
      <alignment horizontal="center" vertical="top"/>
    </xf>
    <xf numFmtId="0" fontId="34" fillId="3" borderId="0" xfId="3" applyFont="1" applyFill="1" applyAlignment="1">
      <alignment horizontal="center" vertical="top"/>
    </xf>
    <xf numFmtId="0" fontId="5" fillId="3" borderId="27" xfId="3" applyFill="1" applyBorder="1" applyAlignment="1">
      <alignment horizontal="center" vertical="top"/>
    </xf>
    <xf numFmtId="14" fontId="2" fillId="3" borderId="0" xfId="3" applyNumberFormat="1" applyFont="1" applyFill="1" applyAlignment="1">
      <alignment horizontal="left"/>
    </xf>
    <xf numFmtId="0" fontId="2" fillId="3" borderId="0" xfId="3" applyFont="1" applyFill="1" applyAlignment="1">
      <alignment horizontal="left"/>
    </xf>
    <xf numFmtId="0" fontId="47" fillId="3" borderId="0" xfId="3" applyFont="1" applyFill="1" applyAlignment="1">
      <alignment horizontal="center" vertical="top"/>
    </xf>
    <xf numFmtId="0" fontId="20" fillId="3" borderId="4" xfId="3" applyFont="1" applyFill="1" applyBorder="1" applyAlignment="1">
      <alignment horizontal="left" vertical="top"/>
    </xf>
    <xf numFmtId="0" fontId="7" fillId="0" borderId="0" xfId="0" applyFont="1" applyAlignment="1">
      <alignment horizontal="center" wrapText="1"/>
    </xf>
    <xf numFmtId="168" fontId="15" fillId="0" borderId="0" xfId="0" applyNumberFormat="1" applyFont="1" applyAlignment="1">
      <alignment horizontal="left"/>
    </xf>
    <xf numFmtId="0" fontId="15" fillId="0" borderId="0" xfId="0" applyFont="1"/>
    <xf numFmtId="0" fontId="9" fillId="0" borderId="0" xfId="0" applyFont="1" applyAlignment="1">
      <alignment horizontal="center" vertical="top"/>
    </xf>
    <xf numFmtId="0" fontId="9" fillId="0" borderId="9" xfId="0" applyFont="1" applyBorder="1" applyAlignment="1">
      <alignment horizontal="center" vertical="top"/>
    </xf>
    <xf numFmtId="0" fontId="15" fillId="0" borderId="4" xfId="0" applyFont="1" applyBorder="1"/>
    <xf numFmtId="14" fontId="15" fillId="0" borderId="4" xfId="0" applyNumberFormat="1" applyFont="1" applyBorder="1" applyAlignment="1">
      <alignment horizontal="left"/>
    </xf>
    <xf numFmtId="0" fontId="15" fillId="0" borderId="4" xfId="0" applyFont="1" applyBorder="1" applyAlignment="1">
      <alignment horizontal="left"/>
    </xf>
    <xf numFmtId="0" fontId="0" fillId="0" borderId="9" xfId="0" applyBorder="1" applyAlignment="1">
      <alignment horizontal="center"/>
    </xf>
    <xf numFmtId="0" fontId="28" fillId="0" borderId="0" xfId="0" applyFont="1" applyAlignment="1">
      <alignment wrapText="1"/>
    </xf>
    <xf numFmtId="166" fontId="0" fillId="0" borderId="0" xfId="0" applyNumberFormat="1"/>
    <xf numFmtId="0" fontId="0" fillId="0" borderId="25" xfId="0" applyBorder="1" applyAlignment="1">
      <alignment horizontal="center"/>
    </xf>
    <xf numFmtId="164" fontId="7" fillId="0" borderId="0" xfId="0" applyNumberFormat="1" applyFont="1"/>
    <xf numFmtId="8" fontId="7" fillId="0" borderId="0" xfId="0" applyNumberFormat="1" applyFont="1"/>
    <xf numFmtId="2" fontId="7" fillId="0" borderId="0" xfId="0" applyNumberFormat="1" applyFont="1" applyAlignment="1">
      <alignment horizontal="left"/>
    </xf>
    <xf numFmtId="2" fontId="7" fillId="0" borderId="0" xfId="1" applyNumberFormat="1" applyFont="1" applyAlignment="1">
      <alignment horizontal="left"/>
    </xf>
    <xf numFmtId="44" fontId="7" fillId="0" borderId="0" xfId="1" applyFont="1"/>
    <xf numFmtId="0" fontId="0" fillId="12" borderId="0" xfId="0" applyFill="1" applyAlignment="1">
      <alignment horizontal="center"/>
    </xf>
    <xf numFmtId="0" fontId="0" fillId="12" borderId="0" xfId="0" applyFill="1" applyAlignment="1">
      <alignment horizontal="left" vertical="top" wrapText="1"/>
    </xf>
    <xf numFmtId="14" fontId="0" fillId="0" borderId="0" xfId="0" applyNumberFormat="1" applyAlignment="1">
      <alignment horizontal="center"/>
    </xf>
    <xf numFmtId="14" fontId="7" fillId="0" borderId="0" xfId="0" applyNumberFormat="1" applyFont="1" applyAlignment="1">
      <alignment vertical="top"/>
    </xf>
    <xf numFmtId="0" fontId="7" fillId="0" borderId="0" xfId="0" applyFont="1" applyAlignment="1">
      <alignment vertical="top"/>
    </xf>
    <xf numFmtId="0" fontId="9" fillId="0" borderId="0" xfId="0" applyFont="1" applyAlignment="1">
      <alignment vertical="top" wrapText="1"/>
    </xf>
    <xf numFmtId="7" fontId="7" fillId="0" borderId="0" xfId="1" applyNumberFormat="1" applyFont="1"/>
    <xf numFmtId="7" fontId="7" fillId="0" borderId="0" xfId="0" applyNumberFormat="1" applyFont="1"/>
    <xf numFmtId="0" fontId="9" fillId="0" borderId="0" xfId="0" applyFont="1" applyAlignment="1">
      <alignment wrapText="1"/>
    </xf>
    <xf numFmtId="165" fontId="7" fillId="0" borderId="0" xfId="1" applyNumberFormat="1" applyFont="1"/>
    <xf numFmtId="44" fontId="7" fillId="0" borderId="5" xfId="0" applyNumberFormat="1" applyFont="1" applyBorder="1"/>
    <xf numFmtId="0" fontId="7" fillId="0" borderId="5" xfId="0" applyFont="1" applyBorder="1"/>
    <xf numFmtId="44" fontId="7" fillId="0" borderId="0" xfId="0" applyNumberFormat="1" applyFont="1"/>
    <xf numFmtId="168" fontId="7" fillId="0" borderId="0" xfId="0" applyNumberFormat="1" applyFont="1" applyAlignment="1">
      <alignment horizontal="left"/>
    </xf>
    <xf numFmtId="44" fontId="27" fillId="0" borderId="0" xfId="1" applyFont="1"/>
    <xf numFmtId="0" fontId="18" fillId="0" borderId="0" xfId="0" applyFont="1"/>
    <xf numFmtId="0" fontId="30" fillId="0" borderId="0" xfId="0" applyFont="1" applyAlignment="1">
      <alignment horizontal="center" wrapText="1"/>
    </xf>
    <xf numFmtId="0" fontId="29" fillId="0" borderId="0" xfId="0" applyFont="1" applyAlignment="1">
      <alignment vertical="top" wrapText="1"/>
    </xf>
    <xf numFmtId="0" fontId="38" fillId="0" borderId="5" xfId="0" applyFont="1" applyBorder="1" applyAlignment="1">
      <alignment horizontal="center"/>
    </xf>
    <xf numFmtId="0" fontId="38" fillId="0" borderId="0" xfId="0" applyFont="1" applyAlignment="1">
      <alignment horizontal="center"/>
    </xf>
    <xf numFmtId="44" fontId="7" fillId="0" borderId="0" xfId="1" applyFont="1" applyAlignment="1">
      <alignment horizontal="left"/>
    </xf>
    <xf numFmtId="0" fontId="42" fillId="0" borderId="0" xfId="0" applyFont="1" applyAlignment="1">
      <alignment horizontal="left"/>
    </xf>
    <xf numFmtId="0" fontId="42" fillId="0" borderId="0" xfId="0" applyFont="1" applyAlignment="1">
      <alignment shrinkToFit="1"/>
    </xf>
    <xf numFmtId="0" fontId="18" fillId="0" borderId="4" xfId="0" applyFont="1" applyBorder="1"/>
    <xf numFmtId="14" fontId="18" fillId="0" borderId="3" xfId="0" applyNumberFormat="1" applyFont="1" applyBorder="1" applyAlignment="1">
      <alignment horizontal="left"/>
    </xf>
    <xf numFmtId="0" fontId="18" fillId="0" borderId="3" xfId="0" applyFont="1" applyBorder="1" applyAlignment="1">
      <alignment horizontal="left"/>
    </xf>
    <xf numFmtId="168" fontId="18" fillId="0" borderId="3" xfId="0" applyNumberFormat="1" applyFont="1" applyBorder="1" applyAlignment="1">
      <alignment horizontal="left"/>
    </xf>
    <xf numFmtId="0" fontId="18" fillId="0" borderId="0" xfId="0" applyFont="1" applyAlignment="1">
      <alignment horizontal="center"/>
    </xf>
    <xf numFmtId="0" fontId="30" fillId="0" borderId="0" xfId="0" applyFont="1" applyAlignment="1">
      <alignment vertical="top" wrapText="1"/>
    </xf>
    <xf numFmtId="0" fontId="42" fillId="0" borderId="0" xfId="0" applyFont="1"/>
    <xf numFmtId="0" fontId="48" fillId="0" borderId="0" xfId="0" applyFont="1" applyAlignment="1">
      <alignment vertical="top" wrapText="1"/>
    </xf>
    <xf numFmtId="0" fontId="13" fillId="0" borderId="0" xfId="0" applyFont="1" applyAlignment="1">
      <alignment horizontal="right" vertical="top" wrapText="1"/>
    </xf>
    <xf numFmtId="0" fontId="42" fillId="0" borderId="4" xfId="0" applyFont="1" applyBorder="1" applyAlignment="1">
      <alignment horizontal="left" vertical="top" wrapText="1"/>
    </xf>
    <xf numFmtId="0" fontId="42" fillId="0" borderId="3" xfId="0" applyFont="1" applyBorder="1" applyAlignment="1">
      <alignment horizontal="left" vertical="top" wrapText="1"/>
    </xf>
    <xf numFmtId="0" fontId="42" fillId="0" borderId="3" xfId="0" applyFont="1" applyBorder="1"/>
    <xf numFmtId="167" fontId="7" fillId="0" borderId="0" xfId="0" applyNumberFormat="1" applyFont="1" applyAlignment="1">
      <alignment horizontal="left"/>
    </xf>
    <xf numFmtId="14" fontId="7" fillId="0" borderId="0" xfId="0" applyNumberFormat="1" applyFont="1" applyAlignment="1">
      <alignment horizontal="center"/>
    </xf>
    <xf numFmtId="0" fontId="7" fillId="0" borderId="4" xfId="0" applyFont="1" applyBorder="1" applyAlignment="1">
      <alignment horizontal="center"/>
    </xf>
    <xf numFmtId="164" fontId="7" fillId="0" borderId="0" xfId="0" applyNumberFormat="1" applyFont="1" applyAlignment="1">
      <alignment shrinkToFit="1"/>
    </xf>
    <xf numFmtId="1" fontId="7" fillId="0" borderId="0" xfId="0" applyNumberFormat="1" applyFont="1"/>
    <xf numFmtId="14" fontId="15" fillId="0" borderId="0" xfId="0" applyNumberFormat="1" applyFont="1" applyAlignment="1">
      <alignment horizontal="left"/>
    </xf>
    <xf numFmtId="0" fontId="15" fillId="0" borderId="0" xfId="0" applyFont="1" applyAlignment="1">
      <alignment horizontal="left"/>
    </xf>
    <xf numFmtId="0" fontId="15" fillId="0" borderId="0" xfId="0" applyFont="1" applyAlignment="1">
      <alignment vertical="top" wrapText="1"/>
    </xf>
    <xf numFmtId="0" fontId="15" fillId="0" borderId="0" xfId="0" applyFont="1" applyAlignment="1">
      <alignment horizontal="left" vertical="top" wrapText="1"/>
    </xf>
    <xf numFmtId="14" fontId="9" fillId="0" borderId="0" xfId="0" applyNumberFormat="1" applyFont="1" applyAlignment="1">
      <alignment horizontal="left"/>
    </xf>
    <xf numFmtId="0" fontId="7" fillId="0" borderId="20" xfId="0" applyFont="1" applyBorder="1" applyAlignment="1">
      <alignment horizontal="left" shrinkToFit="1"/>
    </xf>
    <xf numFmtId="164" fontId="7" fillId="0" borderId="0" xfId="0" applyNumberFormat="1" applyFont="1" applyAlignment="1">
      <alignment horizontal="left" shrinkToFit="1"/>
    </xf>
    <xf numFmtId="164" fontId="7" fillId="0" borderId="20" xfId="0" applyNumberFormat="1" applyFont="1" applyBorder="1" applyAlignment="1">
      <alignment horizontal="left" shrinkToFit="1"/>
    </xf>
    <xf numFmtId="0" fontId="0" fillId="0" borderId="19" xfId="0" applyBorder="1" applyAlignment="1">
      <alignment horizontal="right"/>
    </xf>
    <xf numFmtId="0" fontId="0" fillId="0" borderId="21" xfId="0" applyBorder="1" applyAlignment="1">
      <alignment horizontal="right"/>
    </xf>
    <xf numFmtId="0" fontId="0" fillId="0" borderId="22" xfId="0" applyBorder="1" applyAlignment="1">
      <alignment horizontal="right"/>
    </xf>
    <xf numFmtId="0" fontId="7" fillId="0" borderId="22" xfId="0" applyFont="1" applyBorder="1" applyAlignment="1">
      <alignment horizontal="left" shrinkToFit="1"/>
    </xf>
    <xf numFmtId="0" fontId="7" fillId="0" borderId="23" xfId="0" applyFont="1" applyBorder="1" applyAlignment="1">
      <alignment horizontal="left" shrinkToFit="1"/>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9" fillId="0" borderId="0" xfId="0" applyFont="1"/>
    <xf numFmtId="0" fontId="9" fillId="0" borderId="4" xfId="0" applyFont="1" applyBorder="1"/>
    <xf numFmtId="0" fontId="0" fillId="0" borderId="4" xfId="0" applyBorder="1" applyAlignment="1">
      <alignment wrapText="1"/>
    </xf>
    <xf numFmtId="0" fontId="15" fillId="9" borderId="0" xfId="0" applyFont="1" applyFill="1" applyAlignment="1">
      <alignment horizontal="center"/>
    </xf>
    <xf numFmtId="0" fontId="9" fillId="9" borderId="0" xfId="0" applyFont="1" applyFill="1" applyAlignment="1">
      <alignment horizontal="center"/>
    </xf>
    <xf numFmtId="164" fontId="15" fillId="0" borderId="0" xfId="0" applyNumberFormat="1" applyFont="1"/>
    <xf numFmtId="164" fontId="15" fillId="0" borderId="0" xfId="0" applyNumberFormat="1" applyFont="1" applyAlignment="1">
      <alignment horizontal="left"/>
    </xf>
    <xf numFmtId="0" fontId="9" fillId="0" borderId="0" xfId="0" applyFont="1" applyAlignment="1">
      <alignment horizontal="left"/>
    </xf>
    <xf numFmtId="0" fontId="7" fillId="0" borderId="0" xfId="0" applyFont="1" applyAlignment="1">
      <alignment horizontal="center" vertical="center"/>
    </xf>
    <xf numFmtId="0" fontId="10" fillId="0" borderId="0" xfId="0" applyFont="1" applyAlignment="1">
      <alignment horizontal="center" wrapText="1"/>
    </xf>
    <xf numFmtId="0" fontId="48" fillId="0" borderId="0" xfId="0" applyFont="1" applyAlignment="1">
      <alignment shrinkToFit="1"/>
    </xf>
    <xf numFmtId="0" fontId="10" fillId="0" borderId="0" xfId="0" applyFont="1" applyAlignment="1">
      <alignment horizontal="left" shrinkToFit="1"/>
    </xf>
    <xf numFmtId="0" fontId="11" fillId="9" borderId="0" xfId="0" applyFont="1" applyFill="1" applyAlignment="1">
      <alignment horizontal="center"/>
    </xf>
    <xf numFmtId="0" fontId="18" fillId="0" borderId="0" xfId="0" applyFont="1" applyAlignment="1">
      <alignment horizontal="center" vertical="center"/>
    </xf>
    <xf numFmtId="0" fontId="10" fillId="0" borderId="0" xfId="0" applyFont="1" applyAlignment="1">
      <alignment shrinkToFit="1"/>
    </xf>
    <xf numFmtId="164" fontId="10" fillId="0" borderId="0" xfId="0" applyNumberFormat="1" applyFont="1" applyAlignment="1">
      <alignment horizontal="left"/>
    </xf>
    <xf numFmtId="0" fontId="39" fillId="0" borderId="0" xfId="0" applyFont="1" applyAlignment="1">
      <alignment horizontal="center" vertical="center"/>
    </xf>
    <xf numFmtId="0" fontId="40" fillId="0" borderId="0" xfId="0" applyFont="1" applyAlignment="1">
      <alignment horizontal="center" vertical="center"/>
    </xf>
    <xf numFmtId="0" fontId="11" fillId="0" borderId="0" xfId="0" applyFont="1" applyAlignment="1">
      <alignment horizontal="left"/>
    </xf>
    <xf numFmtId="0" fontId="10" fillId="0" borderId="0" xfId="0" applyFont="1" applyAlignment="1">
      <alignment horizontal="center"/>
    </xf>
    <xf numFmtId="0" fontId="10" fillId="0" borderId="0" xfId="0" applyFont="1" applyAlignment="1">
      <alignment horizontal="left"/>
    </xf>
    <xf numFmtId="14" fontId="10" fillId="0" borderId="0" xfId="0" applyNumberFormat="1" applyFont="1" applyAlignment="1">
      <alignment horizontal="left" shrinkToFit="1"/>
    </xf>
    <xf numFmtId="0" fontId="11" fillId="0" borderId="1" xfId="0" applyFont="1" applyBorder="1" applyAlignment="1">
      <alignment horizontal="center" vertical="center" wrapText="1"/>
    </xf>
    <xf numFmtId="0" fontId="11" fillId="0" borderId="0" xfId="0" applyFont="1" applyAlignment="1">
      <alignment horizontal="center" wrapText="1"/>
    </xf>
    <xf numFmtId="0" fontId="11" fillId="0" borderId="1" xfId="0" applyFont="1" applyBorder="1" applyAlignment="1">
      <alignment horizontal="center"/>
    </xf>
    <xf numFmtId="2" fontId="10" fillId="0" borderId="5" xfId="0" applyNumberFormat="1" applyFont="1" applyBorder="1" applyAlignment="1">
      <alignment horizontal="center"/>
    </xf>
    <xf numFmtId="0" fontId="10" fillId="0" borderId="5" xfId="0" applyFont="1" applyBorder="1" applyAlignment="1">
      <alignment horizontal="center"/>
    </xf>
    <xf numFmtId="0" fontId="11" fillId="0" borderId="4" xfId="0" applyFont="1" applyBorder="1" applyAlignment="1">
      <alignment horizontal="center"/>
    </xf>
    <xf numFmtId="0" fontId="11" fillId="0" borderId="0" xfId="0" applyFont="1" applyAlignment="1">
      <alignment horizontal="center"/>
    </xf>
    <xf numFmtId="0" fontId="0" fillId="0" borderId="0" xfId="0" applyAlignment="1">
      <alignment horizontal="left" vertical="center"/>
    </xf>
    <xf numFmtId="14" fontId="11" fillId="0" borderId="4" xfId="0" applyNumberFormat="1" applyFont="1" applyBorder="1" applyAlignment="1">
      <alignment horizontal="center"/>
    </xf>
    <xf numFmtId="164" fontId="0" fillId="0" borderId="0" xfId="0" applyNumberFormat="1" applyAlignment="1">
      <alignment horizontal="left"/>
    </xf>
    <xf numFmtId="0" fontId="48" fillId="0" borderId="0" xfId="0" applyFont="1" applyAlignment="1">
      <alignment horizontal="center"/>
    </xf>
    <xf numFmtId="44" fontId="7" fillId="0" borderId="0" xfId="1" applyFont="1" applyAlignment="1">
      <alignment horizontal="left" vertical="top"/>
    </xf>
    <xf numFmtId="0" fontId="46" fillId="15" borderId="0" xfId="0" applyFont="1" applyFill="1" applyAlignment="1">
      <alignment horizontal="center" vertical="center"/>
    </xf>
    <xf numFmtId="0" fontId="40" fillId="0" borderId="0" xfId="0" applyFont="1" applyAlignment="1">
      <alignment horizontal="left" vertical="top"/>
    </xf>
    <xf numFmtId="0" fontId="0" fillId="0" borderId="0" xfId="0" applyAlignment="1">
      <alignment horizontal="center" textRotation="90"/>
    </xf>
    <xf numFmtId="44" fontId="0" fillId="0" borderId="0" xfId="0" applyNumberFormat="1"/>
    <xf numFmtId="2" fontId="0" fillId="0" borderId="0" xfId="0" applyNumberFormat="1"/>
    <xf numFmtId="44" fontId="3" fillId="0" borderId="0" xfId="1"/>
    <xf numFmtId="1" fontId="0" fillId="0" borderId="0" xfId="0" applyNumberFormat="1"/>
    <xf numFmtId="0" fontId="0" fillId="0" borderId="9" xfId="0" applyBorder="1" applyAlignment="1">
      <alignment horizontal="left" vertical="top" wrapText="1"/>
    </xf>
    <xf numFmtId="0" fontId="7" fillId="0" borderId="25" xfId="0" applyFont="1" applyBorder="1"/>
    <xf numFmtId="0" fontId="7" fillId="0" borderId="25" xfId="0" applyFont="1" applyBorder="1" applyAlignment="1">
      <alignment horizontal="left"/>
    </xf>
    <xf numFmtId="14" fontId="7" fillId="0" borderId="25" xfId="0" applyNumberFormat="1" applyFont="1" applyBorder="1" applyAlignment="1">
      <alignment horizontal="left"/>
    </xf>
    <xf numFmtId="0" fontId="7" fillId="0" borderId="9" xfId="0" applyFont="1" applyBorder="1" applyAlignment="1">
      <alignment horizontal="left"/>
    </xf>
    <xf numFmtId="14" fontId="7" fillId="0" borderId="9" xfId="0" applyNumberFormat="1" applyFont="1" applyBorder="1" applyAlignment="1">
      <alignment horizontal="left"/>
    </xf>
    <xf numFmtId="14" fontId="50" fillId="0" borderId="0" xfId="0" applyNumberFormat="1" applyFont="1" applyAlignment="1">
      <alignment horizontal="center"/>
    </xf>
    <xf numFmtId="0" fontId="50" fillId="0" borderId="0" xfId="0" applyFont="1" applyAlignment="1">
      <alignment horizontal="center"/>
    </xf>
    <xf numFmtId="0" fontId="28" fillId="0" borderId="0" xfId="0" applyFont="1"/>
    <xf numFmtId="0" fontId="48" fillId="0" borderId="0" xfId="0" applyFont="1" applyAlignment="1">
      <alignment horizontal="left" wrapText="1"/>
    </xf>
    <xf numFmtId="0" fontId="48" fillId="0" borderId="4" xfId="0" applyFont="1" applyBorder="1" applyAlignment="1">
      <alignment horizontal="left" wrapText="1"/>
    </xf>
    <xf numFmtId="0" fontId="49" fillId="15" borderId="0" xfId="0" applyFont="1" applyFill="1" applyAlignment="1">
      <alignment horizontal="center"/>
    </xf>
    <xf numFmtId="0" fontId="0" fillId="14" borderId="0" xfId="0" applyFill="1" applyAlignment="1">
      <alignment horizontal="center"/>
    </xf>
    <xf numFmtId="0" fontId="0" fillId="0" borderId="4" xfId="0" applyBorder="1" applyAlignment="1">
      <alignment vertical="top" wrapText="1"/>
    </xf>
    <xf numFmtId="0" fontId="0" fillId="0" borderId="0" xfId="0" applyAlignment="1">
      <alignment horizontal="center" vertical="top" wrapText="1"/>
    </xf>
    <xf numFmtId="0" fontId="0" fillId="13" borderId="0" xfId="0" applyFill="1" applyAlignment="1">
      <alignment horizontal="center"/>
    </xf>
    <xf numFmtId="0" fontId="0" fillId="13" borderId="10" xfId="0" applyFill="1" applyBorder="1" applyAlignment="1">
      <alignment horizontal="center"/>
    </xf>
    <xf numFmtId="0" fontId="0" fillId="13" borderId="5" xfId="0" applyFill="1" applyBorder="1" applyAlignment="1">
      <alignment horizontal="center"/>
    </xf>
    <xf numFmtId="0" fontId="0" fillId="13" borderId="6" xfId="0" applyFill="1" applyBorder="1" applyAlignment="1">
      <alignment horizontal="center"/>
    </xf>
    <xf numFmtId="0" fontId="0" fillId="0" borderId="11" xfId="0" applyBorder="1" applyAlignment="1">
      <alignment wrapText="1"/>
    </xf>
    <xf numFmtId="0" fontId="0" fillId="0" borderId="15" xfId="0" applyBorder="1" applyAlignment="1">
      <alignment wrapText="1"/>
    </xf>
    <xf numFmtId="14" fontId="0" fillId="0" borderId="4" xfId="0" applyNumberFormat="1" applyBorder="1"/>
    <xf numFmtId="0" fontId="0" fillId="0" borderId="11" xfId="0" applyBorder="1" applyAlignment="1">
      <alignment horizontal="left" vertical="top" wrapText="1"/>
    </xf>
    <xf numFmtId="0" fontId="0" fillId="0" borderId="7" xfId="0" applyBorder="1" applyAlignment="1">
      <alignment horizontal="left" vertical="top" wrapText="1"/>
    </xf>
    <xf numFmtId="168" fontId="7" fillId="0" borderId="0" xfId="0" applyNumberFormat="1" applyFont="1"/>
    <xf numFmtId="0" fontId="0" fillId="0" borderId="1" xfId="0" applyBorder="1" applyAlignment="1">
      <alignment horizontal="left" vertical="top" wrapText="1"/>
    </xf>
    <xf numFmtId="0" fontId="7" fillId="0" borderId="1" xfId="0" applyFont="1" applyBorder="1" applyAlignment="1">
      <alignment horizontal="center" vertical="center"/>
    </xf>
    <xf numFmtId="0" fontId="7" fillId="0" borderId="1" xfId="0" applyFont="1" applyBorder="1" applyAlignment="1">
      <alignment horizontal="left" vertical="top" wrapText="1"/>
    </xf>
    <xf numFmtId="0" fontId="0" fillId="0" borderId="1" xfId="0" applyBorder="1" applyAlignment="1">
      <alignment horizontal="left" wrapText="1"/>
    </xf>
    <xf numFmtId="1" fontId="7" fillId="0" borderId="0" xfId="0" applyNumberFormat="1" applyFont="1" applyAlignment="1">
      <alignment horizontal="left"/>
    </xf>
    <xf numFmtId="0" fontId="0" fillId="6" borderId="0" xfId="0" applyFill="1" applyAlignment="1">
      <alignment horizontal="center"/>
    </xf>
  </cellXfs>
  <cellStyles count="5">
    <cellStyle name="Currency" xfId="1" builtinId="4"/>
    <cellStyle name="Hyperlink" xfId="2" builtinId="8"/>
    <cellStyle name="Normal" xfId="0" builtinId="0"/>
    <cellStyle name="Normal 2" xfId="3" xr:uid="{00000000-0005-0000-0000-000003000000}"/>
    <cellStyle name="Percent" xfId="4" builtinId="5"/>
  </cellStyles>
  <dxfs count="0"/>
  <tableStyles count="0" defaultTableStyle="TableStyleMedium2" defaultPivotStyle="PivotStyleLight16"/>
  <colors>
    <mruColors>
      <color rgb="FFCC3300"/>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5.png"/></Relationships>
</file>

<file path=xl/drawings/_rels/drawing4.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png"/><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2.emf"/><Relationship Id="rId3" Type="http://schemas.openxmlformats.org/officeDocument/2006/relationships/image" Target="../media/image12.emf"/><Relationship Id="rId7" Type="http://schemas.openxmlformats.org/officeDocument/2006/relationships/image" Target="../media/image8.emf"/><Relationship Id="rId12" Type="http://schemas.openxmlformats.org/officeDocument/2006/relationships/image" Target="../media/image3.emf"/><Relationship Id="rId2" Type="http://schemas.openxmlformats.org/officeDocument/2006/relationships/image" Target="../media/image13.emf"/><Relationship Id="rId1" Type="http://schemas.openxmlformats.org/officeDocument/2006/relationships/image" Target="../media/image14.emf"/><Relationship Id="rId6" Type="http://schemas.openxmlformats.org/officeDocument/2006/relationships/image" Target="../media/image9.emf"/><Relationship Id="rId11" Type="http://schemas.openxmlformats.org/officeDocument/2006/relationships/image" Target="../media/image4.emf"/><Relationship Id="rId5" Type="http://schemas.openxmlformats.org/officeDocument/2006/relationships/image" Target="../media/image10.emf"/><Relationship Id="rId10" Type="http://schemas.openxmlformats.org/officeDocument/2006/relationships/image" Target="../media/image5.emf"/><Relationship Id="rId4" Type="http://schemas.openxmlformats.org/officeDocument/2006/relationships/image" Target="../media/image11.emf"/><Relationship Id="rId9" Type="http://schemas.openxmlformats.org/officeDocument/2006/relationships/image" Target="../media/image6.emf"/><Relationship Id="rId1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34.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36.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37.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38.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39.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40.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41.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42.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43.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44.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45.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46.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47.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48.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49.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50.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51.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52.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53.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54.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55.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56.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57.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58.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59.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60.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61.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62.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63.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64.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65.vml.rels><?xml version="1.0" encoding="UTF-8" standalone="yes"?>
<Relationships xmlns="http://schemas.openxmlformats.org/package/2006/relationships"><Relationship Id="rId1"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editAs="oneCell">
    <xdr:from>
      <xdr:col>0</xdr:col>
      <xdr:colOff>152400</xdr:colOff>
      <xdr:row>0</xdr:row>
      <xdr:rowOff>123825</xdr:rowOff>
    </xdr:from>
    <xdr:to>
      <xdr:col>2</xdr:col>
      <xdr:colOff>352425</xdr:colOff>
      <xdr:row>4</xdr:row>
      <xdr:rowOff>38100</xdr:rowOff>
    </xdr:to>
    <xdr:pic>
      <xdr:nvPicPr>
        <xdr:cNvPr id="6164" name="Picture 2">
          <a:extLst>
            <a:ext uri="{FF2B5EF4-FFF2-40B4-BE49-F238E27FC236}">
              <a16:creationId xmlns:a16="http://schemas.microsoft.com/office/drawing/2014/main" id="{00000000-0008-0000-0000-000014180000}"/>
            </a:ext>
          </a:extLst>
        </xdr:cNvPr>
        <xdr:cNvPicPr>
          <a:picLocks noChangeAspect="1"/>
        </xdr:cNvPicPr>
      </xdr:nvPicPr>
      <xdr:blipFill>
        <a:blip xmlns:r="http://schemas.openxmlformats.org/officeDocument/2006/relationships" r:embed="rId1" cstate="print"/>
        <a:srcRect/>
        <a:stretch>
          <a:fillRect/>
        </a:stretch>
      </xdr:blipFill>
      <xdr:spPr bwMode="auto">
        <a:xfrm>
          <a:off x="152400" y="123825"/>
          <a:ext cx="1419225" cy="561975"/>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9</xdr:col>
          <xdr:colOff>66675</xdr:colOff>
          <xdr:row>0</xdr:row>
          <xdr:rowOff>57150</xdr:rowOff>
        </xdr:from>
        <xdr:to>
          <xdr:col>10</xdr:col>
          <xdr:colOff>457200</xdr:colOff>
          <xdr:row>2</xdr:row>
          <xdr:rowOff>57150</xdr:rowOff>
        </xdr:to>
        <xdr:sp macro="" textlink="">
          <xdr:nvSpPr>
            <xdr:cNvPr id="1026" name="CommandButton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219075</xdr:colOff>
          <xdr:row>0</xdr:row>
          <xdr:rowOff>142875</xdr:rowOff>
        </xdr:from>
        <xdr:to>
          <xdr:col>13</xdr:col>
          <xdr:colOff>114300</xdr:colOff>
          <xdr:row>3</xdr:row>
          <xdr:rowOff>76200</xdr:rowOff>
        </xdr:to>
        <xdr:sp macro="" textlink="">
          <xdr:nvSpPr>
            <xdr:cNvPr id="1027" name="CommandButton2" hidden="1">
              <a:extLst>
                <a:ext uri="{63B3BB69-23CF-44E3-9099-C40C66FF867C}">
                  <a14:compatExt spid="_x0000_s1027"/>
                </a:ext>
                <a:ext uri="{FF2B5EF4-FFF2-40B4-BE49-F238E27FC236}">
                  <a16:creationId xmlns:a16="http://schemas.microsoft.com/office/drawing/2014/main" id="{95639689-698B-4ED2-AF89-682AB18077C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485774</xdr:colOff>
          <xdr:row>0</xdr:row>
          <xdr:rowOff>133350</xdr:rowOff>
        </xdr:from>
        <xdr:to>
          <xdr:col>18</xdr:col>
          <xdr:colOff>266699</xdr:colOff>
          <xdr:row>3</xdr:row>
          <xdr:rowOff>104775</xdr:rowOff>
        </xdr:to>
        <xdr:sp macro="" textlink="">
          <xdr:nvSpPr>
            <xdr:cNvPr id="1028" name="CommandButton3" hidden="1">
              <a:extLst>
                <a:ext uri="{63B3BB69-23CF-44E3-9099-C40C66FF867C}">
                  <a14:compatExt spid="_x0000_s1028"/>
                </a:ext>
                <a:ext uri="{FF2B5EF4-FFF2-40B4-BE49-F238E27FC236}">
                  <a16:creationId xmlns:a16="http://schemas.microsoft.com/office/drawing/2014/main" id="{4D16CE40-F6D1-41B8-89B8-8BEAB026AAD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247650</xdr:colOff>
          <xdr:row>16</xdr:row>
          <xdr:rowOff>57150</xdr:rowOff>
        </xdr:from>
        <xdr:to>
          <xdr:col>5</xdr:col>
          <xdr:colOff>133350</xdr:colOff>
          <xdr:row>19</xdr:row>
          <xdr:rowOff>9525</xdr:rowOff>
        </xdr:to>
        <xdr:sp macro="" textlink="">
          <xdr:nvSpPr>
            <xdr:cNvPr id="1029" name="CommandButton4" hidden="1">
              <a:extLst>
                <a:ext uri="{63B3BB69-23CF-44E3-9099-C40C66FF867C}">
                  <a14:compatExt spid="_x0000_s1029"/>
                </a:ext>
                <a:ext uri="{FF2B5EF4-FFF2-40B4-BE49-F238E27FC236}">
                  <a16:creationId xmlns:a16="http://schemas.microsoft.com/office/drawing/2014/main" id="{6663BA48-3B6A-497B-B24A-B2EDE1B5D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16</xdr:row>
          <xdr:rowOff>57150</xdr:rowOff>
        </xdr:from>
        <xdr:to>
          <xdr:col>10</xdr:col>
          <xdr:colOff>314325</xdr:colOff>
          <xdr:row>19</xdr:row>
          <xdr:rowOff>9525</xdr:rowOff>
        </xdr:to>
        <xdr:sp macro="" textlink="">
          <xdr:nvSpPr>
            <xdr:cNvPr id="1030" name="CommandButton5" hidden="1">
              <a:extLst>
                <a:ext uri="{63B3BB69-23CF-44E3-9099-C40C66FF867C}">
                  <a14:compatExt spid="_x0000_s1030"/>
                </a:ext>
                <a:ext uri="{FF2B5EF4-FFF2-40B4-BE49-F238E27FC236}">
                  <a16:creationId xmlns:a16="http://schemas.microsoft.com/office/drawing/2014/main" id="{CBE205B6-6D38-4166-BC60-AC1821FA108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19</xdr:row>
          <xdr:rowOff>123825</xdr:rowOff>
        </xdr:from>
        <xdr:to>
          <xdr:col>5</xdr:col>
          <xdr:colOff>142875</xdr:colOff>
          <xdr:row>22</xdr:row>
          <xdr:rowOff>76200</xdr:rowOff>
        </xdr:to>
        <xdr:sp macro="" textlink="">
          <xdr:nvSpPr>
            <xdr:cNvPr id="1031" name="CommandButton6" hidden="1">
              <a:extLst>
                <a:ext uri="{63B3BB69-23CF-44E3-9099-C40C66FF867C}">
                  <a14:compatExt spid="_x0000_s1031"/>
                </a:ext>
                <a:ext uri="{FF2B5EF4-FFF2-40B4-BE49-F238E27FC236}">
                  <a16:creationId xmlns:a16="http://schemas.microsoft.com/office/drawing/2014/main" id="{36BA0F6D-AC18-430D-B9CE-562970FF2E7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438150</xdr:colOff>
          <xdr:row>19</xdr:row>
          <xdr:rowOff>123825</xdr:rowOff>
        </xdr:from>
        <xdr:to>
          <xdr:col>10</xdr:col>
          <xdr:colOff>323850</xdr:colOff>
          <xdr:row>22</xdr:row>
          <xdr:rowOff>76200</xdr:rowOff>
        </xdr:to>
        <xdr:sp macro="" textlink="">
          <xdr:nvSpPr>
            <xdr:cNvPr id="1032" name="CommandButton7" hidden="1">
              <a:extLst>
                <a:ext uri="{63B3BB69-23CF-44E3-9099-C40C66FF867C}">
                  <a14:compatExt spid="_x0000_s1032"/>
                </a:ext>
                <a:ext uri="{FF2B5EF4-FFF2-40B4-BE49-F238E27FC236}">
                  <a16:creationId xmlns:a16="http://schemas.microsoft.com/office/drawing/2014/main" id="{DCC95E18-40AE-485E-82FE-5A0EE009E30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371475</xdr:colOff>
          <xdr:row>25</xdr:row>
          <xdr:rowOff>57150</xdr:rowOff>
        </xdr:from>
        <xdr:to>
          <xdr:col>3</xdr:col>
          <xdr:colOff>352425</xdr:colOff>
          <xdr:row>27</xdr:row>
          <xdr:rowOff>114300</xdr:rowOff>
        </xdr:to>
        <xdr:sp macro="" textlink="">
          <xdr:nvSpPr>
            <xdr:cNvPr id="1033" name="CommandButton8" hidden="1">
              <a:extLst>
                <a:ext uri="{63B3BB69-23CF-44E3-9099-C40C66FF867C}">
                  <a14:compatExt spid="_x0000_s1033"/>
                </a:ext>
                <a:ext uri="{FF2B5EF4-FFF2-40B4-BE49-F238E27FC236}">
                  <a16:creationId xmlns:a16="http://schemas.microsoft.com/office/drawing/2014/main" id="{D46E2D12-17D7-49D8-BB15-4C895394CE8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371475</xdr:colOff>
          <xdr:row>28</xdr:row>
          <xdr:rowOff>104775</xdr:rowOff>
        </xdr:from>
        <xdr:to>
          <xdr:col>3</xdr:col>
          <xdr:colOff>352425</xdr:colOff>
          <xdr:row>31</xdr:row>
          <xdr:rowOff>0</xdr:rowOff>
        </xdr:to>
        <xdr:sp macro="" textlink="">
          <xdr:nvSpPr>
            <xdr:cNvPr id="1034" name="CommandButton9" hidden="1">
              <a:extLst>
                <a:ext uri="{63B3BB69-23CF-44E3-9099-C40C66FF867C}">
                  <a14:compatExt spid="_x0000_s1034"/>
                </a:ext>
                <a:ext uri="{FF2B5EF4-FFF2-40B4-BE49-F238E27FC236}">
                  <a16:creationId xmlns:a16="http://schemas.microsoft.com/office/drawing/2014/main" id="{C538DB2E-EAE5-4873-844A-5F381213A5C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590550</xdr:colOff>
          <xdr:row>25</xdr:row>
          <xdr:rowOff>57150</xdr:rowOff>
        </xdr:from>
        <xdr:to>
          <xdr:col>6</xdr:col>
          <xdr:colOff>571500</xdr:colOff>
          <xdr:row>27</xdr:row>
          <xdr:rowOff>114300</xdr:rowOff>
        </xdr:to>
        <xdr:sp macro="" textlink="">
          <xdr:nvSpPr>
            <xdr:cNvPr id="1035" name="CommandButton10" hidden="1">
              <a:extLst>
                <a:ext uri="{63B3BB69-23CF-44E3-9099-C40C66FF867C}">
                  <a14:compatExt spid="_x0000_s1035"/>
                </a:ext>
                <a:ext uri="{FF2B5EF4-FFF2-40B4-BE49-F238E27FC236}">
                  <a16:creationId xmlns:a16="http://schemas.microsoft.com/office/drawing/2014/main" id="{9EC4F5F5-3A1C-4A3E-B7DB-9E1A2A37A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285750</xdr:colOff>
          <xdr:row>25</xdr:row>
          <xdr:rowOff>57150</xdr:rowOff>
        </xdr:from>
        <xdr:to>
          <xdr:col>10</xdr:col>
          <xdr:colOff>266700</xdr:colOff>
          <xdr:row>27</xdr:row>
          <xdr:rowOff>114300</xdr:rowOff>
        </xdr:to>
        <xdr:sp macro="" textlink="">
          <xdr:nvSpPr>
            <xdr:cNvPr id="1036" name="CommandButton11" hidden="1">
              <a:extLst>
                <a:ext uri="{63B3BB69-23CF-44E3-9099-C40C66FF867C}">
                  <a14:compatExt spid="_x0000_s1036"/>
                </a:ext>
                <a:ext uri="{FF2B5EF4-FFF2-40B4-BE49-F238E27FC236}">
                  <a16:creationId xmlns:a16="http://schemas.microsoft.com/office/drawing/2014/main" id="{3080D9BD-AC3C-4A82-B967-4ECEAB675CB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590550</xdr:colOff>
          <xdr:row>28</xdr:row>
          <xdr:rowOff>133350</xdr:rowOff>
        </xdr:from>
        <xdr:to>
          <xdr:col>6</xdr:col>
          <xdr:colOff>571500</xdr:colOff>
          <xdr:row>31</xdr:row>
          <xdr:rowOff>28575</xdr:rowOff>
        </xdr:to>
        <xdr:sp macro="" textlink="">
          <xdr:nvSpPr>
            <xdr:cNvPr id="1037" name="CommandButton12" hidden="1">
              <a:extLst>
                <a:ext uri="{63B3BB69-23CF-44E3-9099-C40C66FF867C}">
                  <a14:compatExt spid="_x0000_s1037"/>
                </a:ext>
                <a:ext uri="{FF2B5EF4-FFF2-40B4-BE49-F238E27FC236}">
                  <a16:creationId xmlns:a16="http://schemas.microsoft.com/office/drawing/2014/main" id="{04CBA9F8-A777-4A24-AC07-E8A66A1A13D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28</xdr:row>
          <xdr:rowOff>123825</xdr:rowOff>
        </xdr:from>
        <xdr:to>
          <xdr:col>10</xdr:col>
          <xdr:colOff>276225</xdr:colOff>
          <xdr:row>31</xdr:row>
          <xdr:rowOff>19050</xdr:rowOff>
        </xdr:to>
        <xdr:sp macro="" textlink="">
          <xdr:nvSpPr>
            <xdr:cNvPr id="1038" name="CommandButton13" hidden="1">
              <a:extLst>
                <a:ext uri="{63B3BB69-23CF-44E3-9099-C40C66FF867C}">
                  <a14:compatExt spid="_x0000_s1038"/>
                </a:ext>
                <a:ext uri="{FF2B5EF4-FFF2-40B4-BE49-F238E27FC236}">
                  <a16:creationId xmlns:a16="http://schemas.microsoft.com/office/drawing/2014/main" id="{B876830D-5DA1-4B76-8FE7-0A8F4FC6EAB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219075</xdr:colOff>
          <xdr:row>33</xdr:row>
          <xdr:rowOff>19050</xdr:rowOff>
        </xdr:from>
        <xdr:to>
          <xdr:col>8</xdr:col>
          <xdr:colOff>276225</xdr:colOff>
          <xdr:row>35</xdr:row>
          <xdr:rowOff>85725</xdr:rowOff>
        </xdr:to>
        <xdr:sp macro="" textlink="">
          <xdr:nvSpPr>
            <xdr:cNvPr id="1039" name="CommandButton14" hidden="1">
              <a:extLst>
                <a:ext uri="{63B3BB69-23CF-44E3-9099-C40C66FF867C}">
                  <a14:compatExt spid="_x0000_s1039"/>
                </a:ext>
                <a:ext uri="{FF2B5EF4-FFF2-40B4-BE49-F238E27FC236}">
                  <a16:creationId xmlns:a16="http://schemas.microsoft.com/office/drawing/2014/main" id="{0F7293FF-CA32-4EE6-8B21-24B0A60D29B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123825</xdr:colOff>
          <xdr:row>213</xdr:row>
          <xdr:rowOff>0</xdr:rowOff>
        </xdr:from>
        <xdr:to>
          <xdr:col>57</xdr:col>
          <xdr:colOff>9525</xdr:colOff>
          <xdr:row>216</xdr:row>
          <xdr:rowOff>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A00-000002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Tahoma"/>
                  <a:ea typeface="Tahoma"/>
                  <a:cs typeface="Tahoma"/>
                </a:rPr>
                <a:t>DO NOT CHANGE ANYTHING ON THIS PAGE!               Return to Assessment</a:t>
              </a:r>
            </a:p>
            <a:p>
              <a:pPr algn="ctr" rtl="0">
                <a:defRPr sz="1000"/>
              </a:pPr>
              <a:endParaRPr lang="en-US" sz="1000" b="1" i="0" u="none" strike="noStrike" baseline="0">
                <a:solidFill>
                  <a:srgbClr val="000000"/>
                </a:solidFill>
                <a:latin typeface="Tahoma"/>
                <a:ea typeface="Tahoma"/>
                <a:cs typeface="Tahoma"/>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23</xdr:col>
      <xdr:colOff>28575</xdr:colOff>
      <xdr:row>6</xdr:row>
      <xdr:rowOff>66675</xdr:rowOff>
    </xdr:from>
    <xdr:to>
      <xdr:col>35</xdr:col>
      <xdr:colOff>76200</xdr:colOff>
      <xdr:row>9</xdr:row>
      <xdr:rowOff>47625</xdr:rowOff>
    </xdr:to>
    <xdr:sp macro="" textlink="">
      <xdr:nvSpPr>
        <xdr:cNvPr id="2" name="TextBox 1">
          <a:extLst>
            <a:ext uri="{FF2B5EF4-FFF2-40B4-BE49-F238E27FC236}">
              <a16:creationId xmlns:a16="http://schemas.microsoft.com/office/drawing/2014/main" id="{00000000-0008-0000-1400-000002000000}"/>
            </a:ext>
          </a:extLst>
        </xdr:cNvPr>
        <xdr:cNvSpPr txBox="1"/>
      </xdr:nvSpPr>
      <xdr:spPr>
        <a:xfrm>
          <a:off x="3829050" y="1162050"/>
          <a:ext cx="2676525" cy="752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Schedule according</a:t>
          </a:r>
          <a:r>
            <a:rPr lang="en-US" sz="1100" baseline="0"/>
            <a:t> to client care plan.  See care plan for specific days and times as well as rules.</a:t>
          </a:r>
          <a:endParaRPr lang="en-US" sz="1100"/>
        </a:p>
      </xdr:txBody>
    </xdr:sp>
    <xdr:clientData/>
  </xdr:twoCellAnchor>
  <xdr:twoCellAnchor>
    <xdr:from>
      <xdr:col>23</xdr:col>
      <xdr:colOff>0</xdr:colOff>
      <xdr:row>82</xdr:row>
      <xdr:rowOff>152400</xdr:rowOff>
    </xdr:from>
    <xdr:to>
      <xdr:col>33</xdr:col>
      <xdr:colOff>9525</xdr:colOff>
      <xdr:row>86</xdr:row>
      <xdr:rowOff>57150</xdr:rowOff>
    </xdr:to>
    <xdr:sp macro="" textlink="">
      <xdr:nvSpPr>
        <xdr:cNvPr id="3" name="TextBox 2">
          <a:extLst>
            <a:ext uri="{FF2B5EF4-FFF2-40B4-BE49-F238E27FC236}">
              <a16:creationId xmlns:a16="http://schemas.microsoft.com/office/drawing/2014/main" id="{00000000-0008-0000-1400-000003000000}"/>
            </a:ext>
          </a:extLst>
        </xdr:cNvPr>
        <xdr:cNvSpPr txBox="1"/>
      </xdr:nvSpPr>
      <xdr:spPr>
        <a:xfrm>
          <a:off x="3800475" y="15821025"/>
          <a:ext cx="2200275" cy="628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Answer all questions each week.</a:t>
          </a:r>
        </a:p>
      </xdr:txBody>
    </xdr:sp>
    <xdr:clientData/>
  </xdr:twoCellAnchor>
  <xdr:oneCellAnchor>
    <xdr:from>
      <xdr:col>24</xdr:col>
      <xdr:colOff>123825</xdr:colOff>
      <xdr:row>10</xdr:row>
      <xdr:rowOff>38100</xdr:rowOff>
    </xdr:from>
    <xdr:ext cx="2143125" cy="436786"/>
    <xdr:sp macro="" textlink="">
      <xdr:nvSpPr>
        <xdr:cNvPr id="4" name="TextBox 3">
          <a:extLst>
            <a:ext uri="{FF2B5EF4-FFF2-40B4-BE49-F238E27FC236}">
              <a16:creationId xmlns:a16="http://schemas.microsoft.com/office/drawing/2014/main" id="{00000000-0008-0000-1400-000004000000}"/>
            </a:ext>
          </a:extLst>
        </xdr:cNvPr>
        <xdr:cNvSpPr txBox="1"/>
      </xdr:nvSpPr>
      <xdr:spPr>
        <a:xfrm>
          <a:off x="4143375" y="2162175"/>
          <a:ext cx="2143125" cy="43678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Client and employee must initial</a:t>
          </a:r>
          <a:r>
            <a:rPr lang="en-US" sz="1100" baseline="0"/>
            <a:t> each day.</a:t>
          </a:r>
          <a:endParaRPr lang="en-US" sz="1100"/>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5</xdr:col>
      <xdr:colOff>47625</xdr:colOff>
      <xdr:row>1</xdr:row>
      <xdr:rowOff>85725</xdr:rowOff>
    </xdr:from>
    <xdr:to>
      <xdr:col>9</xdr:col>
      <xdr:colOff>38100</xdr:colOff>
      <xdr:row>7</xdr:row>
      <xdr:rowOff>85725</xdr:rowOff>
    </xdr:to>
    <xdr:pic>
      <xdr:nvPicPr>
        <xdr:cNvPr id="59393" name="image1.png">
          <a:extLst>
            <a:ext uri="{FF2B5EF4-FFF2-40B4-BE49-F238E27FC236}">
              <a16:creationId xmlns:a16="http://schemas.microsoft.com/office/drawing/2014/main" id="{00000000-0008-0000-1800-000001E80000}"/>
            </a:ext>
          </a:extLst>
        </xdr:cNvPr>
        <xdr:cNvPicPr>
          <a:picLocks noChangeAspect="1"/>
        </xdr:cNvPicPr>
      </xdr:nvPicPr>
      <xdr:blipFill>
        <a:blip xmlns:r="http://schemas.openxmlformats.org/officeDocument/2006/relationships" r:embed="rId1" cstate="print"/>
        <a:srcRect/>
        <a:stretch>
          <a:fillRect/>
        </a:stretch>
      </xdr:blipFill>
      <xdr:spPr bwMode="auto">
        <a:xfrm>
          <a:off x="952500" y="266700"/>
          <a:ext cx="714375" cy="1085850"/>
        </a:xfrm>
        <a:prstGeom prst="rect">
          <a:avLst/>
        </a:prstGeom>
        <a:noFill/>
        <a:ln w="9525">
          <a:noFill/>
          <a:miter lim="800000"/>
          <a:headEnd/>
          <a:tailEnd/>
        </a:ln>
      </xdr:spPr>
    </xdr:pic>
    <xdr:clientData/>
  </xdr:twoCellAnchor>
  <xdr:twoCellAnchor editAs="oneCell">
    <xdr:from>
      <xdr:col>18</xdr:col>
      <xdr:colOff>0</xdr:colOff>
      <xdr:row>6</xdr:row>
      <xdr:rowOff>0</xdr:rowOff>
    </xdr:from>
    <xdr:to>
      <xdr:col>26</xdr:col>
      <xdr:colOff>133350</xdr:colOff>
      <xdr:row>8</xdr:row>
      <xdr:rowOff>38100</xdr:rowOff>
    </xdr:to>
    <xdr:grpSp>
      <xdr:nvGrpSpPr>
        <xdr:cNvPr id="59394" name="Group 3">
          <a:extLst>
            <a:ext uri="{FF2B5EF4-FFF2-40B4-BE49-F238E27FC236}">
              <a16:creationId xmlns:a16="http://schemas.microsoft.com/office/drawing/2014/main" id="{00000000-0008-0000-1800-000002E80000}"/>
            </a:ext>
          </a:extLst>
        </xdr:cNvPr>
        <xdr:cNvGrpSpPr>
          <a:grpSpLocks/>
        </xdr:cNvGrpSpPr>
      </xdr:nvGrpSpPr>
      <xdr:grpSpPr bwMode="auto">
        <a:xfrm>
          <a:off x="3429000" y="1085850"/>
          <a:ext cx="1657350" cy="447675"/>
          <a:chOff x="0" y="0"/>
          <a:chExt cx="1652905" cy="390525"/>
        </a:xfrm>
      </xdr:grpSpPr>
      <xdr:pic>
        <xdr:nvPicPr>
          <xdr:cNvPr id="59396" name="image2.png">
            <a:extLst>
              <a:ext uri="{FF2B5EF4-FFF2-40B4-BE49-F238E27FC236}">
                <a16:creationId xmlns:a16="http://schemas.microsoft.com/office/drawing/2014/main" id="{00000000-0008-0000-1800-000004E80000}"/>
              </a:ext>
            </a:extLst>
          </xdr:cNvPr>
          <xdr:cNvPicPr>
            <a:picLocks noChangeAspect="1"/>
          </xdr:cNvPicPr>
        </xdr:nvPicPr>
        <xdr:blipFill>
          <a:blip xmlns:r="http://schemas.openxmlformats.org/officeDocument/2006/relationships" r:embed="rId2" cstate="print"/>
          <a:srcRect/>
          <a:stretch>
            <a:fillRect/>
          </a:stretch>
        </xdr:blipFill>
        <xdr:spPr bwMode="auto">
          <a:xfrm>
            <a:off x="0" y="0"/>
            <a:ext cx="1231391" cy="390144"/>
          </a:xfrm>
          <a:prstGeom prst="rect">
            <a:avLst/>
          </a:prstGeom>
          <a:noFill/>
          <a:ln w="9525">
            <a:noFill/>
            <a:miter lim="800000"/>
            <a:headEnd/>
            <a:tailEnd/>
          </a:ln>
        </xdr:spPr>
      </xdr:pic>
      <xdr:sp macro="" textlink="">
        <xdr:nvSpPr>
          <xdr:cNvPr id="59397" name="Shape 5">
            <a:extLst>
              <a:ext uri="{FF2B5EF4-FFF2-40B4-BE49-F238E27FC236}">
                <a16:creationId xmlns:a16="http://schemas.microsoft.com/office/drawing/2014/main" id="{00000000-0008-0000-1800-000005E80000}"/>
              </a:ext>
            </a:extLst>
          </xdr:cNvPr>
          <xdr:cNvSpPr>
            <a:spLocks/>
          </xdr:cNvSpPr>
        </xdr:nvSpPr>
        <xdr:spPr bwMode="auto">
          <a:xfrm>
            <a:off x="50292" y="19050"/>
            <a:ext cx="1598930" cy="0"/>
          </a:xfrm>
          <a:custGeom>
            <a:avLst/>
            <a:gdLst>
              <a:gd name="T0" fmla="*/ 0 w 1598930"/>
              <a:gd name="T1" fmla="*/ 1598676 w 1598930"/>
              <a:gd name="T2" fmla="*/ 0 60000 65536"/>
              <a:gd name="T3" fmla="*/ 0 60000 65536"/>
              <a:gd name="T4" fmla="*/ 0 w 1598930"/>
              <a:gd name="T5" fmla="*/ 1598930 w 1598930"/>
            </a:gdLst>
            <a:ahLst/>
            <a:cxnLst>
              <a:cxn ang="T2">
                <a:pos x="T0" y="0"/>
              </a:cxn>
              <a:cxn ang="T3">
                <a:pos x="T1" y="0"/>
              </a:cxn>
            </a:cxnLst>
            <a:rect l="T4" t="0" r="T5" b="0"/>
            <a:pathLst>
              <a:path w="1598930">
                <a:moveTo>
                  <a:pt x="0" y="0"/>
                </a:moveTo>
                <a:lnTo>
                  <a:pt x="1598676" y="0"/>
                </a:lnTo>
              </a:path>
            </a:pathLst>
          </a:custGeom>
          <a:noFill/>
          <a:ln w="7620">
            <a:solidFill>
              <a:srgbClr val="000000"/>
            </a:solidFill>
            <a:round/>
            <a:headEnd/>
            <a:tailEnd/>
          </a:ln>
        </xdr:spPr>
      </xdr:sp>
    </xdr:grpSp>
    <xdr:clientData/>
  </xdr:twoCellAnchor>
  <xdr:twoCellAnchor editAs="oneCell">
    <xdr:from>
      <xdr:col>28</xdr:col>
      <xdr:colOff>95250</xdr:colOff>
      <xdr:row>6</xdr:row>
      <xdr:rowOff>9525</xdr:rowOff>
    </xdr:from>
    <xdr:to>
      <xdr:col>35</xdr:col>
      <xdr:colOff>0</xdr:colOff>
      <xdr:row>8</xdr:row>
      <xdr:rowOff>47625</xdr:rowOff>
    </xdr:to>
    <xdr:pic>
      <xdr:nvPicPr>
        <xdr:cNvPr id="59395" name="image3.png">
          <a:extLst>
            <a:ext uri="{FF2B5EF4-FFF2-40B4-BE49-F238E27FC236}">
              <a16:creationId xmlns:a16="http://schemas.microsoft.com/office/drawing/2014/main" id="{00000000-0008-0000-1800-000003E80000}"/>
            </a:ext>
          </a:extLst>
        </xdr:cNvPr>
        <xdr:cNvPicPr>
          <a:picLocks noChangeAspect="1"/>
        </xdr:cNvPicPr>
      </xdr:nvPicPr>
      <xdr:blipFill>
        <a:blip xmlns:r="http://schemas.openxmlformats.org/officeDocument/2006/relationships" r:embed="rId3" cstate="print"/>
        <a:srcRect/>
        <a:stretch>
          <a:fillRect/>
        </a:stretch>
      </xdr:blipFill>
      <xdr:spPr bwMode="auto">
        <a:xfrm>
          <a:off x="5162550" y="1095375"/>
          <a:ext cx="1171575" cy="447675"/>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3</xdr:row>
      <xdr:rowOff>0</xdr:rowOff>
    </xdr:from>
    <xdr:to>
      <xdr:col>11</xdr:col>
      <xdr:colOff>0</xdr:colOff>
      <xdr:row>5</xdr:row>
      <xdr:rowOff>0</xdr:rowOff>
    </xdr:to>
    <xdr:sp macro="[0]!TestMacro" textlink="">
      <xdr:nvSpPr>
        <xdr:cNvPr id="2" name="TextBox 1">
          <a:extLst>
            <a:ext uri="{FF2B5EF4-FFF2-40B4-BE49-F238E27FC236}">
              <a16:creationId xmlns:a16="http://schemas.microsoft.com/office/drawing/2014/main" id="{00000000-0008-0000-4100-000002000000}"/>
            </a:ext>
          </a:extLst>
        </xdr:cNvPr>
        <xdr:cNvSpPr txBox="1"/>
      </xdr:nvSpPr>
      <xdr:spPr>
        <a:xfrm>
          <a:off x="6172200" y="485775"/>
          <a:ext cx="2438400" cy="323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Test Macros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3</xdr:row>
      <xdr:rowOff>0</xdr:rowOff>
    </xdr:from>
    <xdr:to>
      <xdr:col>10</xdr:col>
      <xdr:colOff>0</xdr:colOff>
      <xdr:row>5</xdr:row>
      <xdr:rowOff>0</xdr:rowOff>
    </xdr:to>
    <xdr:sp macro="[0]!SVFormsVisible" textlink="">
      <xdr:nvSpPr>
        <xdr:cNvPr id="51" name="TextBox 50">
          <a:extLst>
            <a:ext uri="{FF2B5EF4-FFF2-40B4-BE49-F238E27FC236}">
              <a16:creationId xmlns:a16="http://schemas.microsoft.com/office/drawing/2014/main" id="{00000000-0008-0000-4700-000033000000}"/>
            </a:ext>
          </a:extLst>
        </xdr:cNvPr>
        <xdr:cNvSpPr txBox="1"/>
      </xdr:nvSpPr>
      <xdr:spPr>
        <a:xfrm>
          <a:off x="180975" y="7362825"/>
          <a:ext cx="1628775"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SV</a:t>
          </a:r>
          <a:r>
            <a:rPr lang="en-US" sz="1100" b="1" baseline="0">
              <a:solidFill>
                <a:schemeClr val="bg1"/>
              </a:solidFill>
            </a:rPr>
            <a:t> Forms Visible</a:t>
          </a:r>
          <a:endParaRPr lang="en-US" sz="1100" b="1">
            <a:solidFill>
              <a:schemeClr val="bg1"/>
            </a:solidFill>
          </a:endParaRPr>
        </a:p>
      </xdr:txBody>
    </xdr:sp>
    <xdr:clientData/>
  </xdr:twoCellAnchor>
  <xdr:twoCellAnchor>
    <xdr:from>
      <xdr:col>1</xdr:col>
      <xdr:colOff>0</xdr:colOff>
      <xdr:row>6</xdr:row>
      <xdr:rowOff>0</xdr:rowOff>
    </xdr:from>
    <xdr:to>
      <xdr:col>10</xdr:col>
      <xdr:colOff>0</xdr:colOff>
      <xdr:row>8</xdr:row>
      <xdr:rowOff>0</xdr:rowOff>
    </xdr:to>
    <xdr:sp macro="[0]!SVFormsHidden" textlink="">
      <xdr:nvSpPr>
        <xdr:cNvPr id="53" name="TextBox 52">
          <a:extLst>
            <a:ext uri="{FF2B5EF4-FFF2-40B4-BE49-F238E27FC236}">
              <a16:creationId xmlns:a16="http://schemas.microsoft.com/office/drawing/2014/main" id="{00000000-0008-0000-4700-000035000000}"/>
            </a:ext>
          </a:extLst>
        </xdr:cNvPr>
        <xdr:cNvSpPr txBox="1"/>
      </xdr:nvSpPr>
      <xdr:spPr>
        <a:xfrm>
          <a:off x="180975" y="7848600"/>
          <a:ext cx="1628775"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SV Forms Hidden</a:t>
          </a:r>
        </a:p>
      </xdr:txBody>
    </xdr:sp>
    <xdr:clientData/>
  </xdr:twoCellAnchor>
  <xdr:twoCellAnchor>
    <xdr:from>
      <xdr:col>11</xdr:col>
      <xdr:colOff>0</xdr:colOff>
      <xdr:row>3</xdr:row>
      <xdr:rowOff>0</xdr:rowOff>
    </xdr:from>
    <xdr:to>
      <xdr:col>21</xdr:col>
      <xdr:colOff>0</xdr:colOff>
      <xdr:row>5</xdr:row>
      <xdr:rowOff>0</xdr:rowOff>
    </xdr:to>
    <xdr:sp macro="[0]!AssessmentFormsVisible" textlink="">
      <xdr:nvSpPr>
        <xdr:cNvPr id="54" name="TextBox 53">
          <a:extLst>
            <a:ext uri="{FF2B5EF4-FFF2-40B4-BE49-F238E27FC236}">
              <a16:creationId xmlns:a16="http://schemas.microsoft.com/office/drawing/2014/main" id="{00000000-0008-0000-4700-000036000000}"/>
            </a:ext>
          </a:extLst>
        </xdr:cNvPr>
        <xdr:cNvSpPr txBox="1"/>
      </xdr:nvSpPr>
      <xdr:spPr>
        <a:xfrm>
          <a:off x="1990725" y="7362825"/>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Assessment Forms Visible</a:t>
          </a:r>
        </a:p>
      </xdr:txBody>
    </xdr:sp>
    <xdr:clientData/>
  </xdr:twoCellAnchor>
  <xdr:twoCellAnchor>
    <xdr:from>
      <xdr:col>11</xdr:col>
      <xdr:colOff>0</xdr:colOff>
      <xdr:row>6</xdr:row>
      <xdr:rowOff>0</xdr:rowOff>
    </xdr:from>
    <xdr:to>
      <xdr:col>21</xdr:col>
      <xdr:colOff>0</xdr:colOff>
      <xdr:row>8</xdr:row>
      <xdr:rowOff>0</xdr:rowOff>
    </xdr:to>
    <xdr:sp macro="[0]!AssessmentFormsHidden" textlink="">
      <xdr:nvSpPr>
        <xdr:cNvPr id="55" name="TextBox 54">
          <a:extLst>
            <a:ext uri="{FF2B5EF4-FFF2-40B4-BE49-F238E27FC236}">
              <a16:creationId xmlns:a16="http://schemas.microsoft.com/office/drawing/2014/main" id="{00000000-0008-0000-4700-000037000000}"/>
            </a:ext>
          </a:extLst>
        </xdr:cNvPr>
        <xdr:cNvSpPr txBox="1"/>
      </xdr:nvSpPr>
      <xdr:spPr>
        <a:xfrm>
          <a:off x="1990725" y="7848600"/>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Assessment Forms Hidden</a:t>
          </a:r>
        </a:p>
      </xdr:txBody>
    </xdr:sp>
    <xdr:clientData/>
  </xdr:twoCellAnchor>
  <xdr:twoCellAnchor>
    <xdr:from>
      <xdr:col>22</xdr:col>
      <xdr:colOff>0</xdr:colOff>
      <xdr:row>3</xdr:row>
      <xdr:rowOff>0</xdr:rowOff>
    </xdr:from>
    <xdr:to>
      <xdr:col>32</xdr:col>
      <xdr:colOff>0</xdr:colOff>
      <xdr:row>5</xdr:row>
      <xdr:rowOff>0</xdr:rowOff>
    </xdr:to>
    <xdr:sp macro="[0]!AllDigitalFormsVisible" textlink="">
      <xdr:nvSpPr>
        <xdr:cNvPr id="56" name="TextBox 55">
          <a:extLst>
            <a:ext uri="{FF2B5EF4-FFF2-40B4-BE49-F238E27FC236}">
              <a16:creationId xmlns:a16="http://schemas.microsoft.com/office/drawing/2014/main" id="{00000000-0008-0000-4700-000038000000}"/>
            </a:ext>
          </a:extLst>
        </xdr:cNvPr>
        <xdr:cNvSpPr txBox="1"/>
      </xdr:nvSpPr>
      <xdr:spPr>
        <a:xfrm>
          <a:off x="3981450" y="7362825"/>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All Digital Forms Visible</a:t>
          </a:r>
        </a:p>
      </xdr:txBody>
    </xdr:sp>
    <xdr:clientData/>
  </xdr:twoCellAnchor>
  <xdr:twoCellAnchor>
    <xdr:from>
      <xdr:col>22</xdr:col>
      <xdr:colOff>0</xdr:colOff>
      <xdr:row>6</xdr:row>
      <xdr:rowOff>0</xdr:rowOff>
    </xdr:from>
    <xdr:to>
      <xdr:col>32</xdr:col>
      <xdr:colOff>0</xdr:colOff>
      <xdr:row>8</xdr:row>
      <xdr:rowOff>0</xdr:rowOff>
    </xdr:to>
    <xdr:sp macro="[0]!AllDigitalFormsHidden" textlink="">
      <xdr:nvSpPr>
        <xdr:cNvPr id="57" name="TextBox 56">
          <a:extLst>
            <a:ext uri="{FF2B5EF4-FFF2-40B4-BE49-F238E27FC236}">
              <a16:creationId xmlns:a16="http://schemas.microsoft.com/office/drawing/2014/main" id="{00000000-0008-0000-4700-000039000000}"/>
            </a:ext>
          </a:extLst>
        </xdr:cNvPr>
        <xdr:cNvSpPr txBox="1"/>
      </xdr:nvSpPr>
      <xdr:spPr>
        <a:xfrm>
          <a:off x="3981450" y="7848600"/>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All Digital Forms Hidden</a:t>
          </a:r>
        </a:p>
      </xdr:txBody>
    </xdr:sp>
    <xdr:clientData/>
  </xdr:twoCellAnchor>
  <xdr:twoCellAnchor>
    <xdr:from>
      <xdr:col>1</xdr:col>
      <xdr:colOff>0</xdr:colOff>
      <xdr:row>11</xdr:row>
      <xdr:rowOff>0</xdr:rowOff>
    </xdr:from>
    <xdr:to>
      <xdr:col>10</xdr:col>
      <xdr:colOff>0</xdr:colOff>
      <xdr:row>13</xdr:row>
      <xdr:rowOff>0</xdr:rowOff>
    </xdr:to>
    <xdr:sp macro="[0]!SNFormsVisible" textlink="">
      <xdr:nvSpPr>
        <xdr:cNvPr id="58" name="TextBox 57">
          <a:extLst>
            <a:ext uri="{FF2B5EF4-FFF2-40B4-BE49-F238E27FC236}">
              <a16:creationId xmlns:a16="http://schemas.microsoft.com/office/drawing/2014/main" id="{00000000-0008-0000-4700-00003A000000}"/>
            </a:ext>
          </a:extLst>
        </xdr:cNvPr>
        <xdr:cNvSpPr txBox="1"/>
      </xdr:nvSpPr>
      <xdr:spPr>
        <a:xfrm>
          <a:off x="180975" y="8658225"/>
          <a:ext cx="1628775"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SN</a:t>
          </a:r>
          <a:r>
            <a:rPr lang="en-US" sz="1100" b="1" baseline="0">
              <a:solidFill>
                <a:schemeClr val="bg1"/>
              </a:solidFill>
            </a:rPr>
            <a:t> Forms Visible</a:t>
          </a:r>
          <a:endParaRPr lang="en-US" sz="1100" b="1">
            <a:solidFill>
              <a:schemeClr val="bg1"/>
            </a:solidFill>
          </a:endParaRPr>
        </a:p>
      </xdr:txBody>
    </xdr:sp>
    <xdr:clientData/>
  </xdr:twoCellAnchor>
  <xdr:twoCellAnchor>
    <xdr:from>
      <xdr:col>0</xdr:col>
      <xdr:colOff>133350</xdr:colOff>
      <xdr:row>14</xdr:row>
      <xdr:rowOff>0</xdr:rowOff>
    </xdr:from>
    <xdr:to>
      <xdr:col>9</xdr:col>
      <xdr:colOff>171450</xdr:colOff>
      <xdr:row>16</xdr:row>
      <xdr:rowOff>0</xdr:rowOff>
    </xdr:to>
    <xdr:sp macro="[0]!SNFormsHidden" textlink="">
      <xdr:nvSpPr>
        <xdr:cNvPr id="59" name="TextBox 58">
          <a:extLst>
            <a:ext uri="{FF2B5EF4-FFF2-40B4-BE49-F238E27FC236}">
              <a16:creationId xmlns:a16="http://schemas.microsoft.com/office/drawing/2014/main" id="{00000000-0008-0000-4700-00003B000000}"/>
            </a:ext>
          </a:extLst>
        </xdr:cNvPr>
        <xdr:cNvSpPr txBox="1"/>
      </xdr:nvSpPr>
      <xdr:spPr>
        <a:xfrm>
          <a:off x="133350" y="9144000"/>
          <a:ext cx="1666875"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SN Forms HIdden</a:t>
          </a:r>
        </a:p>
      </xdr:txBody>
    </xdr:sp>
    <xdr:clientData/>
  </xdr:twoCellAnchor>
  <xdr:twoCellAnchor>
    <xdr:from>
      <xdr:col>11</xdr:col>
      <xdr:colOff>0</xdr:colOff>
      <xdr:row>11</xdr:row>
      <xdr:rowOff>0</xdr:rowOff>
    </xdr:from>
    <xdr:to>
      <xdr:col>21</xdr:col>
      <xdr:colOff>0</xdr:colOff>
      <xdr:row>13</xdr:row>
      <xdr:rowOff>0</xdr:rowOff>
    </xdr:to>
    <xdr:sp macro="[0]!EmpEvalFormsVisible" textlink="">
      <xdr:nvSpPr>
        <xdr:cNvPr id="60" name="TextBox 59">
          <a:extLst>
            <a:ext uri="{FF2B5EF4-FFF2-40B4-BE49-F238E27FC236}">
              <a16:creationId xmlns:a16="http://schemas.microsoft.com/office/drawing/2014/main" id="{00000000-0008-0000-4700-00003C000000}"/>
            </a:ext>
          </a:extLst>
        </xdr:cNvPr>
        <xdr:cNvSpPr txBox="1"/>
      </xdr:nvSpPr>
      <xdr:spPr>
        <a:xfrm>
          <a:off x="1990725" y="8658225"/>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Employee</a:t>
          </a:r>
          <a:r>
            <a:rPr lang="en-US" sz="1100" b="1" baseline="0">
              <a:solidFill>
                <a:schemeClr val="bg1"/>
              </a:solidFill>
            </a:rPr>
            <a:t> Eval Visible</a:t>
          </a:r>
          <a:endParaRPr lang="en-US" sz="1100" b="1">
            <a:solidFill>
              <a:schemeClr val="bg1"/>
            </a:solidFill>
          </a:endParaRPr>
        </a:p>
      </xdr:txBody>
    </xdr:sp>
    <xdr:clientData/>
  </xdr:twoCellAnchor>
  <xdr:twoCellAnchor>
    <xdr:from>
      <xdr:col>11</xdr:col>
      <xdr:colOff>0</xdr:colOff>
      <xdr:row>14</xdr:row>
      <xdr:rowOff>0</xdr:rowOff>
    </xdr:from>
    <xdr:to>
      <xdr:col>21</xdr:col>
      <xdr:colOff>0</xdr:colOff>
      <xdr:row>16</xdr:row>
      <xdr:rowOff>0</xdr:rowOff>
    </xdr:to>
    <xdr:sp macro="[0]!EmpEvalFormsHidden" textlink="">
      <xdr:nvSpPr>
        <xdr:cNvPr id="61" name="TextBox 60">
          <a:extLst>
            <a:ext uri="{FF2B5EF4-FFF2-40B4-BE49-F238E27FC236}">
              <a16:creationId xmlns:a16="http://schemas.microsoft.com/office/drawing/2014/main" id="{00000000-0008-0000-4700-00003D000000}"/>
            </a:ext>
          </a:extLst>
        </xdr:cNvPr>
        <xdr:cNvSpPr txBox="1"/>
      </xdr:nvSpPr>
      <xdr:spPr>
        <a:xfrm>
          <a:off x="1990725" y="9144000"/>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Employee Eval Hidden</a:t>
          </a:r>
        </a:p>
      </xdr:txBody>
    </xdr:sp>
    <xdr:clientData/>
  </xdr:twoCellAnchor>
  <xdr:twoCellAnchor>
    <xdr:from>
      <xdr:col>22</xdr:col>
      <xdr:colOff>0</xdr:colOff>
      <xdr:row>11</xdr:row>
      <xdr:rowOff>0</xdr:rowOff>
    </xdr:from>
    <xdr:to>
      <xdr:col>32</xdr:col>
      <xdr:colOff>0</xdr:colOff>
      <xdr:row>13</xdr:row>
      <xdr:rowOff>0</xdr:rowOff>
    </xdr:to>
    <xdr:sp macro="" textlink="">
      <xdr:nvSpPr>
        <xdr:cNvPr id="62" name="TextBox 61">
          <a:extLst>
            <a:ext uri="{FF2B5EF4-FFF2-40B4-BE49-F238E27FC236}">
              <a16:creationId xmlns:a16="http://schemas.microsoft.com/office/drawing/2014/main" id="{00000000-0008-0000-4700-00003E000000}"/>
            </a:ext>
          </a:extLst>
        </xdr:cNvPr>
        <xdr:cNvSpPr txBox="1"/>
      </xdr:nvSpPr>
      <xdr:spPr>
        <a:xfrm>
          <a:off x="3981450" y="8658225"/>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Event Report Forms Visible</a:t>
          </a:r>
        </a:p>
      </xdr:txBody>
    </xdr:sp>
    <xdr:clientData/>
  </xdr:twoCellAnchor>
  <xdr:twoCellAnchor>
    <xdr:from>
      <xdr:col>1</xdr:col>
      <xdr:colOff>0</xdr:colOff>
      <xdr:row>17</xdr:row>
      <xdr:rowOff>0</xdr:rowOff>
    </xdr:from>
    <xdr:to>
      <xdr:col>10</xdr:col>
      <xdr:colOff>0</xdr:colOff>
      <xdr:row>19</xdr:row>
      <xdr:rowOff>0</xdr:rowOff>
    </xdr:to>
    <xdr:sp macro="[0]!ProxyFormsVisible" textlink="">
      <xdr:nvSpPr>
        <xdr:cNvPr id="2" name="TextBox 1">
          <a:extLst>
            <a:ext uri="{FF2B5EF4-FFF2-40B4-BE49-F238E27FC236}">
              <a16:creationId xmlns:a16="http://schemas.microsoft.com/office/drawing/2014/main" id="{00000000-0008-0000-4700-000002000000}"/>
            </a:ext>
          </a:extLst>
        </xdr:cNvPr>
        <xdr:cNvSpPr txBox="1"/>
      </xdr:nvSpPr>
      <xdr:spPr>
        <a:xfrm>
          <a:off x="180975" y="2752725"/>
          <a:ext cx="1628775" cy="32385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Proxy Forms Visible</a:t>
          </a:r>
        </a:p>
      </xdr:txBody>
    </xdr:sp>
    <xdr:clientData/>
  </xdr:twoCellAnchor>
  <xdr:twoCellAnchor>
    <xdr:from>
      <xdr:col>11</xdr:col>
      <xdr:colOff>0</xdr:colOff>
      <xdr:row>17</xdr:row>
      <xdr:rowOff>0</xdr:rowOff>
    </xdr:from>
    <xdr:to>
      <xdr:col>21</xdr:col>
      <xdr:colOff>0</xdr:colOff>
      <xdr:row>19</xdr:row>
      <xdr:rowOff>0</xdr:rowOff>
    </xdr:to>
    <xdr:sp macro="[0]!ProxyFormsHidden" textlink="">
      <xdr:nvSpPr>
        <xdr:cNvPr id="3" name="TextBox 2">
          <a:extLst>
            <a:ext uri="{FF2B5EF4-FFF2-40B4-BE49-F238E27FC236}">
              <a16:creationId xmlns:a16="http://schemas.microsoft.com/office/drawing/2014/main" id="{00000000-0008-0000-4700-000003000000}"/>
            </a:ext>
          </a:extLst>
        </xdr:cNvPr>
        <xdr:cNvSpPr txBox="1"/>
      </xdr:nvSpPr>
      <xdr:spPr>
        <a:xfrm>
          <a:off x="1990725" y="2752725"/>
          <a:ext cx="1809750" cy="32385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Proxy Forms Hidden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0</xdr:colOff>
      <xdr:row>2</xdr:row>
      <xdr:rowOff>0</xdr:rowOff>
    </xdr:from>
    <xdr:to>
      <xdr:col>18</xdr:col>
      <xdr:colOff>0</xdr:colOff>
      <xdr:row>4</xdr:row>
      <xdr:rowOff>0</xdr:rowOff>
    </xdr:to>
    <xdr:sp macro="[0]!DualPPCost" textlink="">
      <xdr:nvSpPr>
        <xdr:cNvPr id="3" name="TextBox 2">
          <a:extLst>
            <a:ext uri="{FF2B5EF4-FFF2-40B4-BE49-F238E27FC236}">
              <a16:creationId xmlns:a16="http://schemas.microsoft.com/office/drawing/2014/main" id="{00000000-0008-0000-5300-000003000000}"/>
            </a:ext>
          </a:extLst>
        </xdr:cNvPr>
        <xdr:cNvSpPr txBox="1"/>
      </xdr:nvSpPr>
      <xdr:spPr>
        <a:xfrm>
          <a:off x="9401175" y="323850"/>
          <a:ext cx="1828800" cy="323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Paste Cost Values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8.bin"/><Relationship Id="rId5" Type="http://schemas.openxmlformats.org/officeDocument/2006/relationships/ctrlProp" Target="../ctrlProps/ctrlProp1.xml"/><Relationship Id="rId4"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26.v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27.vml"/><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28.vml"/><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29.vml"/><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4.bin"/></Relationships>
</file>

<file path=xl/worksheets/_rels/sheet38.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2" Type="http://schemas.openxmlformats.org/officeDocument/2006/relationships/vmlDrawing" Target="../drawings/vmlDrawing34.vml"/><Relationship Id="rId1" Type="http://schemas.openxmlformats.org/officeDocument/2006/relationships/printerSettings" Target="../printerSettings/printerSettings38.bin"/></Relationships>
</file>

<file path=xl/worksheets/_rels/sheet42.xml.rels><?xml version="1.0" encoding="UTF-8" standalone="yes"?>
<Relationships xmlns="http://schemas.openxmlformats.org/package/2006/relationships"><Relationship Id="rId2" Type="http://schemas.openxmlformats.org/officeDocument/2006/relationships/vmlDrawing" Target="../drawings/vmlDrawing35.vml"/><Relationship Id="rId1" Type="http://schemas.openxmlformats.org/officeDocument/2006/relationships/printerSettings" Target="../printerSettings/printerSettings39.bin"/></Relationships>
</file>

<file path=xl/worksheets/_rels/sheet43.xml.rels><?xml version="1.0" encoding="UTF-8" standalone="yes"?>
<Relationships xmlns="http://schemas.openxmlformats.org/package/2006/relationships"><Relationship Id="rId2" Type="http://schemas.openxmlformats.org/officeDocument/2006/relationships/vmlDrawing" Target="../drawings/vmlDrawing36.vml"/><Relationship Id="rId1"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2" Type="http://schemas.openxmlformats.org/officeDocument/2006/relationships/vmlDrawing" Target="../drawings/vmlDrawing37.vml"/><Relationship Id="rId1" Type="http://schemas.openxmlformats.org/officeDocument/2006/relationships/printerSettings" Target="../printerSettings/printerSettings41.bin"/></Relationships>
</file>

<file path=xl/worksheets/_rels/sheet45.xml.rels><?xml version="1.0" encoding="UTF-8" standalone="yes"?>
<Relationships xmlns="http://schemas.openxmlformats.org/package/2006/relationships"><Relationship Id="rId2" Type="http://schemas.openxmlformats.org/officeDocument/2006/relationships/vmlDrawing" Target="../drawings/vmlDrawing38.vml"/><Relationship Id="rId1" Type="http://schemas.openxmlformats.org/officeDocument/2006/relationships/printerSettings" Target="../printerSettings/printerSettings42.bin"/></Relationships>
</file>

<file path=xl/worksheets/_rels/sheet46.xml.rels><?xml version="1.0" encoding="UTF-8" standalone="yes"?>
<Relationships xmlns="http://schemas.openxmlformats.org/package/2006/relationships"><Relationship Id="rId2" Type="http://schemas.openxmlformats.org/officeDocument/2006/relationships/vmlDrawing" Target="../drawings/vmlDrawing39.vml"/><Relationship Id="rId1" Type="http://schemas.openxmlformats.org/officeDocument/2006/relationships/printerSettings" Target="../printerSettings/printerSettings43.bin"/></Relationships>
</file>

<file path=xl/worksheets/_rels/sheet47.xml.rels><?xml version="1.0" encoding="UTF-8" standalone="yes"?>
<Relationships xmlns="http://schemas.openxmlformats.org/package/2006/relationships"><Relationship Id="rId2" Type="http://schemas.openxmlformats.org/officeDocument/2006/relationships/vmlDrawing" Target="../drawings/vmlDrawing40.vml"/><Relationship Id="rId1" Type="http://schemas.openxmlformats.org/officeDocument/2006/relationships/printerSettings" Target="../printerSettings/printerSettings44.bin"/></Relationships>
</file>

<file path=xl/worksheets/_rels/sheet48.xml.rels><?xml version="1.0" encoding="UTF-8" standalone="yes"?>
<Relationships xmlns="http://schemas.openxmlformats.org/package/2006/relationships"><Relationship Id="rId2" Type="http://schemas.openxmlformats.org/officeDocument/2006/relationships/vmlDrawing" Target="../drawings/vmlDrawing41.vml"/><Relationship Id="rId1" Type="http://schemas.openxmlformats.org/officeDocument/2006/relationships/printerSettings" Target="../printerSettings/printerSettings45.bin"/></Relationships>
</file>

<file path=xl/worksheets/_rels/sheet49.xml.rels><?xml version="1.0" encoding="UTF-8" standalone="yes"?>
<Relationships xmlns="http://schemas.openxmlformats.org/package/2006/relationships"><Relationship Id="rId2" Type="http://schemas.openxmlformats.org/officeDocument/2006/relationships/vmlDrawing" Target="../drawings/vmlDrawing42.vml"/><Relationship Id="rId1" Type="http://schemas.openxmlformats.org/officeDocument/2006/relationships/printerSettings" Target="../printerSettings/printerSettings46.bin"/></Relationships>
</file>

<file path=xl/worksheets/_rels/sheet50.xml.rels><?xml version="1.0" encoding="UTF-8" standalone="yes"?>
<Relationships xmlns="http://schemas.openxmlformats.org/package/2006/relationships"><Relationship Id="rId2" Type="http://schemas.openxmlformats.org/officeDocument/2006/relationships/vmlDrawing" Target="../drawings/vmlDrawing43.vml"/><Relationship Id="rId1" Type="http://schemas.openxmlformats.org/officeDocument/2006/relationships/printerSettings" Target="../printerSettings/printerSettings47.bin"/></Relationships>
</file>

<file path=xl/worksheets/_rels/sheet51.xml.rels><?xml version="1.0" encoding="UTF-8" standalone="yes"?>
<Relationships xmlns="http://schemas.openxmlformats.org/package/2006/relationships"><Relationship Id="rId2" Type="http://schemas.openxmlformats.org/officeDocument/2006/relationships/vmlDrawing" Target="../drawings/vmlDrawing44.vml"/><Relationship Id="rId1" Type="http://schemas.openxmlformats.org/officeDocument/2006/relationships/printerSettings" Target="../printerSettings/printerSettings48.bin"/></Relationships>
</file>

<file path=xl/worksheets/_rels/sheet52.xml.rels><?xml version="1.0" encoding="UTF-8" standalone="yes"?>
<Relationships xmlns="http://schemas.openxmlformats.org/package/2006/relationships"><Relationship Id="rId2" Type="http://schemas.openxmlformats.org/officeDocument/2006/relationships/vmlDrawing" Target="../drawings/vmlDrawing45.vml"/><Relationship Id="rId1" Type="http://schemas.openxmlformats.org/officeDocument/2006/relationships/printerSettings" Target="../printerSettings/printerSettings49.bin"/></Relationships>
</file>

<file path=xl/worksheets/_rels/sheet53.xml.rels><?xml version="1.0" encoding="UTF-8" standalone="yes"?>
<Relationships xmlns="http://schemas.openxmlformats.org/package/2006/relationships"><Relationship Id="rId2" Type="http://schemas.openxmlformats.org/officeDocument/2006/relationships/vmlDrawing" Target="../drawings/vmlDrawing46.vml"/><Relationship Id="rId1" Type="http://schemas.openxmlformats.org/officeDocument/2006/relationships/printerSettings" Target="../printerSettings/printerSettings50.bin"/></Relationships>
</file>

<file path=xl/worksheets/_rels/sheet54.xml.rels><?xml version="1.0" encoding="UTF-8" standalone="yes"?>
<Relationships xmlns="http://schemas.openxmlformats.org/package/2006/relationships"><Relationship Id="rId2" Type="http://schemas.openxmlformats.org/officeDocument/2006/relationships/vmlDrawing" Target="../drawings/vmlDrawing47.vml"/><Relationship Id="rId1" Type="http://schemas.openxmlformats.org/officeDocument/2006/relationships/printerSettings" Target="../printerSettings/printerSettings51.bin"/></Relationships>
</file>

<file path=xl/worksheets/_rels/sheet55.xml.rels><?xml version="1.0" encoding="UTF-8" standalone="yes"?>
<Relationships xmlns="http://schemas.openxmlformats.org/package/2006/relationships"><Relationship Id="rId2" Type="http://schemas.openxmlformats.org/officeDocument/2006/relationships/vmlDrawing" Target="../drawings/vmlDrawing48.vml"/><Relationship Id="rId1" Type="http://schemas.openxmlformats.org/officeDocument/2006/relationships/printerSettings" Target="../printerSettings/printerSettings52.bin"/></Relationships>
</file>

<file path=xl/worksheets/_rels/sheet56.xml.rels><?xml version="1.0" encoding="UTF-8" standalone="yes"?>
<Relationships xmlns="http://schemas.openxmlformats.org/package/2006/relationships"><Relationship Id="rId2" Type="http://schemas.openxmlformats.org/officeDocument/2006/relationships/vmlDrawing" Target="../drawings/vmlDrawing49.vml"/><Relationship Id="rId1" Type="http://schemas.openxmlformats.org/officeDocument/2006/relationships/printerSettings" Target="../printerSettings/printerSettings53.bin"/></Relationships>
</file>

<file path=xl/worksheets/_rels/sheet57.xml.rels><?xml version="1.0" encoding="UTF-8" standalone="yes"?>
<Relationships xmlns="http://schemas.openxmlformats.org/package/2006/relationships"><Relationship Id="rId2" Type="http://schemas.openxmlformats.org/officeDocument/2006/relationships/vmlDrawing" Target="../drawings/vmlDrawing50.vml"/><Relationship Id="rId1" Type="http://schemas.openxmlformats.org/officeDocument/2006/relationships/printerSettings" Target="../printerSettings/printerSettings54.bin"/></Relationships>
</file>

<file path=xl/worksheets/_rels/sheet58.xml.rels><?xml version="1.0" encoding="UTF-8" standalone="yes"?>
<Relationships xmlns="http://schemas.openxmlformats.org/package/2006/relationships"><Relationship Id="rId2" Type="http://schemas.openxmlformats.org/officeDocument/2006/relationships/vmlDrawing" Target="../drawings/vmlDrawing51.vml"/><Relationship Id="rId1" Type="http://schemas.openxmlformats.org/officeDocument/2006/relationships/printerSettings" Target="../printerSettings/printerSettings55.bin"/></Relationships>
</file>

<file path=xl/worksheets/_rels/sheet59.xml.rels><?xml version="1.0" encoding="UTF-8" standalone="yes"?>
<Relationships xmlns="http://schemas.openxmlformats.org/package/2006/relationships"><Relationship Id="rId2" Type="http://schemas.openxmlformats.org/officeDocument/2006/relationships/vmlDrawing" Target="../drawings/vmlDrawing52.vml"/><Relationship Id="rId1" Type="http://schemas.openxmlformats.org/officeDocument/2006/relationships/printerSettings" Target="../printerSettings/printerSettings56.bin"/></Relationships>
</file>

<file path=xl/worksheets/_rels/sheet60.xml.rels><?xml version="1.0" encoding="UTF-8" standalone="yes"?>
<Relationships xmlns="http://schemas.openxmlformats.org/package/2006/relationships"><Relationship Id="rId2" Type="http://schemas.openxmlformats.org/officeDocument/2006/relationships/vmlDrawing" Target="../drawings/vmlDrawing53.vml"/><Relationship Id="rId1" Type="http://schemas.openxmlformats.org/officeDocument/2006/relationships/printerSettings" Target="../printerSettings/printerSettings57.bin"/></Relationships>
</file>

<file path=xl/worksheets/_rels/sheet61.xml.rels><?xml version="1.0" encoding="UTF-8" standalone="yes"?>
<Relationships xmlns="http://schemas.openxmlformats.org/package/2006/relationships"><Relationship Id="rId2" Type="http://schemas.openxmlformats.org/officeDocument/2006/relationships/vmlDrawing" Target="../drawings/vmlDrawing54.vml"/><Relationship Id="rId1" Type="http://schemas.openxmlformats.org/officeDocument/2006/relationships/printerSettings" Target="../printerSettings/printerSettings58.bin"/></Relationships>
</file>

<file path=xl/worksheets/_rels/sheet62.xml.rels><?xml version="1.0" encoding="UTF-8" standalone="yes"?>
<Relationships xmlns="http://schemas.openxmlformats.org/package/2006/relationships"><Relationship Id="rId2" Type="http://schemas.openxmlformats.org/officeDocument/2006/relationships/vmlDrawing" Target="../drawings/vmlDrawing55.vml"/><Relationship Id="rId1" Type="http://schemas.openxmlformats.org/officeDocument/2006/relationships/printerSettings" Target="../printerSettings/printerSettings59.bin"/></Relationships>
</file>

<file path=xl/worksheets/_rels/sheet63.xml.rels><?xml version="1.0" encoding="UTF-8" standalone="yes"?>
<Relationships xmlns="http://schemas.openxmlformats.org/package/2006/relationships"><Relationship Id="rId2" Type="http://schemas.openxmlformats.org/officeDocument/2006/relationships/vmlDrawing" Target="../drawings/vmlDrawing56.vml"/><Relationship Id="rId1" Type="http://schemas.openxmlformats.org/officeDocument/2006/relationships/printerSettings" Target="../printerSettings/printerSettings60.bin"/></Relationships>
</file>

<file path=xl/worksheets/_rels/sheet64.xml.rels><?xml version="1.0" encoding="UTF-8" standalone="yes"?>
<Relationships xmlns="http://schemas.openxmlformats.org/package/2006/relationships"><Relationship Id="rId2" Type="http://schemas.openxmlformats.org/officeDocument/2006/relationships/vmlDrawing" Target="../drawings/vmlDrawing57.vml"/><Relationship Id="rId1" Type="http://schemas.openxmlformats.org/officeDocument/2006/relationships/printerSettings" Target="../printerSettings/printerSettings61.bin"/></Relationships>
</file>

<file path=xl/worksheets/_rels/sheet65.xml.rels><?xml version="1.0" encoding="UTF-8" standalone="yes"?>
<Relationships xmlns="http://schemas.openxmlformats.org/package/2006/relationships"><Relationship Id="rId3" Type="http://schemas.openxmlformats.org/officeDocument/2006/relationships/hyperlink" Target="mailto:Verissa@prospercare.com" TargetMode="External"/><Relationship Id="rId2" Type="http://schemas.openxmlformats.org/officeDocument/2006/relationships/hyperlink" Target="mailto:Olga@prospercare.com" TargetMode="External"/><Relationship Id="rId1" Type="http://schemas.openxmlformats.org/officeDocument/2006/relationships/hyperlink" Target="mailto:tina@prospercare.com" TargetMode="External"/><Relationship Id="rId5" Type="http://schemas.openxmlformats.org/officeDocument/2006/relationships/printerSettings" Target="../printerSettings/printerSettings62.bin"/><Relationship Id="rId4" Type="http://schemas.openxmlformats.org/officeDocument/2006/relationships/hyperlink" Target="mailto:amh@prospercare.com" TargetMode="External"/></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3.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9.xml.rels><?xml version="1.0" encoding="UTF-8" standalone="yes"?>
<Relationships xmlns="http://schemas.openxmlformats.org/package/2006/relationships"><Relationship Id="rId2" Type="http://schemas.openxmlformats.org/officeDocument/2006/relationships/vmlDrawing" Target="../drawings/vmlDrawing58.vml"/><Relationship Id="rId1" Type="http://schemas.openxmlformats.org/officeDocument/2006/relationships/printerSettings" Target="../printerSettings/printerSettings65.bin"/></Relationships>
</file>

<file path=xl/worksheets/_rels/sheet71.xml.rels><?xml version="1.0" encoding="UTF-8" standalone="yes"?>
<Relationships xmlns="http://schemas.openxmlformats.org/package/2006/relationships"><Relationship Id="rId2" Type="http://schemas.openxmlformats.org/officeDocument/2006/relationships/vmlDrawing" Target="../drawings/vmlDrawing59.vml"/><Relationship Id="rId1" Type="http://schemas.openxmlformats.org/officeDocument/2006/relationships/printerSettings" Target="../printerSettings/printerSettings66.bin"/></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4.xml.rels><?xml version="1.0" encoding="UTF-8" standalone="yes"?>
<Relationships xmlns="http://schemas.openxmlformats.org/package/2006/relationships"><Relationship Id="rId8" Type="http://schemas.openxmlformats.org/officeDocument/2006/relationships/hyperlink" Target="mailto:seung@prospercare.com" TargetMode="External"/><Relationship Id="rId3" Type="http://schemas.openxmlformats.org/officeDocument/2006/relationships/hyperlink" Target="mailto:Angie@prospercare.com" TargetMode="External"/><Relationship Id="rId7" Type="http://schemas.openxmlformats.org/officeDocument/2006/relationships/hyperlink" Target="mailto:joung@prospercare.com" TargetMode="External"/><Relationship Id="rId2" Type="http://schemas.openxmlformats.org/officeDocument/2006/relationships/hyperlink" Target="mailto:Shannon@prospercare.com" TargetMode="External"/><Relationship Id="rId1" Type="http://schemas.openxmlformats.org/officeDocument/2006/relationships/hyperlink" Target="mailto:Sherri@prospercare.com" TargetMode="External"/><Relationship Id="rId6" Type="http://schemas.openxmlformats.org/officeDocument/2006/relationships/hyperlink" Target="mailto:sarah@prospercare.com" TargetMode="External"/><Relationship Id="rId11" Type="http://schemas.openxmlformats.org/officeDocument/2006/relationships/printerSettings" Target="../printerSettings/printerSettings67.bin"/><Relationship Id="rId5" Type="http://schemas.openxmlformats.org/officeDocument/2006/relationships/hyperlink" Target="mailto:Rick@prospercare.com" TargetMode="External"/><Relationship Id="rId10" Type="http://schemas.openxmlformats.org/officeDocument/2006/relationships/hyperlink" Target="mailto:min@prospercare.com" TargetMode="External"/><Relationship Id="rId4" Type="http://schemas.openxmlformats.org/officeDocument/2006/relationships/hyperlink" Target="mailto:Farrah@prospercare.com" TargetMode="External"/><Relationship Id="rId9" Type="http://schemas.openxmlformats.org/officeDocument/2006/relationships/hyperlink" Target="mailto:damber@prospercare.com" TargetMode="External"/></Relationships>
</file>

<file path=xl/worksheets/_rels/sheet75.xml.rels><?xml version="1.0" encoding="UTF-8" standalone="yes"?>
<Relationships xmlns="http://schemas.openxmlformats.org/package/2006/relationships"><Relationship Id="rId2" Type="http://schemas.openxmlformats.org/officeDocument/2006/relationships/vmlDrawing" Target="../drawings/vmlDrawing60.vml"/><Relationship Id="rId1" Type="http://schemas.openxmlformats.org/officeDocument/2006/relationships/printerSettings" Target="../printerSettings/printerSettings68.bin"/></Relationships>
</file>

<file path=xl/worksheets/_rels/sheet76.xml.rels><?xml version="1.0" encoding="UTF-8" standalone="yes"?>
<Relationships xmlns="http://schemas.openxmlformats.org/package/2006/relationships"><Relationship Id="rId2" Type="http://schemas.openxmlformats.org/officeDocument/2006/relationships/vmlDrawing" Target="../drawings/vmlDrawing61.vml"/><Relationship Id="rId1" Type="http://schemas.openxmlformats.org/officeDocument/2006/relationships/printerSettings" Target="../printerSettings/printerSettings69.bin"/></Relationships>
</file>

<file path=xl/worksheets/_rels/sheet77.xml.rels><?xml version="1.0" encoding="UTF-8" standalone="yes"?>
<Relationships xmlns="http://schemas.openxmlformats.org/package/2006/relationships"><Relationship Id="rId2" Type="http://schemas.openxmlformats.org/officeDocument/2006/relationships/vmlDrawing" Target="../drawings/vmlDrawing62.vml"/><Relationship Id="rId1" Type="http://schemas.openxmlformats.org/officeDocument/2006/relationships/printerSettings" Target="../printerSettings/printerSettings70.bin"/></Relationships>
</file>

<file path=xl/worksheets/_rels/sheet78.xml.rels><?xml version="1.0" encoding="UTF-8" standalone="yes"?>
<Relationships xmlns="http://schemas.openxmlformats.org/package/2006/relationships"><Relationship Id="rId2" Type="http://schemas.openxmlformats.org/officeDocument/2006/relationships/vmlDrawing" Target="../drawings/vmlDrawing63.vml"/><Relationship Id="rId1" Type="http://schemas.openxmlformats.org/officeDocument/2006/relationships/printerSettings" Target="../printerSettings/printerSettings71.bin"/></Relationships>
</file>

<file path=xl/worksheets/_rels/sheet79.xml.rels><?xml version="1.0" encoding="UTF-8" standalone="yes"?>
<Relationships xmlns="http://schemas.openxmlformats.org/package/2006/relationships"><Relationship Id="rId2" Type="http://schemas.openxmlformats.org/officeDocument/2006/relationships/vmlDrawing" Target="../drawings/vmlDrawing64.vml"/><Relationship Id="rId1" Type="http://schemas.openxmlformats.org/officeDocument/2006/relationships/printerSettings" Target="../printerSettings/printerSettings72.bin"/></Relationships>
</file>

<file path=xl/worksheets/_rels/sheet80.xml.rels><?xml version="1.0" encoding="UTF-8" standalone="yes"?>
<Relationships xmlns="http://schemas.openxmlformats.org/package/2006/relationships"><Relationship Id="rId2" Type="http://schemas.openxmlformats.org/officeDocument/2006/relationships/vmlDrawing" Target="../drawings/vmlDrawing65.vml"/><Relationship Id="rId1" Type="http://schemas.openxmlformats.org/officeDocument/2006/relationships/printerSettings" Target="../printerSettings/printerSettings73.bin"/></Relationships>
</file>

<file path=xl/worksheets/_rels/sheet84.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0000"/>
    <pageSetUpPr fitToPage="1"/>
  </sheetPr>
  <dimension ref="A1:O32"/>
  <sheetViews>
    <sheetView showZeros="0" tabSelected="1" zoomScaleNormal="100" workbookViewId="0">
      <selection activeCell="P25" sqref="P25"/>
    </sheetView>
  </sheetViews>
  <sheetFormatPr defaultRowHeight="12.75" x14ac:dyDescent="0.2"/>
  <cols>
    <col min="6" max="6" width="9.140625" customWidth="1"/>
  </cols>
  <sheetData>
    <row r="1" spans="1:15" x14ac:dyDescent="0.2">
      <c r="A1" s="89"/>
      <c r="B1" s="89"/>
      <c r="C1" s="89"/>
      <c r="D1" s="198" t="s">
        <v>1259</v>
      </c>
      <c r="E1" s="198"/>
      <c r="F1" s="198"/>
      <c r="G1" s="198"/>
      <c r="H1" s="198"/>
      <c r="I1" s="198"/>
      <c r="J1" s="198"/>
      <c r="K1" s="89"/>
    </row>
    <row r="2" spans="1:15" x14ac:dyDescent="0.2">
      <c r="A2" s="89"/>
      <c r="B2" s="89"/>
      <c r="C2" s="89"/>
      <c r="D2" s="198"/>
      <c r="E2" s="198"/>
      <c r="F2" s="198"/>
      <c r="G2" s="198"/>
      <c r="H2" s="198"/>
      <c r="I2" s="198"/>
      <c r="J2" s="198"/>
      <c r="K2" s="89"/>
    </row>
    <row r="3" spans="1:15" x14ac:dyDescent="0.2">
      <c r="A3" s="89"/>
      <c r="B3" s="89"/>
      <c r="C3" s="89"/>
      <c r="D3" s="198"/>
      <c r="E3" s="198"/>
      <c r="F3" s="198"/>
      <c r="G3" s="198"/>
      <c r="H3" s="198"/>
      <c r="I3" s="198"/>
      <c r="J3" s="198"/>
      <c r="K3" s="89"/>
    </row>
    <row r="4" spans="1:15" x14ac:dyDescent="0.2">
      <c r="A4" s="89"/>
      <c r="B4" s="89"/>
      <c r="C4" s="89"/>
      <c r="D4" s="89" t="s">
        <v>3172</v>
      </c>
      <c r="E4" s="89"/>
      <c r="F4" s="213" t="str">
        <f>_xlfn.CONCAT(IF(Data!B1603=TRUE,"Personal Support",""),IF(Data!B1604=TRUE," and Skilled Nursing",""),IF(Data!B1721=TRUE," and Proxy Care",""))</f>
        <v/>
      </c>
      <c r="G4" s="213"/>
      <c r="H4" s="213"/>
      <c r="I4" s="213"/>
      <c r="J4" s="89" t="s">
        <v>3248</v>
      </c>
      <c r="K4" s="89"/>
    </row>
    <row r="5" spans="1:15" x14ac:dyDescent="0.2">
      <c r="A5" s="89"/>
      <c r="B5" s="201" t="s">
        <v>1260</v>
      </c>
      <c r="C5" s="201"/>
      <c r="D5" s="199" t="str">
        <f>_xlfn.CONCAT(Data!B2,", ",Data!B3," ",Data!B4)</f>
        <v xml:space="preserve">,  </v>
      </c>
      <c r="E5" s="199"/>
      <c r="F5" s="199"/>
      <c r="G5" s="199"/>
      <c r="H5" s="199"/>
      <c r="I5" s="89"/>
      <c r="J5" s="214">
        <f>Data!B185</f>
        <v>0</v>
      </c>
      <c r="K5" s="214"/>
    </row>
    <row r="6" spans="1:15" x14ac:dyDescent="0.2">
      <c r="A6" s="89"/>
      <c r="B6" s="201"/>
      <c r="C6" s="201"/>
      <c r="D6" s="199"/>
      <c r="E6" s="199"/>
      <c r="F6" s="199"/>
      <c r="G6" s="199"/>
      <c r="H6" s="199"/>
      <c r="I6" s="89"/>
      <c r="J6" s="214"/>
      <c r="K6" s="214"/>
    </row>
    <row r="7" spans="1:15" x14ac:dyDescent="0.2">
      <c r="A7" s="89"/>
      <c r="B7" s="201"/>
      <c r="C7" s="201"/>
      <c r="D7" s="200"/>
      <c r="E7" s="200"/>
      <c r="F7" s="200"/>
      <c r="G7" s="200"/>
      <c r="H7" s="200"/>
      <c r="I7" s="89"/>
      <c r="J7" s="89" t="s">
        <v>1492</v>
      </c>
      <c r="K7" s="89"/>
    </row>
    <row r="8" spans="1:15" ht="25.5" x14ac:dyDescent="0.2">
      <c r="A8" s="89"/>
      <c r="B8" s="92"/>
      <c r="C8" s="92"/>
      <c r="D8" s="131" t="str">
        <f>Data!B1327</f>
        <v>Active</v>
      </c>
      <c r="E8" s="93"/>
      <c r="F8" s="212" t="str">
        <f>IF(Data!B1323="","",Data!B1323)</f>
        <v/>
      </c>
      <c r="G8" s="212"/>
      <c r="H8" s="91"/>
      <c r="I8" s="89"/>
      <c r="J8" s="214">
        <f>Data!E2</f>
        <v>0</v>
      </c>
      <c r="K8" s="214"/>
    </row>
    <row r="9" spans="1:15" ht="13.5" thickBot="1" x14ac:dyDescent="0.25">
      <c r="A9" s="202" t="s">
        <v>1449</v>
      </c>
      <c r="B9" s="202"/>
      <c r="C9" s="202"/>
      <c r="D9" s="202"/>
      <c r="E9" s="202"/>
      <c r="F9" s="202"/>
      <c r="G9" s="202"/>
      <c r="H9" s="202"/>
      <c r="I9" s="202"/>
      <c r="J9" s="202"/>
      <c r="K9" s="202"/>
    </row>
    <row r="10" spans="1:15" x14ac:dyDescent="0.2">
      <c r="A10" s="203" t="s">
        <v>1452</v>
      </c>
      <c r="B10" s="204"/>
      <c r="C10" s="204"/>
      <c r="D10" s="204"/>
      <c r="E10" s="204"/>
      <c r="F10" s="204"/>
      <c r="G10" s="204"/>
      <c r="H10" s="204"/>
      <c r="I10" s="204"/>
      <c r="J10" s="204"/>
      <c r="K10" s="205"/>
    </row>
    <row r="11" spans="1:15" x14ac:dyDescent="0.2">
      <c r="A11" s="206"/>
      <c r="B11" s="207"/>
      <c r="C11" s="207"/>
      <c r="D11" s="207"/>
      <c r="E11" s="207"/>
      <c r="F11" s="207"/>
      <c r="G11" s="207"/>
      <c r="H11" s="207"/>
      <c r="I11" s="207"/>
      <c r="J11" s="207"/>
      <c r="K11" s="208"/>
    </row>
    <row r="12" spans="1:15" ht="13.5" thickBot="1" x14ac:dyDescent="0.25">
      <c r="A12" s="209"/>
      <c r="B12" s="210"/>
      <c r="C12" s="210"/>
      <c r="D12" s="210"/>
      <c r="E12" s="210"/>
      <c r="F12" s="210"/>
      <c r="G12" s="210"/>
      <c r="H12" s="210"/>
      <c r="I12" s="210"/>
      <c r="J12" s="210"/>
      <c r="K12" s="211"/>
      <c r="O12" t="s">
        <v>1162</v>
      </c>
    </row>
    <row r="13" spans="1:15" ht="12.75" customHeight="1" x14ac:dyDescent="0.2">
      <c r="A13" s="197" t="s">
        <v>2880</v>
      </c>
      <c r="B13" s="197"/>
      <c r="C13" s="197"/>
      <c r="D13" s="197"/>
      <c r="E13" s="197"/>
      <c r="F13" s="197"/>
      <c r="G13" s="197"/>
      <c r="H13" s="197"/>
      <c r="I13" s="197"/>
      <c r="J13" s="197"/>
      <c r="K13" s="197"/>
    </row>
    <row r="14" spans="1:15" x14ac:dyDescent="0.2">
      <c r="A14" s="197"/>
      <c r="B14" s="197"/>
      <c r="C14" s="197"/>
      <c r="D14" s="197"/>
      <c r="E14" s="197"/>
      <c r="F14" s="197"/>
      <c r="G14" s="197"/>
      <c r="H14" s="197"/>
      <c r="I14" s="197"/>
      <c r="J14" s="197"/>
      <c r="K14" s="197"/>
    </row>
    <row r="15" spans="1:15" x14ac:dyDescent="0.2">
      <c r="A15" s="197"/>
      <c r="B15" s="197"/>
      <c r="C15" s="197"/>
      <c r="D15" s="197"/>
      <c r="E15" s="197"/>
      <c r="F15" s="197"/>
      <c r="G15" s="197"/>
      <c r="H15" s="197"/>
      <c r="I15" s="197"/>
      <c r="J15" s="197"/>
      <c r="K15" s="197"/>
    </row>
    <row r="16" spans="1:15" ht="3.75" customHeight="1" x14ac:dyDescent="0.2">
      <c r="A16" s="197"/>
      <c r="B16" s="197"/>
      <c r="C16" s="197"/>
      <c r="D16" s="197"/>
      <c r="E16" s="197"/>
      <c r="F16" s="197"/>
      <c r="G16" s="197"/>
      <c r="H16" s="197"/>
      <c r="I16" s="197"/>
      <c r="J16" s="197"/>
      <c r="K16" s="197"/>
    </row>
    <row r="17" spans="1:11" x14ac:dyDescent="0.2">
      <c r="A17" s="89"/>
      <c r="B17" s="89"/>
      <c r="C17" s="89"/>
      <c r="D17" s="89"/>
      <c r="E17" s="89"/>
      <c r="F17" s="89"/>
      <c r="G17" s="89"/>
      <c r="H17" s="89"/>
      <c r="I17" s="89"/>
      <c r="J17" s="89"/>
      <c r="K17" s="89"/>
    </row>
    <row r="18" spans="1:11" x14ac:dyDescent="0.2">
      <c r="A18" s="89"/>
      <c r="B18" s="89"/>
      <c r="C18" s="89"/>
      <c r="D18" s="89"/>
      <c r="E18" s="89"/>
      <c r="F18" s="89"/>
      <c r="G18" s="89"/>
      <c r="H18" s="89"/>
      <c r="I18" s="89"/>
      <c r="J18" s="89"/>
      <c r="K18" s="89"/>
    </row>
    <row r="19" spans="1:11" x14ac:dyDescent="0.2">
      <c r="A19" s="89"/>
      <c r="B19" s="89"/>
      <c r="C19" s="89"/>
      <c r="D19" s="89"/>
      <c r="E19" s="89"/>
      <c r="F19" s="89"/>
      <c r="G19" s="89"/>
      <c r="H19" s="89"/>
      <c r="I19" s="89"/>
      <c r="J19" s="89"/>
      <c r="K19" s="89"/>
    </row>
    <row r="20" spans="1:11" x14ac:dyDescent="0.2">
      <c r="A20" s="89"/>
      <c r="B20" s="89"/>
      <c r="C20" s="89"/>
      <c r="D20" s="89"/>
      <c r="E20" s="89"/>
      <c r="F20" s="89"/>
      <c r="G20" s="89"/>
      <c r="H20" s="89"/>
      <c r="I20" s="89"/>
      <c r="J20" s="89"/>
      <c r="K20" s="89"/>
    </row>
    <row r="21" spans="1:11" x14ac:dyDescent="0.2">
      <c r="A21" s="89"/>
      <c r="B21" s="89"/>
      <c r="C21" s="89"/>
      <c r="D21" s="89"/>
      <c r="E21" s="89"/>
      <c r="F21" s="89"/>
      <c r="G21" s="89"/>
      <c r="H21" s="89"/>
      <c r="I21" s="89"/>
      <c r="J21" s="89"/>
      <c r="K21" s="89"/>
    </row>
    <row r="22" spans="1:11" x14ac:dyDescent="0.2">
      <c r="A22" s="89"/>
      <c r="B22" s="89"/>
      <c r="C22" s="89"/>
      <c r="D22" s="89"/>
      <c r="E22" s="89"/>
      <c r="F22" s="89"/>
      <c r="G22" s="89"/>
      <c r="H22" s="89"/>
      <c r="I22" s="89"/>
      <c r="J22" s="89"/>
      <c r="K22" s="89"/>
    </row>
    <row r="23" spans="1:11" ht="13.5" thickBot="1" x14ac:dyDescent="0.25">
      <c r="A23" s="89"/>
      <c r="B23" s="89"/>
      <c r="C23" s="89"/>
      <c r="D23" s="89"/>
      <c r="E23" s="89"/>
      <c r="F23" s="89"/>
      <c r="G23" s="89"/>
      <c r="H23" s="89"/>
      <c r="I23" s="89"/>
      <c r="J23" s="89"/>
      <c r="K23" s="89"/>
    </row>
    <row r="24" spans="1:11" ht="13.5" thickBot="1" x14ac:dyDescent="0.25">
      <c r="A24" s="146"/>
      <c r="B24" s="146"/>
      <c r="C24" s="146"/>
      <c r="D24" s="146"/>
      <c r="E24" s="146"/>
      <c r="F24" s="146"/>
      <c r="G24" s="146"/>
      <c r="H24" s="146"/>
      <c r="I24" s="146"/>
      <c r="J24" s="146"/>
      <c r="K24" s="146"/>
    </row>
    <row r="25" spans="1:11" x14ac:dyDescent="0.2">
      <c r="A25" s="90"/>
      <c r="B25" s="90"/>
      <c r="C25" s="90"/>
      <c r="D25" s="90"/>
      <c r="E25" s="90"/>
      <c r="F25" s="90"/>
      <c r="G25" s="90"/>
      <c r="H25" s="90"/>
      <c r="I25" s="90"/>
      <c r="J25" s="90"/>
      <c r="K25" s="90"/>
    </row>
    <row r="26" spans="1:11" x14ac:dyDescent="0.2">
      <c r="A26" s="90"/>
      <c r="B26" s="90"/>
      <c r="C26" s="90"/>
      <c r="D26" s="90"/>
      <c r="E26" s="90"/>
      <c r="F26" s="90"/>
      <c r="G26" s="90"/>
      <c r="H26" s="90"/>
      <c r="I26" s="90"/>
      <c r="J26" s="90"/>
      <c r="K26" s="90"/>
    </row>
    <row r="27" spans="1:11" x14ac:dyDescent="0.2">
      <c r="A27" s="90"/>
      <c r="B27" s="90"/>
      <c r="C27" s="90"/>
      <c r="D27" s="90"/>
      <c r="E27" s="90"/>
      <c r="F27" s="90"/>
      <c r="G27" s="90"/>
      <c r="H27" s="90"/>
      <c r="I27" s="90"/>
      <c r="J27" s="90"/>
      <c r="K27" s="90"/>
    </row>
    <row r="28" spans="1:11" x14ac:dyDescent="0.2">
      <c r="A28" s="90"/>
      <c r="B28" s="90"/>
      <c r="C28" s="90"/>
      <c r="D28" s="90"/>
      <c r="E28" s="90"/>
      <c r="F28" s="90"/>
      <c r="G28" s="90"/>
      <c r="H28" s="90"/>
      <c r="I28" s="90"/>
      <c r="J28" s="90"/>
      <c r="K28" s="90"/>
    </row>
    <row r="29" spans="1:11" x14ac:dyDescent="0.2">
      <c r="A29" s="90"/>
      <c r="B29" s="90"/>
      <c r="C29" s="90"/>
      <c r="D29" s="90"/>
      <c r="E29" s="90"/>
      <c r="F29" s="90"/>
      <c r="G29" s="90"/>
      <c r="H29" s="90"/>
      <c r="I29" s="90"/>
      <c r="J29" s="90"/>
      <c r="K29" s="90"/>
    </row>
    <row r="30" spans="1:11" x14ac:dyDescent="0.2">
      <c r="A30" s="90"/>
      <c r="B30" s="90"/>
      <c r="C30" s="90"/>
      <c r="D30" s="90"/>
      <c r="E30" s="90"/>
      <c r="F30" s="90"/>
      <c r="G30" s="90"/>
      <c r="H30" s="90"/>
      <c r="I30" s="90"/>
      <c r="J30" s="90"/>
      <c r="K30" s="90"/>
    </row>
    <row r="31" spans="1:11" x14ac:dyDescent="0.2">
      <c r="A31" s="90"/>
      <c r="B31" s="90"/>
      <c r="C31" s="90"/>
      <c r="D31" s="90"/>
      <c r="E31" s="90"/>
      <c r="F31" s="90"/>
      <c r="G31" s="90"/>
      <c r="H31" s="90"/>
      <c r="I31" s="90"/>
      <c r="J31" s="90"/>
      <c r="K31" s="90"/>
    </row>
    <row r="32" spans="1:11" x14ac:dyDescent="0.2">
      <c r="A32" s="90"/>
      <c r="B32" s="90"/>
      <c r="C32" s="90"/>
      <c r="D32" s="90"/>
      <c r="E32" s="90"/>
      <c r="F32" s="90"/>
      <c r="G32" s="90"/>
      <c r="H32" s="90"/>
      <c r="I32" s="90"/>
      <c r="J32" s="90"/>
      <c r="K32" s="90"/>
    </row>
  </sheetData>
  <mergeCells count="10">
    <mergeCell ref="A13:K16"/>
    <mergeCell ref="D1:J3"/>
    <mergeCell ref="D5:H7"/>
    <mergeCell ref="B5:C7"/>
    <mergeCell ref="A9:K9"/>
    <mergeCell ref="A10:K12"/>
    <mergeCell ref="F8:G8"/>
    <mergeCell ref="F4:I4"/>
    <mergeCell ref="J5:K6"/>
    <mergeCell ref="J8:K8"/>
  </mergeCells>
  <pageMargins left="0.25" right="0.25" top="0.75" bottom="0.75" header="0.3" footer="0.3"/>
  <pageSetup scale="83" fitToHeight="0" orientation="landscape" verticalDpi="1200" r:id="rId1"/>
  <drawing r:id="rId2"/>
  <legacyDrawing r:id="rId3"/>
  <controls>
    <mc:AlternateContent xmlns:mc="http://schemas.openxmlformats.org/markup-compatibility/2006">
      <mc:Choice Requires="x14">
        <control shapeId="1039" r:id="rId4" name="CommandButton14">
          <controlPr defaultSize="0" autoLine="0" r:id="rId5">
            <anchor moveWithCells="1">
              <from>
                <xdr:col>2</xdr:col>
                <xdr:colOff>219075</xdr:colOff>
                <xdr:row>33</xdr:row>
                <xdr:rowOff>19050</xdr:rowOff>
              </from>
              <to>
                <xdr:col>8</xdr:col>
                <xdr:colOff>276225</xdr:colOff>
                <xdr:row>35</xdr:row>
                <xdr:rowOff>85725</xdr:rowOff>
              </to>
            </anchor>
          </controlPr>
        </control>
      </mc:Choice>
      <mc:Fallback>
        <control shapeId="1039" r:id="rId4" name="CommandButton14"/>
      </mc:Fallback>
    </mc:AlternateContent>
    <mc:AlternateContent xmlns:mc="http://schemas.openxmlformats.org/markup-compatibility/2006">
      <mc:Choice Requires="x14">
        <control shapeId="1038" r:id="rId6" name="CommandButton13">
          <controlPr defaultSize="0" autoLine="0" r:id="rId7">
            <anchor moveWithCells="1">
              <from>
                <xdr:col>7</xdr:col>
                <xdr:colOff>295275</xdr:colOff>
                <xdr:row>28</xdr:row>
                <xdr:rowOff>123825</xdr:rowOff>
              </from>
              <to>
                <xdr:col>10</xdr:col>
                <xdr:colOff>276225</xdr:colOff>
                <xdr:row>31</xdr:row>
                <xdr:rowOff>19050</xdr:rowOff>
              </to>
            </anchor>
          </controlPr>
        </control>
      </mc:Choice>
      <mc:Fallback>
        <control shapeId="1038" r:id="rId6" name="CommandButton13"/>
      </mc:Fallback>
    </mc:AlternateContent>
    <mc:AlternateContent xmlns:mc="http://schemas.openxmlformats.org/markup-compatibility/2006">
      <mc:Choice Requires="x14">
        <control shapeId="1037" r:id="rId8" name="CommandButton12">
          <controlPr defaultSize="0" autoLine="0" r:id="rId9">
            <anchor moveWithCells="1">
              <from>
                <xdr:col>3</xdr:col>
                <xdr:colOff>590550</xdr:colOff>
                <xdr:row>28</xdr:row>
                <xdr:rowOff>133350</xdr:rowOff>
              </from>
              <to>
                <xdr:col>6</xdr:col>
                <xdr:colOff>571500</xdr:colOff>
                <xdr:row>31</xdr:row>
                <xdr:rowOff>28575</xdr:rowOff>
              </to>
            </anchor>
          </controlPr>
        </control>
      </mc:Choice>
      <mc:Fallback>
        <control shapeId="1037" r:id="rId8" name="CommandButton12"/>
      </mc:Fallback>
    </mc:AlternateContent>
    <mc:AlternateContent xmlns:mc="http://schemas.openxmlformats.org/markup-compatibility/2006">
      <mc:Choice Requires="x14">
        <control shapeId="1036" r:id="rId10" name="CommandButton11">
          <controlPr defaultSize="0" autoLine="0" r:id="rId11">
            <anchor moveWithCells="1">
              <from>
                <xdr:col>7</xdr:col>
                <xdr:colOff>285750</xdr:colOff>
                <xdr:row>25</xdr:row>
                <xdr:rowOff>57150</xdr:rowOff>
              </from>
              <to>
                <xdr:col>10</xdr:col>
                <xdr:colOff>266700</xdr:colOff>
                <xdr:row>27</xdr:row>
                <xdr:rowOff>114300</xdr:rowOff>
              </to>
            </anchor>
          </controlPr>
        </control>
      </mc:Choice>
      <mc:Fallback>
        <control shapeId="1036" r:id="rId10" name="CommandButton11"/>
      </mc:Fallback>
    </mc:AlternateContent>
    <mc:AlternateContent xmlns:mc="http://schemas.openxmlformats.org/markup-compatibility/2006">
      <mc:Choice Requires="x14">
        <control shapeId="1035" r:id="rId12" name="CommandButton10">
          <controlPr defaultSize="0" autoLine="0" r:id="rId13">
            <anchor moveWithCells="1">
              <from>
                <xdr:col>3</xdr:col>
                <xdr:colOff>590550</xdr:colOff>
                <xdr:row>25</xdr:row>
                <xdr:rowOff>57150</xdr:rowOff>
              </from>
              <to>
                <xdr:col>6</xdr:col>
                <xdr:colOff>571500</xdr:colOff>
                <xdr:row>27</xdr:row>
                <xdr:rowOff>114300</xdr:rowOff>
              </to>
            </anchor>
          </controlPr>
        </control>
      </mc:Choice>
      <mc:Fallback>
        <control shapeId="1035" r:id="rId12" name="CommandButton10"/>
      </mc:Fallback>
    </mc:AlternateContent>
    <mc:AlternateContent xmlns:mc="http://schemas.openxmlformats.org/markup-compatibility/2006">
      <mc:Choice Requires="x14">
        <control shapeId="1034" r:id="rId14" name="CommandButton9">
          <controlPr defaultSize="0" autoLine="0" r:id="rId15">
            <anchor moveWithCells="1">
              <from>
                <xdr:col>0</xdr:col>
                <xdr:colOff>371475</xdr:colOff>
                <xdr:row>28</xdr:row>
                <xdr:rowOff>104775</xdr:rowOff>
              </from>
              <to>
                <xdr:col>3</xdr:col>
                <xdr:colOff>352425</xdr:colOff>
                <xdr:row>31</xdr:row>
                <xdr:rowOff>0</xdr:rowOff>
              </to>
            </anchor>
          </controlPr>
        </control>
      </mc:Choice>
      <mc:Fallback>
        <control shapeId="1034" r:id="rId14" name="CommandButton9"/>
      </mc:Fallback>
    </mc:AlternateContent>
    <mc:AlternateContent xmlns:mc="http://schemas.openxmlformats.org/markup-compatibility/2006">
      <mc:Choice Requires="x14">
        <control shapeId="1033" r:id="rId16" name="CommandButton8">
          <controlPr defaultSize="0" autoLine="0" r:id="rId17">
            <anchor moveWithCells="1">
              <from>
                <xdr:col>0</xdr:col>
                <xdr:colOff>371475</xdr:colOff>
                <xdr:row>25</xdr:row>
                <xdr:rowOff>57150</xdr:rowOff>
              </from>
              <to>
                <xdr:col>3</xdr:col>
                <xdr:colOff>352425</xdr:colOff>
                <xdr:row>27</xdr:row>
                <xdr:rowOff>114300</xdr:rowOff>
              </to>
            </anchor>
          </controlPr>
        </control>
      </mc:Choice>
      <mc:Fallback>
        <control shapeId="1033" r:id="rId16" name="CommandButton8"/>
      </mc:Fallback>
    </mc:AlternateContent>
    <mc:AlternateContent xmlns:mc="http://schemas.openxmlformats.org/markup-compatibility/2006">
      <mc:Choice Requires="x14">
        <control shapeId="1032" r:id="rId18" name="CommandButton7">
          <controlPr defaultSize="0" autoLine="0" r:id="rId19">
            <anchor moveWithCells="1">
              <from>
                <xdr:col>5</xdr:col>
                <xdr:colOff>438150</xdr:colOff>
                <xdr:row>19</xdr:row>
                <xdr:rowOff>123825</xdr:rowOff>
              </from>
              <to>
                <xdr:col>10</xdr:col>
                <xdr:colOff>323850</xdr:colOff>
                <xdr:row>22</xdr:row>
                <xdr:rowOff>76200</xdr:rowOff>
              </to>
            </anchor>
          </controlPr>
        </control>
      </mc:Choice>
      <mc:Fallback>
        <control shapeId="1032" r:id="rId18" name="CommandButton7"/>
      </mc:Fallback>
    </mc:AlternateContent>
    <mc:AlternateContent xmlns:mc="http://schemas.openxmlformats.org/markup-compatibility/2006">
      <mc:Choice Requires="x14">
        <control shapeId="1031" r:id="rId20" name="CommandButton6">
          <controlPr defaultSize="0" autoLine="0" r:id="rId21">
            <anchor moveWithCells="1">
              <from>
                <xdr:col>0</xdr:col>
                <xdr:colOff>257175</xdr:colOff>
                <xdr:row>19</xdr:row>
                <xdr:rowOff>123825</xdr:rowOff>
              </from>
              <to>
                <xdr:col>5</xdr:col>
                <xdr:colOff>142875</xdr:colOff>
                <xdr:row>22</xdr:row>
                <xdr:rowOff>76200</xdr:rowOff>
              </to>
            </anchor>
          </controlPr>
        </control>
      </mc:Choice>
      <mc:Fallback>
        <control shapeId="1031" r:id="rId20" name="CommandButton6"/>
      </mc:Fallback>
    </mc:AlternateContent>
    <mc:AlternateContent xmlns:mc="http://schemas.openxmlformats.org/markup-compatibility/2006">
      <mc:Choice Requires="x14">
        <control shapeId="1030" r:id="rId22" name="CommandButton5">
          <controlPr defaultSize="0" autoLine="0" r:id="rId23">
            <anchor moveWithCells="1">
              <from>
                <xdr:col>5</xdr:col>
                <xdr:colOff>428625</xdr:colOff>
                <xdr:row>16</xdr:row>
                <xdr:rowOff>57150</xdr:rowOff>
              </from>
              <to>
                <xdr:col>10</xdr:col>
                <xdr:colOff>314325</xdr:colOff>
                <xdr:row>19</xdr:row>
                <xdr:rowOff>9525</xdr:rowOff>
              </to>
            </anchor>
          </controlPr>
        </control>
      </mc:Choice>
      <mc:Fallback>
        <control shapeId="1030" r:id="rId22" name="CommandButton5"/>
      </mc:Fallback>
    </mc:AlternateContent>
    <mc:AlternateContent xmlns:mc="http://schemas.openxmlformats.org/markup-compatibility/2006">
      <mc:Choice Requires="x14">
        <control shapeId="1029" r:id="rId24" name="CommandButton4">
          <controlPr defaultSize="0" autoLine="0" r:id="rId25">
            <anchor moveWithCells="1">
              <from>
                <xdr:col>0</xdr:col>
                <xdr:colOff>247650</xdr:colOff>
                <xdr:row>16</xdr:row>
                <xdr:rowOff>57150</xdr:rowOff>
              </from>
              <to>
                <xdr:col>5</xdr:col>
                <xdr:colOff>133350</xdr:colOff>
                <xdr:row>19</xdr:row>
                <xdr:rowOff>9525</xdr:rowOff>
              </to>
            </anchor>
          </controlPr>
        </control>
      </mc:Choice>
      <mc:Fallback>
        <control shapeId="1029" r:id="rId24" name="CommandButton4"/>
      </mc:Fallback>
    </mc:AlternateContent>
    <mc:AlternateContent xmlns:mc="http://schemas.openxmlformats.org/markup-compatibility/2006">
      <mc:Choice Requires="x14">
        <control shapeId="1028" r:id="rId26" name="CommandButton3">
          <controlPr defaultSize="0" autoLine="0" r:id="rId27">
            <anchor moveWithCells="1">
              <from>
                <xdr:col>13</xdr:col>
                <xdr:colOff>485775</xdr:colOff>
                <xdr:row>0</xdr:row>
                <xdr:rowOff>133350</xdr:rowOff>
              </from>
              <to>
                <xdr:col>18</xdr:col>
                <xdr:colOff>266700</xdr:colOff>
                <xdr:row>3</xdr:row>
                <xdr:rowOff>104775</xdr:rowOff>
              </to>
            </anchor>
          </controlPr>
        </control>
      </mc:Choice>
      <mc:Fallback>
        <control shapeId="1028" r:id="rId26" name="CommandButton3"/>
      </mc:Fallback>
    </mc:AlternateContent>
    <mc:AlternateContent xmlns:mc="http://schemas.openxmlformats.org/markup-compatibility/2006">
      <mc:Choice Requires="x14">
        <control shapeId="1027" r:id="rId28" name="CommandButton2">
          <controlPr defaultSize="0" autoLine="0" r:id="rId29">
            <anchor moveWithCells="1">
              <from>
                <xdr:col>11</xdr:col>
                <xdr:colOff>219075</xdr:colOff>
                <xdr:row>0</xdr:row>
                <xdr:rowOff>142875</xdr:rowOff>
              </from>
              <to>
                <xdr:col>13</xdr:col>
                <xdr:colOff>114300</xdr:colOff>
                <xdr:row>3</xdr:row>
                <xdr:rowOff>76200</xdr:rowOff>
              </to>
            </anchor>
          </controlPr>
        </control>
      </mc:Choice>
      <mc:Fallback>
        <control shapeId="1027" r:id="rId28" name="CommandButton2"/>
      </mc:Fallback>
    </mc:AlternateContent>
    <mc:AlternateContent xmlns:mc="http://schemas.openxmlformats.org/markup-compatibility/2006">
      <mc:Choice Requires="x14">
        <control shapeId="1026" r:id="rId30" name="CommandButton1">
          <controlPr defaultSize="0" autoFill="0" autoLine="0" r:id="rId31">
            <anchor moveWithCells="1">
              <from>
                <xdr:col>9</xdr:col>
                <xdr:colOff>66675</xdr:colOff>
                <xdr:row>0</xdr:row>
                <xdr:rowOff>57150</xdr:rowOff>
              </from>
              <to>
                <xdr:col>10</xdr:col>
                <xdr:colOff>457200</xdr:colOff>
                <xdr:row>2</xdr:row>
                <xdr:rowOff>57150</xdr:rowOff>
              </to>
            </anchor>
          </controlPr>
        </control>
      </mc:Choice>
      <mc:Fallback>
        <control shapeId="1026" r:id="rId30"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CA616-AD97-46B1-9010-5FD2A63EE137}">
  <sheetPr codeName="Sheet4">
    <tabColor theme="9" tint="-0.249977111117893"/>
  </sheetPr>
  <dimension ref="A1:L1869"/>
  <sheetViews>
    <sheetView topLeftCell="A25" workbookViewId="0">
      <selection activeCell="C32" sqref="C32"/>
    </sheetView>
  </sheetViews>
  <sheetFormatPr defaultRowHeight="12.75" x14ac:dyDescent="0.2"/>
  <cols>
    <col min="1" max="1" width="18.5703125" style="167" customWidth="1"/>
    <col min="2" max="2" width="27.5703125" style="167" customWidth="1"/>
    <col min="3" max="3" width="9.140625" style="167"/>
    <col min="4" max="5" width="10.42578125" style="167" bestFit="1" customWidth="1"/>
    <col min="6" max="6" width="9.42578125" style="167" bestFit="1" customWidth="1"/>
    <col min="7" max="7" width="10.42578125" style="167" bestFit="1" customWidth="1"/>
    <col min="8" max="9" width="9.140625" style="167"/>
    <col min="10" max="10" width="11.140625" style="167" customWidth="1"/>
    <col min="11" max="16384" width="9.140625" style="167"/>
  </cols>
  <sheetData>
    <row r="1" spans="1:12" x14ac:dyDescent="0.2">
      <c r="A1" s="215" t="s">
        <v>3497</v>
      </c>
      <c r="B1" s="215"/>
      <c r="C1" s="215"/>
      <c r="D1" s="215"/>
      <c r="E1" s="215"/>
      <c r="F1" s="215"/>
      <c r="G1" s="215"/>
    </row>
    <row r="2" spans="1:12" x14ac:dyDescent="0.2">
      <c r="A2" s="169" t="s">
        <v>3498</v>
      </c>
      <c r="D2" s="167" t="s">
        <v>1487</v>
      </c>
      <c r="L2" s="170"/>
    </row>
    <row r="3" spans="1:12" x14ac:dyDescent="0.2">
      <c r="A3" s="169" t="s">
        <v>3499</v>
      </c>
    </row>
    <row r="4" spans="1:12" x14ac:dyDescent="0.2">
      <c r="A4" s="169" t="s">
        <v>3500</v>
      </c>
    </row>
    <row r="5" spans="1:12" x14ac:dyDescent="0.2">
      <c r="A5" s="169" t="s">
        <v>23</v>
      </c>
    </row>
    <row r="6" spans="1:12" x14ac:dyDescent="0.2">
      <c r="A6" s="169" t="s">
        <v>3501</v>
      </c>
    </row>
    <row r="7" spans="1:12" x14ac:dyDescent="0.2">
      <c r="A7" s="169" t="s">
        <v>24</v>
      </c>
    </row>
    <row r="8" spans="1:12" x14ac:dyDescent="0.2">
      <c r="A8" s="169" t="s">
        <v>25</v>
      </c>
    </row>
    <row r="9" spans="1:12" x14ac:dyDescent="0.2">
      <c r="A9" s="169" t="s">
        <v>26</v>
      </c>
    </row>
    <row r="10" spans="1:12" x14ac:dyDescent="0.2">
      <c r="A10" s="169" t="s">
        <v>3502</v>
      </c>
    </row>
    <row r="11" spans="1:12" x14ac:dyDescent="0.2">
      <c r="A11" s="169" t="s">
        <v>3503</v>
      </c>
    </row>
    <row r="12" spans="1:12" x14ac:dyDescent="0.2">
      <c r="A12" s="169" t="s">
        <v>3504</v>
      </c>
    </row>
    <row r="13" spans="1:12" x14ac:dyDescent="0.2">
      <c r="A13" s="169" t="s">
        <v>3505</v>
      </c>
    </row>
    <row r="14" spans="1:12" x14ac:dyDescent="0.2">
      <c r="A14" s="169" t="s">
        <v>27</v>
      </c>
      <c r="B14" s="170"/>
    </row>
    <row r="15" spans="1:12" x14ac:dyDescent="0.2">
      <c r="A15" s="169" t="s">
        <v>3506</v>
      </c>
      <c r="B15" s="174">
        <f>DATEDIF(B14,B34,"y")</f>
        <v>0</v>
      </c>
      <c r="F15" s="174">
        <f>DATEDIF(B14,B34,"y")</f>
        <v>0</v>
      </c>
    </row>
    <row r="16" spans="1:12" x14ac:dyDescent="0.2">
      <c r="A16" s="169" t="s">
        <v>2</v>
      </c>
    </row>
    <row r="17" spans="1:7" x14ac:dyDescent="0.2">
      <c r="A17" s="169" t="s">
        <v>8</v>
      </c>
    </row>
    <row r="18" spans="1:7" x14ac:dyDescent="0.2">
      <c r="A18" s="169" t="s">
        <v>3507</v>
      </c>
    </row>
    <row r="19" spans="1:7" x14ac:dyDescent="0.2">
      <c r="A19" s="169" t="s">
        <v>20</v>
      </c>
    </row>
    <row r="20" spans="1:7" x14ac:dyDescent="0.2">
      <c r="A20" s="215" t="s">
        <v>3508</v>
      </c>
      <c r="B20" s="215"/>
      <c r="C20" s="215"/>
      <c r="D20" s="215"/>
      <c r="E20" s="215"/>
      <c r="F20" s="215"/>
      <c r="G20" s="215"/>
    </row>
    <row r="21" spans="1:7" x14ac:dyDescent="0.2">
      <c r="A21" s="169" t="s">
        <v>3509</v>
      </c>
      <c r="B21" s="175"/>
    </row>
    <row r="22" spans="1:7" x14ac:dyDescent="0.2">
      <c r="A22" s="169" t="s">
        <v>3510</v>
      </c>
    </row>
    <row r="23" spans="1:7" x14ac:dyDescent="0.2">
      <c r="A23" s="169" t="s">
        <v>31</v>
      </c>
      <c r="B23" s="167" t="b">
        <v>0</v>
      </c>
    </row>
    <row r="24" spans="1:7" x14ac:dyDescent="0.2">
      <c r="A24" s="169" t="s">
        <v>32</v>
      </c>
      <c r="B24" s="167" t="b">
        <v>0</v>
      </c>
    </row>
    <row r="25" spans="1:7" x14ac:dyDescent="0.2">
      <c r="A25" s="169" t="s">
        <v>33</v>
      </c>
      <c r="B25" s="167" t="b">
        <v>0</v>
      </c>
    </row>
    <row r="26" spans="1:7" x14ac:dyDescent="0.2">
      <c r="A26" s="169" t="s">
        <v>34</v>
      </c>
      <c r="B26" s="167" t="b">
        <v>0</v>
      </c>
    </row>
    <row r="27" spans="1:7" x14ac:dyDescent="0.2">
      <c r="A27" s="169" t="s">
        <v>3511</v>
      </c>
    </row>
    <row r="28" spans="1:7" x14ac:dyDescent="0.2">
      <c r="A28" s="169" t="s">
        <v>28</v>
      </c>
    </row>
    <row r="29" spans="1:7" x14ac:dyDescent="0.2">
      <c r="A29" s="215" t="s">
        <v>3512</v>
      </c>
      <c r="B29" s="215"/>
      <c r="C29" s="215"/>
      <c r="D29" s="215"/>
      <c r="E29" s="215"/>
      <c r="F29" s="215"/>
      <c r="G29" s="215"/>
    </row>
    <row r="30" spans="1:7" x14ac:dyDescent="0.2">
      <c r="A30" s="169" t="s">
        <v>3513</v>
      </c>
      <c r="B30" s="170"/>
      <c r="C30" s="167" t="s">
        <v>3514</v>
      </c>
      <c r="E30" s="176">
        <f>EDATE(B34,2)</f>
        <v>60</v>
      </c>
      <c r="F30" s="176">
        <f>E30</f>
        <v>60</v>
      </c>
      <c r="G30" s="170"/>
    </row>
    <row r="31" spans="1:7" x14ac:dyDescent="0.2">
      <c r="A31" s="169" t="s">
        <v>3515</v>
      </c>
    </row>
    <row r="32" spans="1:7" x14ac:dyDescent="0.2">
      <c r="A32" s="169" t="s">
        <v>3516</v>
      </c>
      <c r="B32" s="170"/>
    </row>
    <row r="33" spans="1:7" x14ac:dyDescent="0.2">
      <c r="A33" s="169" t="s">
        <v>3517</v>
      </c>
      <c r="B33" s="170"/>
    </row>
    <row r="34" spans="1:7" x14ac:dyDescent="0.2">
      <c r="A34" s="169" t="s">
        <v>3518</v>
      </c>
      <c r="B34" s="170"/>
    </row>
    <row r="35" spans="1:7" x14ac:dyDescent="0.2">
      <c r="A35" s="169" t="s">
        <v>35</v>
      </c>
      <c r="B35" s="170"/>
    </row>
    <row r="36" spans="1:7" x14ac:dyDescent="0.2">
      <c r="A36" s="169" t="s">
        <v>3519</v>
      </c>
      <c r="B36" s="176">
        <f>SUM(B34+365)</f>
        <v>365</v>
      </c>
    </row>
    <row r="37" spans="1:7" x14ac:dyDescent="0.2">
      <c r="A37" s="215" t="s">
        <v>3520</v>
      </c>
      <c r="B37" s="215"/>
      <c r="C37" s="215"/>
      <c r="D37" s="215"/>
      <c r="E37" s="215"/>
      <c r="F37" s="215"/>
      <c r="G37" s="215"/>
    </row>
    <row r="38" spans="1:7" x14ac:dyDescent="0.2">
      <c r="A38" s="167" t="s">
        <v>3521</v>
      </c>
    </row>
    <row r="39" spans="1:7" x14ac:dyDescent="0.2">
      <c r="A39" s="167" t="s">
        <v>3522</v>
      </c>
    </row>
    <row r="40" spans="1:7" x14ac:dyDescent="0.2">
      <c r="A40" s="167" t="s">
        <v>3523</v>
      </c>
    </row>
    <row r="41" spans="1:7" x14ac:dyDescent="0.2">
      <c r="A41" s="167" t="s">
        <v>3524</v>
      </c>
    </row>
    <row r="42" spans="1:7" x14ac:dyDescent="0.2">
      <c r="A42" s="215" t="s">
        <v>3525</v>
      </c>
      <c r="B42" s="215"/>
      <c r="C42" s="215"/>
      <c r="D42" s="215"/>
      <c r="E42" s="215"/>
      <c r="F42" s="215"/>
      <c r="G42" s="215"/>
    </row>
    <row r="43" spans="1:7" x14ac:dyDescent="0.2">
      <c r="A43" s="169" t="s">
        <v>3526</v>
      </c>
    </row>
    <row r="44" spans="1:7" x14ac:dyDescent="0.2">
      <c r="A44" s="169" t="s">
        <v>23</v>
      </c>
    </row>
    <row r="45" spans="1:7" x14ac:dyDescent="0.2">
      <c r="A45" s="169" t="s">
        <v>3503</v>
      </c>
    </row>
    <row r="46" spans="1:7" x14ac:dyDescent="0.2">
      <c r="A46" s="169" t="s">
        <v>3504</v>
      </c>
    </row>
    <row r="47" spans="1:7" x14ac:dyDescent="0.2">
      <c r="A47" s="169" t="s">
        <v>3505</v>
      </c>
    </row>
    <row r="48" spans="1:7" x14ac:dyDescent="0.2">
      <c r="A48" s="169" t="s">
        <v>50</v>
      </c>
    </row>
    <row r="49" spans="1:7" x14ac:dyDescent="0.2">
      <c r="A49" s="169" t="s">
        <v>51</v>
      </c>
      <c r="B49" s="167" t="b">
        <v>0</v>
      </c>
    </row>
    <row r="50" spans="1:7" x14ac:dyDescent="0.2">
      <c r="A50" s="169" t="s">
        <v>3527</v>
      </c>
      <c r="B50" s="167" t="b">
        <v>0</v>
      </c>
    </row>
    <row r="51" spans="1:7" x14ac:dyDescent="0.2">
      <c r="A51" s="169" t="s">
        <v>3528</v>
      </c>
      <c r="B51" s="167" t="b">
        <v>0</v>
      </c>
    </row>
    <row r="52" spans="1:7" x14ac:dyDescent="0.2">
      <c r="A52" s="169" t="s">
        <v>3529</v>
      </c>
      <c r="B52" s="167" t="b">
        <v>0</v>
      </c>
    </row>
    <row r="53" spans="1:7" x14ac:dyDescent="0.2">
      <c r="A53" s="169" t="s">
        <v>3530</v>
      </c>
      <c r="B53" s="167" t="b">
        <v>0</v>
      </c>
    </row>
    <row r="54" spans="1:7" x14ac:dyDescent="0.2">
      <c r="A54" s="215" t="s">
        <v>3531</v>
      </c>
      <c r="B54" s="215"/>
      <c r="C54" s="215"/>
      <c r="D54" s="215"/>
      <c r="E54" s="215"/>
      <c r="F54" s="215"/>
      <c r="G54" s="215"/>
    </row>
    <row r="55" spans="1:7" x14ac:dyDescent="0.2">
      <c r="A55" s="169" t="s">
        <v>3526</v>
      </c>
    </row>
    <row r="56" spans="1:7" x14ac:dyDescent="0.2">
      <c r="A56" s="169" t="s">
        <v>23</v>
      </c>
    </row>
    <row r="57" spans="1:7" x14ac:dyDescent="0.2">
      <c r="A57" s="169" t="s">
        <v>3503</v>
      </c>
    </row>
    <row r="58" spans="1:7" x14ac:dyDescent="0.2">
      <c r="A58" s="169" t="s">
        <v>3504</v>
      </c>
    </row>
    <row r="59" spans="1:7" x14ac:dyDescent="0.2">
      <c r="A59" s="169" t="s">
        <v>3505</v>
      </c>
    </row>
    <row r="60" spans="1:7" x14ac:dyDescent="0.2">
      <c r="A60" s="169" t="s">
        <v>50</v>
      </c>
    </row>
    <row r="61" spans="1:7" x14ac:dyDescent="0.2">
      <c r="A61" s="169" t="s">
        <v>51</v>
      </c>
      <c r="B61" s="167" t="b">
        <v>0</v>
      </c>
    </row>
    <row r="62" spans="1:7" x14ac:dyDescent="0.2">
      <c r="A62" s="169" t="s">
        <v>3527</v>
      </c>
      <c r="B62" s="167" t="b">
        <v>0</v>
      </c>
    </row>
    <row r="63" spans="1:7" x14ac:dyDescent="0.2">
      <c r="A63" s="169" t="s">
        <v>3528</v>
      </c>
      <c r="B63" s="167" t="b">
        <v>0</v>
      </c>
    </row>
    <row r="64" spans="1:7" x14ac:dyDescent="0.2">
      <c r="A64" s="169" t="s">
        <v>3529</v>
      </c>
      <c r="B64" s="167" t="b">
        <v>0</v>
      </c>
    </row>
    <row r="65" spans="1:7" x14ac:dyDescent="0.2">
      <c r="A65" s="169" t="s">
        <v>3530</v>
      </c>
      <c r="B65" s="167" t="b">
        <v>0</v>
      </c>
    </row>
    <row r="66" spans="1:7" x14ac:dyDescent="0.2">
      <c r="A66" s="215" t="s">
        <v>3532</v>
      </c>
      <c r="B66" s="215"/>
      <c r="C66" s="215"/>
      <c r="D66" s="215"/>
      <c r="E66" s="215"/>
      <c r="F66" s="215"/>
      <c r="G66" s="215"/>
    </row>
    <row r="67" spans="1:7" x14ac:dyDescent="0.2">
      <c r="A67" s="169" t="s">
        <v>3526</v>
      </c>
    </row>
    <row r="68" spans="1:7" x14ac:dyDescent="0.2">
      <c r="A68" s="169" t="s">
        <v>23</v>
      </c>
    </row>
    <row r="69" spans="1:7" x14ac:dyDescent="0.2">
      <c r="A69" s="169" t="s">
        <v>3503</v>
      </c>
    </row>
    <row r="70" spans="1:7" x14ac:dyDescent="0.2">
      <c r="A70" s="169" t="s">
        <v>3504</v>
      </c>
    </row>
    <row r="71" spans="1:7" x14ac:dyDescent="0.2">
      <c r="A71" s="169" t="s">
        <v>3505</v>
      </c>
    </row>
    <row r="72" spans="1:7" x14ac:dyDescent="0.2">
      <c r="A72" s="169" t="s">
        <v>50</v>
      </c>
    </row>
    <row r="73" spans="1:7" x14ac:dyDescent="0.2">
      <c r="A73" s="169" t="s">
        <v>51</v>
      </c>
      <c r="B73" s="167" t="b">
        <v>0</v>
      </c>
    </row>
    <row r="74" spans="1:7" x14ac:dyDescent="0.2">
      <c r="A74" s="169" t="s">
        <v>3527</v>
      </c>
      <c r="B74" s="167" t="b">
        <v>0</v>
      </c>
    </row>
    <row r="75" spans="1:7" x14ac:dyDescent="0.2">
      <c r="A75" s="169" t="s">
        <v>3528</v>
      </c>
      <c r="B75" s="167" t="b">
        <v>0</v>
      </c>
    </row>
    <row r="76" spans="1:7" x14ac:dyDescent="0.2">
      <c r="A76" s="169" t="s">
        <v>3529</v>
      </c>
      <c r="B76" s="167" t="b">
        <v>0</v>
      </c>
    </row>
    <row r="77" spans="1:7" x14ac:dyDescent="0.2">
      <c r="A77" s="169" t="s">
        <v>3530</v>
      </c>
      <c r="B77" s="167" t="b">
        <v>0</v>
      </c>
    </row>
    <row r="78" spans="1:7" x14ac:dyDescent="0.2">
      <c r="A78" s="215" t="s">
        <v>3533</v>
      </c>
      <c r="B78" s="215"/>
      <c r="C78" s="215"/>
      <c r="D78" s="215"/>
      <c r="E78" s="215"/>
      <c r="F78" s="215"/>
      <c r="G78" s="215"/>
    </row>
    <row r="79" spans="1:7" x14ac:dyDescent="0.2">
      <c r="A79" s="169" t="s">
        <v>3534</v>
      </c>
    </row>
    <row r="80" spans="1:7" x14ac:dyDescent="0.2">
      <c r="A80" s="169" t="s">
        <v>3535</v>
      </c>
    </row>
    <row r="81" spans="1:7" x14ac:dyDescent="0.2">
      <c r="A81" s="169" t="s">
        <v>3536</v>
      </c>
    </row>
    <row r="82" spans="1:7" x14ac:dyDescent="0.2">
      <c r="A82" s="169" t="s">
        <v>3537</v>
      </c>
    </row>
    <row r="83" spans="1:7" x14ac:dyDescent="0.2">
      <c r="A83" s="169" t="s">
        <v>3538</v>
      </c>
    </row>
    <row r="84" spans="1:7" x14ac:dyDescent="0.2">
      <c r="A84" s="169" t="s">
        <v>3539</v>
      </c>
    </row>
    <row r="85" spans="1:7" x14ac:dyDescent="0.2">
      <c r="A85" s="169" t="s">
        <v>3540</v>
      </c>
    </row>
    <row r="86" spans="1:7" x14ac:dyDescent="0.2">
      <c r="A86" s="215" t="s">
        <v>3541</v>
      </c>
      <c r="B86" s="215"/>
      <c r="C86" s="215"/>
      <c r="D86" s="215"/>
      <c r="E86" s="215"/>
      <c r="F86" s="215"/>
      <c r="G86" s="215"/>
    </row>
    <row r="87" spans="1:7" x14ac:dyDescent="0.2">
      <c r="A87" s="169" t="s">
        <v>3526</v>
      </c>
      <c r="C87" s="167" t="s">
        <v>3542</v>
      </c>
      <c r="D87" s="167" t="b">
        <v>0</v>
      </c>
    </row>
    <row r="88" spans="1:7" x14ac:dyDescent="0.2">
      <c r="A88" s="169" t="s">
        <v>23</v>
      </c>
      <c r="B88" s="168"/>
    </row>
    <row r="89" spans="1:7" x14ac:dyDescent="0.2">
      <c r="A89" s="169" t="s">
        <v>59</v>
      </c>
    </row>
    <row r="90" spans="1:7" x14ac:dyDescent="0.2">
      <c r="A90" s="169" t="s">
        <v>24</v>
      </c>
    </row>
    <row r="91" spans="1:7" x14ac:dyDescent="0.2">
      <c r="A91" s="169" t="s">
        <v>25</v>
      </c>
    </row>
    <row r="92" spans="1:7" x14ac:dyDescent="0.2">
      <c r="A92" s="169" t="s">
        <v>26</v>
      </c>
    </row>
    <row r="93" spans="1:7" x14ac:dyDescent="0.2">
      <c r="A93" s="169" t="s">
        <v>60</v>
      </c>
    </row>
    <row r="94" spans="1:7" x14ac:dyDescent="0.2">
      <c r="A94" s="169" t="s">
        <v>61</v>
      </c>
    </row>
    <row r="95" spans="1:7" x14ac:dyDescent="0.2">
      <c r="A95" s="169" t="s">
        <v>3543</v>
      </c>
    </row>
    <row r="96" spans="1:7" x14ac:dyDescent="0.2">
      <c r="A96" s="169" t="s">
        <v>3544</v>
      </c>
    </row>
    <row r="97" spans="1:7" x14ac:dyDescent="0.2">
      <c r="A97" s="215" t="s">
        <v>3545</v>
      </c>
      <c r="B97" s="215"/>
      <c r="C97" s="215"/>
      <c r="D97" s="215"/>
      <c r="E97" s="215"/>
      <c r="F97" s="215"/>
      <c r="G97" s="215"/>
    </row>
    <row r="98" spans="1:7" x14ac:dyDescent="0.2">
      <c r="A98" s="169" t="s">
        <v>62</v>
      </c>
    </row>
    <row r="99" spans="1:7" x14ac:dyDescent="0.2">
      <c r="A99" s="169" t="s">
        <v>3546</v>
      </c>
      <c r="B99" s="167" t="b">
        <v>0</v>
      </c>
    </row>
    <row r="100" spans="1:7" x14ac:dyDescent="0.2">
      <c r="A100" s="169" t="s">
        <v>3547</v>
      </c>
      <c r="B100" s="167" t="b">
        <v>0</v>
      </c>
    </row>
    <row r="101" spans="1:7" x14ac:dyDescent="0.2">
      <c r="A101" s="169" t="s">
        <v>3548</v>
      </c>
    </row>
    <row r="102" spans="1:7" x14ac:dyDescent="0.2">
      <c r="A102" s="169" t="s">
        <v>3549</v>
      </c>
    </row>
    <row r="103" spans="1:7" x14ac:dyDescent="0.2">
      <c r="A103" s="215" t="s">
        <v>3550</v>
      </c>
      <c r="B103" s="215"/>
      <c r="C103" s="215"/>
      <c r="D103" s="215"/>
      <c r="E103" s="215"/>
      <c r="F103" s="215"/>
      <c r="G103" s="215"/>
    </row>
    <row r="104" spans="1:7" x14ac:dyDescent="0.2">
      <c r="A104" s="169" t="s">
        <v>3551</v>
      </c>
      <c r="B104" s="171"/>
      <c r="D104" s="167">
        <v>2</v>
      </c>
      <c r="E104" s="167" t="b">
        <v>0</v>
      </c>
      <c r="F104" s="167" t="s">
        <v>2923</v>
      </c>
    </row>
    <row r="105" spans="1:7" x14ac:dyDescent="0.2">
      <c r="A105" s="169" t="s">
        <v>3552</v>
      </c>
      <c r="B105" s="177"/>
      <c r="D105" s="167">
        <v>3</v>
      </c>
      <c r="E105" s="167" t="b">
        <v>0</v>
      </c>
      <c r="F105" s="167" t="s">
        <v>2924</v>
      </c>
    </row>
    <row r="106" spans="1:7" x14ac:dyDescent="0.2">
      <c r="A106" s="169" t="s">
        <v>3553</v>
      </c>
      <c r="B106" s="171"/>
      <c r="D106" s="167">
        <v>4</v>
      </c>
      <c r="E106" s="167" t="b">
        <v>0</v>
      </c>
    </row>
    <row r="107" spans="1:7" x14ac:dyDescent="0.2">
      <c r="A107" s="169" t="s">
        <v>3554</v>
      </c>
      <c r="B107" s="171"/>
      <c r="D107" s="167" t="s">
        <v>3555</v>
      </c>
      <c r="E107" s="167" t="b">
        <v>0</v>
      </c>
    </row>
    <row r="108" spans="1:7" x14ac:dyDescent="0.2">
      <c r="A108" s="169" t="s">
        <v>3556</v>
      </c>
      <c r="B108" s="177"/>
      <c r="D108" s="167" t="s">
        <v>3557</v>
      </c>
      <c r="E108" s="167" t="b">
        <v>0</v>
      </c>
    </row>
    <row r="109" spans="1:7" x14ac:dyDescent="0.2">
      <c r="A109" s="215" t="s">
        <v>3558</v>
      </c>
      <c r="B109" s="215"/>
      <c r="C109" s="215"/>
      <c r="D109" s="215"/>
      <c r="E109" s="215"/>
      <c r="F109" s="215"/>
      <c r="G109" s="215"/>
    </row>
    <row r="110" spans="1:7" x14ac:dyDescent="0.2">
      <c r="A110" s="169" t="s">
        <v>50</v>
      </c>
    </row>
    <row r="111" spans="1:7" x14ac:dyDescent="0.2">
      <c r="A111" s="169" t="s">
        <v>3526</v>
      </c>
    </row>
    <row r="112" spans="1:7" x14ac:dyDescent="0.2">
      <c r="A112" s="169" t="s">
        <v>23</v>
      </c>
    </row>
    <row r="113" spans="1:7" x14ac:dyDescent="0.2">
      <c r="A113" s="169" t="s">
        <v>66</v>
      </c>
    </row>
    <row r="114" spans="1:7" x14ac:dyDescent="0.2">
      <c r="A114" s="169" t="s">
        <v>3505</v>
      </c>
    </row>
    <row r="115" spans="1:7" x14ac:dyDescent="0.2">
      <c r="A115" s="169" t="s">
        <v>67</v>
      </c>
      <c r="B115" s="167" t="b">
        <v>0</v>
      </c>
    </row>
    <row r="116" spans="1:7" x14ac:dyDescent="0.2">
      <c r="A116" s="169" t="s">
        <v>68</v>
      </c>
      <c r="B116" s="167" t="b">
        <v>0</v>
      </c>
    </row>
    <row r="117" spans="1:7" x14ac:dyDescent="0.2">
      <c r="A117" s="169" t="s">
        <v>3559</v>
      </c>
    </row>
    <row r="118" spans="1:7" x14ac:dyDescent="0.2">
      <c r="A118" s="215" t="s">
        <v>3560</v>
      </c>
      <c r="B118" s="215"/>
      <c r="C118" s="215"/>
      <c r="D118" s="215"/>
      <c r="E118" s="215"/>
      <c r="F118" s="215"/>
      <c r="G118" s="215"/>
    </row>
    <row r="119" spans="1:7" x14ac:dyDescent="0.2">
      <c r="A119" s="126"/>
      <c r="B119" s="126"/>
      <c r="C119" s="126"/>
      <c r="D119" s="126"/>
      <c r="E119" s="126" t="s">
        <v>3561</v>
      </c>
      <c r="F119" s="126"/>
      <c r="G119" s="126"/>
    </row>
    <row r="120" spans="1:7" x14ac:dyDescent="0.2">
      <c r="A120" s="126"/>
      <c r="B120" s="126"/>
      <c r="C120" s="126"/>
      <c r="D120" s="126"/>
      <c r="E120" s="126" t="s">
        <v>3562</v>
      </c>
      <c r="F120" s="126"/>
      <c r="G120" s="126"/>
    </row>
    <row r="121" spans="1:7" x14ac:dyDescent="0.2">
      <c r="A121" s="126"/>
      <c r="B121" s="126"/>
      <c r="C121" s="126"/>
      <c r="D121" s="126"/>
      <c r="E121" s="126" t="s">
        <v>3561</v>
      </c>
      <c r="F121" s="126"/>
      <c r="G121" s="126"/>
    </row>
    <row r="122" spans="1:7" x14ac:dyDescent="0.2">
      <c r="A122" s="126"/>
      <c r="B122" s="126"/>
      <c r="C122" s="126"/>
      <c r="D122" s="126"/>
      <c r="E122" s="126"/>
      <c r="F122" s="126"/>
      <c r="G122" s="126"/>
    </row>
    <row r="123" spans="1:7" x14ac:dyDescent="0.2">
      <c r="A123" s="126"/>
      <c r="B123" s="126"/>
      <c r="C123" s="126"/>
      <c r="D123" s="126"/>
      <c r="E123" s="126"/>
      <c r="F123" s="126"/>
      <c r="G123" s="126"/>
    </row>
    <row r="124" spans="1:7" x14ac:dyDescent="0.2">
      <c r="A124" s="126"/>
      <c r="B124" s="126"/>
      <c r="C124" s="126"/>
      <c r="D124" s="126"/>
      <c r="E124" s="126"/>
      <c r="F124" s="126"/>
      <c r="G124" s="126"/>
    </row>
    <row r="125" spans="1:7" x14ac:dyDescent="0.2">
      <c r="A125" s="126"/>
      <c r="B125" s="126"/>
      <c r="C125" s="126"/>
      <c r="D125" s="126"/>
      <c r="E125" s="126"/>
      <c r="F125" s="126"/>
      <c r="G125" s="126"/>
    </row>
    <row r="126" spans="1:7" x14ac:dyDescent="0.2">
      <c r="A126" s="126"/>
      <c r="B126" s="126"/>
      <c r="C126" s="126"/>
      <c r="D126" s="126"/>
      <c r="E126" s="126"/>
      <c r="F126" s="126"/>
      <c r="G126" s="126"/>
    </row>
    <row r="127" spans="1:7" x14ac:dyDescent="0.2">
      <c r="A127" s="126"/>
      <c r="B127" s="126"/>
      <c r="C127" s="126"/>
      <c r="D127" s="126"/>
      <c r="E127" s="126"/>
      <c r="F127" s="126"/>
      <c r="G127" s="126"/>
    </row>
    <row r="128" spans="1:7" x14ac:dyDescent="0.2">
      <c r="A128" s="126"/>
      <c r="B128" s="126"/>
      <c r="C128" s="126"/>
      <c r="D128" s="126"/>
      <c r="E128" s="126"/>
      <c r="F128" s="126"/>
      <c r="G128" s="126"/>
    </row>
    <row r="129" spans="1:7" x14ac:dyDescent="0.2">
      <c r="A129" s="126"/>
      <c r="B129" s="126"/>
      <c r="C129" s="126"/>
      <c r="D129" s="126"/>
      <c r="E129" s="126"/>
      <c r="F129" s="126"/>
      <c r="G129" s="126"/>
    </row>
    <row r="130" spans="1:7" x14ac:dyDescent="0.2">
      <c r="A130" s="126"/>
      <c r="B130" s="126"/>
      <c r="C130" s="126"/>
      <c r="D130" s="126"/>
      <c r="E130" s="126"/>
      <c r="F130" s="126"/>
      <c r="G130" s="126"/>
    </row>
    <row r="131" spans="1:7" x14ac:dyDescent="0.2">
      <c r="A131" s="126"/>
      <c r="B131" s="126"/>
      <c r="C131" s="126"/>
      <c r="D131" s="126"/>
      <c r="E131" s="126"/>
      <c r="F131" s="126"/>
      <c r="G131" s="126"/>
    </row>
    <row r="132" spans="1:7" x14ac:dyDescent="0.2">
      <c r="A132" s="126"/>
      <c r="B132" s="126"/>
      <c r="C132" s="126"/>
      <c r="D132" s="126"/>
      <c r="E132" s="126"/>
      <c r="F132" s="126"/>
      <c r="G132" s="126"/>
    </row>
    <row r="133" spans="1:7" x14ac:dyDescent="0.2">
      <c r="A133" s="126"/>
      <c r="B133" s="126"/>
      <c r="C133" s="126"/>
      <c r="D133" s="126"/>
      <c r="E133" s="126"/>
      <c r="F133" s="126"/>
      <c r="G133" s="126"/>
    </row>
    <row r="134" spans="1:7" x14ac:dyDescent="0.2">
      <c r="A134" s="126"/>
      <c r="B134" s="126"/>
      <c r="C134" s="126"/>
      <c r="D134" s="126"/>
      <c r="E134" s="126"/>
      <c r="F134" s="126"/>
      <c r="G134" s="126"/>
    </row>
    <row r="135" spans="1:7" x14ac:dyDescent="0.2">
      <c r="A135" s="126"/>
      <c r="B135" s="126"/>
      <c r="C135" s="126"/>
      <c r="D135" s="126"/>
      <c r="E135" s="126"/>
      <c r="F135" s="126"/>
      <c r="G135" s="126"/>
    </row>
    <row r="136" spans="1:7" x14ac:dyDescent="0.2">
      <c r="A136" s="126"/>
      <c r="B136" s="126"/>
      <c r="C136" s="126"/>
      <c r="D136" s="126"/>
      <c r="E136" s="126"/>
      <c r="F136" s="126"/>
      <c r="G136" s="126"/>
    </row>
    <row r="137" spans="1:7" x14ac:dyDescent="0.2">
      <c r="A137" s="126"/>
      <c r="B137" s="126"/>
      <c r="C137" s="126"/>
      <c r="D137" s="126"/>
      <c r="E137" s="126"/>
      <c r="F137" s="126"/>
      <c r="G137" s="126"/>
    </row>
    <row r="138" spans="1:7" x14ac:dyDescent="0.2">
      <c r="A138" s="126"/>
      <c r="B138" s="126"/>
      <c r="C138" s="126"/>
      <c r="D138" s="126"/>
      <c r="E138" s="126"/>
      <c r="F138" s="126"/>
      <c r="G138" s="126"/>
    </row>
    <row r="139" spans="1:7" x14ac:dyDescent="0.2">
      <c r="A139" s="126"/>
      <c r="B139" s="126"/>
      <c r="C139" s="126"/>
      <c r="D139" s="126"/>
      <c r="E139" s="126"/>
      <c r="F139" s="126"/>
      <c r="G139" s="126"/>
    </row>
    <row r="140" spans="1:7" x14ac:dyDescent="0.2">
      <c r="A140" s="215" t="s">
        <v>3563</v>
      </c>
      <c r="B140" s="215"/>
      <c r="C140" s="215"/>
      <c r="D140" s="215"/>
      <c r="E140" s="215"/>
      <c r="F140" s="215"/>
      <c r="G140" s="215"/>
    </row>
    <row r="141" spans="1:7" x14ac:dyDescent="0.2">
      <c r="A141" s="169" t="s">
        <v>3564</v>
      </c>
      <c r="B141" s="167" t="b">
        <v>0</v>
      </c>
      <c r="C141" s="167" t="s">
        <v>3565</v>
      </c>
      <c r="D141" s="167" t="b">
        <v>0</v>
      </c>
    </row>
    <row r="142" spans="1:7" x14ac:dyDescent="0.2">
      <c r="A142" s="169" t="s">
        <v>3566</v>
      </c>
      <c r="B142" s="167" t="b">
        <v>0</v>
      </c>
      <c r="C142" s="167" t="s">
        <v>3567</v>
      </c>
      <c r="D142" s="167" t="b">
        <v>0</v>
      </c>
    </row>
    <row r="143" spans="1:7" x14ac:dyDescent="0.2">
      <c r="A143" s="169" t="s">
        <v>3568</v>
      </c>
      <c r="B143" s="167" t="b">
        <v>0</v>
      </c>
      <c r="C143" s="167" t="s">
        <v>3569</v>
      </c>
      <c r="D143" s="167" t="b">
        <v>0</v>
      </c>
    </row>
    <row r="144" spans="1:7" x14ac:dyDescent="0.2">
      <c r="A144" s="169" t="s">
        <v>3570</v>
      </c>
      <c r="B144" s="167" t="b">
        <v>0</v>
      </c>
      <c r="C144" s="167" t="s">
        <v>3571</v>
      </c>
      <c r="D144" s="167" t="b">
        <v>0</v>
      </c>
    </row>
    <row r="145" spans="1:4" x14ac:dyDescent="0.2">
      <c r="A145" s="169" t="s">
        <v>3572</v>
      </c>
      <c r="B145" s="167" t="b">
        <v>0</v>
      </c>
      <c r="C145" s="167" t="s">
        <v>3573</v>
      </c>
      <c r="D145" s="167" t="b">
        <v>0</v>
      </c>
    </row>
    <row r="146" spans="1:4" x14ac:dyDescent="0.2">
      <c r="A146" s="169" t="s">
        <v>76</v>
      </c>
      <c r="B146" s="167" t="b">
        <v>0</v>
      </c>
      <c r="C146" s="167" t="s">
        <v>3574</v>
      </c>
      <c r="D146" s="167" t="b">
        <v>0</v>
      </c>
    </row>
    <row r="147" spans="1:4" x14ac:dyDescent="0.2">
      <c r="A147" s="169" t="s">
        <v>3575</v>
      </c>
      <c r="B147" s="167" t="b">
        <v>0</v>
      </c>
      <c r="C147" s="167" t="s">
        <v>3576</v>
      </c>
      <c r="D147" s="167" t="b">
        <v>0</v>
      </c>
    </row>
    <row r="148" spans="1:4" x14ac:dyDescent="0.2">
      <c r="A148" s="169" t="s">
        <v>3577</v>
      </c>
      <c r="B148" s="167" t="b">
        <v>0</v>
      </c>
    </row>
    <row r="149" spans="1:4" x14ac:dyDescent="0.2">
      <c r="A149" s="169" t="s">
        <v>3578</v>
      </c>
      <c r="B149" s="167" t="b">
        <v>0</v>
      </c>
    </row>
    <row r="150" spans="1:4" x14ac:dyDescent="0.2">
      <c r="A150" s="169" t="s">
        <v>3579</v>
      </c>
      <c r="B150" s="167" t="b">
        <v>0</v>
      </c>
    </row>
    <row r="151" spans="1:4" x14ac:dyDescent="0.2">
      <c r="A151" s="169" t="s">
        <v>3580</v>
      </c>
      <c r="B151" s="167" t="b">
        <v>0</v>
      </c>
    </row>
    <row r="152" spans="1:4" x14ac:dyDescent="0.2">
      <c r="A152" s="169" t="s">
        <v>3581</v>
      </c>
      <c r="B152" s="167" t="b">
        <v>0</v>
      </c>
    </row>
    <row r="153" spans="1:4" x14ac:dyDescent="0.2">
      <c r="A153" s="169" t="s">
        <v>3582</v>
      </c>
      <c r="B153" s="167" t="b">
        <v>0</v>
      </c>
    </row>
    <row r="154" spans="1:4" x14ac:dyDescent="0.2">
      <c r="A154" s="169" t="s">
        <v>3583</v>
      </c>
      <c r="B154" s="167" t="b">
        <v>0</v>
      </c>
    </row>
    <row r="155" spans="1:4" x14ac:dyDescent="0.2">
      <c r="A155" s="169" t="s">
        <v>3584</v>
      </c>
      <c r="B155" s="167" t="b">
        <v>0</v>
      </c>
    </row>
    <row r="156" spans="1:4" x14ac:dyDescent="0.2">
      <c r="A156" s="169" t="s">
        <v>77</v>
      </c>
      <c r="B156" s="167" t="b">
        <v>0</v>
      </c>
    </row>
    <row r="157" spans="1:4" x14ac:dyDescent="0.2">
      <c r="A157" s="169" t="s">
        <v>3585</v>
      </c>
      <c r="B157" s="167" t="b">
        <v>0</v>
      </c>
    </row>
    <row r="158" spans="1:4" x14ac:dyDescent="0.2">
      <c r="A158" s="169" t="s">
        <v>3586</v>
      </c>
      <c r="B158" s="167" t="b">
        <v>0</v>
      </c>
    </row>
    <row r="159" spans="1:4" x14ac:dyDescent="0.2">
      <c r="A159" s="169" t="s">
        <v>3587</v>
      </c>
      <c r="B159" s="167" t="b">
        <v>0</v>
      </c>
    </row>
    <row r="160" spans="1:4" x14ac:dyDescent="0.2">
      <c r="A160" s="169" t="s">
        <v>3588</v>
      </c>
      <c r="B160" s="167" t="b">
        <v>0</v>
      </c>
    </row>
    <row r="161" spans="1:7" x14ac:dyDescent="0.2">
      <c r="A161" s="169" t="s">
        <v>3589</v>
      </c>
      <c r="B161" s="167" t="b">
        <v>0</v>
      </c>
    </row>
    <row r="162" spans="1:7" x14ac:dyDescent="0.2">
      <c r="A162" s="169" t="s">
        <v>3590</v>
      </c>
      <c r="B162" s="167" t="b">
        <v>0</v>
      </c>
    </row>
    <row r="163" spans="1:7" x14ac:dyDescent="0.2">
      <c r="A163" s="169" t="s">
        <v>3591</v>
      </c>
      <c r="B163" s="167" t="b">
        <v>0</v>
      </c>
    </row>
    <row r="164" spans="1:7" x14ac:dyDescent="0.2">
      <c r="A164" s="169" t="s">
        <v>3592</v>
      </c>
      <c r="B164" s="167" t="b">
        <v>0</v>
      </c>
    </row>
    <row r="165" spans="1:7" x14ac:dyDescent="0.2">
      <c r="A165" s="169" t="s">
        <v>3593</v>
      </c>
    </row>
    <row r="166" spans="1:7" x14ac:dyDescent="0.2">
      <c r="A166" s="169" t="s">
        <v>3594</v>
      </c>
    </row>
    <row r="167" spans="1:7" x14ac:dyDescent="0.2">
      <c r="A167" s="215" t="s">
        <v>3595</v>
      </c>
      <c r="B167" s="215"/>
      <c r="C167" s="215"/>
      <c r="D167" s="215"/>
      <c r="E167" s="215"/>
      <c r="F167" s="215"/>
      <c r="G167" s="215"/>
    </row>
    <row r="168" spans="1:7" x14ac:dyDescent="0.2">
      <c r="A168" s="169" t="s">
        <v>3596</v>
      </c>
      <c r="C168" s="167" t="s">
        <v>3597</v>
      </c>
      <c r="D168" s="167" t="b">
        <v>0</v>
      </c>
      <c r="E168" s="167" t="s">
        <v>3598</v>
      </c>
      <c r="F168" s="167" t="b">
        <v>0</v>
      </c>
    </row>
    <row r="169" spans="1:7" x14ac:dyDescent="0.2">
      <c r="A169" s="215" t="s">
        <v>3599</v>
      </c>
      <c r="B169" s="215"/>
      <c r="C169" s="215"/>
      <c r="D169" s="215"/>
      <c r="E169" s="215"/>
      <c r="F169" s="215"/>
      <c r="G169" s="215"/>
    </row>
    <row r="170" spans="1:7" x14ac:dyDescent="0.2">
      <c r="A170" s="169" t="s">
        <v>3600</v>
      </c>
    </row>
    <row r="171" spans="1:7" x14ac:dyDescent="0.2">
      <c r="A171" s="169" t="s">
        <v>3601</v>
      </c>
    </row>
    <row r="172" spans="1:7" x14ac:dyDescent="0.2">
      <c r="A172" s="169" t="s">
        <v>3602</v>
      </c>
    </row>
    <row r="173" spans="1:7" x14ac:dyDescent="0.2">
      <c r="A173" s="215" t="s">
        <v>3603</v>
      </c>
      <c r="B173" s="215"/>
      <c r="C173" s="215"/>
      <c r="D173" s="215"/>
      <c r="E173" s="215"/>
      <c r="F173" s="215"/>
      <c r="G173" s="215"/>
    </row>
    <row r="174" spans="1:7" x14ac:dyDescent="0.2">
      <c r="A174" s="169" t="s">
        <v>3604</v>
      </c>
    </row>
    <row r="175" spans="1:7" x14ac:dyDescent="0.2">
      <c r="A175" s="169" t="s">
        <v>78</v>
      </c>
      <c r="B175" s="167">
        <f>MedicationFull!P21</f>
        <v>0</v>
      </c>
    </row>
    <row r="176" spans="1:7" x14ac:dyDescent="0.2">
      <c r="A176" s="169" t="s">
        <v>3605</v>
      </c>
    </row>
    <row r="177" spans="1:7" x14ac:dyDescent="0.2">
      <c r="A177" s="169" t="s">
        <v>3606</v>
      </c>
    </row>
    <row r="178" spans="1:7" x14ac:dyDescent="0.2">
      <c r="A178" s="169" t="s">
        <v>3607</v>
      </c>
      <c r="B178" s="167" t="b">
        <v>0</v>
      </c>
    </row>
    <row r="179" spans="1:7" x14ac:dyDescent="0.2">
      <c r="A179" s="169" t="s">
        <v>79</v>
      </c>
      <c r="B179" s="167" t="b">
        <v>0</v>
      </c>
    </row>
    <row r="180" spans="1:7" x14ac:dyDescent="0.2">
      <c r="A180" s="169" t="s">
        <v>80</v>
      </c>
      <c r="B180" s="167" t="b">
        <v>0</v>
      </c>
    </row>
    <row r="181" spans="1:7" x14ac:dyDescent="0.2">
      <c r="A181" s="169" t="s">
        <v>3608</v>
      </c>
    </row>
    <row r="182" spans="1:7" x14ac:dyDescent="0.2">
      <c r="A182" s="169" t="s">
        <v>81</v>
      </c>
    </row>
    <row r="183" spans="1:7" x14ac:dyDescent="0.2">
      <c r="A183" s="169" t="s">
        <v>82</v>
      </c>
    </row>
    <row r="184" spans="1:7" x14ac:dyDescent="0.2">
      <c r="A184" s="169" t="s">
        <v>83</v>
      </c>
    </row>
    <row r="185" spans="1:7" x14ac:dyDescent="0.2">
      <c r="A185" s="169" t="s">
        <v>62</v>
      </c>
    </row>
    <row r="186" spans="1:7" x14ac:dyDescent="0.2">
      <c r="A186" s="215" t="s">
        <v>3609</v>
      </c>
      <c r="B186" s="215"/>
      <c r="C186" s="215"/>
      <c r="D186" s="215"/>
      <c r="E186" s="215"/>
      <c r="F186" s="215"/>
      <c r="G186" s="215"/>
    </row>
    <row r="187" spans="1:7" x14ac:dyDescent="0.2">
      <c r="A187" s="169" t="s">
        <v>3610</v>
      </c>
    </row>
    <row r="188" spans="1:7" x14ac:dyDescent="0.2">
      <c r="A188" s="169" t="s">
        <v>3611</v>
      </c>
      <c r="B188" s="167" t="b">
        <v>0</v>
      </c>
    </row>
    <row r="189" spans="1:7" x14ac:dyDescent="0.2">
      <c r="A189" s="169" t="s">
        <v>3612</v>
      </c>
    </row>
    <row r="190" spans="1:7" x14ac:dyDescent="0.2">
      <c r="A190" s="169" t="s">
        <v>3611</v>
      </c>
      <c r="B190" s="167" t="b">
        <v>0</v>
      </c>
    </row>
    <row r="191" spans="1:7" x14ac:dyDescent="0.2">
      <c r="A191" s="169" t="s">
        <v>3613</v>
      </c>
    </row>
    <row r="192" spans="1:7" x14ac:dyDescent="0.2">
      <c r="A192" s="169" t="s">
        <v>3614</v>
      </c>
    </row>
    <row r="193" spans="1:7" x14ac:dyDescent="0.2">
      <c r="A193" s="169" t="s">
        <v>3615</v>
      </c>
    </row>
    <row r="194" spans="1:7" x14ac:dyDescent="0.2">
      <c r="A194" s="169" t="s">
        <v>3616</v>
      </c>
    </row>
    <row r="195" spans="1:7" x14ac:dyDescent="0.2">
      <c r="A195" s="169" t="s">
        <v>3617</v>
      </c>
    </row>
    <row r="196" spans="1:7" x14ac:dyDescent="0.2">
      <c r="A196" s="169" t="s">
        <v>95</v>
      </c>
    </row>
    <row r="197" spans="1:7" x14ac:dyDescent="0.2">
      <c r="A197" s="215" t="s">
        <v>3618</v>
      </c>
      <c r="B197" s="215"/>
      <c r="C197" s="215"/>
      <c r="D197" s="215"/>
      <c r="E197" s="215"/>
      <c r="F197" s="215"/>
      <c r="G197" s="215"/>
    </row>
    <row r="198" spans="1:7" x14ac:dyDescent="0.2">
      <c r="A198" s="169" t="s">
        <v>3619</v>
      </c>
      <c r="C198" s="167" t="s">
        <v>3620</v>
      </c>
    </row>
    <row r="199" spans="1:7" x14ac:dyDescent="0.2">
      <c r="A199" s="169" t="s">
        <v>50</v>
      </c>
    </row>
    <row r="200" spans="1:7" x14ac:dyDescent="0.2">
      <c r="A200" s="169" t="s">
        <v>3621</v>
      </c>
    </row>
    <row r="201" spans="1:7" x14ac:dyDescent="0.2">
      <c r="A201" s="169" t="s">
        <v>3622</v>
      </c>
      <c r="C201" s="167" t="s">
        <v>3623</v>
      </c>
    </row>
    <row r="202" spans="1:7" x14ac:dyDescent="0.2">
      <c r="A202" s="169" t="s">
        <v>3624</v>
      </c>
      <c r="C202" s="167" t="s">
        <v>3625</v>
      </c>
    </row>
    <row r="203" spans="1:7" x14ac:dyDescent="0.2">
      <c r="A203" s="169" t="s">
        <v>3626</v>
      </c>
      <c r="C203" s="167" t="s">
        <v>3627</v>
      </c>
    </row>
    <row r="204" spans="1:7" x14ac:dyDescent="0.2">
      <c r="A204" s="169" t="s">
        <v>3628</v>
      </c>
      <c r="C204" s="167" t="s">
        <v>3629</v>
      </c>
    </row>
    <row r="205" spans="1:7" x14ac:dyDescent="0.2">
      <c r="A205" s="169" t="s">
        <v>3630</v>
      </c>
      <c r="C205" s="167" t="s">
        <v>3631</v>
      </c>
    </row>
    <row r="206" spans="1:7" x14ac:dyDescent="0.2">
      <c r="A206" s="169" t="s">
        <v>3632</v>
      </c>
      <c r="C206" s="167" t="s">
        <v>3633</v>
      </c>
    </row>
    <row r="207" spans="1:7" x14ac:dyDescent="0.2">
      <c r="A207" s="169" t="s">
        <v>3634</v>
      </c>
      <c r="C207" s="167" t="s">
        <v>3635</v>
      </c>
    </row>
    <row r="208" spans="1:7" x14ac:dyDescent="0.2">
      <c r="A208" s="169" t="s">
        <v>3636</v>
      </c>
      <c r="C208" s="167" t="s">
        <v>3637</v>
      </c>
    </row>
    <row r="209" spans="1:7" x14ac:dyDescent="0.2">
      <c r="A209" s="215" t="s">
        <v>3638</v>
      </c>
      <c r="B209" s="215"/>
      <c r="C209" s="215"/>
      <c r="D209" s="215"/>
      <c r="E209" s="215"/>
      <c r="F209" s="215"/>
      <c r="G209" s="215"/>
    </row>
    <row r="210" spans="1:7" x14ac:dyDescent="0.2">
      <c r="A210" s="169" t="s">
        <v>3639</v>
      </c>
      <c r="B210" s="167" t="b">
        <v>0</v>
      </c>
    </row>
    <row r="211" spans="1:7" x14ac:dyDescent="0.2">
      <c r="A211" s="169" t="s">
        <v>103</v>
      </c>
      <c r="B211" s="167" t="b">
        <v>0</v>
      </c>
    </row>
    <row r="212" spans="1:7" x14ac:dyDescent="0.2">
      <c r="A212" s="169" t="s">
        <v>104</v>
      </c>
      <c r="B212" s="167" t="b">
        <v>0</v>
      </c>
    </row>
    <row r="213" spans="1:7" x14ac:dyDescent="0.2">
      <c r="A213" s="169" t="s">
        <v>3640</v>
      </c>
      <c r="B213" s="167" t="b">
        <v>0</v>
      </c>
    </row>
    <row r="214" spans="1:7" x14ac:dyDescent="0.2">
      <c r="A214" s="169" t="s">
        <v>3641</v>
      </c>
      <c r="B214" s="167" t="b">
        <v>0</v>
      </c>
    </row>
    <row r="215" spans="1:7" x14ac:dyDescent="0.2">
      <c r="A215" s="169" t="s">
        <v>105</v>
      </c>
      <c r="B215" s="167" t="b">
        <v>0</v>
      </c>
    </row>
    <row r="216" spans="1:7" x14ac:dyDescent="0.2">
      <c r="A216" s="169" t="s">
        <v>106</v>
      </c>
      <c r="B216" s="167" t="b">
        <v>0</v>
      </c>
    </row>
    <row r="217" spans="1:7" x14ac:dyDescent="0.2">
      <c r="A217" s="169" t="s">
        <v>3642</v>
      </c>
      <c r="B217" s="167" t="b">
        <v>0</v>
      </c>
    </row>
    <row r="218" spans="1:7" x14ac:dyDescent="0.2">
      <c r="A218" s="169" t="s">
        <v>3643</v>
      </c>
      <c r="B218" s="167" t="b">
        <v>0</v>
      </c>
    </row>
    <row r="219" spans="1:7" x14ac:dyDescent="0.2">
      <c r="A219" s="169" t="s">
        <v>3501</v>
      </c>
      <c r="B219" s="167" t="b">
        <v>0</v>
      </c>
    </row>
    <row r="220" spans="1:7" x14ac:dyDescent="0.2">
      <c r="A220" s="169" t="s">
        <v>3644</v>
      </c>
      <c r="B220" s="167" t="b">
        <v>0</v>
      </c>
    </row>
    <row r="221" spans="1:7" x14ac:dyDescent="0.2">
      <c r="A221" s="169" t="s">
        <v>3645</v>
      </c>
      <c r="B221" s="167" t="b">
        <v>0</v>
      </c>
    </row>
    <row r="222" spans="1:7" x14ac:dyDescent="0.2">
      <c r="A222" s="169" t="s">
        <v>3646</v>
      </c>
      <c r="B222" s="167" t="b">
        <v>0</v>
      </c>
    </row>
    <row r="223" spans="1:7" x14ac:dyDescent="0.2">
      <c r="A223" s="169" t="s">
        <v>3647</v>
      </c>
      <c r="B223" s="167" t="b">
        <v>0</v>
      </c>
    </row>
    <row r="224" spans="1:7" x14ac:dyDescent="0.2">
      <c r="A224" s="169" t="s">
        <v>3648</v>
      </c>
      <c r="B224" s="167" t="b">
        <v>0</v>
      </c>
    </row>
    <row r="225" spans="1:7" x14ac:dyDescent="0.2">
      <c r="A225" s="169" t="s">
        <v>3649</v>
      </c>
      <c r="B225" s="167" t="b">
        <v>0</v>
      </c>
    </row>
    <row r="226" spans="1:7" x14ac:dyDescent="0.2">
      <c r="A226" s="169" t="s">
        <v>107</v>
      </c>
      <c r="B226" s="167" t="b">
        <v>0</v>
      </c>
    </row>
    <row r="227" spans="1:7" x14ac:dyDescent="0.2">
      <c r="A227" s="169" t="s">
        <v>108</v>
      </c>
      <c r="B227" s="167" t="b">
        <v>0</v>
      </c>
    </row>
    <row r="228" spans="1:7" x14ac:dyDescent="0.2">
      <c r="A228" s="169" t="s">
        <v>56</v>
      </c>
      <c r="B228" s="167" t="b">
        <v>0</v>
      </c>
    </row>
    <row r="229" spans="1:7" x14ac:dyDescent="0.2">
      <c r="A229" s="169" t="s">
        <v>3650</v>
      </c>
    </row>
    <row r="230" spans="1:7" x14ac:dyDescent="0.2">
      <c r="A230" s="169" t="s">
        <v>3651</v>
      </c>
      <c r="B230" s="167" t="b">
        <v>0</v>
      </c>
    </row>
    <row r="231" spans="1:7" x14ac:dyDescent="0.2">
      <c r="A231" s="169" t="s">
        <v>3652</v>
      </c>
      <c r="B231" s="167" t="b">
        <v>0</v>
      </c>
    </row>
    <row r="232" spans="1:7" x14ac:dyDescent="0.2">
      <c r="A232" s="169" t="s">
        <v>3653</v>
      </c>
    </row>
    <row r="233" spans="1:7" x14ac:dyDescent="0.2">
      <c r="A233" s="169" t="s">
        <v>3654</v>
      </c>
    </row>
    <row r="234" spans="1:7" x14ac:dyDescent="0.2">
      <c r="A234" s="169" t="s">
        <v>3655</v>
      </c>
    </row>
    <row r="235" spans="1:7" x14ac:dyDescent="0.2">
      <c r="A235" s="169" t="s">
        <v>3656</v>
      </c>
    </row>
    <row r="236" spans="1:7" x14ac:dyDescent="0.2">
      <c r="A236" s="169" t="s">
        <v>102</v>
      </c>
    </row>
    <row r="237" spans="1:7" x14ac:dyDescent="0.2">
      <c r="A237" s="169" t="s">
        <v>109</v>
      </c>
    </row>
    <row r="238" spans="1:7" x14ac:dyDescent="0.2">
      <c r="A238" s="215" t="s">
        <v>3657</v>
      </c>
      <c r="B238" s="215"/>
      <c r="C238" s="215"/>
      <c r="D238" s="215"/>
      <c r="E238" s="215"/>
      <c r="F238" s="215"/>
      <c r="G238" s="215"/>
    </row>
    <row r="239" spans="1:7" x14ac:dyDescent="0.2">
      <c r="A239" s="169" t="s">
        <v>3658</v>
      </c>
    </row>
    <row r="240" spans="1:7" x14ac:dyDescent="0.2">
      <c r="A240" s="169" t="s">
        <v>110</v>
      </c>
    </row>
    <row r="241" spans="1:7" x14ac:dyDescent="0.2">
      <c r="A241" s="169" t="s">
        <v>3659</v>
      </c>
    </row>
    <row r="242" spans="1:7" x14ac:dyDescent="0.2">
      <c r="A242" s="169" t="s">
        <v>3660</v>
      </c>
    </row>
    <row r="243" spans="1:7" x14ac:dyDescent="0.2">
      <c r="A243" s="169" t="s">
        <v>3661</v>
      </c>
    </row>
    <row r="244" spans="1:7" x14ac:dyDescent="0.2">
      <c r="A244" s="169" t="s">
        <v>110</v>
      </c>
    </row>
    <row r="245" spans="1:7" x14ac:dyDescent="0.2">
      <c r="A245" s="169" t="s">
        <v>3659</v>
      </c>
    </row>
    <row r="246" spans="1:7" x14ac:dyDescent="0.2">
      <c r="A246" s="169" t="s">
        <v>3660</v>
      </c>
    </row>
    <row r="247" spans="1:7" x14ac:dyDescent="0.2">
      <c r="A247" s="169" t="s">
        <v>3662</v>
      </c>
    </row>
    <row r="248" spans="1:7" x14ac:dyDescent="0.2">
      <c r="A248" s="169" t="s">
        <v>3663</v>
      </c>
    </row>
    <row r="249" spans="1:7" x14ac:dyDescent="0.2">
      <c r="A249" s="169" t="s">
        <v>3659</v>
      </c>
    </row>
    <row r="250" spans="1:7" x14ac:dyDescent="0.2">
      <c r="A250" s="169" t="s">
        <v>3660</v>
      </c>
    </row>
    <row r="251" spans="1:7" x14ac:dyDescent="0.2">
      <c r="A251" s="169" t="s">
        <v>3664</v>
      </c>
      <c r="B251" s="167" t="b">
        <v>1</v>
      </c>
    </row>
    <row r="252" spans="1:7" x14ac:dyDescent="0.2">
      <c r="A252" s="169" t="s">
        <v>3665</v>
      </c>
      <c r="B252" s="167" t="b">
        <v>1</v>
      </c>
    </row>
    <row r="253" spans="1:7" x14ac:dyDescent="0.2">
      <c r="A253" s="169" t="s">
        <v>3666</v>
      </c>
      <c r="B253" s="167" t="b">
        <v>1</v>
      </c>
    </row>
    <row r="254" spans="1:7" x14ac:dyDescent="0.2">
      <c r="A254" s="169" t="s">
        <v>102</v>
      </c>
    </row>
    <row r="255" spans="1:7" x14ac:dyDescent="0.2">
      <c r="A255" s="215" t="s">
        <v>3667</v>
      </c>
      <c r="B255" s="215"/>
      <c r="C255" s="215"/>
      <c r="D255" s="215"/>
      <c r="E255" s="215"/>
      <c r="F255" s="215"/>
      <c r="G255" s="215"/>
    </row>
    <row r="256" spans="1:7" x14ac:dyDescent="0.2">
      <c r="A256" s="169" t="s">
        <v>3668</v>
      </c>
      <c r="B256" s="167" t="b">
        <v>0</v>
      </c>
    </row>
    <row r="257" spans="1:7" x14ac:dyDescent="0.2">
      <c r="A257" s="169" t="s">
        <v>3669</v>
      </c>
      <c r="B257" s="167" t="b">
        <v>0</v>
      </c>
    </row>
    <row r="258" spans="1:7" x14ac:dyDescent="0.2">
      <c r="A258" s="169" t="s">
        <v>3670</v>
      </c>
      <c r="B258" s="167" t="b">
        <v>0</v>
      </c>
    </row>
    <row r="259" spans="1:7" x14ac:dyDescent="0.2">
      <c r="A259" s="169" t="s">
        <v>3671</v>
      </c>
      <c r="B259" s="167" t="b">
        <v>0</v>
      </c>
    </row>
    <row r="260" spans="1:7" x14ac:dyDescent="0.2">
      <c r="A260" s="169" t="s">
        <v>3672</v>
      </c>
    </row>
    <row r="261" spans="1:7" x14ac:dyDescent="0.2">
      <c r="A261" s="169" t="s">
        <v>3673</v>
      </c>
    </row>
    <row r="262" spans="1:7" x14ac:dyDescent="0.2">
      <c r="A262" s="169" t="s">
        <v>111</v>
      </c>
      <c r="B262" s="167" t="b">
        <v>0</v>
      </c>
    </row>
    <row r="263" spans="1:7" x14ac:dyDescent="0.2">
      <c r="A263" s="169" t="s">
        <v>112</v>
      </c>
      <c r="B263" s="167" t="b">
        <v>0</v>
      </c>
    </row>
    <row r="264" spans="1:7" x14ac:dyDescent="0.2">
      <c r="A264" s="169" t="s">
        <v>3674</v>
      </c>
      <c r="B264" s="167" t="b">
        <v>0</v>
      </c>
    </row>
    <row r="265" spans="1:7" x14ac:dyDescent="0.2">
      <c r="A265" s="169" t="s">
        <v>113</v>
      </c>
      <c r="B265" s="167" t="b">
        <v>0</v>
      </c>
    </row>
    <row r="266" spans="1:7" x14ac:dyDescent="0.2">
      <c r="A266" s="169" t="s">
        <v>3675</v>
      </c>
      <c r="B266" s="167" t="b">
        <v>0</v>
      </c>
    </row>
    <row r="267" spans="1:7" x14ac:dyDescent="0.2">
      <c r="A267" s="169" t="s">
        <v>3676</v>
      </c>
    </row>
    <row r="268" spans="1:7" x14ac:dyDescent="0.2">
      <c r="A268" s="169" t="s">
        <v>102</v>
      </c>
    </row>
    <row r="269" spans="1:7" x14ac:dyDescent="0.2">
      <c r="A269" s="215" t="s">
        <v>3677</v>
      </c>
      <c r="B269" s="215"/>
      <c r="C269" s="215"/>
      <c r="D269" s="215"/>
      <c r="E269" s="215"/>
      <c r="F269" s="215"/>
      <c r="G269" s="215"/>
    </row>
    <row r="270" spans="1:7" x14ac:dyDescent="0.2">
      <c r="A270" s="169" t="s">
        <v>62</v>
      </c>
      <c r="C270" s="167" t="s">
        <v>3678</v>
      </c>
      <c r="D270" s="167" t="b">
        <v>0</v>
      </c>
    </row>
    <row r="271" spans="1:7" x14ac:dyDescent="0.2">
      <c r="A271" s="169" t="s">
        <v>114</v>
      </c>
    </row>
    <row r="272" spans="1:7" x14ac:dyDescent="0.2">
      <c r="A272" s="169" t="s">
        <v>3679</v>
      </c>
    </row>
    <row r="273" spans="1:7" x14ac:dyDescent="0.2">
      <c r="A273" s="169" t="s">
        <v>3680</v>
      </c>
    </row>
    <row r="274" spans="1:7" x14ac:dyDescent="0.2">
      <c r="A274" s="169" t="s">
        <v>3681</v>
      </c>
      <c r="B274" s="167" t="b">
        <v>0</v>
      </c>
    </row>
    <row r="275" spans="1:7" x14ac:dyDescent="0.2">
      <c r="A275" s="169" t="s">
        <v>3682</v>
      </c>
      <c r="B275" s="167" t="b">
        <v>0</v>
      </c>
    </row>
    <row r="276" spans="1:7" x14ac:dyDescent="0.2">
      <c r="A276" s="169" t="s">
        <v>3683</v>
      </c>
      <c r="B276" s="167" t="b">
        <v>0</v>
      </c>
    </row>
    <row r="277" spans="1:7" x14ac:dyDescent="0.2">
      <c r="A277" s="169" t="s">
        <v>3684</v>
      </c>
      <c r="B277" s="167" t="b">
        <v>0</v>
      </c>
    </row>
    <row r="278" spans="1:7" x14ac:dyDescent="0.2">
      <c r="A278" s="169" t="s">
        <v>3685</v>
      </c>
    </row>
    <row r="279" spans="1:7" x14ac:dyDescent="0.2">
      <c r="A279" s="169" t="s">
        <v>3686</v>
      </c>
    </row>
    <row r="280" spans="1:7" x14ac:dyDescent="0.2">
      <c r="A280" s="169" t="s">
        <v>3687</v>
      </c>
    </row>
    <row r="281" spans="1:7" x14ac:dyDescent="0.2">
      <c r="A281" s="169" t="s">
        <v>3688</v>
      </c>
    </row>
    <row r="282" spans="1:7" x14ac:dyDescent="0.2">
      <c r="A282" s="215" t="s">
        <v>3689</v>
      </c>
      <c r="B282" s="215"/>
      <c r="C282" s="215"/>
      <c r="D282" s="215"/>
      <c r="E282" s="215"/>
      <c r="F282" s="215"/>
      <c r="G282" s="215"/>
    </row>
    <row r="283" spans="1:7" x14ac:dyDescent="0.2">
      <c r="A283" s="169" t="s">
        <v>114</v>
      </c>
    </row>
    <row r="284" spans="1:7" x14ac:dyDescent="0.2">
      <c r="A284" s="169" t="s">
        <v>3690</v>
      </c>
      <c r="B284" s="167" t="s">
        <v>123</v>
      </c>
    </row>
    <row r="285" spans="1:7" x14ac:dyDescent="0.2">
      <c r="A285" s="169" t="s">
        <v>3691</v>
      </c>
    </row>
    <row r="286" spans="1:7" x14ac:dyDescent="0.2">
      <c r="A286" s="169" t="s">
        <v>129</v>
      </c>
      <c r="B286" s="167" t="s">
        <v>121</v>
      </c>
    </row>
    <row r="287" spans="1:7" x14ac:dyDescent="0.2">
      <c r="A287" s="169" t="s">
        <v>3691</v>
      </c>
    </row>
    <row r="288" spans="1:7" x14ac:dyDescent="0.2">
      <c r="A288" s="169" t="s">
        <v>130</v>
      </c>
      <c r="B288" s="167" t="s">
        <v>123</v>
      </c>
    </row>
    <row r="289" spans="1:7" x14ac:dyDescent="0.2">
      <c r="A289" s="169" t="s">
        <v>3691</v>
      </c>
    </row>
    <row r="290" spans="1:7" x14ac:dyDescent="0.2">
      <c r="A290" s="169" t="s">
        <v>131</v>
      </c>
      <c r="B290" s="167" t="s">
        <v>123</v>
      </c>
    </row>
    <row r="291" spans="1:7" x14ac:dyDescent="0.2">
      <c r="A291" s="169" t="s">
        <v>3691</v>
      </c>
    </row>
    <row r="292" spans="1:7" x14ac:dyDescent="0.2">
      <c r="A292" s="169" t="s">
        <v>132</v>
      </c>
      <c r="B292" s="167" t="s">
        <v>123</v>
      </c>
    </row>
    <row r="293" spans="1:7" x14ac:dyDescent="0.2">
      <c r="A293" s="169" t="s">
        <v>3691</v>
      </c>
    </row>
    <row r="294" spans="1:7" x14ac:dyDescent="0.2">
      <c r="A294" s="169" t="s">
        <v>3692</v>
      </c>
    </row>
    <row r="295" spans="1:7" x14ac:dyDescent="0.2">
      <c r="A295" s="215" t="s">
        <v>3693</v>
      </c>
      <c r="B295" s="215"/>
      <c r="C295" s="215"/>
      <c r="D295" s="215"/>
      <c r="E295" s="215"/>
      <c r="F295" s="215"/>
      <c r="G295" s="215"/>
    </row>
    <row r="296" spans="1:7" x14ac:dyDescent="0.2">
      <c r="A296" s="169" t="s">
        <v>114</v>
      </c>
    </row>
    <row r="297" spans="1:7" x14ac:dyDescent="0.2">
      <c r="A297" s="169" t="s">
        <v>3694</v>
      </c>
    </row>
    <row r="298" spans="1:7" x14ac:dyDescent="0.2">
      <c r="A298" s="169" t="s">
        <v>3695</v>
      </c>
      <c r="B298" s="167" t="s">
        <v>123</v>
      </c>
    </row>
    <row r="299" spans="1:7" x14ac:dyDescent="0.2">
      <c r="A299" s="215" t="s">
        <v>3696</v>
      </c>
      <c r="B299" s="215"/>
      <c r="C299" s="215"/>
      <c r="D299" s="215"/>
      <c r="E299" s="215"/>
      <c r="F299" s="215"/>
      <c r="G299" s="215"/>
    </row>
    <row r="300" spans="1:7" x14ac:dyDescent="0.2">
      <c r="A300" s="169" t="s">
        <v>3697</v>
      </c>
      <c r="B300" s="167" t="s">
        <v>123</v>
      </c>
    </row>
    <row r="301" spans="1:7" x14ac:dyDescent="0.2">
      <c r="A301" s="169" t="s">
        <v>133</v>
      </c>
      <c r="B301" s="167" t="s">
        <v>123</v>
      </c>
    </row>
    <row r="302" spans="1:7" x14ac:dyDescent="0.2">
      <c r="A302" s="169" t="s">
        <v>3698</v>
      </c>
      <c r="B302" s="167" t="s">
        <v>121</v>
      </c>
    </row>
    <row r="303" spans="1:7" x14ac:dyDescent="0.2">
      <c r="A303" s="169" t="s">
        <v>3699</v>
      </c>
    </row>
    <row r="304" spans="1:7" x14ac:dyDescent="0.2">
      <c r="A304" s="169" t="s">
        <v>3700</v>
      </c>
    </row>
    <row r="305" spans="1:7" x14ac:dyDescent="0.2">
      <c r="A305" s="169" t="s">
        <v>3701</v>
      </c>
    </row>
    <row r="306" spans="1:7" x14ac:dyDescent="0.2">
      <c r="A306" s="215" t="s">
        <v>3702</v>
      </c>
      <c r="B306" s="215"/>
      <c r="C306" s="215"/>
      <c r="D306" s="215"/>
      <c r="E306" s="215"/>
      <c r="F306" s="215"/>
      <c r="G306" s="215"/>
    </row>
    <row r="307" spans="1:7" x14ac:dyDescent="0.2">
      <c r="A307" s="169" t="s">
        <v>134</v>
      </c>
    </row>
    <row r="308" spans="1:7" x14ac:dyDescent="0.2">
      <c r="A308" s="169" t="s">
        <v>3703</v>
      </c>
    </row>
    <row r="309" spans="1:7" x14ac:dyDescent="0.2">
      <c r="A309" s="215" t="s">
        <v>3704</v>
      </c>
      <c r="B309" s="215"/>
      <c r="C309" s="215"/>
      <c r="D309" s="215"/>
      <c r="E309" s="215"/>
      <c r="F309" s="215"/>
      <c r="G309" s="215"/>
    </row>
    <row r="310" spans="1:7" x14ac:dyDescent="0.2">
      <c r="A310" s="169" t="s">
        <v>3705</v>
      </c>
      <c r="B310" s="167" t="b">
        <v>0</v>
      </c>
    </row>
    <row r="311" spans="1:7" x14ac:dyDescent="0.2">
      <c r="A311" s="169" t="s">
        <v>3706</v>
      </c>
      <c r="B311" s="167" t="b">
        <v>0</v>
      </c>
    </row>
    <row r="312" spans="1:7" x14ac:dyDescent="0.2">
      <c r="A312" s="169" t="s">
        <v>3707</v>
      </c>
      <c r="B312" s="167" t="b">
        <v>0</v>
      </c>
    </row>
    <row r="313" spans="1:7" x14ac:dyDescent="0.2">
      <c r="A313" s="169" t="s">
        <v>3708</v>
      </c>
      <c r="B313" s="167" t="b">
        <v>0</v>
      </c>
    </row>
    <row r="314" spans="1:7" x14ac:dyDescent="0.2">
      <c r="A314" s="169" t="s">
        <v>3602</v>
      </c>
    </row>
    <row r="315" spans="1:7" x14ac:dyDescent="0.2">
      <c r="A315" s="169" t="s">
        <v>102</v>
      </c>
    </row>
    <row r="316" spans="1:7" x14ac:dyDescent="0.2">
      <c r="A316" s="215" t="s">
        <v>3709</v>
      </c>
      <c r="B316" s="215"/>
      <c r="C316" s="215"/>
      <c r="D316" s="215"/>
      <c r="E316" s="215"/>
      <c r="F316" s="215"/>
      <c r="G316" s="215"/>
    </row>
    <row r="317" spans="1:7" x14ac:dyDescent="0.2">
      <c r="A317" s="169" t="s">
        <v>3710</v>
      </c>
    </row>
    <row r="318" spans="1:7" x14ac:dyDescent="0.2">
      <c r="A318" s="169" t="s">
        <v>3711</v>
      </c>
    </row>
    <row r="319" spans="1:7" x14ac:dyDescent="0.2">
      <c r="A319" s="169" t="s">
        <v>3712</v>
      </c>
    </row>
    <row r="320" spans="1:7" x14ac:dyDescent="0.2">
      <c r="A320" s="169" t="s">
        <v>3713</v>
      </c>
    </row>
    <row r="321" spans="1:7" x14ac:dyDescent="0.2">
      <c r="A321" s="169" t="s">
        <v>50</v>
      </c>
    </row>
    <row r="322" spans="1:7" x14ac:dyDescent="0.2">
      <c r="A322" s="169" t="s">
        <v>3714</v>
      </c>
    </row>
    <row r="323" spans="1:7" x14ac:dyDescent="0.2">
      <c r="A323" s="169" t="s">
        <v>3691</v>
      </c>
    </row>
    <row r="324" spans="1:7" x14ac:dyDescent="0.2">
      <c r="A324" s="169" t="s">
        <v>3715</v>
      </c>
    </row>
    <row r="325" spans="1:7" x14ac:dyDescent="0.2">
      <c r="A325" s="169" t="s">
        <v>3691</v>
      </c>
    </row>
    <row r="326" spans="1:7" x14ac:dyDescent="0.2">
      <c r="A326" s="169" t="s">
        <v>135</v>
      </c>
    </row>
    <row r="327" spans="1:7" x14ac:dyDescent="0.2">
      <c r="A327" s="169" t="s">
        <v>102</v>
      </c>
    </row>
    <row r="328" spans="1:7" x14ac:dyDescent="0.2">
      <c r="A328" s="215" t="s">
        <v>3716</v>
      </c>
      <c r="B328" s="215"/>
      <c r="C328" s="215"/>
      <c r="D328" s="215"/>
      <c r="E328" s="215"/>
      <c r="F328" s="215"/>
      <c r="G328" s="215"/>
    </row>
    <row r="329" spans="1:7" x14ac:dyDescent="0.2">
      <c r="A329" s="169" t="s">
        <v>3717</v>
      </c>
    </row>
    <row r="330" spans="1:7" x14ac:dyDescent="0.2">
      <c r="A330" s="169" t="s">
        <v>3718</v>
      </c>
    </row>
    <row r="331" spans="1:7" x14ac:dyDescent="0.2">
      <c r="A331" s="169" t="s">
        <v>3719</v>
      </c>
    </row>
    <row r="332" spans="1:7" x14ac:dyDescent="0.2">
      <c r="A332" s="169" t="s">
        <v>3720</v>
      </c>
    </row>
    <row r="333" spans="1:7" x14ac:dyDescent="0.2">
      <c r="A333" s="169" t="s">
        <v>3721</v>
      </c>
    </row>
    <row r="334" spans="1:7" x14ac:dyDescent="0.2">
      <c r="A334" s="169" t="s">
        <v>3722</v>
      </c>
    </row>
    <row r="335" spans="1:7" x14ac:dyDescent="0.2">
      <c r="A335" s="169" t="s">
        <v>3723</v>
      </c>
    </row>
    <row r="336" spans="1:7" x14ac:dyDescent="0.2">
      <c r="A336" s="169" t="s">
        <v>3724</v>
      </c>
      <c r="B336" s="170"/>
    </row>
    <row r="337" spans="1:7" x14ac:dyDescent="0.2">
      <c r="A337" s="169" t="s">
        <v>3725</v>
      </c>
    </row>
    <row r="338" spans="1:7" x14ac:dyDescent="0.2">
      <c r="A338" s="169" t="s">
        <v>3711</v>
      </c>
    </row>
    <row r="339" spans="1:7" x14ac:dyDescent="0.2">
      <c r="A339" s="169" t="s">
        <v>3726</v>
      </c>
      <c r="D339" s="167" t="s">
        <v>3727</v>
      </c>
    </row>
    <row r="340" spans="1:7" x14ac:dyDescent="0.2">
      <c r="A340" s="169" t="s">
        <v>3728</v>
      </c>
    </row>
    <row r="341" spans="1:7" x14ac:dyDescent="0.2">
      <c r="A341" s="169" t="s">
        <v>3729</v>
      </c>
    </row>
    <row r="342" spans="1:7" x14ac:dyDescent="0.2">
      <c r="A342" s="169" t="s">
        <v>3730</v>
      </c>
    </row>
    <row r="343" spans="1:7" x14ac:dyDescent="0.2">
      <c r="A343" s="169" t="s">
        <v>3711</v>
      </c>
    </row>
    <row r="344" spans="1:7" x14ac:dyDescent="0.2">
      <c r="A344" s="169" t="s">
        <v>3731</v>
      </c>
    </row>
    <row r="345" spans="1:7" x14ac:dyDescent="0.2">
      <c r="A345" s="169" t="s">
        <v>3732</v>
      </c>
      <c r="B345" s="170"/>
    </row>
    <row r="346" spans="1:7" x14ac:dyDescent="0.2">
      <c r="A346" s="169" t="s">
        <v>3733</v>
      </c>
    </row>
    <row r="347" spans="1:7" x14ac:dyDescent="0.2">
      <c r="A347" s="169" t="s">
        <v>144</v>
      </c>
    </row>
    <row r="348" spans="1:7" x14ac:dyDescent="0.2">
      <c r="A348" s="169" t="s">
        <v>145</v>
      </c>
    </row>
    <row r="349" spans="1:7" x14ac:dyDescent="0.2">
      <c r="A349" s="169" t="s">
        <v>3561</v>
      </c>
    </row>
    <row r="350" spans="1:7" x14ac:dyDescent="0.2">
      <c r="A350" s="169" t="s">
        <v>3728</v>
      </c>
    </row>
    <row r="351" spans="1:7" x14ac:dyDescent="0.2">
      <c r="A351" s="215" t="s">
        <v>3734</v>
      </c>
      <c r="B351" s="215"/>
      <c r="C351" s="215"/>
      <c r="D351" s="215"/>
      <c r="E351" s="215"/>
      <c r="F351" s="215"/>
      <c r="G351" s="215"/>
    </row>
    <row r="352" spans="1:7" x14ac:dyDescent="0.2">
      <c r="A352" s="169" t="s">
        <v>3735</v>
      </c>
      <c r="B352" s="167" t="b">
        <v>0</v>
      </c>
    </row>
    <row r="353" spans="1:8" x14ac:dyDescent="0.2">
      <c r="A353" s="169" t="s">
        <v>3736</v>
      </c>
      <c r="B353" s="167" t="b">
        <v>0</v>
      </c>
    </row>
    <row r="354" spans="1:8" x14ac:dyDescent="0.2">
      <c r="A354" s="169" t="s">
        <v>3737</v>
      </c>
      <c r="B354" s="167" t="b">
        <v>0</v>
      </c>
    </row>
    <row r="355" spans="1:8" x14ac:dyDescent="0.2">
      <c r="A355" s="169" t="s">
        <v>3738</v>
      </c>
      <c r="B355" s="167" t="b">
        <v>0</v>
      </c>
    </row>
    <row r="356" spans="1:8" x14ac:dyDescent="0.2">
      <c r="A356" s="169" t="s">
        <v>3739</v>
      </c>
      <c r="B356" s="167" t="b">
        <v>0</v>
      </c>
    </row>
    <row r="357" spans="1:8" x14ac:dyDescent="0.2">
      <c r="A357" s="169" t="s">
        <v>62</v>
      </c>
    </row>
    <row r="358" spans="1:8" x14ac:dyDescent="0.2">
      <c r="A358" s="215" t="s">
        <v>3740</v>
      </c>
      <c r="B358" s="215"/>
      <c r="C358" s="215"/>
      <c r="D358" s="215"/>
      <c r="E358" s="215"/>
      <c r="F358" s="215"/>
      <c r="G358" s="215"/>
    </row>
    <row r="359" spans="1:8" x14ac:dyDescent="0.2">
      <c r="A359" s="169" t="s">
        <v>146</v>
      </c>
      <c r="B359" s="167" t="b">
        <v>0</v>
      </c>
      <c r="D359" s="167" t="s">
        <v>3741</v>
      </c>
      <c r="E359" s="172"/>
    </row>
    <row r="360" spans="1:8" x14ac:dyDescent="0.2">
      <c r="A360" s="169" t="s">
        <v>147</v>
      </c>
      <c r="B360" s="167" t="b">
        <v>0</v>
      </c>
      <c r="D360" s="167" t="s">
        <v>439</v>
      </c>
    </row>
    <row r="361" spans="1:8" x14ac:dyDescent="0.2">
      <c r="A361" s="169" t="s">
        <v>148</v>
      </c>
      <c r="B361" s="167" t="b">
        <v>0</v>
      </c>
      <c r="D361" s="167" t="s">
        <v>102</v>
      </c>
    </row>
    <row r="362" spans="1:8" x14ac:dyDescent="0.2">
      <c r="A362" s="169" t="s">
        <v>149</v>
      </c>
      <c r="B362" s="167" t="b">
        <v>0</v>
      </c>
      <c r="D362" s="167" t="s">
        <v>3742</v>
      </c>
    </row>
    <row r="363" spans="1:8" x14ac:dyDescent="0.2">
      <c r="A363" s="169" t="s">
        <v>150</v>
      </c>
      <c r="B363" s="167" t="b">
        <v>0</v>
      </c>
      <c r="D363" s="167" t="s">
        <v>3743</v>
      </c>
    </row>
    <row r="364" spans="1:8" x14ac:dyDescent="0.2">
      <c r="A364" s="169" t="s">
        <v>151</v>
      </c>
      <c r="B364" s="167" t="b">
        <v>0</v>
      </c>
      <c r="D364" s="167" t="s">
        <v>3744</v>
      </c>
      <c r="E364" s="170"/>
    </row>
    <row r="365" spans="1:8" x14ac:dyDescent="0.2">
      <c r="A365" s="169" t="s">
        <v>152</v>
      </c>
      <c r="B365" s="167" t="b">
        <v>0</v>
      </c>
      <c r="E365" s="170"/>
    </row>
    <row r="366" spans="1:8" x14ac:dyDescent="0.2">
      <c r="A366" s="169" t="s">
        <v>3745</v>
      </c>
      <c r="B366" s="172"/>
      <c r="G366" s="178">
        <f>B366</f>
        <v>0</v>
      </c>
      <c r="H366" s="172"/>
    </row>
    <row r="367" spans="1:8" x14ac:dyDescent="0.2">
      <c r="A367" s="169" t="s">
        <v>3746</v>
      </c>
      <c r="G367" s="178"/>
      <c r="H367" s="172"/>
    </row>
    <row r="368" spans="1:8" x14ac:dyDescent="0.2">
      <c r="A368" s="169" t="s">
        <v>3747</v>
      </c>
      <c r="G368" s="178">
        <f>B368</f>
        <v>0</v>
      </c>
      <c r="H368" s="172"/>
    </row>
    <row r="369" spans="1:8" x14ac:dyDescent="0.2">
      <c r="A369" s="169" t="s">
        <v>3748</v>
      </c>
      <c r="G369" s="178"/>
      <c r="H369" s="172"/>
    </row>
    <row r="370" spans="1:8" x14ac:dyDescent="0.2">
      <c r="A370" s="169" t="s">
        <v>3749</v>
      </c>
      <c r="G370" s="178">
        <f t="shared" ref="G370:G406" si="0">B370</f>
        <v>0</v>
      </c>
      <c r="H370" s="172"/>
    </row>
    <row r="371" spans="1:8" x14ac:dyDescent="0.2">
      <c r="A371" s="169" t="s">
        <v>3750</v>
      </c>
      <c r="G371" s="178"/>
      <c r="H371" s="172"/>
    </row>
    <row r="372" spans="1:8" x14ac:dyDescent="0.2">
      <c r="A372" s="169" t="s">
        <v>3751</v>
      </c>
      <c r="G372" s="178">
        <f t="shared" si="0"/>
        <v>0</v>
      </c>
      <c r="H372" s="172"/>
    </row>
    <row r="373" spans="1:8" x14ac:dyDescent="0.2">
      <c r="A373" s="169" t="s">
        <v>3752</v>
      </c>
      <c r="G373" s="178"/>
      <c r="H373" s="172"/>
    </row>
    <row r="374" spans="1:8" x14ac:dyDescent="0.2">
      <c r="A374" s="169" t="s">
        <v>3753</v>
      </c>
      <c r="G374" s="178">
        <f t="shared" si="0"/>
        <v>0</v>
      </c>
      <c r="H374" s="172"/>
    </row>
    <row r="375" spans="1:8" x14ac:dyDescent="0.2">
      <c r="A375" s="169" t="s">
        <v>3754</v>
      </c>
      <c r="G375" s="178"/>
      <c r="H375" s="172"/>
    </row>
    <row r="376" spans="1:8" x14ac:dyDescent="0.2">
      <c r="A376" s="169" t="s">
        <v>3755</v>
      </c>
      <c r="G376" s="178">
        <f t="shared" si="0"/>
        <v>0</v>
      </c>
      <c r="H376" s="172"/>
    </row>
    <row r="377" spans="1:8" x14ac:dyDescent="0.2">
      <c r="A377" s="169" t="s">
        <v>3756</v>
      </c>
      <c r="G377" s="178"/>
      <c r="H377" s="172"/>
    </row>
    <row r="378" spans="1:8" x14ac:dyDescent="0.2">
      <c r="A378" s="169" t="s">
        <v>3757</v>
      </c>
      <c r="G378" s="178">
        <f t="shared" si="0"/>
        <v>0</v>
      </c>
      <c r="H378" s="172"/>
    </row>
    <row r="379" spans="1:8" x14ac:dyDescent="0.2">
      <c r="A379" s="169" t="s">
        <v>3758</v>
      </c>
      <c r="G379" s="178"/>
      <c r="H379" s="172"/>
    </row>
    <row r="380" spans="1:8" x14ac:dyDescent="0.2">
      <c r="A380" s="169" t="s">
        <v>3759</v>
      </c>
      <c r="G380" s="178">
        <f t="shared" si="0"/>
        <v>0</v>
      </c>
      <c r="H380" s="172"/>
    </row>
    <row r="381" spans="1:8" x14ac:dyDescent="0.2">
      <c r="A381" s="169" t="s">
        <v>3760</v>
      </c>
      <c r="G381" s="178"/>
      <c r="H381" s="172"/>
    </row>
    <row r="382" spans="1:8" x14ac:dyDescent="0.2">
      <c r="A382" s="169" t="s">
        <v>3761</v>
      </c>
      <c r="G382" s="178">
        <f t="shared" si="0"/>
        <v>0</v>
      </c>
      <c r="H382" s="172"/>
    </row>
    <row r="383" spans="1:8" x14ac:dyDescent="0.2">
      <c r="A383" s="169" t="s">
        <v>3762</v>
      </c>
      <c r="G383" s="178"/>
      <c r="H383" s="172"/>
    </row>
    <row r="384" spans="1:8" x14ac:dyDescent="0.2">
      <c r="A384" s="169" t="s">
        <v>3763</v>
      </c>
      <c r="G384" s="178">
        <f t="shared" si="0"/>
        <v>0</v>
      </c>
      <c r="H384" s="172"/>
    </row>
    <row r="385" spans="1:8" x14ac:dyDescent="0.2">
      <c r="A385" s="169" t="s">
        <v>3764</v>
      </c>
      <c r="G385" s="178"/>
      <c r="H385" s="172"/>
    </row>
    <row r="386" spans="1:8" x14ac:dyDescent="0.2">
      <c r="A386" s="169" t="s">
        <v>3765</v>
      </c>
      <c r="G386" s="178">
        <f t="shared" si="0"/>
        <v>0</v>
      </c>
      <c r="H386" s="172"/>
    </row>
    <row r="387" spans="1:8" x14ac:dyDescent="0.2">
      <c r="A387" s="169" t="s">
        <v>3766</v>
      </c>
      <c r="G387" s="178"/>
      <c r="H387" s="172"/>
    </row>
    <row r="388" spans="1:8" x14ac:dyDescent="0.2">
      <c r="A388" s="169" t="s">
        <v>3767</v>
      </c>
      <c r="G388" s="178">
        <f t="shared" si="0"/>
        <v>0</v>
      </c>
      <c r="H388" s="172"/>
    </row>
    <row r="389" spans="1:8" x14ac:dyDescent="0.2">
      <c r="A389" s="169" t="s">
        <v>3768</v>
      </c>
      <c r="G389" s="178"/>
      <c r="H389" s="172"/>
    </row>
    <row r="390" spans="1:8" x14ac:dyDescent="0.2">
      <c r="A390" s="169" t="s">
        <v>3769</v>
      </c>
      <c r="G390" s="178">
        <f t="shared" si="0"/>
        <v>0</v>
      </c>
      <c r="H390" s="172"/>
    </row>
    <row r="391" spans="1:8" x14ac:dyDescent="0.2">
      <c r="A391" s="169" t="s">
        <v>3770</v>
      </c>
      <c r="G391" s="178"/>
      <c r="H391" s="172"/>
    </row>
    <row r="392" spans="1:8" x14ac:dyDescent="0.2">
      <c r="A392" s="169" t="s">
        <v>3771</v>
      </c>
      <c r="G392" s="178">
        <f t="shared" si="0"/>
        <v>0</v>
      </c>
      <c r="H392" s="172"/>
    </row>
    <row r="393" spans="1:8" x14ac:dyDescent="0.2">
      <c r="A393" s="169" t="s">
        <v>3772</v>
      </c>
      <c r="G393" s="178"/>
      <c r="H393" s="172"/>
    </row>
    <row r="394" spans="1:8" x14ac:dyDescent="0.2">
      <c r="A394" s="169" t="s">
        <v>3773</v>
      </c>
      <c r="G394" s="178">
        <f t="shared" si="0"/>
        <v>0</v>
      </c>
      <c r="H394" s="172"/>
    </row>
    <row r="395" spans="1:8" x14ac:dyDescent="0.2">
      <c r="A395" s="169" t="s">
        <v>3774</v>
      </c>
      <c r="G395" s="178"/>
      <c r="H395" s="172"/>
    </row>
    <row r="396" spans="1:8" x14ac:dyDescent="0.2">
      <c r="A396" s="169" t="s">
        <v>3775</v>
      </c>
      <c r="G396" s="178">
        <f t="shared" si="0"/>
        <v>0</v>
      </c>
      <c r="H396" s="172"/>
    </row>
    <row r="397" spans="1:8" x14ac:dyDescent="0.2">
      <c r="A397" s="169" t="s">
        <v>3776</v>
      </c>
      <c r="G397" s="178"/>
      <c r="H397" s="172"/>
    </row>
    <row r="398" spans="1:8" x14ac:dyDescent="0.2">
      <c r="A398" s="169" t="s">
        <v>3777</v>
      </c>
      <c r="G398" s="178">
        <f t="shared" si="0"/>
        <v>0</v>
      </c>
      <c r="H398" s="172"/>
    </row>
    <row r="399" spans="1:8" x14ac:dyDescent="0.2">
      <c r="A399" s="169" t="s">
        <v>3778</v>
      </c>
      <c r="G399" s="178"/>
      <c r="H399" s="172"/>
    </row>
    <row r="400" spans="1:8" x14ac:dyDescent="0.2">
      <c r="A400" s="169" t="s">
        <v>3779</v>
      </c>
      <c r="G400" s="178">
        <f t="shared" si="0"/>
        <v>0</v>
      </c>
      <c r="H400" s="172"/>
    </row>
    <row r="401" spans="1:8" x14ac:dyDescent="0.2">
      <c r="A401" s="169" t="s">
        <v>3780</v>
      </c>
      <c r="G401" s="178"/>
      <c r="H401" s="172"/>
    </row>
    <row r="402" spans="1:8" x14ac:dyDescent="0.2">
      <c r="A402" s="169" t="s">
        <v>3781</v>
      </c>
      <c r="G402" s="178">
        <f t="shared" si="0"/>
        <v>0</v>
      </c>
      <c r="H402" s="172"/>
    </row>
    <row r="403" spans="1:8" x14ac:dyDescent="0.2">
      <c r="A403" s="169" t="s">
        <v>3782</v>
      </c>
      <c r="G403" s="178"/>
      <c r="H403" s="172"/>
    </row>
    <row r="404" spans="1:8" x14ac:dyDescent="0.2">
      <c r="A404" s="169" t="s">
        <v>3783</v>
      </c>
      <c r="G404" s="178">
        <f t="shared" si="0"/>
        <v>0</v>
      </c>
      <c r="H404" s="172"/>
    </row>
    <row r="405" spans="1:8" x14ac:dyDescent="0.2">
      <c r="A405" s="169" t="s">
        <v>3784</v>
      </c>
      <c r="G405" s="178"/>
      <c r="H405" s="172"/>
    </row>
    <row r="406" spans="1:8" x14ac:dyDescent="0.2">
      <c r="A406" s="169" t="s">
        <v>3785</v>
      </c>
      <c r="G406" s="178">
        <f t="shared" si="0"/>
        <v>0</v>
      </c>
      <c r="H406" s="172"/>
    </row>
    <row r="407" spans="1:8" x14ac:dyDescent="0.2">
      <c r="A407" s="169" t="s">
        <v>3786</v>
      </c>
      <c r="G407" s="178">
        <f>SUM(G366:G406)</f>
        <v>0</v>
      </c>
      <c r="H407" s="172"/>
    </row>
    <row r="408" spans="1:8" x14ac:dyDescent="0.2">
      <c r="A408" s="215" t="s">
        <v>3787</v>
      </c>
      <c r="B408" s="215"/>
      <c r="C408" s="215"/>
      <c r="D408" s="215"/>
      <c r="E408" s="215"/>
      <c r="F408" s="215"/>
      <c r="G408" s="215"/>
    </row>
    <row r="409" spans="1:8" x14ac:dyDescent="0.2">
      <c r="A409" s="169" t="s">
        <v>3788</v>
      </c>
      <c r="C409" s="167" t="s">
        <v>3561</v>
      </c>
    </row>
    <row r="410" spans="1:8" x14ac:dyDescent="0.2">
      <c r="A410" s="169" t="s">
        <v>66</v>
      </c>
    </row>
    <row r="411" spans="1:8" x14ac:dyDescent="0.2">
      <c r="A411" s="169" t="s">
        <v>61</v>
      </c>
    </row>
    <row r="412" spans="1:8" x14ac:dyDescent="0.2">
      <c r="A412" s="169" t="s">
        <v>3789</v>
      </c>
    </row>
    <row r="413" spans="1:8" x14ac:dyDescent="0.2">
      <c r="A413" s="169" t="s">
        <v>114</v>
      </c>
    </row>
    <row r="414" spans="1:8" x14ac:dyDescent="0.2">
      <c r="A414" s="169" t="s">
        <v>3790</v>
      </c>
    </row>
    <row r="415" spans="1:8" x14ac:dyDescent="0.2">
      <c r="A415" s="169" t="s">
        <v>3791</v>
      </c>
    </row>
    <row r="416" spans="1:8" x14ac:dyDescent="0.2">
      <c r="A416" s="169" t="s">
        <v>3792</v>
      </c>
    </row>
    <row r="417" spans="1:7" x14ac:dyDescent="0.2">
      <c r="A417" s="169" t="s">
        <v>3793</v>
      </c>
      <c r="B417" s="167" t="b">
        <v>0</v>
      </c>
    </row>
    <row r="418" spans="1:7" x14ac:dyDescent="0.2">
      <c r="A418" s="169" t="s">
        <v>3794</v>
      </c>
      <c r="B418" s="167" t="b">
        <v>0</v>
      </c>
    </row>
    <row r="419" spans="1:7" x14ac:dyDescent="0.2">
      <c r="A419" s="169" t="s">
        <v>3795</v>
      </c>
      <c r="B419" s="167" t="b">
        <v>0</v>
      </c>
    </row>
    <row r="420" spans="1:7" x14ac:dyDescent="0.2">
      <c r="A420" s="169" t="s">
        <v>3796</v>
      </c>
      <c r="B420" s="167" t="s">
        <v>121</v>
      </c>
    </row>
    <row r="421" spans="1:7" x14ac:dyDescent="0.2">
      <c r="A421" s="169" t="s">
        <v>3691</v>
      </c>
    </row>
    <row r="422" spans="1:7" x14ac:dyDescent="0.2">
      <c r="A422" s="169" t="s">
        <v>3797</v>
      </c>
      <c r="B422" s="167" t="s">
        <v>123</v>
      </c>
    </row>
    <row r="423" spans="1:7" x14ac:dyDescent="0.2">
      <c r="A423" s="169" t="s">
        <v>3691</v>
      </c>
    </row>
    <row r="424" spans="1:7" x14ac:dyDescent="0.2">
      <c r="A424" s="169" t="s">
        <v>153</v>
      </c>
      <c r="B424" s="167" t="s">
        <v>123</v>
      </c>
    </row>
    <row r="425" spans="1:7" x14ac:dyDescent="0.2">
      <c r="A425" s="169" t="s">
        <v>3691</v>
      </c>
    </row>
    <row r="426" spans="1:7" x14ac:dyDescent="0.2">
      <c r="A426" s="169" t="s">
        <v>3798</v>
      </c>
      <c r="B426" s="167" t="b">
        <v>1</v>
      </c>
    </row>
    <row r="427" spans="1:7" x14ac:dyDescent="0.2">
      <c r="A427" s="169" t="s">
        <v>3799</v>
      </c>
      <c r="B427" s="167" t="b">
        <v>1</v>
      </c>
    </row>
    <row r="428" spans="1:7" x14ac:dyDescent="0.2">
      <c r="A428" s="169" t="s">
        <v>3800</v>
      </c>
      <c r="B428" s="167" t="b">
        <v>1</v>
      </c>
    </row>
    <row r="429" spans="1:7" x14ac:dyDescent="0.2">
      <c r="A429" s="169" t="s">
        <v>3801</v>
      </c>
      <c r="B429" s="167" t="b">
        <v>1</v>
      </c>
    </row>
    <row r="430" spans="1:7" x14ac:dyDescent="0.2">
      <c r="A430" s="215" t="s">
        <v>3802</v>
      </c>
      <c r="B430" s="215"/>
      <c r="C430" s="215"/>
      <c r="D430" s="215"/>
      <c r="E430" s="215"/>
      <c r="F430" s="215"/>
      <c r="G430" s="215"/>
    </row>
    <row r="431" spans="1:7" x14ac:dyDescent="0.2">
      <c r="A431" s="179" t="s">
        <v>155</v>
      </c>
      <c r="B431" s="126" t="s">
        <v>156</v>
      </c>
      <c r="C431" s="126" t="s">
        <v>2885</v>
      </c>
      <c r="D431" s="126" t="s">
        <v>2886</v>
      </c>
      <c r="E431" s="126" t="s">
        <v>158</v>
      </c>
      <c r="F431" s="126" t="s">
        <v>159</v>
      </c>
      <c r="G431" s="126"/>
    </row>
    <row r="432" spans="1:7" x14ac:dyDescent="0.2">
      <c r="A432" s="179"/>
      <c r="B432" s="126"/>
      <c r="C432" s="126"/>
      <c r="D432" s="126"/>
      <c r="E432" s="126"/>
      <c r="F432" s="126"/>
      <c r="G432" s="126"/>
    </row>
    <row r="433" spans="1:7" x14ac:dyDescent="0.2">
      <c r="A433" s="179"/>
      <c r="B433" s="126"/>
      <c r="C433" s="126"/>
      <c r="D433" s="126"/>
      <c r="E433" s="126"/>
      <c r="F433" s="126"/>
      <c r="G433" s="126"/>
    </row>
    <row r="434" spans="1:7" x14ac:dyDescent="0.2">
      <c r="A434" s="179"/>
      <c r="B434" s="126"/>
      <c r="C434" s="126"/>
      <c r="D434" s="126"/>
      <c r="E434" s="126"/>
      <c r="F434" s="126"/>
      <c r="G434" s="126"/>
    </row>
    <row r="435" spans="1:7" x14ac:dyDescent="0.2">
      <c r="A435" s="179"/>
      <c r="B435" s="126"/>
      <c r="C435" s="126"/>
      <c r="D435" s="126"/>
      <c r="E435" s="126"/>
      <c r="F435" s="126"/>
      <c r="G435" s="126"/>
    </row>
    <row r="436" spans="1:7" x14ac:dyDescent="0.2">
      <c r="A436" s="179"/>
      <c r="B436" s="126"/>
      <c r="C436" s="126"/>
      <c r="D436" s="126"/>
      <c r="E436" s="126"/>
      <c r="F436" s="126"/>
      <c r="G436" s="126"/>
    </row>
    <row r="437" spans="1:7" x14ac:dyDescent="0.2">
      <c r="A437" s="179"/>
      <c r="B437" s="126"/>
      <c r="C437" s="126"/>
      <c r="D437" s="126"/>
      <c r="E437" s="126"/>
      <c r="F437" s="126"/>
      <c r="G437" s="126"/>
    </row>
    <row r="438" spans="1:7" x14ac:dyDescent="0.2">
      <c r="A438" s="179"/>
      <c r="B438" s="126"/>
      <c r="C438" s="126"/>
      <c r="D438" s="126"/>
      <c r="E438" s="126"/>
      <c r="F438" s="126"/>
      <c r="G438" s="126"/>
    </row>
    <row r="439" spans="1:7" x14ac:dyDescent="0.2">
      <c r="A439" s="179"/>
      <c r="B439" s="126"/>
      <c r="C439" s="126"/>
      <c r="D439" s="126"/>
      <c r="E439" s="126"/>
      <c r="F439" s="126"/>
      <c r="G439" s="126"/>
    </row>
    <row r="440" spans="1:7" x14ac:dyDescent="0.2">
      <c r="A440" s="179"/>
      <c r="B440" s="126"/>
      <c r="C440" s="126"/>
      <c r="D440" s="126"/>
      <c r="E440" s="126"/>
      <c r="F440" s="126"/>
      <c r="G440" s="126"/>
    </row>
    <row r="441" spans="1:7" x14ac:dyDescent="0.2">
      <c r="A441" s="179"/>
      <c r="B441" s="126"/>
      <c r="C441" s="126"/>
      <c r="D441" s="126"/>
      <c r="E441" s="126"/>
      <c r="F441" s="126"/>
      <c r="G441" s="126"/>
    </row>
    <row r="442" spans="1:7" x14ac:dyDescent="0.2">
      <c r="A442" s="179"/>
      <c r="B442" s="126"/>
      <c r="C442" s="126"/>
      <c r="D442" s="126"/>
      <c r="E442" s="126"/>
      <c r="F442" s="126"/>
      <c r="G442" s="126"/>
    </row>
    <row r="443" spans="1:7" x14ac:dyDescent="0.2">
      <c r="A443" s="179"/>
      <c r="B443" s="126"/>
      <c r="C443" s="126"/>
      <c r="D443" s="126"/>
      <c r="E443" s="126"/>
      <c r="F443" s="126"/>
      <c r="G443" s="126"/>
    </row>
    <row r="444" spans="1:7" x14ac:dyDescent="0.2">
      <c r="A444" s="179"/>
      <c r="B444" s="126"/>
      <c r="C444" s="126"/>
      <c r="D444" s="126"/>
      <c r="E444" s="126"/>
      <c r="F444" s="126"/>
      <c r="G444" s="126"/>
    </row>
    <row r="445" spans="1:7" x14ac:dyDescent="0.2">
      <c r="A445" s="179"/>
      <c r="B445" s="126"/>
      <c r="C445" s="126"/>
      <c r="D445" s="126"/>
      <c r="E445" s="126"/>
      <c r="F445" s="126"/>
      <c r="G445" s="126"/>
    </row>
    <row r="446" spans="1:7" x14ac:dyDescent="0.2">
      <c r="A446" s="179"/>
      <c r="B446" s="126"/>
      <c r="C446" s="126"/>
      <c r="D446" s="126"/>
      <c r="E446" s="126"/>
      <c r="F446" s="126"/>
      <c r="G446" s="126"/>
    </row>
    <row r="447" spans="1:7" x14ac:dyDescent="0.2">
      <c r="A447" s="179"/>
      <c r="B447" s="126"/>
      <c r="C447" s="126"/>
      <c r="D447" s="126"/>
      <c r="E447" s="126"/>
      <c r="F447" s="126"/>
      <c r="G447" s="126"/>
    </row>
    <row r="448" spans="1:7" x14ac:dyDescent="0.2">
      <c r="A448" s="179"/>
      <c r="B448" s="126"/>
      <c r="C448" s="126"/>
      <c r="D448" s="126"/>
      <c r="E448" s="126"/>
      <c r="F448" s="126"/>
      <c r="G448" s="126"/>
    </row>
    <row r="449" spans="1:7" x14ac:dyDescent="0.2">
      <c r="A449" s="179"/>
      <c r="B449" s="126"/>
      <c r="C449" s="126"/>
      <c r="D449" s="126"/>
      <c r="E449" s="126"/>
      <c r="F449" s="126"/>
      <c r="G449" s="126"/>
    </row>
    <row r="450" spans="1:7" x14ac:dyDescent="0.2">
      <c r="A450" s="179"/>
      <c r="B450" s="126"/>
      <c r="C450" s="126"/>
      <c r="D450" s="126"/>
      <c r="E450" s="126"/>
      <c r="F450" s="126"/>
      <c r="G450" s="126"/>
    </row>
    <row r="451" spans="1:7" x14ac:dyDescent="0.2">
      <c r="A451" s="179"/>
      <c r="B451" s="126"/>
      <c r="C451" s="126"/>
      <c r="D451" s="126"/>
      <c r="E451" s="126"/>
      <c r="F451" s="126"/>
      <c r="G451" s="126"/>
    </row>
    <row r="452" spans="1:7" x14ac:dyDescent="0.2">
      <c r="A452" s="179"/>
      <c r="B452" s="126"/>
      <c r="C452" s="126"/>
      <c r="D452" s="126"/>
      <c r="E452" s="126"/>
      <c r="F452" s="126"/>
      <c r="G452" s="126"/>
    </row>
    <row r="453" spans="1:7" x14ac:dyDescent="0.2">
      <c r="A453" s="179"/>
      <c r="B453" s="126"/>
      <c r="C453" s="126"/>
      <c r="D453" s="126"/>
      <c r="E453" s="126"/>
      <c r="F453" s="126"/>
      <c r="G453" s="126"/>
    </row>
    <row r="454" spans="1:7" x14ac:dyDescent="0.2">
      <c r="A454" s="179"/>
      <c r="B454" s="126"/>
      <c r="C454" s="126"/>
      <c r="D454" s="126"/>
      <c r="E454" s="126"/>
      <c r="F454" s="126"/>
      <c r="G454" s="126"/>
    </row>
    <row r="455" spans="1:7" x14ac:dyDescent="0.2">
      <c r="A455" s="179"/>
      <c r="B455" s="126"/>
      <c r="C455" s="126"/>
      <c r="D455" s="126"/>
      <c r="E455" s="126"/>
      <c r="F455" s="126"/>
      <c r="G455" s="126"/>
    </row>
    <row r="456" spans="1:7" x14ac:dyDescent="0.2">
      <c r="A456" s="179"/>
      <c r="B456" s="126"/>
      <c r="C456" s="126"/>
      <c r="D456" s="126"/>
      <c r="E456" s="126"/>
      <c r="F456" s="126"/>
      <c r="G456" s="126"/>
    </row>
    <row r="457" spans="1:7" x14ac:dyDescent="0.2">
      <c r="A457" s="215" t="s">
        <v>3803</v>
      </c>
      <c r="B457" s="215"/>
      <c r="C457" s="215"/>
      <c r="D457" s="215"/>
      <c r="E457" s="215"/>
      <c r="F457" s="215"/>
      <c r="G457" s="215"/>
    </row>
    <row r="458" spans="1:7" x14ac:dyDescent="0.2">
      <c r="A458" s="169" t="s">
        <v>3804</v>
      </c>
    </row>
    <row r="459" spans="1:7" x14ac:dyDescent="0.2">
      <c r="A459" s="169" t="s">
        <v>3805</v>
      </c>
    </row>
    <row r="460" spans="1:7" x14ac:dyDescent="0.2">
      <c r="A460" s="169" t="s">
        <v>3806</v>
      </c>
    </row>
    <row r="461" spans="1:7" x14ac:dyDescent="0.2">
      <c r="A461" s="169" t="s">
        <v>3807</v>
      </c>
    </row>
    <row r="462" spans="1:7" x14ac:dyDescent="0.2">
      <c r="A462" s="169" t="s">
        <v>3808</v>
      </c>
    </row>
    <row r="463" spans="1:7" x14ac:dyDescent="0.2">
      <c r="A463" s="169" t="s">
        <v>3809</v>
      </c>
    </row>
    <row r="464" spans="1:7" x14ac:dyDescent="0.2">
      <c r="A464" s="169" t="s">
        <v>3810</v>
      </c>
    </row>
    <row r="465" spans="1:7" x14ac:dyDescent="0.2">
      <c r="A465" s="169" t="s">
        <v>165</v>
      </c>
    </row>
    <row r="466" spans="1:7" x14ac:dyDescent="0.2">
      <c r="A466" s="169" t="s">
        <v>3811</v>
      </c>
    </row>
    <row r="467" spans="1:7" x14ac:dyDescent="0.2">
      <c r="A467" s="169" t="s">
        <v>3812</v>
      </c>
    </row>
    <row r="468" spans="1:7" x14ac:dyDescent="0.2">
      <c r="A468" s="169" t="s">
        <v>3813</v>
      </c>
    </row>
    <row r="469" spans="1:7" x14ac:dyDescent="0.2">
      <c r="A469" s="169" t="s">
        <v>3814</v>
      </c>
    </row>
    <row r="470" spans="1:7" x14ac:dyDescent="0.2">
      <c r="A470" s="169" t="s">
        <v>3815</v>
      </c>
    </row>
    <row r="471" spans="1:7" x14ac:dyDescent="0.2">
      <c r="A471" s="169" t="s">
        <v>3816</v>
      </c>
    </row>
    <row r="472" spans="1:7" x14ac:dyDescent="0.2">
      <c r="A472" s="169" t="s">
        <v>3817</v>
      </c>
      <c r="B472" s="167" t="b">
        <v>0</v>
      </c>
    </row>
    <row r="473" spans="1:7" x14ac:dyDescent="0.2">
      <c r="A473" s="215" t="s">
        <v>3818</v>
      </c>
      <c r="B473" s="215"/>
      <c r="C473" s="215"/>
      <c r="D473" s="215"/>
      <c r="E473" s="215"/>
      <c r="F473" s="215"/>
      <c r="G473" s="215"/>
    </row>
    <row r="474" spans="1:7" x14ac:dyDescent="0.2">
      <c r="A474" s="169" t="s">
        <v>3819</v>
      </c>
    </row>
    <row r="475" spans="1:7" x14ac:dyDescent="0.2">
      <c r="A475" s="169" t="s">
        <v>3820</v>
      </c>
      <c r="B475" s="167" t="b">
        <v>0</v>
      </c>
    </row>
    <row r="476" spans="1:7" x14ac:dyDescent="0.2">
      <c r="A476" s="169" t="s">
        <v>3821</v>
      </c>
      <c r="B476" s="167" t="b">
        <v>0</v>
      </c>
    </row>
    <row r="477" spans="1:7" x14ac:dyDescent="0.2">
      <c r="A477" s="169" t="s">
        <v>3822</v>
      </c>
      <c r="B477" s="167" t="b">
        <v>0</v>
      </c>
    </row>
    <row r="478" spans="1:7" x14ac:dyDescent="0.2">
      <c r="A478" s="169" t="s">
        <v>3598</v>
      </c>
      <c r="B478" s="167" t="b">
        <v>0</v>
      </c>
    </row>
    <row r="479" spans="1:7" x14ac:dyDescent="0.2">
      <c r="A479" s="169" t="s">
        <v>174</v>
      </c>
      <c r="B479" s="167" t="b">
        <v>0</v>
      </c>
    </row>
    <row r="480" spans="1:7" x14ac:dyDescent="0.2">
      <c r="A480" s="169" t="s">
        <v>175</v>
      </c>
      <c r="B480" s="167" t="b">
        <v>0</v>
      </c>
    </row>
    <row r="481" spans="1:7" x14ac:dyDescent="0.2">
      <c r="A481" s="169" t="s">
        <v>3823</v>
      </c>
    </row>
    <row r="482" spans="1:7" x14ac:dyDescent="0.2">
      <c r="A482" s="169" t="s">
        <v>3824</v>
      </c>
    </row>
    <row r="483" spans="1:7" x14ac:dyDescent="0.2">
      <c r="A483" s="169" t="s">
        <v>3825</v>
      </c>
    </row>
    <row r="484" spans="1:7" x14ac:dyDescent="0.2">
      <c r="A484" s="169" t="s">
        <v>3826</v>
      </c>
    </row>
    <row r="485" spans="1:7" x14ac:dyDescent="0.2">
      <c r="A485" s="169" t="s">
        <v>3827</v>
      </c>
      <c r="B485" s="167" t="b">
        <v>0</v>
      </c>
    </row>
    <row r="486" spans="1:7" x14ac:dyDescent="0.2">
      <c r="A486" s="169" t="s">
        <v>102</v>
      </c>
    </row>
    <row r="487" spans="1:7" x14ac:dyDescent="0.2">
      <c r="A487" s="215" t="s">
        <v>3828</v>
      </c>
      <c r="B487" s="215"/>
      <c r="C487" s="215"/>
      <c r="D487" s="215"/>
      <c r="E487" s="215"/>
      <c r="F487" s="215"/>
      <c r="G487" s="215"/>
    </row>
    <row r="488" spans="1:7" x14ac:dyDescent="0.2">
      <c r="A488" s="169" t="s">
        <v>3829</v>
      </c>
    </row>
    <row r="489" spans="1:7" x14ac:dyDescent="0.2">
      <c r="A489" s="169" t="s">
        <v>3820</v>
      </c>
      <c r="B489" s="167" t="b">
        <v>0</v>
      </c>
    </row>
    <row r="490" spans="1:7" x14ac:dyDescent="0.2">
      <c r="A490" s="169" t="s">
        <v>3821</v>
      </c>
      <c r="B490" s="167" t="b">
        <v>0</v>
      </c>
    </row>
    <row r="491" spans="1:7" x14ac:dyDescent="0.2">
      <c r="A491" s="169" t="s">
        <v>3830</v>
      </c>
      <c r="B491" s="167" t="b">
        <v>0</v>
      </c>
    </row>
    <row r="492" spans="1:7" x14ac:dyDescent="0.2">
      <c r="A492" s="169" t="s">
        <v>3831</v>
      </c>
      <c r="B492" s="167" t="b">
        <v>0</v>
      </c>
    </row>
    <row r="493" spans="1:7" x14ac:dyDescent="0.2">
      <c r="A493" s="169" t="s">
        <v>3832</v>
      </c>
      <c r="B493" s="167" t="b">
        <v>0</v>
      </c>
    </row>
    <row r="494" spans="1:7" x14ac:dyDescent="0.2">
      <c r="A494" s="169" t="s">
        <v>3833</v>
      </c>
      <c r="B494" s="167" t="b">
        <v>0</v>
      </c>
    </row>
    <row r="495" spans="1:7" x14ac:dyDescent="0.2">
      <c r="A495" s="169" t="s">
        <v>3834</v>
      </c>
    </row>
    <row r="496" spans="1:7" x14ac:dyDescent="0.2">
      <c r="A496" s="169" t="s">
        <v>3835</v>
      </c>
    </row>
    <row r="497" spans="1:7" x14ac:dyDescent="0.2">
      <c r="A497" s="169" t="s">
        <v>102</v>
      </c>
    </row>
    <row r="498" spans="1:7" x14ac:dyDescent="0.2">
      <c r="A498" s="215" t="s">
        <v>3836</v>
      </c>
      <c r="B498" s="215"/>
      <c r="C498" s="215"/>
      <c r="D498" s="215"/>
      <c r="E498" s="215"/>
      <c r="F498" s="215"/>
      <c r="G498" s="215"/>
    </row>
    <row r="499" spans="1:7" x14ac:dyDescent="0.2">
      <c r="A499" s="169" t="s">
        <v>3837</v>
      </c>
    </row>
    <row r="500" spans="1:7" x14ac:dyDescent="0.2">
      <c r="A500" s="169" t="s">
        <v>3820</v>
      </c>
      <c r="B500" s="167" t="b">
        <v>0</v>
      </c>
    </row>
    <row r="501" spans="1:7" x14ac:dyDescent="0.2">
      <c r="A501" s="169" t="s">
        <v>3821</v>
      </c>
      <c r="B501" s="167" t="b">
        <v>0</v>
      </c>
    </row>
    <row r="502" spans="1:7" x14ac:dyDescent="0.2">
      <c r="A502" s="169" t="s">
        <v>3822</v>
      </c>
      <c r="B502" s="167" t="b">
        <v>0</v>
      </c>
    </row>
    <row r="503" spans="1:7" x14ac:dyDescent="0.2">
      <c r="A503" s="169" t="s">
        <v>3598</v>
      </c>
      <c r="B503" s="167" t="b">
        <v>0</v>
      </c>
    </row>
    <row r="504" spans="1:7" x14ac:dyDescent="0.2">
      <c r="A504" s="169" t="s">
        <v>3838</v>
      </c>
      <c r="B504" s="167" t="b">
        <v>0</v>
      </c>
    </row>
    <row r="505" spans="1:7" x14ac:dyDescent="0.2">
      <c r="A505" s="169" t="s">
        <v>3839</v>
      </c>
      <c r="B505" s="167" t="b">
        <v>0</v>
      </c>
    </row>
    <row r="506" spans="1:7" x14ac:dyDescent="0.2">
      <c r="A506" s="169" t="s">
        <v>3840</v>
      </c>
    </row>
    <row r="507" spans="1:7" x14ac:dyDescent="0.2">
      <c r="A507" s="169" t="s">
        <v>3835</v>
      </c>
    </row>
    <row r="508" spans="1:7" x14ac:dyDescent="0.2">
      <c r="A508" s="169" t="s">
        <v>3825</v>
      </c>
    </row>
    <row r="509" spans="1:7" x14ac:dyDescent="0.2">
      <c r="A509" s="169" t="s">
        <v>3826</v>
      </c>
    </row>
    <row r="510" spans="1:7" x14ac:dyDescent="0.2">
      <c r="A510" s="169" t="s">
        <v>3841</v>
      </c>
      <c r="B510" s="167" t="b">
        <v>0</v>
      </c>
    </row>
    <row r="511" spans="1:7" x14ac:dyDescent="0.2">
      <c r="A511" s="169" t="s">
        <v>102</v>
      </c>
    </row>
    <row r="512" spans="1:7" x14ac:dyDescent="0.2">
      <c r="A512" s="215" t="s">
        <v>3842</v>
      </c>
      <c r="B512" s="215"/>
      <c r="C512" s="215"/>
      <c r="D512" s="215"/>
      <c r="E512" s="215"/>
      <c r="F512" s="215"/>
      <c r="G512" s="215"/>
    </row>
    <row r="513" spans="1:7" x14ac:dyDescent="0.2">
      <c r="A513" s="169" t="s">
        <v>3843</v>
      </c>
    </row>
    <row r="514" spans="1:7" x14ac:dyDescent="0.2">
      <c r="A514" s="169" t="s">
        <v>3820</v>
      </c>
      <c r="B514" s="167" t="b">
        <v>0</v>
      </c>
    </row>
    <row r="515" spans="1:7" x14ac:dyDescent="0.2">
      <c r="A515" s="169" t="s">
        <v>3821</v>
      </c>
      <c r="B515" s="167" t="b">
        <v>0</v>
      </c>
    </row>
    <row r="516" spans="1:7" x14ac:dyDescent="0.2">
      <c r="A516" s="169" t="s">
        <v>3822</v>
      </c>
      <c r="B516" s="167" t="b">
        <v>0</v>
      </c>
    </row>
    <row r="517" spans="1:7" x14ac:dyDescent="0.2">
      <c r="A517" s="169" t="s">
        <v>3598</v>
      </c>
      <c r="B517" s="167" t="b">
        <v>0</v>
      </c>
    </row>
    <row r="518" spans="1:7" x14ac:dyDescent="0.2">
      <c r="A518" s="169" t="s">
        <v>3844</v>
      </c>
    </row>
    <row r="519" spans="1:7" x14ac:dyDescent="0.2">
      <c r="A519" s="169" t="s">
        <v>3835</v>
      </c>
    </row>
    <row r="520" spans="1:7" x14ac:dyDescent="0.2">
      <c r="A520" s="169" t="s">
        <v>3825</v>
      </c>
    </row>
    <row r="521" spans="1:7" x14ac:dyDescent="0.2">
      <c r="A521" s="169" t="s">
        <v>3826</v>
      </c>
    </row>
    <row r="522" spans="1:7" x14ac:dyDescent="0.2">
      <c r="A522" s="169" t="s">
        <v>3841</v>
      </c>
      <c r="B522" s="167" t="b">
        <v>0</v>
      </c>
    </row>
    <row r="523" spans="1:7" x14ac:dyDescent="0.2">
      <c r="A523" s="169" t="s">
        <v>3811</v>
      </c>
    </row>
    <row r="524" spans="1:7" x14ac:dyDescent="0.2">
      <c r="A524" s="169" t="s">
        <v>3812</v>
      </c>
    </row>
    <row r="525" spans="1:7" x14ac:dyDescent="0.2">
      <c r="A525" s="169" t="s">
        <v>102</v>
      </c>
    </row>
    <row r="526" spans="1:7" x14ac:dyDescent="0.2">
      <c r="A526" s="215" t="s">
        <v>3845</v>
      </c>
      <c r="B526" s="215"/>
      <c r="C526" s="215"/>
      <c r="D526" s="215"/>
      <c r="E526" s="215"/>
      <c r="F526" s="215"/>
      <c r="G526" s="215"/>
    </row>
    <row r="527" spans="1:7" x14ac:dyDescent="0.2">
      <c r="A527" s="169" t="s">
        <v>3846</v>
      </c>
    </row>
    <row r="528" spans="1:7" x14ac:dyDescent="0.2">
      <c r="A528" s="169" t="s">
        <v>3847</v>
      </c>
    </row>
    <row r="529" spans="1:7" x14ac:dyDescent="0.2">
      <c r="A529" s="169" t="s">
        <v>3848</v>
      </c>
    </row>
    <row r="530" spans="1:7" x14ac:dyDescent="0.2">
      <c r="A530" s="169" t="s">
        <v>3820</v>
      </c>
      <c r="B530" s="167" t="b">
        <v>0</v>
      </c>
    </row>
    <row r="531" spans="1:7" x14ac:dyDescent="0.2">
      <c r="A531" s="169" t="s">
        <v>3821</v>
      </c>
      <c r="B531" s="167" t="b">
        <v>0</v>
      </c>
    </row>
    <row r="532" spans="1:7" x14ac:dyDescent="0.2">
      <c r="A532" s="169" t="s">
        <v>3849</v>
      </c>
    </row>
    <row r="533" spans="1:7" x14ac:dyDescent="0.2">
      <c r="A533" s="169" t="s">
        <v>3850</v>
      </c>
      <c r="B533" s="167" t="b">
        <v>0</v>
      </c>
    </row>
    <row r="534" spans="1:7" x14ac:dyDescent="0.2">
      <c r="A534" s="169" t="s">
        <v>3851</v>
      </c>
      <c r="B534" s="167" t="b">
        <v>0</v>
      </c>
    </row>
    <row r="535" spans="1:7" x14ac:dyDescent="0.2">
      <c r="A535" s="169" t="s">
        <v>3852</v>
      </c>
      <c r="B535" s="167" t="b">
        <v>0</v>
      </c>
    </row>
    <row r="536" spans="1:7" x14ac:dyDescent="0.2">
      <c r="A536" s="169" t="s">
        <v>3825</v>
      </c>
    </row>
    <row r="537" spans="1:7" x14ac:dyDescent="0.2">
      <c r="A537" s="169" t="s">
        <v>3853</v>
      </c>
    </row>
    <row r="538" spans="1:7" x14ac:dyDescent="0.2">
      <c r="A538" s="169" t="s">
        <v>3854</v>
      </c>
    </row>
    <row r="539" spans="1:7" x14ac:dyDescent="0.2">
      <c r="A539" s="169" t="s">
        <v>3855</v>
      </c>
    </row>
    <row r="540" spans="1:7" x14ac:dyDescent="0.2">
      <c r="A540" s="169" t="s">
        <v>3856</v>
      </c>
    </row>
    <row r="541" spans="1:7" x14ac:dyDescent="0.2">
      <c r="A541" s="169" t="s">
        <v>3857</v>
      </c>
    </row>
    <row r="542" spans="1:7" x14ac:dyDescent="0.2">
      <c r="A542" s="169" t="s">
        <v>3835</v>
      </c>
    </row>
    <row r="543" spans="1:7" x14ac:dyDescent="0.2">
      <c r="A543" s="169" t="s">
        <v>102</v>
      </c>
    </row>
    <row r="544" spans="1:7" x14ac:dyDescent="0.2">
      <c r="A544" s="215" t="s">
        <v>3858</v>
      </c>
      <c r="B544" s="215"/>
      <c r="C544" s="215"/>
      <c r="D544" s="215"/>
      <c r="E544" s="215"/>
      <c r="F544" s="215"/>
      <c r="G544" s="215"/>
    </row>
    <row r="545" spans="1:7" x14ac:dyDescent="0.2">
      <c r="A545" s="169" t="s">
        <v>3859</v>
      </c>
      <c r="B545" s="180">
        <v>98</v>
      </c>
    </row>
    <row r="546" spans="1:7" x14ac:dyDescent="0.2">
      <c r="A546" s="169" t="s">
        <v>3820</v>
      </c>
      <c r="B546" s="167" t="b">
        <v>0</v>
      </c>
    </row>
    <row r="547" spans="1:7" x14ac:dyDescent="0.2">
      <c r="A547" s="169" t="s">
        <v>3821</v>
      </c>
      <c r="B547" s="167" t="b">
        <v>0</v>
      </c>
    </row>
    <row r="548" spans="1:7" x14ac:dyDescent="0.2">
      <c r="A548" s="169" t="s">
        <v>3860</v>
      </c>
      <c r="B548" s="167" t="b">
        <v>0</v>
      </c>
    </row>
    <row r="549" spans="1:7" x14ac:dyDescent="0.2">
      <c r="A549" s="169" t="s">
        <v>3861</v>
      </c>
      <c r="B549" s="167" t="b">
        <v>0</v>
      </c>
    </row>
    <row r="550" spans="1:7" x14ac:dyDescent="0.2">
      <c r="A550" s="169" t="s">
        <v>3862</v>
      </c>
      <c r="B550" s="167" t="b">
        <v>0</v>
      </c>
    </row>
    <row r="551" spans="1:7" x14ac:dyDescent="0.2">
      <c r="A551" s="169" t="s">
        <v>3863</v>
      </c>
      <c r="B551" s="167" t="b">
        <v>0</v>
      </c>
    </row>
    <row r="552" spans="1:7" x14ac:dyDescent="0.2">
      <c r="A552" s="169" t="s">
        <v>3864</v>
      </c>
    </row>
    <row r="553" spans="1:7" x14ac:dyDescent="0.2">
      <c r="A553" s="169" t="s">
        <v>3865</v>
      </c>
    </row>
    <row r="554" spans="1:7" x14ac:dyDescent="0.2">
      <c r="A554" s="169" t="s">
        <v>3825</v>
      </c>
    </row>
    <row r="555" spans="1:7" x14ac:dyDescent="0.2">
      <c r="A555" s="169" t="s">
        <v>3826</v>
      </c>
    </row>
    <row r="556" spans="1:7" x14ac:dyDescent="0.2">
      <c r="A556" s="169" t="s">
        <v>3841</v>
      </c>
      <c r="B556" s="167" t="b">
        <v>0</v>
      </c>
    </row>
    <row r="557" spans="1:7" x14ac:dyDescent="0.2">
      <c r="A557" s="169" t="s">
        <v>102</v>
      </c>
    </row>
    <row r="558" spans="1:7" x14ac:dyDescent="0.2">
      <c r="A558" s="215" t="s">
        <v>3866</v>
      </c>
      <c r="B558" s="215"/>
      <c r="C558" s="215"/>
      <c r="D558" s="215"/>
      <c r="E558" s="215"/>
      <c r="F558" s="215"/>
      <c r="G558" s="215"/>
    </row>
    <row r="559" spans="1:7" x14ac:dyDescent="0.2">
      <c r="A559" s="169" t="s">
        <v>3867</v>
      </c>
      <c r="B559" s="167" t="b">
        <v>0</v>
      </c>
      <c r="D559" s="167" t="s">
        <v>3622</v>
      </c>
    </row>
    <row r="560" spans="1:7" x14ac:dyDescent="0.2">
      <c r="A560" s="169" t="s">
        <v>3868</v>
      </c>
      <c r="B560" s="167" t="b">
        <v>0</v>
      </c>
      <c r="D560" s="167" t="s">
        <v>3624</v>
      </c>
    </row>
    <row r="561" spans="1:5" x14ac:dyDescent="0.2">
      <c r="A561" s="169" t="s">
        <v>3869</v>
      </c>
      <c r="B561" s="167" t="b">
        <v>0</v>
      </c>
      <c r="D561" s="167" t="s">
        <v>3870</v>
      </c>
      <c r="E561" s="167" t="b">
        <v>0</v>
      </c>
    </row>
    <row r="562" spans="1:5" x14ac:dyDescent="0.2">
      <c r="A562" s="169" t="s">
        <v>3871</v>
      </c>
      <c r="B562" s="167" t="b">
        <v>0</v>
      </c>
    </row>
    <row r="563" spans="1:5" x14ac:dyDescent="0.2">
      <c r="A563" s="169" t="s">
        <v>3872</v>
      </c>
      <c r="B563" s="167" t="b">
        <v>0</v>
      </c>
    </row>
    <row r="564" spans="1:5" x14ac:dyDescent="0.2">
      <c r="A564" s="169" t="s">
        <v>3873</v>
      </c>
      <c r="B564" s="167" t="b">
        <v>0</v>
      </c>
    </row>
    <row r="565" spans="1:5" x14ac:dyDescent="0.2">
      <c r="A565" s="169" t="s">
        <v>3874</v>
      </c>
      <c r="B565" s="167" t="b">
        <v>0</v>
      </c>
    </row>
    <row r="566" spans="1:5" x14ac:dyDescent="0.2">
      <c r="A566" s="169" t="s">
        <v>3875</v>
      </c>
      <c r="B566" s="167" t="b">
        <v>0</v>
      </c>
    </row>
    <row r="567" spans="1:5" x14ac:dyDescent="0.2">
      <c r="A567" s="169" t="s">
        <v>3876</v>
      </c>
      <c r="B567" s="167" t="b">
        <v>0</v>
      </c>
    </row>
    <row r="568" spans="1:5" x14ac:dyDescent="0.2">
      <c r="A568" s="169" t="s">
        <v>3877</v>
      </c>
      <c r="B568" s="167" t="b">
        <v>0</v>
      </c>
    </row>
    <row r="569" spans="1:5" x14ac:dyDescent="0.2">
      <c r="A569" s="169" t="s">
        <v>201</v>
      </c>
      <c r="B569" s="167" t="b">
        <v>0</v>
      </c>
    </row>
    <row r="570" spans="1:5" x14ac:dyDescent="0.2">
      <c r="A570" s="169" t="s">
        <v>3878</v>
      </c>
      <c r="B570" s="167" t="b">
        <v>0</v>
      </c>
    </row>
    <row r="571" spans="1:5" x14ac:dyDescent="0.2">
      <c r="A571" s="169" t="s">
        <v>56</v>
      </c>
      <c r="B571" s="167" t="b">
        <v>0</v>
      </c>
    </row>
    <row r="572" spans="1:5" x14ac:dyDescent="0.2">
      <c r="A572" s="169" t="s">
        <v>3879</v>
      </c>
    </row>
    <row r="573" spans="1:5" x14ac:dyDescent="0.2">
      <c r="A573" s="169" t="s">
        <v>3880</v>
      </c>
    </row>
    <row r="574" spans="1:5" x14ac:dyDescent="0.2">
      <c r="A574" s="169" t="s">
        <v>114</v>
      </c>
    </row>
    <row r="575" spans="1:5" x14ac:dyDescent="0.2">
      <c r="A575" s="169" t="s">
        <v>3825</v>
      </c>
    </row>
    <row r="576" spans="1:5" x14ac:dyDescent="0.2">
      <c r="A576" s="169" t="s">
        <v>3826</v>
      </c>
    </row>
    <row r="577" spans="1:7" x14ac:dyDescent="0.2">
      <c r="A577" s="169" t="s">
        <v>3841</v>
      </c>
      <c r="B577" s="167" t="b">
        <v>0</v>
      </c>
    </row>
    <row r="578" spans="1:7" x14ac:dyDescent="0.2">
      <c r="A578" s="169" t="s">
        <v>102</v>
      </c>
    </row>
    <row r="579" spans="1:7" x14ac:dyDescent="0.2">
      <c r="A579" s="215" t="s">
        <v>3881</v>
      </c>
      <c r="B579" s="215"/>
      <c r="C579" s="215"/>
      <c r="D579" s="215"/>
      <c r="E579" s="215"/>
      <c r="F579" s="215"/>
      <c r="G579" s="215"/>
    </row>
    <row r="580" spans="1:7" x14ac:dyDescent="0.2">
      <c r="A580" s="169" t="s">
        <v>3882</v>
      </c>
      <c r="B580" s="167" t="b">
        <v>0</v>
      </c>
      <c r="D580" s="167" t="s">
        <v>3622</v>
      </c>
    </row>
    <row r="581" spans="1:7" x14ac:dyDescent="0.2">
      <c r="A581" s="169" t="s">
        <v>3584</v>
      </c>
      <c r="B581" s="167" t="b">
        <v>0</v>
      </c>
      <c r="D581" s="167" t="s">
        <v>3624</v>
      </c>
    </row>
    <row r="582" spans="1:7" x14ac:dyDescent="0.2">
      <c r="A582" s="169" t="s">
        <v>3883</v>
      </c>
      <c r="B582" s="167" t="b">
        <v>0</v>
      </c>
      <c r="D582" s="167" t="s">
        <v>3870</v>
      </c>
      <c r="E582" s="167" t="b">
        <v>0</v>
      </c>
    </row>
    <row r="583" spans="1:7" x14ac:dyDescent="0.2">
      <c r="A583" s="169" t="s">
        <v>3884</v>
      </c>
      <c r="B583" s="167" t="b">
        <v>0</v>
      </c>
    </row>
    <row r="584" spans="1:7" x14ac:dyDescent="0.2">
      <c r="A584" s="169" t="s">
        <v>3885</v>
      </c>
      <c r="B584" s="167" t="b">
        <v>0</v>
      </c>
    </row>
    <row r="585" spans="1:7" x14ac:dyDescent="0.2">
      <c r="A585" s="169" t="s">
        <v>3886</v>
      </c>
      <c r="B585" s="167" t="b">
        <v>0</v>
      </c>
    </row>
    <row r="586" spans="1:7" x14ac:dyDescent="0.2">
      <c r="A586" s="169" t="s">
        <v>3887</v>
      </c>
      <c r="B586" s="167" t="b">
        <v>0</v>
      </c>
    </row>
    <row r="587" spans="1:7" x14ac:dyDescent="0.2">
      <c r="A587" s="169" t="s">
        <v>3888</v>
      </c>
      <c r="B587" s="167" t="b">
        <v>0</v>
      </c>
    </row>
    <row r="588" spans="1:7" x14ac:dyDescent="0.2">
      <c r="A588" s="169" t="s">
        <v>3889</v>
      </c>
      <c r="B588" s="167" t="b">
        <v>0</v>
      </c>
    </row>
    <row r="589" spans="1:7" x14ac:dyDescent="0.2">
      <c r="A589" s="169" t="s">
        <v>3890</v>
      </c>
    </row>
    <row r="590" spans="1:7" x14ac:dyDescent="0.2">
      <c r="A590" s="169" t="s">
        <v>3891</v>
      </c>
    </row>
    <row r="591" spans="1:7" x14ac:dyDescent="0.2">
      <c r="A591" s="169" t="s">
        <v>3892</v>
      </c>
    </row>
    <row r="592" spans="1:7" x14ac:dyDescent="0.2">
      <c r="A592" s="169" t="s">
        <v>3825</v>
      </c>
    </row>
    <row r="593" spans="1:7" x14ac:dyDescent="0.2">
      <c r="A593" s="169" t="s">
        <v>3826</v>
      </c>
    </row>
    <row r="594" spans="1:7" x14ac:dyDescent="0.2">
      <c r="A594" s="169" t="s">
        <v>3841</v>
      </c>
    </row>
    <row r="595" spans="1:7" x14ac:dyDescent="0.2">
      <c r="A595" s="169" t="s">
        <v>102</v>
      </c>
    </row>
    <row r="596" spans="1:7" x14ac:dyDescent="0.2">
      <c r="A596" s="215" t="s">
        <v>3893</v>
      </c>
      <c r="B596" s="215"/>
      <c r="C596" s="215"/>
      <c r="D596" s="215"/>
      <c r="E596" s="215"/>
      <c r="F596" s="215"/>
      <c r="G596" s="215"/>
    </row>
    <row r="597" spans="1:7" x14ac:dyDescent="0.2">
      <c r="A597" s="169" t="s">
        <v>3894</v>
      </c>
      <c r="B597" s="167" t="b">
        <v>0</v>
      </c>
    </row>
    <row r="598" spans="1:7" x14ac:dyDescent="0.2">
      <c r="A598" s="169" t="s">
        <v>3895</v>
      </c>
      <c r="B598" s="167" t="b">
        <v>0</v>
      </c>
      <c r="C598" s="167" t="s">
        <v>206</v>
      </c>
      <c r="D598" s="167" t="b">
        <v>0</v>
      </c>
    </row>
    <row r="599" spans="1:7" x14ac:dyDescent="0.2">
      <c r="A599" s="169" t="s">
        <v>3896</v>
      </c>
      <c r="B599" s="167" t="b">
        <v>0</v>
      </c>
      <c r="C599" s="167" t="s">
        <v>243</v>
      </c>
      <c r="D599" s="167" t="b">
        <v>0</v>
      </c>
    </row>
    <row r="600" spans="1:7" x14ac:dyDescent="0.2">
      <c r="A600" s="169" t="s">
        <v>3897</v>
      </c>
      <c r="B600" s="167" t="b">
        <v>0</v>
      </c>
    </row>
    <row r="601" spans="1:7" x14ac:dyDescent="0.2">
      <c r="A601" s="169" t="s">
        <v>3898</v>
      </c>
      <c r="B601" s="167" t="b">
        <v>0</v>
      </c>
    </row>
    <row r="602" spans="1:7" x14ac:dyDescent="0.2">
      <c r="A602" s="169" t="s">
        <v>3899</v>
      </c>
      <c r="B602" s="167" t="b">
        <v>0</v>
      </c>
    </row>
    <row r="603" spans="1:7" x14ac:dyDescent="0.2">
      <c r="A603" s="169" t="s">
        <v>3900</v>
      </c>
      <c r="B603" s="167" t="b">
        <v>0</v>
      </c>
    </row>
    <row r="604" spans="1:7" x14ac:dyDescent="0.2">
      <c r="A604" s="169" t="s">
        <v>56</v>
      </c>
      <c r="B604" s="167" t="b">
        <v>0</v>
      </c>
    </row>
    <row r="605" spans="1:7" x14ac:dyDescent="0.2">
      <c r="A605" s="169" t="s">
        <v>3901</v>
      </c>
    </row>
    <row r="606" spans="1:7" x14ac:dyDescent="0.2">
      <c r="A606" s="169" t="s">
        <v>3825</v>
      </c>
    </row>
    <row r="607" spans="1:7" x14ac:dyDescent="0.2">
      <c r="A607" s="169" t="s">
        <v>3826</v>
      </c>
    </row>
    <row r="608" spans="1:7" x14ac:dyDescent="0.2">
      <c r="A608" s="169" t="s">
        <v>3841</v>
      </c>
      <c r="B608" s="167" t="b">
        <v>0</v>
      </c>
    </row>
    <row r="609" spans="1:7" x14ac:dyDescent="0.2">
      <c r="A609" s="169" t="s">
        <v>102</v>
      </c>
    </row>
    <row r="610" spans="1:7" x14ac:dyDescent="0.2">
      <c r="A610" s="215" t="s">
        <v>3902</v>
      </c>
      <c r="B610" s="215"/>
      <c r="C610" s="215"/>
      <c r="D610" s="215"/>
      <c r="E610" s="215"/>
      <c r="F610" s="215"/>
      <c r="G610" s="215"/>
    </row>
    <row r="611" spans="1:7" x14ac:dyDescent="0.2">
      <c r="A611" s="169" t="s">
        <v>3882</v>
      </c>
      <c r="B611" s="167" t="b">
        <v>0</v>
      </c>
    </row>
    <row r="612" spans="1:7" x14ac:dyDescent="0.2">
      <c r="A612" s="169" t="s">
        <v>3903</v>
      </c>
      <c r="B612" s="167" t="b">
        <v>0</v>
      </c>
    </row>
    <row r="613" spans="1:7" x14ac:dyDescent="0.2">
      <c r="A613" s="169" t="s">
        <v>3904</v>
      </c>
      <c r="B613" s="167" t="b">
        <v>0</v>
      </c>
    </row>
    <row r="614" spans="1:7" x14ac:dyDescent="0.2">
      <c r="A614" s="169" t="s">
        <v>3905</v>
      </c>
      <c r="B614" s="167" t="b">
        <v>0</v>
      </c>
    </row>
    <row r="615" spans="1:7" x14ac:dyDescent="0.2">
      <c r="A615" s="169" t="s">
        <v>3906</v>
      </c>
      <c r="B615" s="167" t="b">
        <v>0</v>
      </c>
    </row>
    <row r="616" spans="1:7" x14ac:dyDescent="0.2">
      <c r="A616" s="169" t="s">
        <v>3907</v>
      </c>
      <c r="B616" s="167" t="b">
        <v>0</v>
      </c>
    </row>
    <row r="617" spans="1:7" x14ac:dyDescent="0.2">
      <c r="A617" s="169" t="s">
        <v>3908</v>
      </c>
      <c r="B617" s="167" t="b">
        <v>0</v>
      </c>
    </row>
    <row r="618" spans="1:7" x14ac:dyDescent="0.2">
      <c r="A618" s="169" t="s">
        <v>56</v>
      </c>
      <c r="B618" s="167" t="b">
        <v>0</v>
      </c>
    </row>
    <row r="619" spans="1:7" x14ac:dyDescent="0.2">
      <c r="A619" s="169" t="s">
        <v>3901</v>
      </c>
    </row>
    <row r="620" spans="1:7" x14ac:dyDescent="0.2">
      <c r="A620" s="169" t="s">
        <v>3825</v>
      </c>
    </row>
    <row r="621" spans="1:7" x14ac:dyDescent="0.2">
      <c r="A621" s="169" t="s">
        <v>3826</v>
      </c>
    </row>
    <row r="622" spans="1:7" x14ac:dyDescent="0.2">
      <c r="A622" s="169" t="s">
        <v>3841</v>
      </c>
      <c r="B622" s="167" t="b">
        <v>0</v>
      </c>
    </row>
    <row r="623" spans="1:7" x14ac:dyDescent="0.2">
      <c r="A623" s="169" t="s">
        <v>102</v>
      </c>
    </row>
    <row r="624" spans="1:7" x14ac:dyDescent="0.2">
      <c r="A624" s="215" t="s">
        <v>3909</v>
      </c>
      <c r="B624" s="215"/>
      <c r="C624" s="215"/>
      <c r="D624" s="215"/>
      <c r="E624" s="215"/>
      <c r="F624" s="215"/>
      <c r="G624" s="215"/>
    </row>
    <row r="625" spans="1:2" x14ac:dyDescent="0.2">
      <c r="A625" s="169" t="s">
        <v>3910</v>
      </c>
      <c r="B625" s="167" t="b">
        <v>0</v>
      </c>
    </row>
    <row r="626" spans="1:2" x14ac:dyDescent="0.2">
      <c r="A626" s="169" t="s">
        <v>204</v>
      </c>
      <c r="B626" s="167" t="b">
        <v>0</v>
      </c>
    </row>
    <row r="627" spans="1:2" x14ac:dyDescent="0.2">
      <c r="A627" s="169" t="s">
        <v>205</v>
      </c>
      <c r="B627" s="167" t="b">
        <v>0</v>
      </c>
    </row>
    <row r="628" spans="1:2" x14ac:dyDescent="0.2">
      <c r="A628" s="169" t="s">
        <v>3911</v>
      </c>
    </row>
    <row r="629" spans="1:2" x14ac:dyDescent="0.2">
      <c r="A629" s="169" t="s">
        <v>3912</v>
      </c>
      <c r="B629" s="88" t="s">
        <v>1450</v>
      </c>
    </row>
    <row r="630" spans="1:2" x14ac:dyDescent="0.2">
      <c r="A630" s="169" t="s">
        <v>3913</v>
      </c>
      <c r="B630" s="88"/>
    </row>
    <row r="631" spans="1:2" x14ac:dyDescent="0.2">
      <c r="A631" s="169" t="s">
        <v>3914</v>
      </c>
    </row>
    <row r="632" spans="1:2" x14ac:dyDescent="0.2">
      <c r="A632" s="169" t="s">
        <v>3915</v>
      </c>
    </row>
    <row r="633" spans="1:2" x14ac:dyDescent="0.2">
      <c r="A633" s="169" t="s">
        <v>3916</v>
      </c>
    </row>
    <row r="634" spans="1:2" x14ac:dyDescent="0.2">
      <c r="A634" s="169" t="s">
        <v>3917</v>
      </c>
    </row>
    <row r="635" spans="1:2" x14ac:dyDescent="0.2">
      <c r="A635" s="169" t="s">
        <v>3918</v>
      </c>
    </row>
    <row r="636" spans="1:2" x14ac:dyDescent="0.2">
      <c r="A636" s="169" t="s">
        <v>3919</v>
      </c>
    </row>
    <row r="637" spans="1:2" x14ac:dyDescent="0.2">
      <c r="A637" s="169" t="s">
        <v>3825</v>
      </c>
    </row>
    <row r="638" spans="1:2" x14ac:dyDescent="0.2">
      <c r="A638" s="169" t="s">
        <v>3826</v>
      </c>
    </row>
    <row r="639" spans="1:2" x14ac:dyDescent="0.2">
      <c r="A639" s="169" t="s">
        <v>3841</v>
      </c>
    </row>
    <row r="640" spans="1:2" x14ac:dyDescent="0.2">
      <c r="A640" s="169" t="s">
        <v>102</v>
      </c>
    </row>
    <row r="641" spans="1:7" x14ac:dyDescent="0.2">
      <c r="A641" s="169" t="s">
        <v>3920</v>
      </c>
    </row>
    <row r="642" spans="1:7" x14ac:dyDescent="0.2">
      <c r="A642" s="169" t="s">
        <v>3921</v>
      </c>
    </row>
    <row r="643" spans="1:7" x14ac:dyDescent="0.2">
      <c r="A643" s="169" t="s">
        <v>3922</v>
      </c>
    </row>
    <row r="644" spans="1:7" x14ac:dyDescent="0.2">
      <c r="A644" s="215" t="s">
        <v>3923</v>
      </c>
      <c r="B644" s="215"/>
      <c r="C644" s="215"/>
      <c r="D644" s="215"/>
      <c r="E644" s="215"/>
      <c r="F644" s="215"/>
      <c r="G644" s="215"/>
    </row>
    <row r="645" spans="1:7" x14ac:dyDescent="0.2">
      <c r="A645" s="169" t="s">
        <v>3600</v>
      </c>
    </row>
    <row r="646" spans="1:7" x14ac:dyDescent="0.2">
      <c r="A646" s="169" t="s">
        <v>3924</v>
      </c>
      <c r="B646" s="167" t="b">
        <v>0</v>
      </c>
    </row>
    <row r="647" spans="1:7" x14ac:dyDescent="0.2">
      <c r="A647" s="169" t="s">
        <v>3925</v>
      </c>
      <c r="B647" s="167" t="b">
        <v>0</v>
      </c>
    </row>
    <row r="648" spans="1:7" x14ac:dyDescent="0.2">
      <c r="A648" s="169" t="s">
        <v>3601</v>
      </c>
    </row>
    <row r="649" spans="1:7" x14ac:dyDescent="0.2">
      <c r="A649" s="169" t="s">
        <v>210</v>
      </c>
    </row>
    <row r="650" spans="1:7" x14ac:dyDescent="0.2">
      <c r="A650" s="169" t="s">
        <v>3926</v>
      </c>
    </row>
    <row r="651" spans="1:7" x14ac:dyDescent="0.2">
      <c r="A651" s="169" t="s">
        <v>3927</v>
      </c>
    </row>
    <row r="652" spans="1:7" x14ac:dyDescent="0.2">
      <c r="A652" s="169" t="s">
        <v>3928</v>
      </c>
    </row>
    <row r="653" spans="1:7" x14ac:dyDescent="0.2">
      <c r="A653" s="169" t="s">
        <v>3929</v>
      </c>
    </row>
    <row r="654" spans="1:7" x14ac:dyDescent="0.2">
      <c r="A654" s="169" t="s">
        <v>3930</v>
      </c>
    </row>
    <row r="655" spans="1:7" x14ac:dyDescent="0.2">
      <c r="A655" s="169" t="s">
        <v>3931</v>
      </c>
    </row>
    <row r="656" spans="1:7" x14ac:dyDescent="0.2">
      <c r="A656" s="169" t="s">
        <v>3932</v>
      </c>
    </row>
    <row r="657" spans="1:2" x14ac:dyDescent="0.2">
      <c r="A657" s="169" t="s">
        <v>3933</v>
      </c>
      <c r="B657" s="167" t="b">
        <v>0</v>
      </c>
    </row>
    <row r="658" spans="1:2" x14ac:dyDescent="0.2">
      <c r="A658" s="169" t="s">
        <v>3934</v>
      </c>
    </row>
    <row r="659" spans="1:2" x14ac:dyDescent="0.2">
      <c r="A659" s="169" t="s">
        <v>3935</v>
      </c>
    </row>
    <row r="660" spans="1:2" x14ac:dyDescent="0.2">
      <c r="A660" s="169" t="s">
        <v>3936</v>
      </c>
    </row>
    <row r="661" spans="1:2" x14ac:dyDescent="0.2">
      <c r="A661" s="169" t="s">
        <v>3937</v>
      </c>
    </row>
    <row r="662" spans="1:2" x14ac:dyDescent="0.2">
      <c r="A662" s="169" t="s">
        <v>3938</v>
      </c>
    </row>
    <row r="663" spans="1:2" x14ac:dyDescent="0.2">
      <c r="A663" s="169" t="s">
        <v>211</v>
      </c>
      <c r="B663" s="167" t="s">
        <v>121</v>
      </c>
    </row>
    <row r="664" spans="1:2" x14ac:dyDescent="0.2">
      <c r="A664" s="169" t="s">
        <v>3939</v>
      </c>
    </row>
    <row r="665" spans="1:2" x14ac:dyDescent="0.2">
      <c r="A665" s="169" t="s">
        <v>3940</v>
      </c>
    </row>
    <row r="666" spans="1:2" x14ac:dyDescent="0.2">
      <c r="A666" s="169" t="s">
        <v>3941</v>
      </c>
    </row>
    <row r="667" spans="1:2" x14ac:dyDescent="0.2">
      <c r="A667" s="169" t="s">
        <v>3942</v>
      </c>
      <c r="B667" s="167" t="s">
        <v>121</v>
      </c>
    </row>
    <row r="668" spans="1:2" x14ac:dyDescent="0.2">
      <c r="A668" s="169" t="s">
        <v>3943</v>
      </c>
    </row>
    <row r="669" spans="1:2" x14ac:dyDescent="0.2">
      <c r="A669" s="169" t="s">
        <v>3944</v>
      </c>
    </row>
    <row r="670" spans="1:2" x14ac:dyDescent="0.2">
      <c r="A670" s="169" t="s">
        <v>3945</v>
      </c>
    </row>
    <row r="671" spans="1:2" x14ac:dyDescent="0.2">
      <c r="A671" s="169" t="s">
        <v>3946</v>
      </c>
      <c r="B671" s="167" t="s">
        <v>123</v>
      </c>
    </row>
    <row r="672" spans="1:2" x14ac:dyDescent="0.2">
      <c r="A672" s="169" t="s">
        <v>3947</v>
      </c>
    </row>
    <row r="673" spans="1:7" x14ac:dyDescent="0.2">
      <c r="A673" s="169" t="s">
        <v>3948</v>
      </c>
      <c r="B673" s="167" t="s">
        <v>121</v>
      </c>
    </row>
    <row r="674" spans="1:7" x14ac:dyDescent="0.2">
      <c r="A674" s="169" t="s">
        <v>3949</v>
      </c>
    </row>
    <row r="675" spans="1:7" x14ac:dyDescent="0.2">
      <c r="A675" s="169" t="s">
        <v>3950</v>
      </c>
      <c r="B675" s="167" t="s">
        <v>121</v>
      </c>
    </row>
    <row r="676" spans="1:7" x14ac:dyDescent="0.2">
      <c r="A676" s="169" t="s">
        <v>3951</v>
      </c>
    </row>
    <row r="677" spans="1:7" x14ac:dyDescent="0.2">
      <c r="A677" s="215" t="s">
        <v>3952</v>
      </c>
      <c r="B677" s="215"/>
      <c r="C677" s="215"/>
      <c r="D677" s="215"/>
      <c r="E677" s="215"/>
      <c r="F677" s="215"/>
      <c r="G677" s="215"/>
    </row>
    <row r="678" spans="1:7" x14ac:dyDescent="0.2">
      <c r="A678" s="169" t="s">
        <v>3953</v>
      </c>
      <c r="B678" s="167" t="b">
        <v>0</v>
      </c>
      <c r="D678" s="167" t="s">
        <v>3954</v>
      </c>
    </row>
    <row r="679" spans="1:7" x14ac:dyDescent="0.2">
      <c r="A679" s="169" t="s">
        <v>220</v>
      </c>
      <c r="B679" s="167" t="b">
        <v>0</v>
      </c>
      <c r="D679" s="167" t="s">
        <v>3955</v>
      </c>
    </row>
    <row r="680" spans="1:7" x14ac:dyDescent="0.2">
      <c r="A680" s="169" t="s">
        <v>221</v>
      </c>
      <c r="B680" s="167" t="b">
        <v>0</v>
      </c>
      <c r="D680" s="167" t="s">
        <v>3956</v>
      </c>
      <c r="E680" s="167" t="b">
        <v>0</v>
      </c>
    </row>
    <row r="681" spans="1:7" x14ac:dyDescent="0.2">
      <c r="A681" s="169" t="s">
        <v>222</v>
      </c>
      <c r="B681" s="167" t="b">
        <v>0</v>
      </c>
    </row>
    <row r="682" spans="1:7" x14ac:dyDescent="0.2">
      <c r="A682" s="169" t="s">
        <v>77</v>
      </c>
      <c r="B682" s="167" t="b">
        <v>0</v>
      </c>
    </row>
    <row r="683" spans="1:7" x14ac:dyDescent="0.2">
      <c r="A683" s="169" t="s">
        <v>3957</v>
      </c>
      <c r="B683" s="167" t="b">
        <v>0</v>
      </c>
    </row>
    <row r="684" spans="1:7" x14ac:dyDescent="0.2">
      <c r="A684" s="169" t="s">
        <v>3958</v>
      </c>
      <c r="B684" s="167" t="b">
        <v>0</v>
      </c>
    </row>
    <row r="685" spans="1:7" x14ac:dyDescent="0.2">
      <c r="A685" s="169" t="s">
        <v>223</v>
      </c>
      <c r="B685" s="167" t="b">
        <v>0</v>
      </c>
    </row>
    <row r="686" spans="1:7" x14ac:dyDescent="0.2">
      <c r="A686" s="169" t="s">
        <v>224</v>
      </c>
      <c r="B686" s="167" t="b">
        <v>0</v>
      </c>
    </row>
    <row r="687" spans="1:7" x14ac:dyDescent="0.2">
      <c r="A687" s="169" t="s">
        <v>225</v>
      </c>
      <c r="B687" s="167" t="b">
        <v>0</v>
      </c>
    </row>
    <row r="688" spans="1:7" x14ac:dyDescent="0.2">
      <c r="A688" s="169" t="s">
        <v>226</v>
      </c>
      <c r="B688" s="167" t="b">
        <v>0</v>
      </c>
    </row>
    <row r="689" spans="1:7" x14ac:dyDescent="0.2">
      <c r="A689" s="169" t="s">
        <v>227</v>
      </c>
      <c r="B689" s="167" t="b">
        <v>0</v>
      </c>
    </row>
    <row r="690" spans="1:7" x14ac:dyDescent="0.2">
      <c r="A690" s="169" t="s">
        <v>56</v>
      </c>
      <c r="B690" s="167" t="b">
        <v>0</v>
      </c>
    </row>
    <row r="691" spans="1:7" x14ac:dyDescent="0.2">
      <c r="A691" s="169" t="s">
        <v>3959</v>
      </c>
    </row>
    <row r="692" spans="1:7" x14ac:dyDescent="0.2">
      <c r="A692" s="169" t="s">
        <v>3960</v>
      </c>
    </row>
    <row r="693" spans="1:7" x14ac:dyDescent="0.2">
      <c r="A693" s="169" t="s">
        <v>3961</v>
      </c>
    </row>
    <row r="694" spans="1:7" x14ac:dyDescent="0.2">
      <c r="A694" s="169" t="s">
        <v>3825</v>
      </c>
    </row>
    <row r="695" spans="1:7" x14ac:dyDescent="0.2">
      <c r="A695" s="169" t="s">
        <v>3826</v>
      </c>
    </row>
    <row r="696" spans="1:7" x14ac:dyDescent="0.2">
      <c r="A696" s="169" t="s">
        <v>3841</v>
      </c>
    </row>
    <row r="697" spans="1:7" x14ac:dyDescent="0.2">
      <c r="A697" s="169" t="s">
        <v>3962</v>
      </c>
    </row>
    <row r="698" spans="1:7" x14ac:dyDescent="0.2">
      <c r="A698" s="215" t="s">
        <v>3963</v>
      </c>
      <c r="B698" s="215"/>
      <c r="C698" s="215"/>
      <c r="D698" s="215"/>
      <c r="E698" s="215"/>
      <c r="F698" s="215"/>
      <c r="G698" s="215"/>
    </row>
    <row r="699" spans="1:7" x14ac:dyDescent="0.2">
      <c r="A699" s="169" t="s">
        <v>3953</v>
      </c>
      <c r="B699" s="167" t="b">
        <v>0</v>
      </c>
    </row>
    <row r="700" spans="1:7" x14ac:dyDescent="0.2">
      <c r="A700" s="169" t="s">
        <v>228</v>
      </c>
      <c r="B700" s="167" t="b">
        <v>0</v>
      </c>
    </row>
    <row r="701" spans="1:7" x14ac:dyDescent="0.2">
      <c r="A701" s="169" t="s">
        <v>3964</v>
      </c>
      <c r="B701" s="167" t="b">
        <v>0</v>
      </c>
    </row>
    <row r="702" spans="1:7" x14ac:dyDescent="0.2">
      <c r="A702" s="169" t="s">
        <v>3965</v>
      </c>
      <c r="B702" s="167" t="b">
        <v>0</v>
      </c>
    </row>
    <row r="703" spans="1:7" x14ac:dyDescent="0.2">
      <c r="A703" s="169" t="s">
        <v>3966</v>
      </c>
      <c r="B703" s="167" t="b">
        <v>0</v>
      </c>
    </row>
    <row r="704" spans="1:7" x14ac:dyDescent="0.2">
      <c r="A704" s="169" t="s">
        <v>3967</v>
      </c>
      <c r="B704" s="167" t="b">
        <v>0</v>
      </c>
    </row>
    <row r="705" spans="1:3" x14ac:dyDescent="0.2">
      <c r="A705" s="169" t="s">
        <v>3968</v>
      </c>
      <c r="B705" s="167" t="b">
        <v>0</v>
      </c>
    </row>
    <row r="706" spans="1:3" x14ac:dyDescent="0.2">
      <c r="A706" s="169" t="s">
        <v>3969</v>
      </c>
      <c r="B706" s="167" t="b">
        <v>0</v>
      </c>
    </row>
    <row r="707" spans="1:3" x14ac:dyDescent="0.2">
      <c r="A707" s="169" t="s">
        <v>3970</v>
      </c>
      <c r="B707" s="167" t="b">
        <v>0</v>
      </c>
    </row>
    <row r="708" spans="1:3" x14ac:dyDescent="0.2">
      <c r="A708" s="169" t="s">
        <v>3971</v>
      </c>
      <c r="B708" s="167" t="b">
        <v>0</v>
      </c>
    </row>
    <row r="709" spans="1:3" x14ac:dyDescent="0.2">
      <c r="A709" s="169" t="s">
        <v>3972</v>
      </c>
      <c r="B709" s="167" t="b">
        <v>0</v>
      </c>
    </row>
    <row r="710" spans="1:3" x14ac:dyDescent="0.2">
      <c r="A710" s="169" t="s">
        <v>3973</v>
      </c>
      <c r="B710" s="167" t="b">
        <v>0</v>
      </c>
    </row>
    <row r="711" spans="1:3" x14ac:dyDescent="0.2">
      <c r="A711" s="169" t="s">
        <v>3974</v>
      </c>
      <c r="B711" s="167" t="b">
        <v>0</v>
      </c>
    </row>
    <row r="712" spans="1:3" x14ac:dyDescent="0.2">
      <c r="A712" s="169" t="s">
        <v>56</v>
      </c>
      <c r="B712" s="167" t="b">
        <v>0</v>
      </c>
    </row>
    <row r="713" spans="1:3" x14ac:dyDescent="0.2">
      <c r="A713" s="169" t="s">
        <v>3959</v>
      </c>
    </row>
    <row r="714" spans="1:3" x14ac:dyDescent="0.2">
      <c r="A714" s="169" t="s">
        <v>3975</v>
      </c>
      <c r="B714" s="170"/>
    </row>
    <row r="715" spans="1:3" x14ac:dyDescent="0.2">
      <c r="A715" s="169" t="s">
        <v>3976</v>
      </c>
    </row>
    <row r="716" spans="1:3" x14ac:dyDescent="0.2">
      <c r="A716" s="169" t="s">
        <v>3825</v>
      </c>
    </row>
    <row r="717" spans="1:3" x14ac:dyDescent="0.2">
      <c r="A717" s="169" t="s">
        <v>3826</v>
      </c>
    </row>
    <row r="718" spans="1:3" x14ac:dyDescent="0.2">
      <c r="A718" s="169" t="s">
        <v>3841</v>
      </c>
      <c r="B718" s="167" t="b">
        <v>0</v>
      </c>
    </row>
    <row r="719" spans="1:3" x14ac:dyDescent="0.2">
      <c r="A719" s="169" t="s">
        <v>229</v>
      </c>
      <c r="C719" s="167" t="s">
        <v>3977</v>
      </c>
    </row>
    <row r="720" spans="1:3" x14ac:dyDescent="0.2">
      <c r="A720" s="169" t="s">
        <v>3978</v>
      </c>
      <c r="C720" s="167" t="s">
        <v>102</v>
      </c>
    </row>
    <row r="721" spans="1:7" x14ac:dyDescent="0.2">
      <c r="A721" s="169" t="s">
        <v>3979</v>
      </c>
    </row>
    <row r="722" spans="1:7" x14ac:dyDescent="0.2">
      <c r="A722" s="169" t="s">
        <v>3980</v>
      </c>
    </row>
    <row r="723" spans="1:7" x14ac:dyDescent="0.2">
      <c r="A723" s="169" t="s">
        <v>3981</v>
      </c>
    </row>
    <row r="724" spans="1:7" x14ac:dyDescent="0.2">
      <c r="A724" s="215" t="s">
        <v>3982</v>
      </c>
      <c r="B724" s="215"/>
      <c r="C724" s="215"/>
      <c r="D724" s="215"/>
      <c r="E724" s="215"/>
      <c r="F724" s="215"/>
      <c r="G724" s="215"/>
    </row>
    <row r="725" spans="1:7" x14ac:dyDescent="0.2">
      <c r="A725" s="169" t="s">
        <v>3953</v>
      </c>
      <c r="B725" s="167" t="b">
        <v>0</v>
      </c>
      <c r="D725" s="167" t="s">
        <v>3954</v>
      </c>
    </row>
    <row r="726" spans="1:7" x14ac:dyDescent="0.2">
      <c r="A726" s="169" t="s">
        <v>230</v>
      </c>
      <c r="B726" s="167" t="b">
        <v>0</v>
      </c>
      <c r="D726" s="167" t="s">
        <v>3955</v>
      </c>
    </row>
    <row r="727" spans="1:7" x14ac:dyDescent="0.2">
      <c r="A727" s="169" t="s">
        <v>231</v>
      </c>
      <c r="B727" s="167" t="b">
        <v>0</v>
      </c>
      <c r="D727" s="167" t="s">
        <v>3983</v>
      </c>
      <c r="E727" s="167" t="b">
        <v>0</v>
      </c>
    </row>
    <row r="728" spans="1:7" x14ac:dyDescent="0.2">
      <c r="A728" s="169" t="s">
        <v>232</v>
      </c>
      <c r="B728" s="167" t="b">
        <v>0</v>
      </c>
    </row>
    <row r="729" spans="1:7" x14ac:dyDescent="0.2">
      <c r="A729" s="169" t="s">
        <v>233</v>
      </c>
      <c r="B729" s="167" t="b">
        <v>0</v>
      </c>
    </row>
    <row r="730" spans="1:7" x14ac:dyDescent="0.2">
      <c r="A730" s="169" t="s">
        <v>234</v>
      </c>
      <c r="B730" s="167" t="b">
        <v>0</v>
      </c>
    </row>
    <row r="731" spans="1:7" x14ac:dyDescent="0.2">
      <c r="A731" s="169" t="s">
        <v>235</v>
      </c>
      <c r="B731" s="167" t="b">
        <v>0</v>
      </c>
    </row>
    <row r="732" spans="1:7" x14ac:dyDescent="0.2">
      <c r="A732" s="169" t="s">
        <v>236</v>
      </c>
      <c r="B732" s="167" t="b">
        <v>0</v>
      </c>
    </row>
    <row r="733" spans="1:7" x14ac:dyDescent="0.2">
      <c r="A733" s="169" t="s">
        <v>3984</v>
      </c>
      <c r="B733" s="167" t="b">
        <v>0</v>
      </c>
    </row>
    <row r="734" spans="1:7" x14ac:dyDescent="0.2">
      <c r="A734" s="169" t="s">
        <v>237</v>
      </c>
      <c r="B734" s="167" t="b">
        <v>0</v>
      </c>
    </row>
    <row r="735" spans="1:7" x14ac:dyDescent="0.2">
      <c r="A735" s="169" t="s">
        <v>3971</v>
      </c>
      <c r="B735" s="167" t="b">
        <v>0</v>
      </c>
    </row>
    <row r="736" spans="1:7" x14ac:dyDescent="0.2">
      <c r="A736" s="169" t="s">
        <v>3972</v>
      </c>
      <c r="B736" s="167" t="b">
        <v>0</v>
      </c>
    </row>
    <row r="737" spans="1:7" x14ac:dyDescent="0.2">
      <c r="A737" s="169" t="s">
        <v>3973</v>
      </c>
      <c r="B737" s="167" t="b">
        <v>0</v>
      </c>
    </row>
    <row r="738" spans="1:7" x14ac:dyDescent="0.2">
      <c r="A738" s="169" t="s">
        <v>3974</v>
      </c>
    </row>
    <row r="739" spans="1:7" x14ac:dyDescent="0.2">
      <c r="A739" s="169" t="s">
        <v>56</v>
      </c>
      <c r="B739" s="167" t="b">
        <v>0</v>
      </c>
    </row>
    <row r="740" spans="1:7" x14ac:dyDescent="0.2">
      <c r="A740" s="169" t="s">
        <v>3959</v>
      </c>
    </row>
    <row r="741" spans="1:7" x14ac:dyDescent="0.2">
      <c r="A741" s="169" t="s">
        <v>238</v>
      </c>
      <c r="C741" s="167" t="s">
        <v>3985</v>
      </c>
    </row>
    <row r="742" spans="1:7" x14ac:dyDescent="0.2">
      <c r="A742" s="169" t="s">
        <v>3986</v>
      </c>
      <c r="C742" s="167" t="s">
        <v>3987</v>
      </c>
    </row>
    <row r="743" spans="1:7" x14ac:dyDescent="0.2">
      <c r="A743" s="169" t="s">
        <v>3988</v>
      </c>
    </row>
    <row r="744" spans="1:7" x14ac:dyDescent="0.2">
      <c r="A744" s="169" t="s">
        <v>114</v>
      </c>
    </row>
    <row r="745" spans="1:7" x14ac:dyDescent="0.2">
      <c r="A745" s="169" t="s">
        <v>3989</v>
      </c>
    </row>
    <row r="746" spans="1:7" x14ac:dyDescent="0.2">
      <c r="A746" s="169" t="s">
        <v>3825</v>
      </c>
    </row>
    <row r="747" spans="1:7" x14ac:dyDescent="0.2">
      <c r="A747" s="169" t="s">
        <v>3826</v>
      </c>
    </row>
    <row r="748" spans="1:7" x14ac:dyDescent="0.2">
      <c r="A748" s="169" t="s">
        <v>3841</v>
      </c>
      <c r="B748" s="167" t="b">
        <v>0</v>
      </c>
    </row>
    <row r="749" spans="1:7" x14ac:dyDescent="0.2">
      <c r="A749" s="169" t="s">
        <v>102</v>
      </c>
    </row>
    <row r="750" spans="1:7" x14ac:dyDescent="0.2">
      <c r="A750" s="215" t="s">
        <v>3990</v>
      </c>
      <c r="B750" s="215"/>
      <c r="C750" s="215"/>
      <c r="D750" s="215"/>
      <c r="E750" s="215"/>
      <c r="F750" s="215"/>
      <c r="G750" s="215"/>
    </row>
    <row r="751" spans="1:7" x14ac:dyDescent="0.2">
      <c r="A751" s="169" t="s">
        <v>3953</v>
      </c>
      <c r="B751" s="167" t="b">
        <v>0</v>
      </c>
      <c r="D751" s="167" t="s">
        <v>2878</v>
      </c>
      <c r="E751" s="167" t="b">
        <v>0</v>
      </c>
    </row>
    <row r="752" spans="1:7" x14ac:dyDescent="0.2">
      <c r="A752" s="169" t="s">
        <v>242</v>
      </c>
      <c r="B752" s="167" t="b">
        <v>0</v>
      </c>
    </row>
    <row r="753" spans="1:2" x14ac:dyDescent="0.2">
      <c r="A753" s="169" t="s">
        <v>162</v>
      </c>
      <c r="B753" s="167" t="b">
        <v>0</v>
      </c>
    </row>
    <row r="754" spans="1:2" x14ac:dyDescent="0.2">
      <c r="A754" s="169" t="s">
        <v>243</v>
      </c>
      <c r="B754" s="167" t="b">
        <v>0</v>
      </c>
    </row>
    <row r="755" spans="1:2" x14ac:dyDescent="0.2">
      <c r="A755" s="169" t="s">
        <v>244</v>
      </c>
      <c r="B755" s="167" t="b">
        <v>0</v>
      </c>
    </row>
    <row r="756" spans="1:2" x14ac:dyDescent="0.2">
      <c r="A756" s="169" t="s">
        <v>3991</v>
      </c>
      <c r="B756" s="167" t="b">
        <v>0</v>
      </c>
    </row>
    <row r="757" spans="1:2" x14ac:dyDescent="0.2">
      <c r="A757" s="169" t="s">
        <v>243</v>
      </c>
      <c r="B757" s="167" t="b">
        <v>0</v>
      </c>
    </row>
    <row r="758" spans="1:2" x14ac:dyDescent="0.2">
      <c r="A758" s="169" t="s">
        <v>245</v>
      </c>
      <c r="B758" s="167" t="b">
        <v>0</v>
      </c>
    </row>
    <row r="759" spans="1:2" x14ac:dyDescent="0.2">
      <c r="A759" s="169" t="s">
        <v>246</v>
      </c>
      <c r="B759" s="167" t="b">
        <v>0</v>
      </c>
    </row>
    <row r="760" spans="1:2" x14ac:dyDescent="0.2">
      <c r="A760" s="169" t="s">
        <v>247</v>
      </c>
      <c r="B760" s="167" t="b">
        <v>0</v>
      </c>
    </row>
    <row r="761" spans="1:2" x14ac:dyDescent="0.2">
      <c r="A761" s="169" t="s">
        <v>3992</v>
      </c>
      <c r="B761" s="167" t="b">
        <v>0</v>
      </c>
    </row>
    <row r="762" spans="1:2" x14ac:dyDescent="0.2">
      <c r="A762" s="169" t="s">
        <v>248</v>
      </c>
      <c r="B762" s="167" t="b">
        <v>0</v>
      </c>
    </row>
    <row r="763" spans="1:2" x14ac:dyDescent="0.2">
      <c r="A763" s="169" t="s">
        <v>162</v>
      </c>
      <c r="B763" s="167" t="b">
        <v>0</v>
      </c>
    </row>
    <row r="764" spans="1:2" x14ac:dyDescent="0.2">
      <c r="A764" s="169" t="s">
        <v>243</v>
      </c>
      <c r="B764" s="167" t="b">
        <v>0</v>
      </c>
    </row>
    <row r="765" spans="1:2" x14ac:dyDescent="0.2">
      <c r="A765" s="169" t="s">
        <v>3993</v>
      </c>
      <c r="B765" s="167" t="b">
        <v>0</v>
      </c>
    </row>
    <row r="766" spans="1:2" x14ac:dyDescent="0.2">
      <c r="A766" s="169" t="s">
        <v>3994</v>
      </c>
      <c r="B766" s="167" t="b">
        <v>0</v>
      </c>
    </row>
    <row r="767" spans="1:2" x14ac:dyDescent="0.2">
      <c r="A767" s="169" t="s">
        <v>249</v>
      </c>
      <c r="B767" s="167" t="b">
        <v>0</v>
      </c>
    </row>
    <row r="768" spans="1:2" x14ac:dyDescent="0.2">
      <c r="A768" s="169" t="s">
        <v>250</v>
      </c>
      <c r="B768" s="167" t="b">
        <v>0</v>
      </c>
    </row>
    <row r="769" spans="1:7" x14ac:dyDescent="0.2">
      <c r="A769" s="169" t="s">
        <v>251</v>
      </c>
      <c r="B769" s="167" t="b">
        <v>0</v>
      </c>
    </row>
    <row r="770" spans="1:7" x14ac:dyDescent="0.2">
      <c r="A770" s="169" t="s">
        <v>252</v>
      </c>
      <c r="B770" s="167" t="b">
        <v>0</v>
      </c>
    </row>
    <row r="771" spans="1:7" x14ac:dyDescent="0.2">
      <c r="A771" s="169" t="s">
        <v>253</v>
      </c>
      <c r="B771" s="167" t="b">
        <v>0</v>
      </c>
    </row>
    <row r="772" spans="1:7" x14ac:dyDescent="0.2">
      <c r="A772" s="169" t="s">
        <v>56</v>
      </c>
      <c r="B772" s="167" t="b">
        <v>0</v>
      </c>
    </row>
    <row r="773" spans="1:7" x14ac:dyDescent="0.2">
      <c r="A773" s="169" t="s">
        <v>3959</v>
      </c>
    </row>
    <row r="774" spans="1:7" x14ac:dyDescent="0.2">
      <c r="A774" s="169" t="s">
        <v>3825</v>
      </c>
    </row>
    <row r="775" spans="1:7" x14ac:dyDescent="0.2">
      <c r="A775" s="169" t="s">
        <v>3826</v>
      </c>
    </row>
    <row r="776" spans="1:7" x14ac:dyDescent="0.2">
      <c r="A776" s="169" t="s">
        <v>3841</v>
      </c>
      <c r="B776" s="167" t="b">
        <v>0</v>
      </c>
    </row>
    <row r="777" spans="1:7" x14ac:dyDescent="0.2">
      <c r="A777" s="169" t="s">
        <v>3995</v>
      </c>
    </row>
    <row r="778" spans="1:7" x14ac:dyDescent="0.2">
      <c r="A778" s="169" t="s">
        <v>3996</v>
      </c>
    </row>
    <row r="779" spans="1:7" x14ac:dyDescent="0.2">
      <c r="A779" s="169" t="s">
        <v>102</v>
      </c>
    </row>
    <row r="780" spans="1:7" x14ac:dyDescent="0.2">
      <c r="A780" s="215" t="s">
        <v>3997</v>
      </c>
      <c r="B780" s="215"/>
      <c r="C780" s="215"/>
      <c r="D780" s="215"/>
      <c r="E780" s="215"/>
      <c r="F780" s="215"/>
      <c r="G780" s="215"/>
    </row>
    <row r="781" spans="1:7" x14ac:dyDescent="0.2">
      <c r="A781" s="169" t="s">
        <v>3864</v>
      </c>
      <c r="D781" s="167" t="s">
        <v>3954</v>
      </c>
    </row>
    <row r="782" spans="1:7" x14ac:dyDescent="0.2">
      <c r="A782" s="169" t="s">
        <v>3865</v>
      </c>
      <c r="D782" s="167" t="s">
        <v>3955</v>
      </c>
    </row>
    <row r="783" spans="1:7" x14ac:dyDescent="0.2">
      <c r="A783" s="169" t="s">
        <v>3953</v>
      </c>
      <c r="B783" s="167" t="b">
        <v>0</v>
      </c>
      <c r="D783" s="167" t="s">
        <v>3956</v>
      </c>
      <c r="E783" s="167" t="b">
        <v>0</v>
      </c>
    </row>
    <row r="784" spans="1:7" x14ac:dyDescent="0.2">
      <c r="A784" s="169" t="s">
        <v>242</v>
      </c>
    </row>
    <row r="785" spans="1:2" x14ac:dyDescent="0.2">
      <c r="A785" s="169" t="s">
        <v>162</v>
      </c>
    </row>
    <row r="786" spans="1:2" x14ac:dyDescent="0.2">
      <c r="A786" s="169" t="s">
        <v>243</v>
      </c>
    </row>
    <row r="787" spans="1:2" x14ac:dyDescent="0.2">
      <c r="A787" s="169" t="s">
        <v>244</v>
      </c>
    </row>
    <row r="788" spans="1:2" x14ac:dyDescent="0.2">
      <c r="A788" s="169" t="s">
        <v>3991</v>
      </c>
    </row>
    <row r="789" spans="1:2" x14ac:dyDescent="0.2">
      <c r="A789" s="169" t="s">
        <v>243</v>
      </c>
    </row>
    <row r="790" spans="1:2" x14ac:dyDescent="0.2">
      <c r="A790" s="169" t="s">
        <v>258</v>
      </c>
      <c r="B790" s="167" t="b">
        <v>0</v>
      </c>
    </row>
    <row r="791" spans="1:2" x14ac:dyDescent="0.2">
      <c r="A791" s="169" t="s">
        <v>259</v>
      </c>
      <c r="B791" s="167" t="b">
        <v>0</v>
      </c>
    </row>
    <row r="792" spans="1:2" x14ac:dyDescent="0.2">
      <c r="A792" s="169" t="s">
        <v>3998</v>
      </c>
      <c r="B792" s="167" t="b">
        <v>0</v>
      </c>
    </row>
    <row r="793" spans="1:2" x14ac:dyDescent="0.2">
      <c r="A793" s="169" t="s">
        <v>3999</v>
      </c>
      <c r="B793" s="167" t="b">
        <v>0</v>
      </c>
    </row>
    <row r="794" spans="1:2" x14ac:dyDescent="0.2">
      <c r="A794" s="169" t="s">
        <v>260</v>
      </c>
      <c r="B794" s="167" t="b">
        <v>0</v>
      </c>
    </row>
    <row r="795" spans="1:2" x14ac:dyDescent="0.2">
      <c r="A795" s="169" t="s">
        <v>261</v>
      </c>
      <c r="B795" s="167" t="b">
        <v>0</v>
      </c>
    </row>
    <row r="796" spans="1:2" x14ac:dyDescent="0.2">
      <c r="A796" s="169" t="s">
        <v>123</v>
      </c>
      <c r="B796" s="167" t="b">
        <v>0</v>
      </c>
    </row>
    <row r="797" spans="1:2" x14ac:dyDescent="0.2">
      <c r="A797" s="169" t="s">
        <v>56</v>
      </c>
      <c r="B797" s="167" t="b">
        <v>0</v>
      </c>
    </row>
    <row r="798" spans="1:2" x14ac:dyDescent="0.2">
      <c r="A798" s="169" t="s">
        <v>3959</v>
      </c>
    </row>
    <row r="799" spans="1:2" x14ac:dyDescent="0.2">
      <c r="A799" s="169" t="s">
        <v>4000</v>
      </c>
    </row>
    <row r="800" spans="1:2" x14ac:dyDescent="0.2">
      <c r="A800" s="169" t="s">
        <v>4001</v>
      </c>
    </row>
    <row r="801" spans="1:7" x14ac:dyDescent="0.2">
      <c r="A801" s="169" t="s">
        <v>4002</v>
      </c>
    </row>
    <row r="802" spans="1:7" x14ac:dyDescent="0.2">
      <c r="A802" s="169" t="s">
        <v>3825</v>
      </c>
    </row>
    <row r="803" spans="1:7" x14ac:dyDescent="0.2">
      <c r="A803" s="169" t="s">
        <v>3826</v>
      </c>
    </row>
    <row r="804" spans="1:7" x14ac:dyDescent="0.2">
      <c r="A804" s="169" t="s">
        <v>3841</v>
      </c>
      <c r="B804" s="167" t="b">
        <v>0</v>
      </c>
    </row>
    <row r="805" spans="1:7" x14ac:dyDescent="0.2">
      <c r="A805" s="169" t="s">
        <v>4003</v>
      </c>
    </row>
    <row r="806" spans="1:7" x14ac:dyDescent="0.2">
      <c r="A806" s="169" t="s">
        <v>102</v>
      </c>
    </row>
    <row r="807" spans="1:7" x14ac:dyDescent="0.2">
      <c r="A807" s="215" t="s">
        <v>4004</v>
      </c>
      <c r="B807" s="215"/>
      <c r="C807" s="215"/>
      <c r="D807" s="215"/>
      <c r="E807" s="215"/>
      <c r="F807" s="215"/>
      <c r="G807" s="215"/>
    </row>
    <row r="808" spans="1:7" x14ac:dyDescent="0.2">
      <c r="A808" s="169" t="s">
        <v>3953</v>
      </c>
      <c r="B808" s="167" t="b">
        <v>0</v>
      </c>
    </row>
    <row r="809" spans="1:7" x14ac:dyDescent="0.2">
      <c r="A809" s="169" t="s">
        <v>262</v>
      </c>
      <c r="B809" s="167" t="b">
        <v>0</v>
      </c>
    </row>
    <row r="810" spans="1:7" x14ac:dyDescent="0.2">
      <c r="A810" s="169" t="s">
        <v>263</v>
      </c>
      <c r="B810" s="167" t="b">
        <v>0</v>
      </c>
    </row>
    <row r="811" spans="1:7" x14ac:dyDescent="0.2">
      <c r="A811" s="169" t="s">
        <v>264</v>
      </c>
      <c r="B811" s="167" t="b">
        <v>0</v>
      </c>
    </row>
    <row r="812" spans="1:7" x14ac:dyDescent="0.2">
      <c r="A812" s="169" t="s">
        <v>265</v>
      </c>
      <c r="B812" s="167" t="b">
        <v>0</v>
      </c>
    </row>
    <row r="813" spans="1:7" x14ac:dyDescent="0.2">
      <c r="A813" s="169" t="s">
        <v>266</v>
      </c>
      <c r="B813" s="167" t="b">
        <v>0</v>
      </c>
    </row>
    <row r="814" spans="1:7" x14ac:dyDescent="0.2">
      <c r="A814" s="169" t="s">
        <v>201</v>
      </c>
    </row>
    <row r="815" spans="1:7" x14ac:dyDescent="0.2">
      <c r="A815" s="169" t="s">
        <v>245</v>
      </c>
    </row>
    <row r="816" spans="1:7" x14ac:dyDescent="0.2">
      <c r="A816" s="169" t="s">
        <v>267</v>
      </c>
      <c r="B816" s="167" t="b">
        <v>0</v>
      </c>
    </row>
    <row r="817" spans="1:7" x14ac:dyDescent="0.2">
      <c r="A817" s="169" t="s">
        <v>4005</v>
      </c>
      <c r="B817" s="167" t="b">
        <v>0</v>
      </c>
    </row>
    <row r="818" spans="1:7" x14ac:dyDescent="0.2">
      <c r="A818" s="169" t="s">
        <v>268</v>
      </c>
      <c r="B818" s="167" t="b">
        <v>0</v>
      </c>
    </row>
    <row r="819" spans="1:7" x14ac:dyDescent="0.2">
      <c r="A819" s="169" t="s">
        <v>269</v>
      </c>
      <c r="B819" s="167" t="b">
        <v>0</v>
      </c>
    </row>
    <row r="820" spans="1:7" x14ac:dyDescent="0.2">
      <c r="A820" s="169" t="s">
        <v>270</v>
      </c>
      <c r="B820" s="167" t="b">
        <v>0</v>
      </c>
    </row>
    <row r="821" spans="1:7" x14ac:dyDescent="0.2">
      <c r="A821" s="169" t="s">
        <v>56</v>
      </c>
      <c r="B821" s="167" t="b">
        <v>0</v>
      </c>
    </row>
    <row r="822" spans="1:7" x14ac:dyDescent="0.2">
      <c r="A822" s="169" t="s">
        <v>3959</v>
      </c>
    </row>
    <row r="823" spans="1:7" x14ac:dyDescent="0.2">
      <c r="A823" s="169" t="s">
        <v>4006</v>
      </c>
    </row>
    <row r="824" spans="1:7" x14ac:dyDescent="0.2">
      <c r="A824" s="169" t="s">
        <v>4007</v>
      </c>
    </row>
    <row r="825" spans="1:7" x14ac:dyDescent="0.2">
      <c r="A825" s="169" t="s">
        <v>3825</v>
      </c>
    </row>
    <row r="826" spans="1:7" x14ac:dyDescent="0.2">
      <c r="A826" s="169" t="s">
        <v>3826</v>
      </c>
    </row>
    <row r="827" spans="1:7" x14ac:dyDescent="0.2">
      <c r="A827" s="169" t="s">
        <v>3841</v>
      </c>
      <c r="B827" s="167" t="b">
        <v>0</v>
      </c>
    </row>
    <row r="828" spans="1:7" x14ac:dyDescent="0.2">
      <c r="A828" s="169" t="s">
        <v>102</v>
      </c>
    </row>
    <row r="829" spans="1:7" x14ac:dyDescent="0.2">
      <c r="A829" s="215" t="s">
        <v>4008</v>
      </c>
      <c r="B829" s="215"/>
      <c r="C829" s="215"/>
      <c r="D829" s="215"/>
      <c r="E829" s="215"/>
      <c r="F829" s="215"/>
      <c r="G829" s="215"/>
    </row>
    <row r="830" spans="1:7" x14ac:dyDescent="0.2">
      <c r="A830" s="169" t="s">
        <v>273</v>
      </c>
      <c r="B830" s="167" t="b">
        <v>0</v>
      </c>
    </row>
    <row r="831" spans="1:7" x14ac:dyDescent="0.2">
      <c r="A831" s="169" t="s">
        <v>274</v>
      </c>
      <c r="B831" s="167" t="b">
        <v>0</v>
      </c>
    </row>
    <row r="832" spans="1:7" x14ac:dyDescent="0.2">
      <c r="A832" s="169" t="s">
        <v>275</v>
      </c>
      <c r="B832" s="167" t="b">
        <v>0</v>
      </c>
    </row>
    <row r="833" spans="1:7" x14ac:dyDescent="0.2">
      <c r="A833" s="169" t="s">
        <v>4009</v>
      </c>
      <c r="B833" s="167" t="b">
        <v>0</v>
      </c>
    </row>
    <row r="834" spans="1:7" x14ac:dyDescent="0.2">
      <c r="A834" s="169" t="s">
        <v>4010</v>
      </c>
      <c r="B834" s="167" t="b">
        <v>0</v>
      </c>
    </row>
    <row r="835" spans="1:7" x14ac:dyDescent="0.2">
      <c r="A835" s="169" t="s">
        <v>276</v>
      </c>
    </row>
    <row r="836" spans="1:7" x14ac:dyDescent="0.2">
      <c r="A836" s="169" t="s">
        <v>3892</v>
      </c>
    </row>
    <row r="837" spans="1:7" x14ac:dyDescent="0.2">
      <c r="A837" s="169" t="s">
        <v>3825</v>
      </c>
    </row>
    <row r="838" spans="1:7" x14ac:dyDescent="0.2">
      <c r="A838" s="169" t="s">
        <v>3826</v>
      </c>
    </row>
    <row r="839" spans="1:7" x14ac:dyDescent="0.2">
      <c r="A839" s="169" t="s">
        <v>3841</v>
      </c>
      <c r="B839" s="167" t="b">
        <v>0</v>
      </c>
    </row>
    <row r="840" spans="1:7" x14ac:dyDescent="0.2">
      <c r="A840" s="169" t="s">
        <v>102</v>
      </c>
    </row>
    <row r="841" spans="1:7" x14ac:dyDescent="0.2">
      <c r="A841" s="215" t="s">
        <v>4011</v>
      </c>
      <c r="B841" s="215"/>
      <c r="C841" s="215"/>
      <c r="D841" s="215"/>
      <c r="E841" s="215"/>
      <c r="F841" s="215"/>
      <c r="G841" s="215"/>
    </row>
    <row r="842" spans="1:7" x14ac:dyDescent="0.2">
      <c r="A842" s="169" t="s">
        <v>278</v>
      </c>
      <c r="B842" s="167" t="b">
        <v>0</v>
      </c>
    </row>
    <row r="843" spans="1:7" x14ac:dyDescent="0.2">
      <c r="A843" s="169" t="s">
        <v>279</v>
      </c>
      <c r="B843" s="167" t="b">
        <v>0</v>
      </c>
    </row>
    <row r="844" spans="1:7" x14ac:dyDescent="0.2">
      <c r="A844" s="169" t="s">
        <v>280</v>
      </c>
      <c r="B844" s="167" t="b">
        <v>0</v>
      </c>
    </row>
    <row r="845" spans="1:7" x14ac:dyDescent="0.2">
      <c r="A845" s="169" t="s">
        <v>281</v>
      </c>
      <c r="B845" s="167" t="b">
        <v>0</v>
      </c>
    </row>
    <row r="846" spans="1:7" x14ac:dyDescent="0.2">
      <c r="A846" s="169" t="s">
        <v>282</v>
      </c>
      <c r="B846" s="167" t="b">
        <v>0</v>
      </c>
    </row>
    <row r="847" spans="1:7" x14ac:dyDescent="0.2">
      <c r="A847" s="169" t="s">
        <v>283</v>
      </c>
      <c r="B847" s="167" t="b">
        <v>0</v>
      </c>
    </row>
    <row r="848" spans="1:7" x14ac:dyDescent="0.2">
      <c r="A848" s="169" t="s">
        <v>284</v>
      </c>
      <c r="B848" s="167" t="b">
        <v>0</v>
      </c>
    </row>
    <row r="849" spans="1:7" x14ac:dyDescent="0.2">
      <c r="A849" s="169" t="s">
        <v>285</v>
      </c>
      <c r="B849" s="167" t="b">
        <v>0</v>
      </c>
    </row>
    <row r="850" spans="1:7" x14ac:dyDescent="0.2">
      <c r="A850" s="169" t="s">
        <v>56</v>
      </c>
      <c r="B850" s="167" t="b">
        <v>0</v>
      </c>
    </row>
    <row r="851" spans="1:7" x14ac:dyDescent="0.2">
      <c r="A851" s="169" t="s">
        <v>3959</v>
      </c>
    </row>
    <row r="852" spans="1:7" x14ac:dyDescent="0.2">
      <c r="A852" s="169" t="s">
        <v>4012</v>
      </c>
    </row>
    <row r="853" spans="1:7" x14ac:dyDescent="0.2">
      <c r="A853" s="169" t="s">
        <v>4013</v>
      </c>
    </row>
    <row r="854" spans="1:7" x14ac:dyDescent="0.2">
      <c r="A854" s="169" t="s">
        <v>4014</v>
      </c>
    </row>
    <row r="855" spans="1:7" x14ac:dyDescent="0.2">
      <c r="A855" s="169" t="s">
        <v>4015</v>
      </c>
    </row>
    <row r="856" spans="1:7" x14ac:dyDescent="0.2">
      <c r="A856" s="169" t="s">
        <v>4016</v>
      </c>
    </row>
    <row r="857" spans="1:7" x14ac:dyDescent="0.2">
      <c r="A857" s="169" t="s">
        <v>3825</v>
      </c>
    </row>
    <row r="858" spans="1:7" x14ac:dyDescent="0.2">
      <c r="A858" s="169" t="s">
        <v>3826</v>
      </c>
    </row>
    <row r="859" spans="1:7" x14ac:dyDescent="0.2">
      <c r="A859" s="169" t="s">
        <v>3841</v>
      </c>
      <c r="B859" s="167" t="b">
        <v>0</v>
      </c>
    </row>
    <row r="860" spans="1:7" x14ac:dyDescent="0.2">
      <c r="A860" s="169" t="s">
        <v>102</v>
      </c>
    </row>
    <row r="861" spans="1:7" x14ac:dyDescent="0.2">
      <c r="A861" s="215" t="s">
        <v>4017</v>
      </c>
      <c r="B861" s="215"/>
      <c r="C861" s="215"/>
      <c r="D861" s="215"/>
      <c r="E861" s="215"/>
      <c r="F861" s="215"/>
      <c r="G861" s="215"/>
    </row>
    <row r="862" spans="1:7" x14ac:dyDescent="0.2">
      <c r="A862" s="169" t="s">
        <v>4018</v>
      </c>
      <c r="B862" s="167" t="b">
        <v>0</v>
      </c>
    </row>
    <row r="863" spans="1:7" x14ac:dyDescent="0.2">
      <c r="A863" s="169" t="s">
        <v>4019</v>
      </c>
      <c r="B863" s="167" t="b">
        <v>0</v>
      </c>
    </row>
    <row r="864" spans="1:7" x14ac:dyDescent="0.2">
      <c r="A864" s="169" t="s">
        <v>4020</v>
      </c>
      <c r="B864" s="167" t="b">
        <v>0</v>
      </c>
    </row>
    <row r="865" spans="1:2" x14ac:dyDescent="0.2">
      <c r="A865" s="169" t="s">
        <v>4021</v>
      </c>
      <c r="B865" s="167" t="b">
        <v>0</v>
      </c>
    </row>
    <row r="866" spans="1:2" x14ac:dyDescent="0.2">
      <c r="A866" s="169" t="s">
        <v>4022</v>
      </c>
      <c r="B866" s="167" t="b">
        <v>0</v>
      </c>
    </row>
    <row r="867" spans="1:2" x14ac:dyDescent="0.2">
      <c r="A867" s="169" t="s">
        <v>4023</v>
      </c>
      <c r="B867" s="167" t="b">
        <v>0</v>
      </c>
    </row>
    <row r="868" spans="1:2" x14ac:dyDescent="0.2">
      <c r="A868" s="169" t="s">
        <v>4024</v>
      </c>
      <c r="B868" s="167" t="b">
        <v>0</v>
      </c>
    </row>
    <row r="869" spans="1:2" x14ac:dyDescent="0.2">
      <c r="A869" s="169" t="s">
        <v>4025</v>
      </c>
      <c r="B869" s="167" t="b">
        <v>0</v>
      </c>
    </row>
    <row r="870" spans="1:2" x14ac:dyDescent="0.2">
      <c r="A870" s="169" t="s">
        <v>4026</v>
      </c>
      <c r="B870" s="167" t="b">
        <v>0</v>
      </c>
    </row>
    <row r="871" spans="1:2" x14ac:dyDescent="0.2">
      <c r="A871" s="169" t="s">
        <v>4027</v>
      </c>
      <c r="B871" s="167" t="b">
        <v>0</v>
      </c>
    </row>
    <row r="872" spans="1:2" x14ac:dyDescent="0.2">
      <c r="A872" s="169" t="s">
        <v>4028</v>
      </c>
      <c r="B872" s="167" t="b">
        <v>0</v>
      </c>
    </row>
    <row r="873" spans="1:2" x14ac:dyDescent="0.2">
      <c r="A873" s="169" t="s">
        <v>4029</v>
      </c>
      <c r="B873" s="167" t="b">
        <v>0</v>
      </c>
    </row>
    <row r="874" spans="1:2" x14ac:dyDescent="0.2">
      <c r="A874" s="169" t="s">
        <v>4030</v>
      </c>
      <c r="B874" s="167" t="b">
        <v>0</v>
      </c>
    </row>
    <row r="875" spans="1:2" x14ac:dyDescent="0.2">
      <c r="A875" s="169" t="s">
        <v>4031</v>
      </c>
      <c r="B875" s="167" t="b">
        <v>0</v>
      </c>
    </row>
    <row r="876" spans="1:2" x14ac:dyDescent="0.2">
      <c r="A876" s="169" t="s">
        <v>4032</v>
      </c>
      <c r="B876" s="167" t="b">
        <v>0</v>
      </c>
    </row>
    <row r="877" spans="1:2" x14ac:dyDescent="0.2">
      <c r="A877" s="169" t="s">
        <v>3953</v>
      </c>
      <c r="B877" s="167" t="b">
        <v>0</v>
      </c>
    </row>
    <row r="878" spans="1:2" x14ac:dyDescent="0.2">
      <c r="A878" s="169" t="s">
        <v>292</v>
      </c>
      <c r="B878" s="167" t="b">
        <v>0</v>
      </c>
    </row>
    <row r="879" spans="1:2" x14ac:dyDescent="0.2">
      <c r="A879" s="169" t="s">
        <v>293</v>
      </c>
      <c r="B879" s="167" t="b">
        <v>0</v>
      </c>
    </row>
    <row r="880" spans="1:2" x14ac:dyDescent="0.2">
      <c r="A880" s="169" t="s">
        <v>294</v>
      </c>
      <c r="B880" s="167" t="b">
        <v>0</v>
      </c>
    </row>
    <row r="881" spans="1:5" x14ac:dyDescent="0.2">
      <c r="A881" s="169" t="s">
        <v>4033</v>
      </c>
      <c r="B881" s="167" t="b">
        <v>0</v>
      </c>
      <c r="D881" s="167" t="s">
        <v>4034</v>
      </c>
      <c r="E881" s="167" t="b">
        <v>0</v>
      </c>
    </row>
    <row r="882" spans="1:5" x14ac:dyDescent="0.2">
      <c r="A882" s="169" t="s">
        <v>295</v>
      </c>
      <c r="B882" s="167" t="b">
        <v>0</v>
      </c>
    </row>
    <row r="883" spans="1:5" x14ac:dyDescent="0.2">
      <c r="A883" s="169" t="s">
        <v>296</v>
      </c>
      <c r="B883" s="167" t="b">
        <v>0</v>
      </c>
    </row>
    <row r="884" spans="1:5" x14ac:dyDescent="0.2">
      <c r="A884" s="169" t="s">
        <v>297</v>
      </c>
      <c r="B884" s="167" t="b">
        <v>0</v>
      </c>
    </row>
    <row r="885" spans="1:5" x14ac:dyDescent="0.2">
      <c r="A885" s="169" t="s">
        <v>298</v>
      </c>
      <c r="B885" s="167" t="b">
        <v>0</v>
      </c>
    </row>
    <row r="886" spans="1:5" x14ac:dyDescent="0.2">
      <c r="A886" s="169" t="s">
        <v>299</v>
      </c>
      <c r="B886" s="167" t="b">
        <v>0</v>
      </c>
    </row>
    <row r="887" spans="1:5" x14ac:dyDescent="0.2">
      <c r="A887" s="169" t="s">
        <v>300</v>
      </c>
      <c r="B887" s="167" t="b">
        <v>0</v>
      </c>
    </row>
    <row r="888" spans="1:5" x14ac:dyDescent="0.2">
      <c r="A888" s="169" t="s">
        <v>301</v>
      </c>
      <c r="B888" s="167" t="b">
        <v>0</v>
      </c>
    </row>
    <row r="889" spans="1:5" x14ac:dyDescent="0.2">
      <c r="A889" s="169" t="s">
        <v>302</v>
      </c>
      <c r="B889" s="167" t="b">
        <v>0</v>
      </c>
    </row>
    <row r="890" spans="1:5" x14ac:dyDescent="0.2">
      <c r="A890" s="169" t="s">
        <v>4035</v>
      </c>
      <c r="B890" s="167" t="b">
        <v>0</v>
      </c>
    </row>
    <row r="891" spans="1:5" x14ac:dyDescent="0.2">
      <c r="A891" s="169" t="s">
        <v>56</v>
      </c>
      <c r="B891" s="167" t="b">
        <v>0</v>
      </c>
    </row>
    <row r="892" spans="1:5" x14ac:dyDescent="0.2">
      <c r="A892" s="169" t="s">
        <v>3959</v>
      </c>
    </row>
    <row r="893" spans="1:5" x14ac:dyDescent="0.2">
      <c r="A893" s="169" t="s">
        <v>3825</v>
      </c>
    </row>
    <row r="894" spans="1:5" x14ac:dyDescent="0.2">
      <c r="A894" s="169" t="s">
        <v>3826</v>
      </c>
    </row>
    <row r="895" spans="1:5" x14ac:dyDescent="0.2">
      <c r="A895" s="169" t="s">
        <v>3841</v>
      </c>
      <c r="B895" s="167" t="b">
        <v>0</v>
      </c>
    </row>
    <row r="896" spans="1:5" x14ac:dyDescent="0.2">
      <c r="A896" s="169" t="s">
        <v>114</v>
      </c>
    </row>
    <row r="897" spans="1:7" x14ac:dyDescent="0.2">
      <c r="A897" s="169" t="s">
        <v>102</v>
      </c>
    </row>
    <row r="898" spans="1:7" x14ac:dyDescent="0.2">
      <c r="A898" s="169" t="s">
        <v>4036</v>
      </c>
      <c r="B898" s="167" t="s">
        <v>121</v>
      </c>
    </row>
    <row r="899" spans="1:7" x14ac:dyDescent="0.2">
      <c r="A899" s="169" t="s">
        <v>4037</v>
      </c>
    </row>
    <row r="900" spans="1:7" x14ac:dyDescent="0.2">
      <c r="A900" s="169" t="s">
        <v>4038</v>
      </c>
      <c r="B900" s="167" t="s">
        <v>123</v>
      </c>
    </row>
    <row r="901" spans="1:7" x14ac:dyDescent="0.2">
      <c r="A901" s="169" t="s">
        <v>4039</v>
      </c>
    </row>
    <row r="902" spans="1:7" x14ac:dyDescent="0.2">
      <c r="A902" s="169" t="s">
        <v>304</v>
      </c>
      <c r="B902" s="167" t="s">
        <v>121</v>
      </c>
    </row>
    <row r="903" spans="1:7" x14ac:dyDescent="0.2">
      <c r="A903" s="169" t="s">
        <v>4040</v>
      </c>
    </row>
    <row r="904" spans="1:7" x14ac:dyDescent="0.2">
      <c r="A904" s="169" t="s">
        <v>305</v>
      </c>
      <c r="B904" s="167" t="s">
        <v>121</v>
      </c>
    </row>
    <row r="905" spans="1:7" x14ac:dyDescent="0.2">
      <c r="A905" s="169" t="s">
        <v>4041</v>
      </c>
    </row>
    <row r="906" spans="1:7" x14ac:dyDescent="0.2">
      <c r="A906" s="215" t="s">
        <v>4042</v>
      </c>
      <c r="B906" s="215"/>
      <c r="C906" s="215"/>
      <c r="D906" s="215"/>
      <c r="E906" s="215"/>
      <c r="F906" s="215"/>
      <c r="G906" s="215"/>
    </row>
    <row r="907" spans="1:7" x14ac:dyDescent="0.2">
      <c r="A907" s="169" t="s">
        <v>4043</v>
      </c>
    </row>
    <row r="908" spans="1:7" x14ac:dyDescent="0.2">
      <c r="A908" s="169" t="s">
        <v>4044</v>
      </c>
    </row>
    <row r="909" spans="1:7" x14ac:dyDescent="0.2">
      <c r="A909" s="169" t="s">
        <v>4045</v>
      </c>
    </row>
    <row r="910" spans="1:7" x14ac:dyDescent="0.2">
      <c r="A910" s="169" t="s">
        <v>4046</v>
      </c>
    </row>
    <row r="911" spans="1:7" x14ac:dyDescent="0.2">
      <c r="A911" s="169" t="s">
        <v>4047</v>
      </c>
    </row>
    <row r="912" spans="1:7" x14ac:dyDescent="0.2">
      <c r="A912" s="169" t="s">
        <v>102</v>
      </c>
    </row>
    <row r="913" spans="1:7" x14ac:dyDescent="0.2">
      <c r="A913" s="215" t="s">
        <v>4048</v>
      </c>
      <c r="B913" s="215"/>
      <c r="C913" s="215"/>
      <c r="D913" s="215"/>
      <c r="E913" s="215"/>
      <c r="F913" s="215"/>
      <c r="G913" s="215"/>
    </row>
    <row r="914" spans="1:7" x14ac:dyDescent="0.2">
      <c r="A914" s="169" t="s">
        <v>4049</v>
      </c>
      <c r="B914" s="167" t="b">
        <v>0</v>
      </c>
      <c r="C914" s="167" t="s">
        <v>76</v>
      </c>
    </row>
    <row r="915" spans="1:7" x14ac:dyDescent="0.2">
      <c r="A915" s="169" t="s">
        <v>307</v>
      </c>
      <c r="B915" s="167" t="b">
        <v>0</v>
      </c>
      <c r="C915" s="167" t="s">
        <v>4050</v>
      </c>
    </row>
    <row r="916" spans="1:7" x14ac:dyDescent="0.2">
      <c r="A916" s="169" t="s">
        <v>4051</v>
      </c>
      <c r="B916" s="167" t="b">
        <v>0</v>
      </c>
    </row>
    <row r="917" spans="1:7" x14ac:dyDescent="0.2">
      <c r="A917" s="169" t="s">
        <v>308</v>
      </c>
      <c r="B917" s="167" t="b">
        <v>0</v>
      </c>
    </row>
    <row r="918" spans="1:7" x14ac:dyDescent="0.2">
      <c r="A918" s="169" t="s">
        <v>309</v>
      </c>
      <c r="B918" s="167" t="b">
        <v>0</v>
      </c>
    </row>
    <row r="919" spans="1:7" x14ac:dyDescent="0.2">
      <c r="A919" s="169" t="s">
        <v>310</v>
      </c>
      <c r="B919" s="167" t="b">
        <v>0</v>
      </c>
    </row>
    <row r="920" spans="1:7" x14ac:dyDescent="0.2">
      <c r="A920" s="169" t="s">
        <v>311</v>
      </c>
      <c r="B920" s="167" t="b">
        <v>0</v>
      </c>
    </row>
    <row r="921" spans="1:7" x14ac:dyDescent="0.2">
      <c r="A921" s="169" t="s">
        <v>312</v>
      </c>
      <c r="B921" s="167" t="b">
        <v>0</v>
      </c>
    </row>
    <row r="922" spans="1:7" x14ac:dyDescent="0.2">
      <c r="A922" s="169" t="s">
        <v>313</v>
      </c>
      <c r="B922" s="167" t="b">
        <v>0</v>
      </c>
    </row>
    <row r="923" spans="1:7" x14ac:dyDescent="0.2">
      <c r="A923" s="169" t="s">
        <v>314</v>
      </c>
      <c r="B923" s="167" t="b">
        <v>0</v>
      </c>
    </row>
    <row r="924" spans="1:7" x14ac:dyDescent="0.2">
      <c r="A924" s="169" t="s">
        <v>315</v>
      </c>
      <c r="B924" s="167" t="b">
        <v>0</v>
      </c>
    </row>
    <row r="925" spans="1:7" x14ac:dyDescent="0.2">
      <c r="A925" s="169" t="s">
        <v>316</v>
      </c>
      <c r="B925" s="167" t="b">
        <v>0</v>
      </c>
    </row>
    <row r="926" spans="1:7" x14ac:dyDescent="0.2">
      <c r="A926" s="169" t="s">
        <v>317</v>
      </c>
      <c r="B926" s="167" t="b">
        <v>0</v>
      </c>
    </row>
    <row r="927" spans="1:7" x14ac:dyDescent="0.2">
      <c r="A927" s="169" t="s">
        <v>318</v>
      </c>
      <c r="B927" s="167" t="b">
        <v>0</v>
      </c>
    </row>
    <row r="928" spans="1:7" x14ac:dyDescent="0.2">
      <c r="A928" s="169" t="s">
        <v>319</v>
      </c>
      <c r="B928" s="167" t="b">
        <v>0</v>
      </c>
    </row>
    <row r="929" spans="1:2" x14ac:dyDescent="0.2">
      <c r="A929" s="169" t="s">
        <v>320</v>
      </c>
      <c r="B929" s="167" t="b">
        <v>0</v>
      </c>
    </row>
    <row r="930" spans="1:2" x14ac:dyDescent="0.2">
      <c r="A930" s="169" t="s">
        <v>321</v>
      </c>
      <c r="B930" s="167" t="b">
        <v>0</v>
      </c>
    </row>
    <row r="931" spans="1:2" x14ac:dyDescent="0.2">
      <c r="A931" s="169" t="s">
        <v>322</v>
      </c>
      <c r="B931" s="167" t="b">
        <v>0</v>
      </c>
    </row>
    <row r="932" spans="1:2" x14ac:dyDescent="0.2">
      <c r="A932" s="169" t="s">
        <v>323</v>
      </c>
      <c r="B932" s="167" t="b">
        <v>0</v>
      </c>
    </row>
    <row r="933" spans="1:2" x14ac:dyDescent="0.2">
      <c r="A933" s="169" t="s">
        <v>324</v>
      </c>
      <c r="B933" s="167" t="b">
        <v>0</v>
      </c>
    </row>
    <row r="934" spans="1:2" x14ac:dyDescent="0.2">
      <c r="A934" s="169" t="s">
        <v>910</v>
      </c>
      <c r="B934" s="167" t="b">
        <v>0</v>
      </c>
    </row>
    <row r="935" spans="1:2" x14ac:dyDescent="0.2">
      <c r="A935" s="169" t="s">
        <v>4052</v>
      </c>
      <c r="B935" s="167" t="b">
        <v>0</v>
      </c>
    </row>
    <row r="936" spans="1:2" x14ac:dyDescent="0.2">
      <c r="A936" s="169" t="s">
        <v>4053</v>
      </c>
      <c r="B936" s="167" t="b">
        <v>0</v>
      </c>
    </row>
    <row r="937" spans="1:2" x14ac:dyDescent="0.2">
      <c r="A937" s="169" t="s">
        <v>56</v>
      </c>
      <c r="B937" s="167" t="b">
        <v>0</v>
      </c>
    </row>
    <row r="938" spans="1:2" x14ac:dyDescent="0.2">
      <c r="A938" s="169" t="s">
        <v>3959</v>
      </c>
    </row>
    <row r="939" spans="1:2" x14ac:dyDescent="0.2">
      <c r="A939" s="169" t="s">
        <v>4054</v>
      </c>
    </row>
    <row r="940" spans="1:2" x14ac:dyDescent="0.2">
      <c r="A940" s="169" t="s">
        <v>4055</v>
      </c>
    </row>
    <row r="941" spans="1:2" x14ac:dyDescent="0.2">
      <c r="A941" s="169" t="s">
        <v>4056</v>
      </c>
    </row>
    <row r="942" spans="1:2" x14ac:dyDescent="0.2">
      <c r="A942" s="169" t="s">
        <v>4057</v>
      </c>
    </row>
    <row r="943" spans="1:2" x14ac:dyDescent="0.2">
      <c r="A943" s="169" t="s">
        <v>4058</v>
      </c>
    </row>
    <row r="944" spans="1:2" x14ac:dyDescent="0.2">
      <c r="A944" s="169" t="s">
        <v>114</v>
      </c>
    </row>
    <row r="945" spans="1:7" x14ac:dyDescent="0.2">
      <c r="A945" s="169" t="s">
        <v>3825</v>
      </c>
    </row>
    <row r="946" spans="1:7" x14ac:dyDescent="0.2">
      <c r="A946" s="169" t="s">
        <v>3826</v>
      </c>
    </row>
    <row r="947" spans="1:7" x14ac:dyDescent="0.2">
      <c r="A947" s="169" t="s">
        <v>3841</v>
      </c>
      <c r="B947" s="167" t="b">
        <v>0</v>
      </c>
    </row>
    <row r="948" spans="1:7" x14ac:dyDescent="0.2">
      <c r="A948" s="169" t="s">
        <v>102</v>
      </c>
    </row>
    <row r="949" spans="1:7" x14ac:dyDescent="0.2">
      <c r="A949" s="215" t="s">
        <v>4059</v>
      </c>
      <c r="B949" s="215"/>
      <c r="C949" s="215"/>
      <c r="D949" s="215"/>
      <c r="E949" s="215"/>
      <c r="F949" s="215"/>
      <c r="G949" s="215"/>
    </row>
    <row r="950" spans="1:7" x14ac:dyDescent="0.2">
      <c r="A950" s="169" t="s">
        <v>4060</v>
      </c>
      <c r="B950" s="167" t="b">
        <v>0</v>
      </c>
    </row>
    <row r="951" spans="1:7" x14ac:dyDescent="0.2">
      <c r="A951" s="169" t="s">
        <v>4061</v>
      </c>
    </row>
    <row r="952" spans="1:7" x14ac:dyDescent="0.2">
      <c r="A952" s="169" t="s">
        <v>4062</v>
      </c>
    </row>
    <row r="953" spans="1:7" x14ac:dyDescent="0.2">
      <c r="A953" s="169" t="s">
        <v>4063</v>
      </c>
      <c r="B953" s="167" t="b">
        <v>0</v>
      </c>
    </row>
    <row r="954" spans="1:7" x14ac:dyDescent="0.2">
      <c r="A954" s="169" t="s">
        <v>4064</v>
      </c>
    </row>
    <row r="955" spans="1:7" x14ac:dyDescent="0.2">
      <c r="A955" s="169" t="s">
        <v>4065</v>
      </c>
    </row>
    <row r="956" spans="1:7" x14ac:dyDescent="0.2">
      <c r="A956" s="169" t="s">
        <v>4066</v>
      </c>
      <c r="B956" s="167" t="b">
        <v>0</v>
      </c>
    </row>
    <row r="957" spans="1:7" x14ac:dyDescent="0.2">
      <c r="A957" s="169" t="s">
        <v>4067</v>
      </c>
    </row>
    <row r="958" spans="1:7" x14ac:dyDescent="0.2">
      <c r="A958" s="169" t="s">
        <v>4068</v>
      </c>
    </row>
    <row r="959" spans="1:7" x14ac:dyDescent="0.2">
      <c r="A959" s="169" t="s">
        <v>4069</v>
      </c>
      <c r="B959" s="167" t="b">
        <v>0</v>
      </c>
    </row>
    <row r="960" spans="1:7" x14ac:dyDescent="0.2">
      <c r="A960" s="169" t="s">
        <v>4070</v>
      </c>
    </row>
    <row r="961" spans="1:2" x14ac:dyDescent="0.2">
      <c r="A961" s="169" t="s">
        <v>4071</v>
      </c>
    </row>
    <row r="962" spans="1:2" x14ac:dyDescent="0.2">
      <c r="A962" s="169" t="s">
        <v>4072</v>
      </c>
    </row>
    <row r="963" spans="1:2" x14ac:dyDescent="0.2">
      <c r="A963" s="169" t="s">
        <v>4073</v>
      </c>
    </row>
    <row r="964" spans="1:2" x14ac:dyDescent="0.2">
      <c r="A964" s="169" t="s">
        <v>4074</v>
      </c>
    </row>
    <row r="965" spans="1:2" x14ac:dyDescent="0.2">
      <c r="A965" s="169" t="s">
        <v>4075</v>
      </c>
    </row>
    <row r="966" spans="1:2" x14ac:dyDescent="0.2">
      <c r="A966" s="169" t="s">
        <v>4076</v>
      </c>
    </row>
    <row r="967" spans="1:2" x14ac:dyDescent="0.2">
      <c r="A967" s="169" t="s">
        <v>4077</v>
      </c>
    </row>
    <row r="968" spans="1:2" x14ac:dyDescent="0.2">
      <c r="A968" s="169" t="s">
        <v>4078</v>
      </c>
      <c r="B968" s="167" t="s">
        <v>121</v>
      </c>
    </row>
    <row r="969" spans="1:2" x14ac:dyDescent="0.2">
      <c r="A969" s="169" t="s">
        <v>4079</v>
      </c>
    </row>
    <row r="970" spans="1:2" x14ac:dyDescent="0.2">
      <c r="A970" s="169" t="s">
        <v>4080</v>
      </c>
      <c r="B970" s="167" t="s">
        <v>121</v>
      </c>
    </row>
    <row r="971" spans="1:2" x14ac:dyDescent="0.2">
      <c r="A971" s="169" t="s">
        <v>4081</v>
      </c>
    </row>
    <row r="972" spans="1:2" x14ac:dyDescent="0.2">
      <c r="A972" s="169" t="s">
        <v>4082</v>
      </c>
      <c r="B972" s="167" t="s">
        <v>121</v>
      </c>
    </row>
    <row r="973" spans="1:2" x14ac:dyDescent="0.2">
      <c r="A973" s="169" t="s">
        <v>4083</v>
      </c>
    </row>
    <row r="974" spans="1:2" x14ac:dyDescent="0.2">
      <c r="A974" s="169" t="s">
        <v>328</v>
      </c>
      <c r="B974" s="167" t="s">
        <v>123</v>
      </c>
    </row>
    <row r="975" spans="1:2" x14ac:dyDescent="0.2">
      <c r="A975" s="169" t="s">
        <v>4084</v>
      </c>
    </row>
    <row r="976" spans="1:2" x14ac:dyDescent="0.2">
      <c r="A976" s="169" t="s">
        <v>329</v>
      </c>
      <c r="B976" s="167" t="s">
        <v>123</v>
      </c>
    </row>
    <row r="977" spans="1:2" x14ac:dyDescent="0.2">
      <c r="A977" s="169" t="s">
        <v>4085</v>
      </c>
    </row>
    <row r="978" spans="1:2" x14ac:dyDescent="0.2">
      <c r="A978" s="169" t="s">
        <v>330</v>
      </c>
      <c r="B978" s="167" t="s">
        <v>123</v>
      </c>
    </row>
    <row r="979" spans="1:2" x14ac:dyDescent="0.2">
      <c r="A979" s="169" t="s">
        <v>4086</v>
      </c>
    </row>
    <row r="980" spans="1:2" x14ac:dyDescent="0.2">
      <c r="A980" s="169" t="s">
        <v>4087</v>
      </c>
      <c r="B980" s="167" t="s">
        <v>123</v>
      </c>
    </row>
    <row r="981" spans="1:2" x14ac:dyDescent="0.2">
      <c r="A981" s="169" t="s">
        <v>4088</v>
      </c>
    </row>
    <row r="982" spans="1:2" x14ac:dyDescent="0.2">
      <c r="A982" s="169" t="s">
        <v>331</v>
      </c>
      <c r="B982" s="167" t="s">
        <v>123</v>
      </c>
    </row>
    <row r="983" spans="1:2" x14ac:dyDescent="0.2">
      <c r="A983" s="169" t="s">
        <v>4089</v>
      </c>
    </row>
    <row r="984" spans="1:2" x14ac:dyDescent="0.2">
      <c r="A984" s="169" t="s">
        <v>4090</v>
      </c>
      <c r="B984" s="167" t="s">
        <v>121</v>
      </c>
    </row>
    <row r="985" spans="1:2" x14ac:dyDescent="0.2">
      <c r="A985" s="169" t="s">
        <v>4091</v>
      </c>
    </row>
    <row r="986" spans="1:2" x14ac:dyDescent="0.2">
      <c r="A986" s="169" t="s">
        <v>4092</v>
      </c>
    </row>
    <row r="987" spans="1:2" x14ac:dyDescent="0.2">
      <c r="A987" s="169" t="s">
        <v>4093</v>
      </c>
    </row>
    <row r="988" spans="1:2" x14ac:dyDescent="0.2">
      <c r="A988" s="169" t="s">
        <v>4094</v>
      </c>
      <c r="B988" s="167" t="s">
        <v>123</v>
      </c>
    </row>
    <row r="989" spans="1:2" x14ac:dyDescent="0.2">
      <c r="A989" s="169" t="s">
        <v>4095</v>
      </c>
    </row>
    <row r="990" spans="1:2" x14ac:dyDescent="0.2">
      <c r="A990" s="169" t="s">
        <v>332</v>
      </c>
      <c r="B990" s="167" t="s">
        <v>123</v>
      </c>
    </row>
    <row r="991" spans="1:2" x14ac:dyDescent="0.2">
      <c r="A991" s="169" t="s">
        <v>4096</v>
      </c>
    </row>
    <row r="992" spans="1:2" x14ac:dyDescent="0.2">
      <c r="A992" s="169" t="s">
        <v>4097</v>
      </c>
    </row>
    <row r="993" spans="1:7" x14ac:dyDescent="0.2">
      <c r="A993" s="169" t="s">
        <v>4098</v>
      </c>
    </row>
    <row r="994" spans="1:7" x14ac:dyDescent="0.2">
      <c r="A994" s="169" t="s">
        <v>102</v>
      </c>
    </row>
    <row r="995" spans="1:7" x14ac:dyDescent="0.2">
      <c r="A995" s="215" t="s">
        <v>4099</v>
      </c>
      <c r="B995" s="215"/>
      <c r="C995" s="215"/>
      <c r="D995" s="215"/>
      <c r="E995" s="215"/>
      <c r="F995" s="215"/>
      <c r="G995" s="215"/>
    </row>
    <row r="996" spans="1:7" x14ac:dyDescent="0.2">
      <c r="A996" s="169" t="s">
        <v>4100</v>
      </c>
    </row>
    <row r="997" spans="1:7" x14ac:dyDescent="0.2">
      <c r="A997" s="169" t="s">
        <v>4101</v>
      </c>
      <c r="B997" s="167" t="b">
        <v>0</v>
      </c>
      <c r="D997" s="167" t="s">
        <v>2893</v>
      </c>
      <c r="E997" s="167" t="b">
        <v>0</v>
      </c>
    </row>
    <row r="998" spans="1:7" x14ac:dyDescent="0.2">
      <c r="A998" s="169" t="s">
        <v>4102</v>
      </c>
      <c r="D998" s="167" t="s">
        <v>4103</v>
      </c>
    </row>
    <row r="999" spans="1:7" x14ac:dyDescent="0.2">
      <c r="A999" s="169" t="s">
        <v>4104</v>
      </c>
      <c r="D999" s="167" t="s">
        <v>4105</v>
      </c>
    </row>
    <row r="1000" spans="1:7" x14ac:dyDescent="0.2">
      <c r="A1000" s="169" t="s">
        <v>4106</v>
      </c>
      <c r="B1000" s="167" t="b">
        <v>0</v>
      </c>
      <c r="D1000" s="167" t="s">
        <v>4107</v>
      </c>
      <c r="E1000" s="167" t="b">
        <v>0</v>
      </c>
    </row>
    <row r="1001" spans="1:7" x14ac:dyDescent="0.2">
      <c r="A1001" s="169" t="s">
        <v>4108</v>
      </c>
      <c r="D1001" s="167" t="s">
        <v>4109</v>
      </c>
    </row>
    <row r="1002" spans="1:7" x14ac:dyDescent="0.2">
      <c r="A1002" s="169" t="s">
        <v>4110</v>
      </c>
      <c r="D1002" s="167" t="s">
        <v>4111</v>
      </c>
    </row>
    <row r="1003" spans="1:7" x14ac:dyDescent="0.2">
      <c r="A1003" s="169" t="s">
        <v>4112</v>
      </c>
      <c r="B1003" s="167" t="b">
        <v>0</v>
      </c>
      <c r="D1003" s="167" t="s">
        <v>235</v>
      </c>
      <c r="E1003" s="167" t="b">
        <v>0</v>
      </c>
    </row>
    <row r="1004" spans="1:7" x14ac:dyDescent="0.2">
      <c r="A1004" s="169" t="s">
        <v>4113</v>
      </c>
      <c r="D1004" s="167" t="s">
        <v>4114</v>
      </c>
    </row>
    <row r="1005" spans="1:7" x14ac:dyDescent="0.2">
      <c r="A1005" s="169" t="s">
        <v>4115</v>
      </c>
      <c r="D1005" s="167" t="s">
        <v>4116</v>
      </c>
    </row>
    <row r="1006" spans="1:7" x14ac:dyDescent="0.2">
      <c r="A1006" s="169" t="s">
        <v>4117</v>
      </c>
      <c r="B1006" s="167" t="b">
        <v>0</v>
      </c>
      <c r="D1006" s="167" t="s">
        <v>4118</v>
      </c>
      <c r="E1006" s="167" t="b">
        <v>0</v>
      </c>
    </row>
    <row r="1007" spans="1:7" x14ac:dyDescent="0.2">
      <c r="A1007" s="169" t="s">
        <v>4119</v>
      </c>
      <c r="D1007" s="167" t="s">
        <v>4120</v>
      </c>
    </row>
    <row r="1008" spans="1:7" x14ac:dyDescent="0.2">
      <c r="A1008" s="169" t="s">
        <v>4121</v>
      </c>
      <c r="D1008" s="167" t="s">
        <v>4122</v>
      </c>
    </row>
    <row r="1009" spans="1:7" x14ac:dyDescent="0.2">
      <c r="A1009" s="169" t="s">
        <v>4123</v>
      </c>
      <c r="B1009" s="167" t="b">
        <v>0</v>
      </c>
    </row>
    <row r="1010" spans="1:7" x14ac:dyDescent="0.2">
      <c r="A1010" s="169" t="s">
        <v>4124</v>
      </c>
    </row>
    <row r="1011" spans="1:7" x14ac:dyDescent="0.2">
      <c r="A1011" s="169" t="s">
        <v>4125</v>
      </c>
    </row>
    <row r="1012" spans="1:7" x14ac:dyDescent="0.2">
      <c r="A1012" s="169" t="s">
        <v>333</v>
      </c>
      <c r="B1012" s="167" t="b">
        <v>0</v>
      </c>
    </row>
    <row r="1013" spans="1:7" x14ac:dyDescent="0.2">
      <c r="A1013" s="169" t="s">
        <v>4126</v>
      </c>
    </row>
    <row r="1014" spans="1:7" x14ac:dyDescent="0.2">
      <c r="A1014" s="169" t="s">
        <v>4127</v>
      </c>
    </row>
    <row r="1015" spans="1:7" x14ac:dyDescent="0.2">
      <c r="A1015" s="215" t="s">
        <v>4128</v>
      </c>
      <c r="B1015" s="215"/>
      <c r="C1015" s="215"/>
      <c r="D1015" s="215"/>
      <c r="E1015" s="215"/>
      <c r="F1015" s="215"/>
      <c r="G1015" s="215"/>
    </row>
    <row r="1016" spans="1:7" x14ac:dyDescent="0.2">
      <c r="A1016" s="169" t="s">
        <v>4129</v>
      </c>
      <c r="B1016" s="167" t="b">
        <v>0</v>
      </c>
    </row>
    <row r="1017" spans="1:7" x14ac:dyDescent="0.2">
      <c r="A1017" s="169" t="s">
        <v>4130</v>
      </c>
      <c r="B1017" s="167" t="b">
        <v>0</v>
      </c>
    </row>
    <row r="1018" spans="1:7" x14ac:dyDescent="0.2">
      <c r="A1018" s="169" t="s">
        <v>4131</v>
      </c>
      <c r="B1018" s="167" t="b">
        <v>0</v>
      </c>
    </row>
    <row r="1019" spans="1:7" x14ac:dyDescent="0.2">
      <c r="A1019" s="169" t="s">
        <v>4132</v>
      </c>
    </row>
    <row r="1020" spans="1:7" x14ac:dyDescent="0.2">
      <c r="A1020" s="169" t="s">
        <v>4133</v>
      </c>
    </row>
    <row r="1021" spans="1:7" x14ac:dyDescent="0.2">
      <c r="A1021" s="215" t="s">
        <v>4134</v>
      </c>
      <c r="B1021" s="215"/>
      <c r="C1021" s="215"/>
      <c r="D1021" s="215"/>
      <c r="E1021" s="215"/>
      <c r="F1021" s="215"/>
      <c r="G1021" s="215"/>
    </row>
    <row r="1022" spans="1:7" x14ac:dyDescent="0.2">
      <c r="A1022" s="169" t="s">
        <v>4135</v>
      </c>
    </row>
    <row r="1023" spans="1:7" x14ac:dyDescent="0.2">
      <c r="A1023" s="169" t="s">
        <v>4136</v>
      </c>
      <c r="B1023" s="168"/>
    </row>
    <row r="1024" spans="1:7" x14ac:dyDescent="0.2">
      <c r="A1024" s="215" t="s">
        <v>4137</v>
      </c>
      <c r="B1024" s="215"/>
      <c r="C1024" s="215"/>
      <c r="D1024" s="215"/>
      <c r="E1024" s="215"/>
      <c r="F1024" s="215"/>
      <c r="G1024" s="215"/>
    </row>
    <row r="1025" spans="1:11" x14ac:dyDescent="0.2">
      <c r="A1025" s="169" t="s">
        <v>4138</v>
      </c>
      <c r="B1025" s="167" t="b">
        <v>0</v>
      </c>
    </row>
    <row r="1026" spans="1:11" x14ac:dyDescent="0.2">
      <c r="A1026" s="169" t="s">
        <v>4139</v>
      </c>
      <c r="B1026" s="167" t="b">
        <v>0</v>
      </c>
    </row>
    <row r="1027" spans="1:11" x14ac:dyDescent="0.2">
      <c r="A1027" s="169" t="s">
        <v>4140</v>
      </c>
      <c r="B1027" s="167" t="b">
        <v>0</v>
      </c>
    </row>
    <row r="1028" spans="1:11" x14ac:dyDescent="0.2">
      <c r="A1028" s="169" t="s">
        <v>4141</v>
      </c>
      <c r="B1028" s="167" t="b">
        <v>0</v>
      </c>
    </row>
    <row r="1029" spans="1:11" x14ac:dyDescent="0.2">
      <c r="A1029" s="169" t="s">
        <v>4142</v>
      </c>
      <c r="B1029" s="167" t="b">
        <v>0</v>
      </c>
    </row>
    <row r="1030" spans="1:11" x14ac:dyDescent="0.2">
      <c r="A1030" s="169" t="s">
        <v>4143</v>
      </c>
      <c r="B1030" s="167" t="b">
        <v>0</v>
      </c>
    </row>
    <row r="1031" spans="1:11" x14ac:dyDescent="0.2">
      <c r="A1031" s="169" t="s">
        <v>4144</v>
      </c>
      <c r="B1031" s="167" t="b">
        <v>0</v>
      </c>
    </row>
    <row r="1032" spans="1:11" x14ac:dyDescent="0.2">
      <c r="A1032" s="169" t="s">
        <v>4145</v>
      </c>
      <c r="B1032" s="167" t="b">
        <v>0</v>
      </c>
    </row>
    <row r="1033" spans="1:11" x14ac:dyDescent="0.2">
      <c r="A1033" s="169" t="s">
        <v>335</v>
      </c>
      <c r="B1033" s="167" t="b">
        <v>0</v>
      </c>
    </row>
    <row r="1034" spans="1:11" x14ac:dyDescent="0.2">
      <c r="A1034" s="169" t="s">
        <v>4146</v>
      </c>
      <c r="B1034" s="167" t="b">
        <v>0</v>
      </c>
    </row>
    <row r="1035" spans="1:11" x14ac:dyDescent="0.2">
      <c r="A1035" s="169" t="s">
        <v>4147</v>
      </c>
      <c r="B1035" s="167" t="b">
        <v>0</v>
      </c>
    </row>
    <row r="1036" spans="1:11" x14ac:dyDescent="0.2">
      <c r="A1036" s="215" t="s">
        <v>4148</v>
      </c>
      <c r="B1036" s="215"/>
      <c r="C1036" s="215"/>
      <c r="D1036" s="215"/>
      <c r="E1036" s="215"/>
      <c r="F1036" s="215"/>
      <c r="G1036" s="215"/>
    </row>
    <row r="1037" spans="1:11" x14ac:dyDescent="0.2">
      <c r="A1037" s="169" t="s">
        <v>4149</v>
      </c>
    </row>
    <row r="1038" spans="1:11" x14ac:dyDescent="0.2">
      <c r="A1038" s="169" t="s">
        <v>4150</v>
      </c>
    </row>
    <row r="1039" spans="1:11" x14ac:dyDescent="0.2">
      <c r="A1039" s="215" t="s">
        <v>4151</v>
      </c>
      <c r="B1039" s="215"/>
      <c r="C1039" s="215"/>
      <c r="D1039" s="215"/>
      <c r="E1039" s="215"/>
      <c r="F1039" s="215"/>
      <c r="G1039" s="215"/>
      <c r="J1039" s="170"/>
      <c r="K1039" s="170"/>
    </row>
    <row r="1040" spans="1:11" x14ac:dyDescent="0.2">
      <c r="A1040" s="169" t="s">
        <v>4152</v>
      </c>
      <c r="B1040" s="181"/>
      <c r="C1040" s="167" t="s">
        <v>4153</v>
      </c>
      <c r="J1040" s="170"/>
    </row>
    <row r="1041" spans="1:11" x14ac:dyDescent="0.2">
      <c r="A1041" s="169" t="s">
        <v>4154</v>
      </c>
      <c r="B1041" s="170"/>
      <c r="J1041" s="170"/>
      <c r="K1041" s="170"/>
    </row>
    <row r="1042" spans="1:11" x14ac:dyDescent="0.2">
      <c r="A1042" s="169" t="s">
        <v>78</v>
      </c>
      <c r="J1042" s="170"/>
      <c r="K1042" s="170"/>
    </row>
    <row r="1043" spans="1:11" x14ac:dyDescent="0.2">
      <c r="A1043" s="169" t="s">
        <v>4155</v>
      </c>
      <c r="J1043" s="170"/>
      <c r="K1043" s="170"/>
    </row>
    <row r="1044" spans="1:11" x14ac:dyDescent="0.2">
      <c r="A1044" s="169" t="s">
        <v>4156</v>
      </c>
      <c r="C1044" s="167" t="s">
        <v>4157</v>
      </c>
      <c r="J1044" s="170"/>
      <c r="K1044" s="170"/>
    </row>
    <row r="1045" spans="1:11" x14ac:dyDescent="0.2">
      <c r="A1045" s="169" t="s">
        <v>4158</v>
      </c>
      <c r="J1045" s="170"/>
      <c r="K1045" s="170"/>
    </row>
    <row r="1046" spans="1:11" x14ac:dyDescent="0.2">
      <c r="A1046" s="169" t="s">
        <v>4159</v>
      </c>
      <c r="J1046" s="170"/>
      <c r="K1046" s="170"/>
    </row>
    <row r="1047" spans="1:11" x14ac:dyDescent="0.2">
      <c r="A1047" s="169" t="s">
        <v>4160</v>
      </c>
      <c r="J1047" s="170"/>
      <c r="K1047" s="170"/>
    </row>
    <row r="1048" spans="1:11" x14ac:dyDescent="0.2">
      <c r="A1048" s="169" t="s">
        <v>4161</v>
      </c>
      <c r="J1048" s="170"/>
      <c r="K1048" s="170"/>
    </row>
    <row r="1049" spans="1:11" x14ac:dyDescent="0.2">
      <c r="A1049" s="169" t="s">
        <v>4162</v>
      </c>
      <c r="J1049" s="170"/>
      <c r="K1049" s="170"/>
    </row>
    <row r="1050" spans="1:11" x14ac:dyDescent="0.2">
      <c r="A1050" s="169" t="s">
        <v>4163</v>
      </c>
      <c r="J1050" s="170"/>
      <c r="K1050" s="170"/>
    </row>
    <row r="1051" spans="1:11" x14ac:dyDescent="0.2">
      <c r="A1051" s="169" t="s">
        <v>4164</v>
      </c>
      <c r="J1051" s="170"/>
      <c r="K1051" s="170"/>
    </row>
    <row r="1052" spans="1:11" x14ac:dyDescent="0.2">
      <c r="A1052" s="169" t="s">
        <v>4165</v>
      </c>
      <c r="J1052" s="170"/>
      <c r="K1052" s="170"/>
    </row>
    <row r="1053" spans="1:11" x14ac:dyDescent="0.2">
      <c r="A1053" s="169" t="s">
        <v>4166</v>
      </c>
      <c r="J1053" s="170"/>
      <c r="K1053" s="170"/>
    </row>
    <row r="1054" spans="1:11" x14ac:dyDescent="0.2">
      <c r="A1054" s="169" t="s">
        <v>4167</v>
      </c>
      <c r="J1054" s="170"/>
      <c r="K1054" s="170"/>
    </row>
    <row r="1055" spans="1:11" x14ac:dyDescent="0.2">
      <c r="A1055" s="169" t="s">
        <v>4168</v>
      </c>
      <c r="J1055" s="170"/>
      <c r="K1055" s="170"/>
    </row>
    <row r="1056" spans="1:11" x14ac:dyDescent="0.2">
      <c r="A1056" s="169" t="s">
        <v>4169</v>
      </c>
      <c r="J1056" s="170"/>
      <c r="K1056" s="170"/>
    </row>
    <row r="1057" spans="1:11" x14ac:dyDescent="0.2">
      <c r="A1057" s="169" t="s">
        <v>4170</v>
      </c>
      <c r="J1057" s="170"/>
      <c r="K1057" s="170"/>
    </row>
    <row r="1058" spans="1:11" x14ac:dyDescent="0.2">
      <c r="A1058" s="169" t="s">
        <v>4171</v>
      </c>
      <c r="J1058" s="170"/>
      <c r="K1058" s="170"/>
    </row>
    <row r="1059" spans="1:11" x14ac:dyDescent="0.2">
      <c r="A1059" s="169" t="s">
        <v>4172</v>
      </c>
      <c r="J1059" s="170"/>
      <c r="K1059" s="170"/>
    </row>
    <row r="1060" spans="1:11" x14ac:dyDescent="0.2">
      <c r="A1060" s="169" t="s">
        <v>4173</v>
      </c>
      <c r="J1060" s="170"/>
    </row>
    <row r="1061" spans="1:11" x14ac:dyDescent="0.2">
      <c r="A1061" s="169" t="s">
        <v>4174</v>
      </c>
      <c r="J1061" s="170"/>
    </row>
    <row r="1062" spans="1:11" x14ac:dyDescent="0.2">
      <c r="A1062" s="169" t="s">
        <v>4175</v>
      </c>
      <c r="J1062" s="170"/>
    </row>
    <row r="1063" spans="1:11" x14ac:dyDescent="0.2">
      <c r="A1063" s="169" t="s">
        <v>4176</v>
      </c>
      <c r="J1063" s="170"/>
    </row>
    <row r="1064" spans="1:11" x14ac:dyDescent="0.2">
      <c r="A1064" s="169" t="s">
        <v>4177</v>
      </c>
      <c r="J1064" s="170"/>
    </row>
    <row r="1065" spans="1:11" x14ac:dyDescent="0.2">
      <c r="A1065" s="169" t="s">
        <v>4178</v>
      </c>
      <c r="J1065" s="170"/>
    </row>
    <row r="1066" spans="1:11" x14ac:dyDescent="0.2">
      <c r="A1066" s="169" t="s">
        <v>4179</v>
      </c>
      <c r="J1066" s="170"/>
    </row>
    <row r="1067" spans="1:11" x14ac:dyDescent="0.2">
      <c r="A1067" s="169" t="s">
        <v>4180</v>
      </c>
      <c r="J1067" s="170"/>
    </row>
    <row r="1068" spans="1:11" x14ac:dyDescent="0.2">
      <c r="A1068" s="169" t="s">
        <v>4181</v>
      </c>
      <c r="J1068" s="170"/>
    </row>
    <row r="1069" spans="1:11" x14ac:dyDescent="0.2">
      <c r="A1069" s="169" t="s">
        <v>4182</v>
      </c>
    </row>
    <row r="1070" spans="1:11" x14ac:dyDescent="0.2">
      <c r="A1070" s="169" t="s">
        <v>4183</v>
      </c>
    </row>
    <row r="1071" spans="1:11" x14ac:dyDescent="0.2">
      <c r="A1071" s="169" t="s">
        <v>4184</v>
      </c>
    </row>
    <row r="1072" spans="1:11" x14ac:dyDescent="0.2">
      <c r="A1072" s="169" t="s">
        <v>4185</v>
      </c>
    </row>
    <row r="1073" spans="1:1" x14ac:dyDescent="0.2">
      <c r="A1073" s="169" t="s">
        <v>4186</v>
      </c>
    </row>
    <row r="1074" spans="1:1" x14ac:dyDescent="0.2">
      <c r="A1074" s="169" t="s">
        <v>4187</v>
      </c>
    </row>
    <row r="1075" spans="1:1" x14ac:dyDescent="0.2">
      <c r="A1075" s="169" t="s">
        <v>4188</v>
      </c>
    </row>
    <row r="1076" spans="1:1" x14ac:dyDescent="0.2">
      <c r="A1076" s="169" t="s">
        <v>4189</v>
      </c>
    </row>
    <row r="1077" spans="1:1" x14ac:dyDescent="0.2">
      <c r="A1077" s="169" t="s">
        <v>4190</v>
      </c>
    </row>
    <row r="1078" spans="1:1" x14ac:dyDescent="0.2">
      <c r="A1078" s="169" t="s">
        <v>4191</v>
      </c>
    </row>
    <row r="1079" spans="1:1" x14ac:dyDescent="0.2">
      <c r="A1079" s="169" t="s">
        <v>4192</v>
      </c>
    </row>
    <row r="1080" spans="1:1" x14ac:dyDescent="0.2">
      <c r="A1080" s="169" t="s">
        <v>4193</v>
      </c>
    </row>
    <row r="1081" spans="1:1" x14ac:dyDescent="0.2">
      <c r="A1081" s="169" t="s">
        <v>4194</v>
      </c>
    </row>
    <row r="1082" spans="1:1" x14ac:dyDescent="0.2">
      <c r="A1082" s="169" t="s">
        <v>4195</v>
      </c>
    </row>
    <row r="1083" spans="1:1" x14ac:dyDescent="0.2">
      <c r="A1083" s="169" t="s">
        <v>4196</v>
      </c>
    </row>
    <row r="1084" spans="1:1" x14ac:dyDescent="0.2">
      <c r="A1084" s="169" t="s">
        <v>4197</v>
      </c>
    </row>
    <row r="1085" spans="1:1" x14ac:dyDescent="0.2">
      <c r="A1085" s="169" t="s">
        <v>4198</v>
      </c>
    </row>
    <row r="1086" spans="1:1" x14ac:dyDescent="0.2">
      <c r="A1086" s="169" t="s">
        <v>4197</v>
      </c>
    </row>
    <row r="1087" spans="1:1" x14ac:dyDescent="0.2">
      <c r="A1087" s="169" t="s">
        <v>4199</v>
      </c>
    </row>
    <row r="1088" spans="1:1" x14ac:dyDescent="0.2">
      <c r="A1088" s="169" t="s">
        <v>4197</v>
      </c>
    </row>
    <row r="1089" spans="1:2" x14ac:dyDescent="0.2">
      <c r="A1089" s="169" t="s">
        <v>4200</v>
      </c>
    </row>
    <row r="1090" spans="1:2" x14ac:dyDescent="0.2">
      <c r="A1090" s="169" t="s">
        <v>4197</v>
      </c>
    </row>
    <row r="1091" spans="1:2" x14ac:dyDescent="0.2">
      <c r="A1091" s="169" t="s">
        <v>4201</v>
      </c>
    </row>
    <row r="1092" spans="1:2" x14ac:dyDescent="0.2">
      <c r="A1092" s="169" t="s">
        <v>4197</v>
      </c>
    </row>
    <row r="1093" spans="1:2" x14ac:dyDescent="0.2">
      <c r="A1093" s="169" t="s">
        <v>4202</v>
      </c>
    </row>
    <row r="1094" spans="1:2" x14ac:dyDescent="0.2">
      <c r="A1094" s="169" t="s">
        <v>4197</v>
      </c>
    </row>
    <row r="1095" spans="1:2" x14ac:dyDescent="0.2">
      <c r="A1095" s="169" t="s">
        <v>4203</v>
      </c>
      <c r="B1095" s="167" t="b">
        <v>0</v>
      </c>
    </row>
    <row r="1096" spans="1:2" x14ac:dyDescent="0.2">
      <c r="A1096" s="169" t="s">
        <v>4204</v>
      </c>
      <c r="B1096" s="167" t="b">
        <v>0</v>
      </c>
    </row>
    <row r="1097" spans="1:2" x14ac:dyDescent="0.2">
      <c r="A1097" s="169" t="s">
        <v>4205</v>
      </c>
      <c r="B1097" s="167" t="b">
        <v>0</v>
      </c>
    </row>
    <row r="1098" spans="1:2" x14ac:dyDescent="0.2">
      <c r="A1098" s="169" t="s">
        <v>4206</v>
      </c>
      <c r="B1098" s="167" t="b">
        <v>0</v>
      </c>
    </row>
    <row r="1099" spans="1:2" x14ac:dyDescent="0.2">
      <c r="A1099" s="169" t="s">
        <v>4207</v>
      </c>
      <c r="B1099" s="167" t="b">
        <v>0</v>
      </c>
    </row>
    <row r="1100" spans="1:2" x14ac:dyDescent="0.2">
      <c r="A1100" s="169" t="s">
        <v>4208</v>
      </c>
      <c r="B1100" s="167" t="b">
        <v>0</v>
      </c>
    </row>
    <row r="1101" spans="1:2" x14ac:dyDescent="0.2">
      <c r="A1101" s="169" t="s">
        <v>4209</v>
      </c>
      <c r="B1101" s="167" t="b">
        <v>0</v>
      </c>
    </row>
    <row r="1102" spans="1:2" x14ac:dyDescent="0.2">
      <c r="A1102" s="169" t="s">
        <v>4210</v>
      </c>
      <c r="B1102" s="167" t="b">
        <v>0</v>
      </c>
    </row>
    <row r="1103" spans="1:2" x14ac:dyDescent="0.2">
      <c r="A1103" s="169" t="s">
        <v>4211</v>
      </c>
      <c r="B1103" s="167" t="b">
        <v>0</v>
      </c>
    </row>
    <row r="1104" spans="1:2" x14ac:dyDescent="0.2">
      <c r="A1104" s="169" t="s">
        <v>4212</v>
      </c>
      <c r="B1104" s="167" t="b">
        <v>0</v>
      </c>
    </row>
    <row r="1105" spans="1:2" x14ac:dyDescent="0.2">
      <c r="A1105" s="169" t="s">
        <v>4213</v>
      </c>
      <c r="B1105" s="167" t="b">
        <v>0</v>
      </c>
    </row>
    <row r="1106" spans="1:2" x14ac:dyDescent="0.2">
      <c r="A1106" s="169" t="s">
        <v>4214</v>
      </c>
      <c r="B1106" s="167" t="b">
        <v>0</v>
      </c>
    </row>
    <row r="1107" spans="1:2" x14ac:dyDescent="0.2">
      <c r="A1107" s="169" t="s">
        <v>4215</v>
      </c>
    </row>
    <row r="1108" spans="1:2" x14ac:dyDescent="0.2">
      <c r="A1108" s="169" t="s">
        <v>4216</v>
      </c>
    </row>
    <row r="1109" spans="1:2" x14ac:dyDescent="0.2">
      <c r="A1109" s="169" t="s">
        <v>4217</v>
      </c>
    </row>
    <row r="1110" spans="1:2" x14ac:dyDescent="0.2">
      <c r="A1110" s="169" t="s">
        <v>4218</v>
      </c>
    </row>
    <row r="1111" spans="1:2" x14ac:dyDescent="0.2">
      <c r="A1111" s="169" t="s">
        <v>4219</v>
      </c>
    </row>
    <row r="1112" spans="1:2" x14ac:dyDescent="0.2">
      <c r="A1112" s="169" t="s">
        <v>4220</v>
      </c>
      <c r="B1112" s="167" t="b">
        <v>0</v>
      </c>
    </row>
    <row r="1113" spans="1:2" x14ac:dyDescent="0.2">
      <c r="A1113" s="169" t="s">
        <v>4221</v>
      </c>
      <c r="B1113" s="167" t="b">
        <v>1</v>
      </c>
    </row>
    <row r="1114" spans="1:2" x14ac:dyDescent="0.2">
      <c r="A1114" s="169" t="s">
        <v>4222</v>
      </c>
      <c r="B1114" s="167" t="b">
        <v>0</v>
      </c>
    </row>
    <row r="1115" spans="1:2" x14ac:dyDescent="0.2">
      <c r="A1115" s="169" t="s">
        <v>4223</v>
      </c>
      <c r="B1115" s="167" t="b">
        <v>0</v>
      </c>
    </row>
    <row r="1116" spans="1:2" x14ac:dyDescent="0.2">
      <c r="A1116" s="169" t="s">
        <v>4224</v>
      </c>
      <c r="B1116" s="167" t="b">
        <v>1</v>
      </c>
    </row>
    <row r="1117" spans="1:2" x14ac:dyDescent="0.2">
      <c r="A1117" s="169" t="s">
        <v>4225</v>
      </c>
      <c r="B1117" s="170">
        <v>43523</v>
      </c>
    </row>
    <row r="1118" spans="1:2" x14ac:dyDescent="0.2">
      <c r="A1118" s="169" t="s">
        <v>4226</v>
      </c>
      <c r="B1118" s="167" t="s">
        <v>4781</v>
      </c>
    </row>
    <row r="1119" spans="1:2" x14ac:dyDescent="0.2">
      <c r="A1119" s="169" t="s">
        <v>4227</v>
      </c>
      <c r="B1119" s="167" t="s">
        <v>4780</v>
      </c>
    </row>
    <row r="1120" spans="1:2" x14ac:dyDescent="0.2">
      <c r="A1120" s="169" t="s">
        <v>4228</v>
      </c>
      <c r="B1120" s="167" t="s">
        <v>1</v>
      </c>
    </row>
    <row r="1121" spans="1:2" x14ac:dyDescent="0.2">
      <c r="A1121" s="169" t="s">
        <v>4229</v>
      </c>
      <c r="B1121" s="170"/>
    </row>
    <row r="1122" spans="1:2" x14ac:dyDescent="0.2">
      <c r="A1122" s="169" t="s">
        <v>4230</v>
      </c>
      <c r="B1122" s="167" t="s">
        <v>1499</v>
      </c>
    </row>
    <row r="1123" spans="1:2" x14ac:dyDescent="0.2">
      <c r="A1123" s="169" t="s">
        <v>4231</v>
      </c>
      <c r="B1123" s="167" t="s">
        <v>4782</v>
      </c>
    </row>
    <row r="1124" spans="1:2" x14ac:dyDescent="0.2">
      <c r="A1124" s="169" t="s">
        <v>4232</v>
      </c>
      <c r="B1124" s="167" t="b">
        <v>0</v>
      </c>
    </row>
    <row r="1125" spans="1:2" x14ac:dyDescent="0.2">
      <c r="A1125" s="169" t="s">
        <v>4233</v>
      </c>
      <c r="B1125" s="167" t="b">
        <v>0</v>
      </c>
    </row>
    <row r="1126" spans="1:2" x14ac:dyDescent="0.2">
      <c r="A1126" s="169" t="s">
        <v>4234</v>
      </c>
      <c r="B1126" s="167" t="b">
        <v>0</v>
      </c>
    </row>
    <row r="1127" spans="1:2" x14ac:dyDescent="0.2">
      <c r="A1127" s="169" t="s">
        <v>4235</v>
      </c>
      <c r="B1127" s="167" t="b">
        <v>0</v>
      </c>
    </row>
    <row r="1128" spans="1:2" x14ac:dyDescent="0.2">
      <c r="A1128" s="169" t="s">
        <v>4162</v>
      </c>
      <c r="B1128" s="167" t="b">
        <v>0</v>
      </c>
    </row>
    <row r="1129" spans="1:2" x14ac:dyDescent="0.2">
      <c r="A1129" s="169" t="s">
        <v>4236</v>
      </c>
      <c r="B1129" s="167" t="b">
        <v>0</v>
      </c>
    </row>
    <row r="1130" spans="1:2" x14ac:dyDescent="0.2">
      <c r="A1130" s="169" t="s">
        <v>4237</v>
      </c>
      <c r="B1130" s="167" t="b">
        <v>0</v>
      </c>
    </row>
    <row r="1131" spans="1:2" x14ac:dyDescent="0.2">
      <c r="A1131" s="169" t="s">
        <v>4238</v>
      </c>
    </row>
    <row r="1132" spans="1:2" x14ac:dyDescent="0.2">
      <c r="A1132" s="169" t="s">
        <v>4239</v>
      </c>
    </row>
    <row r="1133" spans="1:2" x14ac:dyDescent="0.2">
      <c r="A1133" s="169" t="s">
        <v>4240</v>
      </c>
    </row>
    <row r="1134" spans="1:2" x14ac:dyDescent="0.2">
      <c r="A1134" s="169" t="s">
        <v>1451</v>
      </c>
    </row>
    <row r="1135" spans="1:2" x14ac:dyDescent="0.2">
      <c r="A1135" s="169" t="s">
        <v>4241</v>
      </c>
    </row>
    <row r="1136" spans="1:2" x14ac:dyDescent="0.2">
      <c r="A1136" s="169" t="s">
        <v>4242</v>
      </c>
    </row>
    <row r="1137" spans="1:7" x14ac:dyDescent="0.2">
      <c r="A1137" s="169" t="s">
        <v>4243</v>
      </c>
    </row>
    <row r="1138" spans="1:7" x14ac:dyDescent="0.2">
      <c r="A1138" s="169" t="s">
        <v>4244</v>
      </c>
    </row>
    <row r="1139" spans="1:7" x14ac:dyDescent="0.2">
      <c r="A1139" s="169" t="s">
        <v>4245</v>
      </c>
    </row>
    <row r="1140" spans="1:7" x14ac:dyDescent="0.2">
      <c r="A1140" s="169" t="s">
        <v>4246</v>
      </c>
    </row>
    <row r="1141" spans="1:7" x14ac:dyDescent="0.2">
      <c r="A1141" s="169" t="s">
        <v>4247</v>
      </c>
    </row>
    <row r="1142" spans="1:7" x14ac:dyDescent="0.2">
      <c r="A1142" s="169" t="s">
        <v>4248</v>
      </c>
    </row>
    <row r="1143" spans="1:7" x14ac:dyDescent="0.2">
      <c r="A1143" s="169" t="s">
        <v>4249</v>
      </c>
    </row>
    <row r="1144" spans="1:7" x14ac:dyDescent="0.2">
      <c r="A1144" s="169" t="s">
        <v>4250</v>
      </c>
    </row>
    <row r="1145" spans="1:7" x14ac:dyDescent="0.2">
      <c r="A1145" s="169" t="s">
        <v>4251</v>
      </c>
    </row>
    <row r="1146" spans="1:7" x14ac:dyDescent="0.2">
      <c r="A1146" s="169" t="s">
        <v>4252</v>
      </c>
    </row>
    <row r="1147" spans="1:7" x14ac:dyDescent="0.2">
      <c r="A1147" s="169" t="s">
        <v>4253</v>
      </c>
    </row>
    <row r="1148" spans="1:7" x14ac:dyDescent="0.2">
      <c r="A1148" s="169" t="s">
        <v>4254</v>
      </c>
    </row>
    <row r="1149" spans="1:7" x14ac:dyDescent="0.2">
      <c r="A1149" s="169" t="s">
        <v>4255</v>
      </c>
    </row>
    <row r="1150" spans="1:7" x14ac:dyDescent="0.2">
      <c r="A1150" s="169" t="s">
        <v>4256</v>
      </c>
    </row>
    <row r="1151" spans="1:7" x14ac:dyDescent="0.2">
      <c r="A1151" s="169" t="s">
        <v>2899</v>
      </c>
    </row>
    <row r="1152" spans="1:7" x14ac:dyDescent="0.2">
      <c r="A1152" s="215" t="s">
        <v>4257</v>
      </c>
      <c r="B1152" s="215"/>
      <c r="C1152" s="215"/>
      <c r="D1152" s="215"/>
      <c r="E1152" s="215"/>
      <c r="F1152" s="215"/>
      <c r="G1152" s="215"/>
    </row>
    <row r="1153" spans="1:5" x14ac:dyDescent="0.2">
      <c r="A1153" s="167" t="s">
        <v>4258</v>
      </c>
      <c r="E1153" s="167" t="s">
        <v>4259</v>
      </c>
    </row>
    <row r="1154" spans="1:5" x14ac:dyDescent="0.2">
      <c r="A1154" s="167" t="s">
        <v>4260</v>
      </c>
      <c r="E1154" s="167" t="s">
        <v>4261</v>
      </c>
    </row>
    <row r="1155" spans="1:5" x14ac:dyDescent="0.2">
      <c r="A1155" s="167" t="s">
        <v>4262</v>
      </c>
      <c r="E1155" s="167" t="s">
        <v>4263</v>
      </c>
    </row>
    <row r="1156" spans="1:5" x14ac:dyDescent="0.2">
      <c r="A1156" s="167" t="s">
        <v>4264</v>
      </c>
      <c r="E1156" s="167" t="s">
        <v>4265</v>
      </c>
    </row>
    <row r="1157" spans="1:5" x14ac:dyDescent="0.2">
      <c r="A1157" s="167" t="s">
        <v>165</v>
      </c>
    </row>
    <row r="1158" spans="1:5" x14ac:dyDescent="0.2">
      <c r="A1158" s="167" t="s">
        <v>3962</v>
      </c>
    </row>
    <row r="1159" spans="1:5" x14ac:dyDescent="0.2">
      <c r="A1159" s="167" t="s">
        <v>4266</v>
      </c>
    </row>
    <row r="1160" spans="1:5" x14ac:dyDescent="0.2">
      <c r="A1160" s="167" t="s">
        <v>4267</v>
      </c>
    </row>
    <row r="1161" spans="1:5" x14ac:dyDescent="0.2">
      <c r="A1161" s="167" t="s">
        <v>4268</v>
      </c>
    </row>
    <row r="1162" spans="1:5" x14ac:dyDescent="0.2">
      <c r="A1162" s="167" t="s">
        <v>4269</v>
      </c>
    </row>
    <row r="1163" spans="1:5" x14ac:dyDescent="0.2">
      <c r="A1163" s="167" t="s">
        <v>4270</v>
      </c>
    </row>
    <row r="1164" spans="1:5" x14ac:dyDescent="0.2">
      <c r="A1164" s="167" t="s">
        <v>3962</v>
      </c>
    </row>
    <row r="1165" spans="1:5" x14ac:dyDescent="0.2">
      <c r="A1165" s="167" t="s">
        <v>4271</v>
      </c>
    </row>
    <row r="1166" spans="1:5" x14ac:dyDescent="0.2">
      <c r="A1166" s="167" t="s">
        <v>4272</v>
      </c>
    </row>
    <row r="1167" spans="1:5" x14ac:dyDescent="0.2">
      <c r="A1167" s="167" t="s">
        <v>4273</v>
      </c>
    </row>
    <row r="1168" spans="1:5" x14ac:dyDescent="0.2">
      <c r="A1168" s="167" t="s">
        <v>4274</v>
      </c>
    </row>
    <row r="1169" spans="1:1" x14ac:dyDescent="0.2">
      <c r="A1169" s="167" t="s">
        <v>4275</v>
      </c>
    </row>
    <row r="1170" spans="1:1" x14ac:dyDescent="0.2">
      <c r="A1170" s="167" t="s">
        <v>3962</v>
      </c>
    </row>
    <row r="1171" spans="1:1" x14ac:dyDescent="0.2">
      <c r="A1171" s="167" t="s">
        <v>4276</v>
      </c>
    </row>
    <row r="1172" spans="1:1" x14ac:dyDescent="0.2">
      <c r="A1172" s="167" t="s">
        <v>4074</v>
      </c>
    </row>
    <row r="1173" spans="1:1" x14ac:dyDescent="0.2">
      <c r="A1173" s="167" t="s">
        <v>4277</v>
      </c>
    </row>
    <row r="1174" spans="1:1" x14ac:dyDescent="0.2">
      <c r="A1174" s="167" t="s">
        <v>4278</v>
      </c>
    </row>
    <row r="1175" spans="1:1" x14ac:dyDescent="0.2">
      <c r="A1175" s="167" t="s">
        <v>4279</v>
      </c>
    </row>
    <row r="1176" spans="1:1" x14ac:dyDescent="0.2">
      <c r="A1176" s="167" t="s">
        <v>3962</v>
      </c>
    </row>
    <row r="1177" spans="1:1" x14ac:dyDescent="0.2">
      <c r="A1177" s="167" t="s">
        <v>4280</v>
      </c>
    </row>
    <row r="1178" spans="1:1" x14ac:dyDescent="0.2">
      <c r="A1178" s="167" t="s">
        <v>4281</v>
      </c>
    </row>
    <row r="1179" spans="1:1" x14ac:dyDescent="0.2">
      <c r="A1179" s="167" t="s">
        <v>4282</v>
      </c>
    </row>
    <row r="1180" spans="1:1" x14ac:dyDescent="0.2">
      <c r="A1180" s="167" t="s">
        <v>4283</v>
      </c>
    </row>
    <row r="1181" spans="1:1" x14ac:dyDescent="0.2">
      <c r="A1181" s="167" t="s">
        <v>4284</v>
      </c>
    </row>
    <row r="1182" spans="1:1" x14ac:dyDescent="0.2">
      <c r="A1182" s="167" t="s">
        <v>3962</v>
      </c>
    </row>
    <row r="1183" spans="1:1" x14ac:dyDescent="0.2">
      <c r="A1183" s="167" t="s">
        <v>4285</v>
      </c>
    </row>
    <row r="1184" spans="1:1" x14ac:dyDescent="0.2">
      <c r="A1184" s="167" t="s">
        <v>4286</v>
      </c>
    </row>
    <row r="1185" spans="1:2" x14ac:dyDescent="0.2">
      <c r="A1185" s="167" t="s">
        <v>4287</v>
      </c>
    </row>
    <row r="1186" spans="1:2" x14ac:dyDescent="0.2">
      <c r="A1186" s="167" t="s">
        <v>4288</v>
      </c>
    </row>
    <row r="1187" spans="1:2" x14ac:dyDescent="0.2">
      <c r="A1187" s="167" t="s">
        <v>4289</v>
      </c>
    </row>
    <row r="1188" spans="1:2" x14ac:dyDescent="0.2">
      <c r="A1188" s="167" t="s">
        <v>3962</v>
      </c>
    </row>
    <row r="1189" spans="1:2" x14ac:dyDescent="0.2">
      <c r="A1189" s="167" t="s">
        <v>4290</v>
      </c>
    </row>
    <row r="1190" spans="1:2" x14ac:dyDescent="0.2">
      <c r="A1190" s="167" t="s">
        <v>4275</v>
      </c>
    </row>
    <row r="1191" spans="1:2" x14ac:dyDescent="0.2">
      <c r="A1191" s="167" t="s">
        <v>4291</v>
      </c>
    </row>
    <row r="1192" spans="1:2" x14ac:dyDescent="0.2">
      <c r="A1192" s="167" t="s">
        <v>4292</v>
      </c>
    </row>
    <row r="1193" spans="1:2" x14ac:dyDescent="0.2">
      <c r="A1193" s="167" t="s">
        <v>4293</v>
      </c>
    </row>
    <row r="1194" spans="1:2" x14ac:dyDescent="0.2">
      <c r="A1194" s="167" t="s">
        <v>4294</v>
      </c>
      <c r="B1194" s="167" t="b">
        <v>0</v>
      </c>
    </row>
    <row r="1195" spans="1:2" x14ac:dyDescent="0.2">
      <c r="A1195" s="167" t="s">
        <v>4295</v>
      </c>
      <c r="B1195" s="167" t="b">
        <v>0</v>
      </c>
    </row>
    <row r="1196" spans="1:2" x14ac:dyDescent="0.2">
      <c r="A1196" s="167" t="s">
        <v>4296</v>
      </c>
      <c r="B1196" s="167" t="b">
        <v>0</v>
      </c>
    </row>
    <row r="1197" spans="1:2" x14ac:dyDescent="0.2">
      <c r="A1197" s="167" t="s">
        <v>4297</v>
      </c>
      <c r="B1197" s="167" t="b">
        <v>0</v>
      </c>
    </row>
    <row r="1198" spans="1:2" x14ac:dyDescent="0.2">
      <c r="A1198" s="167" t="s">
        <v>4298</v>
      </c>
      <c r="B1198" s="167" t="b">
        <v>0</v>
      </c>
    </row>
    <row r="1199" spans="1:2" x14ac:dyDescent="0.2">
      <c r="A1199" s="167" t="s">
        <v>4299</v>
      </c>
      <c r="B1199" s="167" t="b">
        <v>0</v>
      </c>
    </row>
    <row r="1200" spans="1:2" x14ac:dyDescent="0.2">
      <c r="A1200" s="167" t="s">
        <v>4300</v>
      </c>
      <c r="B1200" s="167" t="b">
        <v>0</v>
      </c>
    </row>
    <row r="1201" spans="1:7" x14ac:dyDescent="0.2">
      <c r="A1201" s="167" t="s">
        <v>4301</v>
      </c>
      <c r="B1201" s="167" t="b">
        <v>0</v>
      </c>
    </row>
    <row r="1202" spans="1:7" x14ac:dyDescent="0.2">
      <c r="A1202" s="167" t="s">
        <v>4302</v>
      </c>
      <c r="B1202" s="167" t="b">
        <v>0</v>
      </c>
    </row>
    <row r="1203" spans="1:7" x14ac:dyDescent="0.2">
      <c r="A1203" s="167" t="s">
        <v>4303</v>
      </c>
      <c r="B1203" s="167" t="b">
        <v>0</v>
      </c>
    </row>
    <row r="1204" spans="1:7" x14ac:dyDescent="0.2">
      <c r="A1204" s="167" t="s">
        <v>4304</v>
      </c>
      <c r="B1204" s="167" t="b">
        <v>0</v>
      </c>
    </row>
    <row r="1205" spans="1:7" x14ac:dyDescent="0.2">
      <c r="A1205" s="167" t="s">
        <v>4305</v>
      </c>
      <c r="B1205" s="167" t="b">
        <v>0</v>
      </c>
    </row>
    <row r="1206" spans="1:7" x14ac:dyDescent="0.2">
      <c r="A1206" s="167" t="s">
        <v>4306</v>
      </c>
      <c r="B1206" s="167" t="b">
        <v>0</v>
      </c>
    </row>
    <row r="1207" spans="1:7" x14ac:dyDescent="0.2">
      <c r="A1207" s="167" t="s">
        <v>4307</v>
      </c>
      <c r="B1207" s="167" t="b">
        <v>0</v>
      </c>
    </row>
    <row r="1208" spans="1:7" x14ac:dyDescent="0.2">
      <c r="A1208" s="167" t="s">
        <v>4308</v>
      </c>
      <c r="B1208" s="167" t="b">
        <v>0</v>
      </c>
    </row>
    <row r="1209" spans="1:7" x14ac:dyDescent="0.2">
      <c r="A1209" s="167" t="s">
        <v>4309</v>
      </c>
      <c r="B1209" s="167" t="b">
        <v>0</v>
      </c>
    </row>
    <row r="1210" spans="1:7" x14ac:dyDescent="0.2">
      <c r="A1210" s="167" t="s">
        <v>4310</v>
      </c>
    </row>
    <row r="1211" spans="1:7" x14ac:dyDescent="0.2">
      <c r="A1211" s="215" t="s">
        <v>2958</v>
      </c>
      <c r="B1211" s="215"/>
      <c r="C1211" s="215"/>
      <c r="D1211" s="215"/>
      <c r="E1211" s="215"/>
      <c r="F1211" s="215"/>
      <c r="G1211" s="215"/>
    </row>
    <row r="1212" spans="1:7" x14ac:dyDescent="0.2">
      <c r="A1212" s="167" t="s">
        <v>3730</v>
      </c>
      <c r="B1212" s="170"/>
    </row>
    <row r="1213" spans="1:7" x14ac:dyDescent="0.2">
      <c r="A1213" s="167" t="s">
        <v>4311</v>
      </c>
    </row>
    <row r="1214" spans="1:7" x14ac:dyDescent="0.2">
      <c r="A1214" s="167" t="s">
        <v>4312</v>
      </c>
    </row>
    <row r="1215" spans="1:7" x14ac:dyDescent="0.2">
      <c r="A1215" s="215" t="s">
        <v>4313</v>
      </c>
      <c r="B1215" s="215"/>
      <c r="C1215" s="215"/>
      <c r="D1215" s="215"/>
      <c r="E1215" s="215"/>
      <c r="F1215" s="215"/>
      <c r="G1215" s="215"/>
    </row>
    <row r="1216" spans="1:7" x14ac:dyDescent="0.2">
      <c r="A1216" s="169" t="s">
        <v>4314</v>
      </c>
      <c r="E1216" s="167" t="s">
        <v>1463</v>
      </c>
    </row>
    <row r="1217" spans="1:6" x14ac:dyDescent="0.2">
      <c r="A1217" s="167" t="s">
        <v>4315</v>
      </c>
      <c r="E1217" s="167" t="s">
        <v>4316</v>
      </c>
    </row>
    <row r="1218" spans="1:6" x14ac:dyDescent="0.2">
      <c r="A1218" s="167" t="s">
        <v>176</v>
      </c>
      <c r="E1218" s="167" t="s">
        <v>4317</v>
      </c>
    </row>
    <row r="1219" spans="1:6" x14ac:dyDescent="0.2">
      <c r="A1219" s="167" t="s">
        <v>177</v>
      </c>
      <c r="E1219" s="167" t="s">
        <v>4318</v>
      </c>
    </row>
    <row r="1220" spans="1:6" x14ac:dyDescent="0.2">
      <c r="A1220" s="167" t="s">
        <v>178</v>
      </c>
      <c r="E1220" s="167" t="s">
        <v>4319</v>
      </c>
    </row>
    <row r="1221" spans="1:6" x14ac:dyDescent="0.2">
      <c r="A1221" s="167" t="s">
        <v>4320</v>
      </c>
      <c r="E1221" s="167" t="s">
        <v>4321</v>
      </c>
    </row>
    <row r="1222" spans="1:6" x14ac:dyDescent="0.2">
      <c r="A1222" s="167" t="s">
        <v>179</v>
      </c>
      <c r="E1222" s="167" t="s">
        <v>4322</v>
      </c>
    </row>
    <row r="1223" spans="1:6" x14ac:dyDescent="0.2">
      <c r="A1223" s="167" t="s">
        <v>4323</v>
      </c>
      <c r="E1223" s="167" t="s">
        <v>4324</v>
      </c>
    </row>
    <row r="1224" spans="1:6" x14ac:dyDescent="0.2">
      <c r="A1224" s="167" t="s">
        <v>4325</v>
      </c>
      <c r="E1224" s="167" t="s">
        <v>4326</v>
      </c>
    </row>
    <row r="1225" spans="1:6" x14ac:dyDescent="0.2">
      <c r="A1225" s="167" t="s">
        <v>4327</v>
      </c>
      <c r="E1225" s="167" t="s">
        <v>4328</v>
      </c>
      <c r="F1225" s="167" t="s">
        <v>4329</v>
      </c>
    </row>
    <row r="1226" spans="1:6" x14ac:dyDescent="0.2">
      <c r="A1226" s="167" t="s">
        <v>4330</v>
      </c>
      <c r="E1226" s="167" t="s">
        <v>4331</v>
      </c>
      <c r="F1226" s="167" t="s">
        <v>4329</v>
      </c>
    </row>
    <row r="1227" spans="1:6" x14ac:dyDescent="0.2">
      <c r="A1227" s="167" t="s">
        <v>4332</v>
      </c>
      <c r="E1227" s="167" t="s">
        <v>4333</v>
      </c>
    </row>
    <row r="1228" spans="1:6" x14ac:dyDescent="0.2">
      <c r="A1228" s="167" t="s">
        <v>209</v>
      </c>
      <c r="E1228" s="167" t="s">
        <v>4334</v>
      </c>
    </row>
    <row r="1229" spans="1:6" x14ac:dyDescent="0.2">
      <c r="A1229" s="167" t="s">
        <v>4335</v>
      </c>
    </row>
    <row r="1230" spans="1:6" x14ac:dyDescent="0.2">
      <c r="A1230" s="167" t="s">
        <v>4336</v>
      </c>
    </row>
    <row r="1231" spans="1:6" x14ac:dyDescent="0.2">
      <c r="A1231" s="167" t="s">
        <v>4337</v>
      </c>
    </row>
    <row r="1232" spans="1:6" x14ac:dyDescent="0.2">
      <c r="A1232" s="167" t="s">
        <v>4338</v>
      </c>
    </row>
    <row r="1233" spans="1:1" x14ac:dyDescent="0.2">
      <c r="A1233" s="167" t="s">
        <v>257</v>
      </c>
    </row>
    <row r="1234" spans="1:1" x14ac:dyDescent="0.2">
      <c r="A1234" s="167" t="s">
        <v>4339</v>
      </c>
    </row>
    <row r="1235" spans="1:1" x14ac:dyDescent="0.2">
      <c r="A1235" s="167" t="s">
        <v>272</v>
      </c>
    </row>
    <row r="1236" spans="1:1" x14ac:dyDescent="0.2">
      <c r="A1236" s="167" t="s">
        <v>291</v>
      </c>
    </row>
    <row r="1237" spans="1:1" x14ac:dyDescent="0.2">
      <c r="A1237" s="167" t="s">
        <v>4340</v>
      </c>
    </row>
    <row r="1238" spans="1:1" x14ac:dyDescent="0.2">
      <c r="A1238" s="167" t="s">
        <v>4341</v>
      </c>
    </row>
    <row r="1239" spans="1:1" x14ac:dyDescent="0.2">
      <c r="A1239" s="167" t="s">
        <v>4342</v>
      </c>
    </row>
    <row r="1240" spans="1:1" x14ac:dyDescent="0.2">
      <c r="A1240" s="167" t="s">
        <v>4343</v>
      </c>
    </row>
    <row r="1241" spans="1:1" x14ac:dyDescent="0.2">
      <c r="A1241" s="167" t="s">
        <v>4344</v>
      </c>
    </row>
    <row r="1242" spans="1:1" x14ac:dyDescent="0.2">
      <c r="A1242" s="167" t="s">
        <v>4345</v>
      </c>
    </row>
    <row r="1243" spans="1:1" x14ac:dyDescent="0.2">
      <c r="A1243" s="167" t="s">
        <v>4346</v>
      </c>
    </row>
    <row r="1244" spans="1:1" x14ac:dyDescent="0.2">
      <c r="A1244" s="167" t="s">
        <v>4347</v>
      </c>
    </row>
    <row r="1245" spans="1:1" x14ac:dyDescent="0.2">
      <c r="A1245" s="167" t="s">
        <v>4348</v>
      </c>
    </row>
    <row r="1246" spans="1:1" x14ac:dyDescent="0.2">
      <c r="A1246" s="167" t="s">
        <v>4349</v>
      </c>
    </row>
    <row r="1247" spans="1:1" x14ac:dyDescent="0.2">
      <c r="A1247" s="167" t="s">
        <v>4350</v>
      </c>
    </row>
    <row r="1248" spans="1:1" x14ac:dyDescent="0.2">
      <c r="A1248" s="167" t="s">
        <v>4351</v>
      </c>
    </row>
    <row r="1249" spans="1:1" x14ac:dyDescent="0.2">
      <c r="A1249" s="167" t="s">
        <v>4352</v>
      </c>
    </row>
    <row r="1250" spans="1:1" x14ac:dyDescent="0.2">
      <c r="A1250" s="167" t="s">
        <v>4353</v>
      </c>
    </row>
    <row r="1251" spans="1:1" x14ac:dyDescent="0.2">
      <c r="A1251" s="167" t="s">
        <v>4354</v>
      </c>
    </row>
    <row r="1252" spans="1:1" x14ac:dyDescent="0.2">
      <c r="A1252" s="167" t="s">
        <v>4355</v>
      </c>
    </row>
    <row r="1253" spans="1:1" x14ac:dyDescent="0.2">
      <c r="A1253" s="167" t="s">
        <v>4356</v>
      </c>
    </row>
    <row r="1254" spans="1:1" x14ac:dyDescent="0.2">
      <c r="A1254" s="167" t="s">
        <v>4357</v>
      </c>
    </row>
    <row r="1255" spans="1:1" x14ac:dyDescent="0.2">
      <c r="A1255" s="167" t="s">
        <v>4358</v>
      </c>
    </row>
    <row r="1256" spans="1:1" x14ac:dyDescent="0.2">
      <c r="A1256" s="167" t="s">
        <v>4359</v>
      </c>
    </row>
    <row r="1257" spans="1:1" x14ac:dyDescent="0.2">
      <c r="A1257" s="167" t="s">
        <v>963</v>
      </c>
    </row>
    <row r="1258" spans="1:1" x14ac:dyDescent="0.2">
      <c r="A1258" s="167" t="s">
        <v>1390</v>
      </c>
    </row>
    <row r="1259" spans="1:1" x14ac:dyDescent="0.2">
      <c r="A1259" s="167" t="s">
        <v>4360</v>
      </c>
    </row>
    <row r="1260" spans="1:1" x14ac:dyDescent="0.2">
      <c r="A1260" s="167" t="s">
        <v>4361</v>
      </c>
    </row>
    <row r="1261" spans="1:1" x14ac:dyDescent="0.2">
      <c r="A1261" s="167" t="s">
        <v>4362</v>
      </c>
    </row>
    <row r="1262" spans="1:1" x14ac:dyDescent="0.2">
      <c r="A1262" s="167" t="s">
        <v>4363</v>
      </c>
    </row>
    <row r="1263" spans="1:1" x14ac:dyDescent="0.2">
      <c r="A1263" s="167" t="s">
        <v>4364</v>
      </c>
    </row>
    <row r="1264" spans="1:1" x14ac:dyDescent="0.2">
      <c r="A1264" s="167" t="s">
        <v>4365</v>
      </c>
    </row>
    <row r="1265" spans="1:7" x14ac:dyDescent="0.2">
      <c r="A1265" s="167" t="s">
        <v>4366</v>
      </c>
    </row>
    <row r="1266" spans="1:7" x14ac:dyDescent="0.2">
      <c r="A1266" s="167" t="s">
        <v>4367</v>
      </c>
      <c r="B1266" s="167" t="s">
        <v>4329</v>
      </c>
    </row>
    <row r="1267" spans="1:7" x14ac:dyDescent="0.2">
      <c r="A1267" s="167" t="s">
        <v>4368</v>
      </c>
    </row>
    <row r="1268" spans="1:7" x14ac:dyDescent="0.2">
      <c r="A1268" s="215" t="s">
        <v>4369</v>
      </c>
      <c r="B1268" s="215"/>
      <c r="C1268" s="215"/>
      <c r="D1268" s="215"/>
      <c r="E1268" s="215"/>
      <c r="F1268" s="215"/>
      <c r="G1268" s="215"/>
    </row>
    <row r="1269" spans="1:7" x14ac:dyDescent="0.2">
      <c r="A1269" s="167" t="s">
        <v>4370</v>
      </c>
      <c r="B1269" s="167" t="b">
        <v>0</v>
      </c>
      <c r="C1269" s="167" t="s">
        <v>3741</v>
      </c>
      <c r="D1269" s="167">
        <f>SUM(B1276+B1277+B1278+B1279+B1280+B1281+B1282+B1290+B1291+B1292+B1293+B1294+B1295+B1296+B1304+B1305+B1306+B1307+B1308+B1309+B1310)</f>
        <v>0</v>
      </c>
      <c r="E1269" s="167">
        <f>D1269</f>
        <v>0</v>
      </c>
    </row>
    <row r="1270" spans="1:7" x14ac:dyDescent="0.2">
      <c r="A1270" s="167" t="s">
        <v>147</v>
      </c>
      <c r="B1270" s="167" t="b">
        <v>0</v>
      </c>
      <c r="C1270" s="167" t="s">
        <v>4371</v>
      </c>
    </row>
    <row r="1271" spans="1:7" x14ac:dyDescent="0.2">
      <c r="A1271" s="167" t="s">
        <v>148</v>
      </c>
      <c r="B1271" s="167" t="b">
        <v>0</v>
      </c>
    </row>
    <row r="1272" spans="1:7" x14ac:dyDescent="0.2">
      <c r="A1272" s="167" t="s">
        <v>149</v>
      </c>
      <c r="B1272" s="167" t="b">
        <v>0</v>
      </c>
    </row>
    <row r="1273" spans="1:7" x14ac:dyDescent="0.2">
      <c r="A1273" s="167" t="s">
        <v>150</v>
      </c>
      <c r="B1273" s="167" t="b">
        <v>0</v>
      </c>
    </row>
    <row r="1274" spans="1:7" x14ac:dyDescent="0.2">
      <c r="A1274" s="167" t="s">
        <v>151</v>
      </c>
      <c r="B1274" s="167" t="b">
        <v>0</v>
      </c>
    </row>
    <row r="1275" spans="1:7" x14ac:dyDescent="0.2">
      <c r="A1275" s="167" t="s">
        <v>152</v>
      </c>
      <c r="B1275" s="167" t="b">
        <v>0</v>
      </c>
      <c r="C1275" s="167" t="s">
        <v>1450</v>
      </c>
    </row>
    <row r="1276" spans="1:7" x14ac:dyDescent="0.2">
      <c r="A1276" s="167" t="s">
        <v>4372</v>
      </c>
      <c r="C1276" s="167" t="s">
        <v>1450</v>
      </c>
    </row>
    <row r="1277" spans="1:7" x14ac:dyDescent="0.2">
      <c r="A1277" s="167" t="s">
        <v>4373</v>
      </c>
      <c r="C1277" s="167" t="s">
        <v>1450</v>
      </c>
    </row>
    <row r="1278" spans="1:7" x14ac:dyDescent="0.2">
      <c r="A1278" s="167" t="s">
        <v>4374</v>
      </c>
      <c r="C1278" s="167" t="s">
        <v>1450</v>
      </c>
    </row>
    <row r="1279" spans="1:7" x14ac:dyDescent="0.2">
      <c r="A1279" s="167" t="s">
        <v>4375</v>
      </c>
      <c r="C1279" s="167" t="s">
        <v>1450</v>
      </c>
    </row>
    <row r="1280" spans="1:7" x14ac:dyDescent="0.2">
      <c r="A1280" s="167" t="s">
        <v>4376</v>
      </c>
      <c r="C1280" s="167" t="s">
        <v>1450</v>
      </c>
    </row>
    <row r="1281" spans="1:4" x14ac:dyDescent="0.2">
      <c r="A1281" s="167" t="s">
        <v>4377</v>
      </c>
      <c r="C1281" s="167" t="s">
        <v>1450</v>
      </c>
    </row>
    <row r="1282" spans="1:4" x14ac:dyDescent="0.2">
      <c r="A1282" s="167" t="s">
        <v>4378</v>
      </c>
      <c r="C1282" s="167">
        <f>SUM(C1275:C1281)</f>
        <v>0</v>
      </c>
      <c r="D1282" s="167">
        <f>C1282</f>
        <v>0</v>
      </c>
    </row>
    <row r="1283" spans="1:4" x14ac:dyDescent="0.2">
      <c r="A1283" s="167" t="s">
        <v>4379</v>
      </c>
    </row>
    <row r="1284" spans="1:4" x14ac:dyDescent="0.2">
      <c r="A1284" s="167" t="s">
        <v>4380</v>
      </c>
    </row>
    <row r="1285" spans="1:4" x14ac:dyDescent="0.2">
      <c r="A1285" s="167" t="s">
        <v>4381</v>
      </c>
    </row>
    <row r="1286" spans="1:4" x14ac:dyDescent="0.2">
      <c r="A1286" s="167" t="s">
        <v>4382</v>
      </c>
    </row>
    <row r="1287" spans="1:4" x14ac:dyDescent="0.2">
      <c r="A1287" s="167" t="s">
        <v>4383</v>
      </c>
    </row>
    <row r="1288" spans="1:4" x14ac:dyDescent="0.2">
      <c r="A1288" s="167" t="s">
        <v>4384</v>
      </c>
    </row>
    <row r="1289" spans="1:4" x14ac:dyDescent="0.2">
      <c r="A1289" s="167" t="s">
        <v>4385</v>
      </c>
    </row>
    <row r="1290" spans="1:4" x14ac:dyDescent="0.2">
      <c r="A1290" s="167" t="s">
        <v>4386</v>
      </c>
    </row>
    <row r="1291" spans="1:4" x14ac:dyDescent="0.2">
      <c r="A1291" s="167" t="s">
        <v>4387</v>
      </c>
    </row>
    <row r="1292" spans="1:4" x14ac:dyDescent="0.2">
      <c r="A1292" s="167" t="s">
        <v>4388</v>
      </c>
    </row>
    <row r="1293" spans="1:4" x14ac:dyDescent="0.2">
      <c r="A1293" s="167" t="s">
        <v>4389</v>
      </c>
    </row>
    <row r="1294" spans="1:4" x14ac:dyDescent="0.2">
      <c r="A1294" s="167" t="s">
        <v>4390</v>
      </c>
    </row>
    <row r="1295" spans="1:4" x14ac:dyDescent="0.2">
      <c r="A1295" s="167" t="s">
        <v>4391</v>
      </c>
    </row>
    <row r="1296" spans="1:4" x14ac:dyDescent="0.2">
      <c r="A1296" s="167" t="s">
        <v>4392</v>
      </c>
    </row>
    <row r="1297" spans="1:1" x14ac:dyDescent="0.2">
      <c r="A1297" s="167" t="s">
        <v>4393</v>
      </c>
    </row>
    <row r="1298" spans="1:1" x14ac:dyDescent="0.2">
      <c r="A1298" s="167" t="s">
        <v>4394</v>
      </c>
    </row>
    <row r="1299" spans="1:1" x14ac:dyDescent="0.2">
      <c r="A1299" s="167" t="s">
        <v>4395</v>
      </c>
    </row>
    <row r="1300" spans="1:1" x14ac:dyDescent="0.2">
      <c r="A1300" s="167" t="s">
        <v>4396</v>
      </c>
    </row>
    <row r="1301" spans="1:1" x14ac:dyDescent="0.2">
      <c r="A1301" s="167" t="s">
        <v>4397</v>
      </c>
    </row>
    <row r="1302" spans="1:1" x14ac:dyDescent="0.2">
      <c r="A1302" s="167" t="s">
        <v>4398</v>
      </c>
    </row>
    <row r="1303" spans="1:1" x14ac:dyDescent="0.2">
      <c r="A1303" s="167" t="s">
        <v>4399</v>
      </c>
    </row>
    <row r="1304" spans="1:1" x14ac:dyDescent="0.2">
      <c r="A1304" s="167" t="s">
        <v>4400</v>
      </c>
    </row>
    <row r="1305" spans="1:1" x14ac:dyDescent="0.2">
      <c r="A1305" s="167" t="s">
        <v>4401</v>
      </c>
    </row>
    <row r="1306" spans="1:1" x14ac:dyDescent="0.2">
      <c r="A1306" s="167" t="s">
        <v>4402</v>
      </c>
    </row>
    <row r="1307" spans="1:1" x14ac:dyDescent="0.2">
      <c r="A1307" s="167" t="s">
        <v>4403</v>
      </c>
    </row>
    <row r="1308" spans="1:1" x14ac:dyDescent="0.2">
      <c r="A1308" s="167" t="s">
        <v>4404</v>
      </c>
    </row>
    <row r="1309" spans="1:1" x14ac:dyDescent="0.2">
      <c r="A1309" s="167" t="s">
        <v>4405</v>
      </c>
    </row>
    <row r="1310" spans="1:1" x14ac:dyDescent="0.2">
      <c r="A1310" s="167" t="s">
        <v>4406</v>
      </c>
    </row>
    <row r="1311" spans="1:1" x14ac:dyDescent="0.2">
      <c r="A1311" s="167" t="s">
        <v>4407</v>
      </c>
    </row>
    <row r="1312" spans="1:1" x14ac:dyDescent="0.2">
      <c r="A1312" s="167" t="s">
        <v>4408</v>
      </c>
    </row>
    <row r="1313" spans="1:7" x14ac:dyDescent="0.2">
      <c r="A1313" s="167" t="s">
        <v>4409</v>
      </c>
    </row>
    <row r="1314" spans="1:7" x14ac:dyDescent="0.2">
      <c r="A1314" s="167" t="s">
        <v>4410</v>
      </c>
    </row>
    <row r="1315" spans="1:7" x14ac:dyDescent="0.2">
      <c r="A1315" s="167" t="s">
        <v>4411</v>
      </c>
    </row>
    <row r="1316" spans="1:7" x14ac:dyDescent="0.2">
      <c r="A1316" s="167" t="s">
        <v>4412</v>
      </c>
    </row>
    <row r="1317" spans="1:7" x14ac:dyDescent="0.2">
      <c r="A1317" s="167" t="s">
        <v>4413</v>
      </c>
    </row>
    <row r="1318" spans="1:7" x14ac:dyDescent="0.2">
      <c r="A1318" s="167" t="s">
        <v>78</v>
      </c>
    </row>
    <row r="1319" spans="1:7" x14ac:dyDescent="0.2">
      <c r="A1319" s="215" t="s">
        <v>4414</v>
      </c>
      <c r="B1319" s="215"/>
      <c r="C1319" s="215"/>
      <c r="D1319" s="215"/>
      <c r="E1319" s="215"/>
      <c r="F1319" s="215"/>
      <c r="G1319" s="215"/>
    </row>
    <row r="1320" spans="1:7" x14ac:dyDescent="0.2">
      <c r="A1320" s="167" t="s">
        <v>4415</v>
      </c>
      <c r="B1320" s="167" t="b">
        <v>0</v>
      </c>
    </row>
    <row r="1321" spans="1:7" x14ac:dyDescent="0.2">
      <c r="A1321" s="167" t="s">
        <v>4416</v>
      </c>
      <c r="B1321" s="167" t="b">
        <v>0</v>
      </c>
    </row>
    <row r="1322" spans="1:7" x14ac:dyDescent="0.2">
      <c r="A1322" s="167" t="s">
        <v>4417</v>
      </c>
    </row>
    <row r="1323" spans="1:7" x14ac:dyDescent="0.2">
      <c r="A1323" s="167" t="s">
        <v>4418</v>
      </c>
      <c r="B1323" s="170"/>
    </row>
    <row r="1324" spans="1:7" x14ac:dyDescent="0.2">
      <c r="A1324" s="167" t="s">
        <v>4419</v>
      </c>
      <c r="B1324" s="170"/>
    </row>
    <row r="1325" spans="1:7" x14ac:dyDescent="0.2">
      <c r="A1325" s="167" t="s">
        <v>4420</v>
      </c>
    </row>
    <row r="1326" spans="1:7" x14ac:dyDescent="0.2">
      <c r="A1326" s="167" t="s">
        <v>4421</v>
      </c>
    </row>
    <row r="1327" spans="1:7" x14ac:dyDescent="0.2">
      <c r="A1327" s="167" t="s">
        <v>4422</v>
      </c>
      <c r="B1327" s="167" t="s">
        <v>4423</v>
      </c>
    </row>
    <row r="1328" spans="1:7" x14ac:dyDescent="0.2">
      <c r="A1328" s="215" t="s">
        <v>4424</v>
      </c>
      <c r="B1328" s="215"/>
      <c r="C1328" s="215"/>
      <c r="D1328" s="215"/>
      <c r="E1328" s="215"/>
      <c r="F1328" s="215"/>
      <c r="G1328" s="215"/>
    </row>
    <row r="1329" spans="1:1" x14ac:dyDescent="0.2">
      <c r="A1329" s="167" t="s">
        <v>4425</v>
      </c>
    </row>
    <row r="1330" spans="1:1" x14ac:dyDescent="0.2">
      <c r="A1330" s="167" t="s">
        <v>4426</v>
      </c>
    </row>
    <row r="1331" spans="1:1" x14ac:dyDescent="0.2">
      <c r="A1331" s="167" t="s">
        <v>4427</v>
      </c>
    </row>
    <row r="1332" spans="1:1" x14ac:dyDescent="0.2">
      <c r="A1332" s="167" t="s">
        <v>4428</v>
      </c>
    </row>
    <row r="1333" spans="1:1" x14ac:dyDescent="0.2">
      <c r="A1333" s="167" t="s">
        <v>1074</v>
      </c>
    </row>
    <row r="1334" spans="1:1" x14ac:dyDescent="0.2">
      <c r="A1334" s="167" t="s">
        <v>4429</v>
      </c>
    </row>
    <row r="1335" spans="1:1" x14ac:dyDescent="0.2">
      <c r="A1335" s="167" t="s">
        <v>272</v>
      </c>
    </row>
    <row r="1336" spans="1:1" x14ac:dyDescent="0.2">
      <c r="A1336" s="167" t="s">
        <v>306</v>
      </c>
    </row>
    <row r="1337" spans="1:1" x14ac:dyDescent="0.2">
      <c r="A1337" s="167" t="s">
        <v>1076</v>
      </c>
    </row>
    <row r="1338" spans="1:1" x14ac:dyDescent="0.2">
      <c r="A1338" s="167" t="s">
        <v>1077</v>
      </c>
    </row>
    <row r="1339" spans="1:1" x14ac:dyDescent="0.2">
      <c r="A1339" s="167" t="s">
        <v>1078</v>
      </c>
    </row>
    <row r="1340" spans="1:1" x14ac:dyDescent="0.2">
      <c r="A1340" s="167" t="s">
        <v>330</v>
      </c>
    </row>
    <row r="1341" spans="1:1" x14ac:dyDescent="0.2">
      <c r="A1341" s="167" t="s">
        <v>2989</v>
      </c>
    </row>
    <row r="1342" spans="1:1" x14ac:dyDescent="0.2">
      <c r="A1342" s="167" t="s">
        <v>1080</v>
      </c>
    </row>
    <row r="1343" spans="1:1" x14ac:dyDescent="0.2">
      <c r="A1343" s="167" t="s">
        <v>1081</v>
      </c>
    </row>
    <row r="1344" spans="1:1" x14ac:dyDescent="0.2">
      <c r="A1344" s="167" t="s">
        <v>4430</v>
      </c>
    </row>
    <row r="1345" spans="1:1" x14ac:dyDescent="0.2">
      <c r="A1345" s="167" t="s">
        <v>1082</v>
      </c>
    </row>
    <row r="1346" spans="1:1" x14ac:dyDescent="0.2">
      <c r="A1346" s="167" t="s">
        <v>1083</v>
      </c>
    </row>
    <row r="1347" spans="1:1" x14ac:dyDescent="0.2">
      <c r="A1347" s="167" t="s">
        <v>4431</v>
      </c>
    </row>
    <row r="1348" spans="1:1" x14ac:dyDescent="0.2">
      <c r="A1348" s="167" t="s">
        <v>4271</v>
      </c>
    </row>
    <row r="1349" spans="1:1" x14ac:dyDescent="0.2">
      <c r="A1349" s="167" t="s">
        <v>1085</v>
      </c>
    </row>
    <row r="1350" spans="1:1" x14ac:dyDescent="0.2">
      <c r="A1350" s="167" t="s">
        <v>303</v>
      </c>
    </row>
    <row r="1351" spans="1:1" x14ac:dyDescent="0.2">
      <c r="A1351" s="167" t="s">
        <v>4432</v>
      </c>
    </row>
    <row r="1352" spans="1:1" x14ac:dyDescent="0.2">
      <c r="A1352" s="167" t="s">
        <v>1084</v>
      </c>
    </row>
    <row r="1353" spans="1:1" x14ac:dyDescent="0.2">
      <c r="A1353" s="167" t="s">
        <v>1085</v>
      </c>
    </row>
    <row r="1354" spans="1:1" x14ac:dyDescent="0.2">
      <c r="A1354" s="167" t="s">
        <v>1074</v>
      </c>
    </row>
    <row r="1355" spans="1:1" x14ac:dyDescent="0.2">
      <c r="A1355" s="167" t="s">
        <v>1075</v>
      </c>
    </row>
    <row r="1356" spans="1:1" x14ac:dyDescent="0.2">
      <c r="A1356" s="167" t="s">
        <v>1077</v>
      </c>
    </row>
    <row r="1357" spans="1:1" x14ac:dyDescent="0.2">
      <c r="A1357" s="167" t="s">
        <v>272</v>
      </c>
    </row>
    <row r="1358" spans="1:1" x14ac:dyDescent="0.2">
      <c r="A1358" s="167" t="s">
        <v>1156</v>
      </c>
    </row>
    <row r="1359" spans="1:1" x14ac:dyDescent="0.2">
      <c r="A1359" s="167" t="s">
        <v>4433</v>
      </c>
    </row>
    <row r="1360" spans="1:1" x14ac:dyDescent="0.2">
      <c r="A1360" s="167" t="s">
        <v>328</v>
      </c>
    </row>
    <row r="1361" spans="1:1" x14ac:dyDescent="0.2">
      <c r="A1361" s="167" t="s">
        <v>329</v>
      </c>
    </row>
    <row r="1362" spans="1:1" x14ac:dyDescent="0.2">
      <c r="A1362" s="167" t="s">
        <v>1082</v>
      </c>
    </row>
    <row r="1363" spans="1:1" x14ac:dyDescent="0.2">
      <c r="A1363" s="167" t="s">
        <v>330</v>
      </c>
    </row>
    <row r="1364" spans="1:1" x14ac:dyDescent="0.2">
      <c r="A1364" s="167" t="s">
        <v>1130</v>
      </c>
    </row>
    <row r="1365" spans="1:1" x14ac:dyDescent="0.2">
      <c r="A1365" s="167" t="s">
        <v>1131</v>
      </c>
    </row>
    <row r="1366" spans="1:1" x14ac:dyDescent="0.2">
      <c r="A1366" s="167" t="s">
        <v>1161</v>
      </c>
    </row>
    <row r="1367" spans="1:1" x14ac:dyDescent="0.2">
      <c r="A1367" s="167" t="s">
        <v>1132</v>
      </c>
    </row>
    <row r="1368" spans="1:1" x14ac:dyDescent="0.2">
      <c r="A1368" s="167" t="s">
        <v>1083</v>
      </c>
    </row>
    <row r="1369" spans="1:1" x14ac:dyDescent="0.2">
      <c r="A1369" s="167" t="s">
        <v>1133</v>
      </c>
    </row>
    <row r="1370" spans="1:1" x14ac:dyDescent="0.2">
      <c r="A1370" s="167" t="s">
        <v>1134</v>
      </c>
    </row>
    <row r="1371" spans="1:1" x14ac:dyDescent="0.2">
      <c r="A1371" s="167" t="s">
        <v>1135</v>
      </c>
    </row>
    <row r="1372" spans="1:1" x14ac:dyDescent="0.2">
      <c r="A1372" s="167" t="s">
        <v>1136</v>
      </c>
    </row>
    <row r="1373" spans="1:1" x14ac:dyDescent="0.2">
      <c r="A1373" s="167" t="s">
        <v>1137</v>
      </c>
    </row>
    <row r="1374" spans="1:1" x14ac:dyDescent="0.2">
      <c r="A1374" s="167" t="s">
        <v>1157</v>
      </c>
    </row>
    <row r="1375" spans="1:1" x14ac:dyDescent="0.2">
      <c r="A1375" s="167" t="s">
        <v>1138</v>
      </c>
    </row>
    <row r="1376" spans="1:1" x14ac:dyDescent="0.2">
      <c r="A1376" s="167" t="s">
        <v>1139</v>
      </c>
    </row>
    <row r="1377" spans="1:1" x14ac:dyDescent="0.2">
      <c r="A1377" s="167" t="s">
        <v>1140</v>
      </c>
    </row>
    <row r="1378" spans="1:1" x14ac:dyDescent="0.2">
      <c r="A1378" s="167" t="s">
        <v>1141</v>
      </c>
    </row>
    <row r="1379" spans="1:1" x14ac:dyDescent="0.2">
      <c r="A1379" s="167" t="s">
        <v>332</v>
      </c>
    </row>
    <row r="1380" spans="1:1" x14ac:dyDescent="0.2">
      <c r="A1380" s="167" t="s">
        <v>1142</v>
      </c>
    </row>
    <row r="1381" spans="1:1" x14ac:dyDescent="0.2">
      <c r="A1381" s="167" t="s">
        <v>1143</v>
      </c>
    </row>
    <row r="1382" spans="1:1" x14ac:dyDescent="0.2">
      <c r="A1382" s="167" t="s">
        <v>153</v>
      </c>
    </row>
    <row r="1383" spans="1:1" x14ac:dyDescent="0.2">
      <c r="A1383" s="167" t="s">
        <v>305</v>
      </c>
    </row>
    <row r="1384" spans="1:1" x14ac:dyDescent="0.2">
      <c r="A1384" s="167" t="s">
        <v>331</v>
      </c>
    </row>
    <row r="1385" spans="1:1" x14ac:dyDescent="0.2">
      <c r="A1385" s="167" t="s">
        <v>1144</v>
      </c>
    </row>
    <row r="1386" spans="1:1" x14ac:dyDescent="0.2">
      <c r="A1386" s="167" t="s">
        <v>1145</v>
      </c>
    </row>
    <row r="1387" spans="1:1" x14ac:dyDescent="0.2">
      <c r="A1387" s="167" t="s">
        <v>1146</v>
      </c>
    </row>
    <row r="1388" spans="1:1" x14ac:dyDescent="0.2">
      <c r="A1388" s="167" t="s">
        <v>557</v>
      </c>
    </row>
    <row r="1389" spans="1:1" x14ac:dyDescent="0.2">
      <c r="A1389" s="167" t="s">
        <v>1147</v>
      </c>
    </row>
    <row r="1390" spans="1:1" x14ac:dyDescent="0.2">
      <c r="A1390" s="167" t="s">
        <v>129</v>
      </c>
    </row>
    <row r="1391" spans="1:1" x14ac:dyDescent="0.2">
      <c r="A1391" s="167" t="s">
        <v>130</v>
      </c>
    </row>
    <row r="1392" spans="1:1" x14ac:dyDescent="0.2">
      <c r="A1392" s="167" t="s">
        <v>131</v>
      </c>
    </row>
    <row r="1393" spans="1:7" x14ac:dyDescent="0.2">
      <c r="A1393" s="167" t="s">
        <v>132</v>
      </c>
    </row>
    <row r="1394" spans="1:7" x14ac:dyDescent="0.2">
      <c r="A1394" s="167" t="s">
        <v>1148</v>
      </c>
    </row>
    <row r="1395" spans="1:7" x14ac:dyDescent="0.2">
      <c r="A1395" s="167" t="s">
        <v>1149</v>
      </c>
    </row>
    <row r="1396" spans="1:7" x14ac:dyDescent="0.2">
      <c r="A1396" s="167" t="s">
        <v>1150</v>
      </c>
    </row>
    <row r="1397" spans="1:7" x14ac:dyDescent="0.2">
      <c r="A1397" s="167" t="s">
        <v>1151</v>
      </c>
    </row>
    <row r="1398" spans="1:7" x14ac:dyDescent="0.2">
      <c r="A1398" s="167" t="s">
        <v>133</v>
      </c>
    </row>
    <row r="1399" spans="1:7" x14ac:dyDescent="0.2">
      <c r="A1399" s="167" t="s">
        <v>1152</v>
      </c>
    </row>
    <row r="1400" spans="1:7" x14ac:dyDescent="0.2">
      <c r="A1400" s="167" t="s">
        <v>1153</v>
      </c>
    </row>
    <row r="1401" spans="1:7" x14ac:dyDescent="0.2">
      <c r="A1401" s="215" t="s">
        <v>4434</v>
      </c>
      <c r="B1401" s="215"/>
      <c r="C1401" s="215"/>
      <c r="D1401" s="215"/>
      <c r="E1401" s="215"/>
      <c r="F1401" s="215"/>
      <c r="G1401" s="215"/>
    </row>
    <row r="1402" spans="1:7" x14ac:dyDescent="0.2">
      <c r="A1402" s="167" t="s">
        <v>4435</v>
      </c>
    </row>
    <row r="1403" spans="1:7" x14ac:dyDescent="0.2">
      <c r="A1403" s="167" t="s">
        <v>4436</v>
      </c>
    </row>
    <row r="1404" spans="1:7" x14ac:dyDescent="0.2">
      <c r="A1404" s="167" t="s">
        <v>4437</v>
      </c>
    </row>
    <row r="1405" spans="1:7" x14ac:dyDescent="0.2">
      <c r="A1405" s="167" t="s">
        <v>102</v>
      </c>
    </row>
    <row r="1406" spans="1:7" x14ac:dyDescent="0.2">
      <c r="A1406" s="167" t="s">
        <v>4438</v>
      </c>
    </row>
    <row r="1407" spans="1:7" x14ac:dyDescent="0.2">
      <c r="A1407" s="167" t="s">
        <v>78</v>
      </c>
    </row>
    <row r="1408" spans="1:7" x14ac:dyDescent="0.2">
      <c r="A1408" s="167" t="s">
        <v>157</v>
      </c>
    </row>
    <row r="1409" spans="1:7" x14ac:dyDescent="0.2">
      <c r="A1409" s="167" t="s">
        <v>4439</v>
      </c>
    </row>
    <row r="1410" spans="1:7" x14ac:dyDescent="0.2">
      <c r="A1410" s="167" t="s">
        <v>4440</v>
      </c>
    </row>
    <row r="1411" spans="1:7" x14ac:dyDescent="0.2">
      <c r="A1411" s="215" t="s">
        <v>4441</v>
      </c>
      <c r="B1411" s="215"/>
      <c r="C1411" s="215"/>
      <c r="D1411" s="215"/>
      <c r="E1411" s="215"/>
      <c r="F1411" s="215"/>
      <c r="G1411" s="215"/>
    </row>
    <row r="1412" spans="1:7" x14ac:dyDescent="0.2">
      <c r="A1412" s="167" t="s">
        <v>4442</v>
      </c>
    </row>
    <row r="1413" spans="1:7" x14ac:dyDescent="0.2">
      <c r="A1413" s="167" t="s">
        <v>4443</v>
      </c>
    </row>
    <row r="1414" spans="1:7" x14ac:dyDescent="0.2">
      <c r="A1414" s="167" t="s">
        <v>4444</v>
      </c>
    </row>
    <row r="1415" spans="1:7" x14ac:dyDescent="0.2">
      <c r="A1415" s="167" t="s">
        <v>4445</v>
      </c>
      <c r="B1415" s="167" t="b">
        <v>0</v>
      </c>
    </row>
    <row r="1416" spans="1:7" x14ac:dyDescent="0.2">
      <c r="A1416" s="167" t="s">
        <v>4446</v>
      </c>
    </row>
    <row r="1417" spans="1:7" x14ac:dyDescent="0.2">
      <c r="A1417" s="167" t="s">
        <v>4447</v>
      </c>
      <c r="B1417" s="167" t="b">
        <v>0</v>
      </c>
    </row>
    <row r="1418" spans="1:7" x14ac:dyDescent="0.2">
      <c r="A1418" s="167" t="s">
        <v>3959</v>
      </c>
    </row>
    <row r="1419" spans="1:7" x14ac:dyDescent="0.2">
      <c r="A1419" s="167" t="s">
        <v>4448</v>
      </c>
      <c r="B1419" s="174" t="str">
        <f>IF(B310=TRUE,"Level 1","")&amp;IF(B311=TRUE,"Level 2","")&amp;IF(B312=TRUE,"Level 3","")&amp;IF(B313=TRUE,"Level 4","")</f>
        <v/>
      </c>
      <c r="G1419" s="167" t="s">
        <v>1450</v>
      </c>
    </row>
    <row r="1420" spans="1:7" x14ac:dyDescent="0.2">
      <c r="A1420" s="167" t="s">
        <v>4449</v>
      </c>
    </row>
    <row r="1421" spans="1:7" x14ac:dyDescent="0.2">
      <c r="A1421" s="167" t="s">
        <v>4450</v>
      </c>
    </row>
    <row r="1422" spans="1:7" x14ac:dyDescent="0.2">
      <c r="A1422" s="167" t="s">
        <v>4451</v>
      </c>
    </row>
    <row r="1423" spans="1:7" x14ac:dyDescent="0.2">
      <c r="A1423" s="167" t="s">
        <v>4452</v>
      </c>
      <c r="B1423" s="167" t="b">
        <v>0</v>
      </c>
    </row>
    <row r="1424" spans="1:7" x14ac:dyDescent="0.2">
      <c r="A1424" s="167" t="s">
        <v>4453</v>
      </c>
      <c r="B1424" s="167" t="b">
        <v>0</v>
      </c>
    </row>
    <row r="1425" spans="1:7" x14ac:dyDescent="0.2">
      <c r="A1425" s="167" t="s">
        <v>4454</v>
      </c>
    </row>
    <row r="1426" spans="1:7" x14ac:dyDescent="0.2">
      <c r="A1426" s="167" t="s">
        <v>4455</v>
      </c>
    </row>
    <row r="1427" spans="1:7" x14ac:dyDescent="0.2">
      <c r="A1427" s="167" t="s">
        <v>4456</v>
      </c>
      <c r="B1427" s="174" t="str">
        <f>TEXT(B34,"mm.dd.yyyy")</f>
        <v>01.00.1900</v>
      </c>
    </row>
    <row r="1428" spans="1:7" x14ac:dyDescent="0.2">
      <c r="A1428" s="167" t="s">
        <v>4457</v>
      </c>
      <c r="B1428" s="167" t="b">
        <v>0</v>
      </c>
    </row>
    <row r="1429" spans="1:7" x14ac:dyDescent="0.2">
      <c r="A1429" s="167" t="s">
        <v>4458</v>
      </c>
      <c r="B1429" s="167" t="b">
        <v>0</v>
      </c>
    </row>
    <row r="1430" spans="1:7" x14ac:dyDescent="0.2">
      <c r="A1430" s="167" t="s">
        <v>4459</v>
      </c>
      <c r="B1430" s="167" t="b">
        <v>0</v>
      </c>
    </row>
    <row r="1431" spans="1:7" x14ac:dyDescent="0.2">
      <c r="A1431" s="167" t="s">
        <v>4460</v>
      </c>
      <c r="B1431" s="167" t="b">
        <v>0</v>
      </c>
    </row>
    <row r="1432" spans="1:7" x14ac:dyDescent="0.2">
      <c r="A1432" s="167" t="s">
        <v>4461</v>
      </c>
      <c r="B1432" s="167" t="b">
        <v>0</v>
      </c>
    </row>
    <row r="1433" spans="1:7" x14ac:dyDescent="0.2">
      <c r="A1433" s="167" t="s">
        <v>4462</v>
      </c>
      <c r="B1433" s="167" t="b">
        <v>0</v>
      </c>
    </row>
    <row r="1434" spans="1:7" x14ac:dyDescent="0.2">
      <c r="A1434" s="167" t="s">
        <v>4463</v>
      </c>
      <c r="B1434" s="167" t="b">
        <v>0</v>
      </c>
    </row>
    <row r="1435" spans="1:7" x14ac:dyDescent="0.2">
      <c r="A1435" s="167" t="s">
        <v>4464</v>
      </c>
    </row>
    <row r="1436" spans="1:7" x14ac:dyDescent="0.2">
      <c r="A1436" s="167" t="s">
        <v>4465</v>
      </c>
    </row>
    <row r="1437" spans="1:7" x14ac:dyDescent="0.2">
      <c r="A1437" s="215" t="s">
        <v>4466</v>
      </c>
      <c r="B1437" s="215"/>
      <c r="C1437" s="215"/>
      <c r="D1437" s="215"/>
      <c r="E1437" s="215"/>
      <c r="F1437" s="215"/>
      <c r="G1437" s="215"/>
    </row>
    <row r="1438" spans="1:7" x14ac:dyDescent="0.2">
      <c r="A1438" s="167" t="s">
        <v>4467</v>
      </c>
    </row>
    <row r="1439" spans="1:7" x14ac:dyDescent="0.2">
      <c r="A1439" s="167" t="s">
        <v>4468</v>
      </c>
      <c r="B1439" s="167" t="b">
        <v>0</v>
      </c>
    </row>
    <row r="1440" spans="1:7" x14ac:dyDescent="0.2">
      <c r="A1440" s="167" t="s">
        <v>4469</v>
      </c>
      <c r="B1440" s="167" t="b">
        <v>0</v>
      </c>
    </row>
    <row r="1441" spans="1:2" x14ac:dyDescent="0.2">
      <c r="A1441" s="167" t="s">
        <v>4470</v>
      </c>
      <c r="B1441" s="167" t="b">
        <v>0</v>
      </c>
    </row>
    <row r="1442" spans="1:2" x14ac:dyDescent="0.2">
      <c r="A1442" s="167" t="s">
        <v>4471</v>
      </c>
      <c r="B1442" s="167" t="b">
        <v>0</v>
      </c>
    </row>
    <row r="1443" spans="1:2" x14ac:dyDescent="0.2">
      <c r="A1443" s="167" t="s">
        <v>4472</v>
      </c>
      <c r="B1443" s="167" t="b">
        <v>0</v>
      </c>
    </row>
    <row r="1444" spans="1:2" x14ac:dyDescent="0.2">
      <c r="A1444" s="167" t="s">
        <v>4473</v>
      </c>
      <c r="B1444" s="167" t="b">
        <v>0</v>
      </c>
    </row>
    <row r="1445" spans="1:2" x14ac:dyDescent="0.2">
      <c r="A1445" s="167" t="s">
        <v>4474</v>
      </c>
      <c r="B1445" s="167" t="b">
        <v>0</v>
      </c>
    </row>
    <row r="1446" spans="1:2" x14ac:dyDescent="0.2">
      <c r="A1446" s="167" t="s">
        <v>4475</v>
      </c>
      <c r="B1446" s="167" t="b">
        <v>0</v>
      </c>
    </row>
    <row r="1447" spans="1:2" x14ac:dyDescent="0.2">
      <c r="A1447" s="167" t="s">
        <v>4476</v>
      </c>
      <c r="B1447" s="167" t="b">
        <v>0</v>
      </c>
    </row>
    <row r="1448" spans="1:2" x14ac:dyDescent="0.2">
      <c r="A1448" s="167" t="s">
        <v>4477</v>
      </c>
      <c r="B1448" s="167" t="b">
        <v>0</v>
      </c>
    </row>
    <row r="1449" spans="1:2" x14ac:dyDescent="0.2">
      <c r="A1449" s="167" t="s">
        <v>4478</v>
      </c>
      <c r="B1449" s="167" t="b">
        <v>0</v>
      </c>
    </row>
    <row r="1450" spans="1:2" x14ac:dyDescent="0.2">
      <c r="A1450" s="167" t="s">
        <v>4479</v>
      </c>
    </row>
    <row r="1451" spans="1:2" x14ac:dyDescent="0.2">
      <c r="A1451" s="167" t="s">
        <v>4480</v>
      </c>
      <c r="B1451" s="167" t="b">
        <v>0</v>
      </c>
    </row>
    <row r="1452" spans="1:2" x14ac:dyDescent="0.2">
      <c r="A1452" s="167" t="s">
        <v>4481</v>
      </c>
      <c r="B1452" s="167" t="b">
        <v>0</v>
      </c>
    </row>
    <row r="1453" spans="1:2" x14ac:dyDescent="0.2">
      <c r="A1453" s="167" t="s">
        <v>4482</v>
      </c>
      <c r="B1453" s="167" t="b">
        <v>0</v>
      </c>
    </row>
    <row r="1454" spans="1:2" x14ac:dyDescent="0.2">
      <c r="A1454" s="167" t="s">
        <v>4483</v>
      </c>
      <c r="B1454" s="167" t="b">
        <v>0</v>
      </c>
    </row>
    <row r="1455" spans="1:2" x14ac:dyDescent="0.2">
      <c r="A1455" s="167" t="s">
        <v>4484</v>
      </c>
      <c r="B1455" s="167" t="b">
        <v>0</v>
      </c>
    </row>
    <row r="1456" spans="1:2" x14ac:dyDescent="0.2">
      <c r="A1456" s="167" t="s">
        <v>4485</v>
      </c>
      <c r="B1456" s="167" t="b">
        <v>0</v>
      </c>
    </row>
    <row r="1457" spans="1:7" x14ac:dyDescent="0.2">
      <c r="A1457" s="167" t="s">
        <v>4486</v>
      </c>
      <c r="B1457" s="167" t="b">
        <v>0</v>
      </c>
    </row>
    <row r="1458" spans="1:7" x14ac:dyDescent="0.2">
      <c r="A1458" s="167" t="s">
        <v>4487</v>
      </c>
      <c r="B1458" s="167" t="b">
        <v>0</v>
      </c>
    </row>
    <row r="1459" spans="1:7" x14ac:dyDescent="0.2">
      <c r="A1459" s="167" t="s">
        <v>4488</v>
      </c>
      <c r="B1459" s="167" t="b">
        <v>0</v>
      </c>
    </row>
    <row r="1460" spans="1:7" x14ac:dyDescent="0.2">
      <c r="A1460" s="167" t="s">
        <v>4489</v>
      </c>
      <c r="B1460" s="167" t="b">
        <v>0</v>
      </c>
    </row>
    <row r="1461" spans="1:7" x14ac:dyDescent="0.2">
      <c r="A1461" s="167" t="s">
        <v>4490</v>
      </c>
      <c r="B1461" s="167" t="b">
        <v>0</v>
      </c>
    </row>
    <row r="1462" spans="1:7" x14ac:dyDescent="0.2">
      <c r="A1462" s="167" t="s">
        <v>4491</v>
      </c>
    </row>
    <row r="1463" spans="1:7" x14ac:dyDescent="0.2">
      <c r="A1463" s="167" t="s">
        <v>4492</v>
      </c>
      <c r="B1463" s="167" t="s">
        <v>1450</v>
      </c>
    </row>
    <row r="1464" spans="1:7" x14ac:dyDescent="0.2">
      <c r="A1464" s="167" t="s">
        <v>4493</v>
      </c>
      <c r="B1464" s="167" t="s">
        <v>1071</v>
      </c>
    </row>
    <row r="1465" spans="1:7" x14ac:dyDescent="0.2">
      <c r="A1465" s="215" t="s">
        <v>4494</v>
      </c>
      <c r="B1465" s="215"/>
      <c r="C1465" s="215"/>
      <c r="D1465" s="215"/>
      <c r="E1465" s="215"/>
      <c r="F1465" s="215"/>
      <c r="G1465" s="215"/>
    </row>
    <row r="1466" spans="1:7" x14ac:dyDescent="0.2">
      <c r="A1466" s="167" t="s">
        <v>4495</v>
      </c>
    </row>
    <row r="1467" spans="1:7" x14ac:dyDescent="0.2">
      <c r="A1467" s="167" t="s">
        <v>4496</v>
      </c>
    </row>
    <row r="1468" spans="1:7" x14ac:dyDescent="0.2">
      <c r="A1468" s="215" t="s">
        <v>4497</v>
      </c>
      <c r="B1468" s="215"/>
      <c r="C1468" s="215"/>
      <c r="D1468" s="215"/>
      <c r="E1468" s="215"/>
      <c r="F1468" s="215"/>
      <c r="G1468" s="215"/>
    </row>
    <row r="1469" spans="1:7" x14ac:dyDescent="0.2">
      <c r="A1469" s="167" t="s">
        <v>4498</v>
      </c>
    </row>
    <row r="1470" spans="1:7" x14ac:dyDescent="0.2">
      <c r="A1470" s="167" t="s">
        <v>4499</v>
      </c>
    </row>
    <row r="1471" spans="1:7" x14ac:dyDescent="0.2">
      <c r="A1471" s="167" t="s">
        <v>4500</v>
      </c>
      <c r="B1471" s="167" t="b">
        <v>0</v>
      </c>
    </row>
    <row r="1472" spans="1:7" x14ac:dyDescent="0.2">
      <c r="A1472" s="167" t="s">
        <v>4501</v>
      </c>
      <c r="B1472" s="167" t="b">
        <v>0</v>
      </c>
    </row>
    <row r="1473" spans="1:7" x14ac:dyDescent="0.2">
      <c r="A1473" s="167" t="s">
        <v>4502</v>
      </c>
      <c r="B1473" s="167" t="b">
        <v>0</v>
      </c>
    </row>
    <row r="1474" spans="1:7" x14ac:dyDescent="0.2">
      <c r="A1474" s="215" t="s">
        <v>4503</v>
      </c>
      <c r="B1474" s="215"/>
      <c r="C1474" s="215"/>
      <c r="D1474" s="215"/>
      <c r="E1474" s="215"/>
      <c r="F1474" s="215"/>
      <c r="G1474" s="215"/>
    </row>
    <row r="1475" spans="1:7" x14ac:dyDescent="0.2">
      <c r="A1475" s="167" t="s">
        <v>4504</v>
      </c>
    </row>
    <row r="1476" spans="1:7" x14ac:dyDescent="0.2">
      <c r="A1476" s="167" t="s">
        <v>4505</v>
      </c>
    </row>
    <row r="1477" spans="1:7" x14ac:dyDescent="0.2">
      <c r="A1477" s="215" t="s">
        <v>4506</v>
      </c>
      <c r="B1477" s="215"/>
      <c r="C1477" s="215"/>
      <c r="D1477" s="215"/>
      <c r="E1477" s="215"/>
      <c r="F1477" s="215"/>
      <c r="G1477" s="215"/>
    </row>
    <row r="1478" spans="1:7" x14ac:dyDescent="0.2">
      <c r="A1478" s="167" t="s">
        <v>4507</v>
      </c>
      <c r="B1478" s="167" t="b">
        <v>0</v>
      </c>
    </row>
    <row r="1479" spans="1:7" x14ac:dyDescent="0.2">
      <c r="A1479" s="167" t="s">
        <v>3032</v>
      </c>
      <c r="B1479" s="167" t="b">
        <v>0</v>
      </c>
    </row>
    <row r="1480" spans="1:7" x14ac:dyDescent="0.2">
      <c r="A1480" s="167" t="s">
        <v>4508</v>
      </c>
      <c r="B1480" s="167" t="b">
        <v>0</v>
      </c>
    </row>
    <row r="1481" spans="1:7" x14ac:dyDescent="0.2">
      <c r="A1481" s="167" t="s">
        <v>3033</v>
      </c>
      <c r="B1481" s="167" t="b">
        <v>0</v>
      </c>
    </row>
    <row r="1482" spans="1:7" x14ac:dyDescent="0.2">
      <c r="A1482" s="167" t="s">
        <v>4509</v>
      </c>
      <c r="B1482" s="167" t="b">
        <v>0</v>
      </c>
    </row>
    <row r="1483" spans="1:7" x14ac:dyDescent="0.2">
      <c r="A1483" s="167" t="s">
        <v>4510</v>
      </c>
    </row>
    <row r="1484" spans="1:7" x14ac:dyDescent="0.2">
      <c r="A1484" s="167" t="s">
        <v>4511</v>
      </c>
    </row>
    <row r="1485" spans="1:7" x14ac:dyDescent="0.2">
      <c r="A1485" s="167" t="s">
        <v>4512</v>
      </c>
      <c r="B1485" s="167" t="b">
        <v>0</v>
      </c>
    </row>
    <row r="1486" spans="1:7" x14ac:dyDescent="0.2">
      <c r="A1486" s="167" t="s">
        <v>4513</v>
      </c>
      <c r="B1486" s="167" t="b">
        <v>0</v>
      </c>
    </row>
    <row r="1487" spans="1:7" x14ac:dyDescent="0.2">
      <c r="A1487" s="167" t="s">
        <v>4514</v>
      </c>
    </row>
    <row r="1488" spans="1:7" x14ac:dyDescent="0.2">
      <c r="A1488" s="167" t="s">
        <v>157</v>
      </c>
    </row>
    <row r="1489" spans="1:2" x14ac:dyDescent="0.2">
      <c r="A1489" s="167" t="s">
        <v>4515</v>
      </c>
    </row>
    <row r="1490" spans="1:2" x14ac:dyDescent="0.2">
      <c r="A1490" s="167" t="s">
        <v>3040</v>
      </c>
    </row>
    <row r="1491" spans="1:2" x14ac:dyDescent="0.2">
      <c r="A1491" s="167" t="s">
        <v>144</v>
      </c>
    </row>
    <row r="1492" spans="1:2" x14ac:dyDescent="0.2">
      <c r="A1492" s="167" t="s">
        <v>23</v>
      </c>
    </row>
    <row r="1493" spans="1:2" x14ac:dyDescent="0.2">
      <c r="A1493" s="167" t="s">
        <v>4516</v>
      </c>
    </row>
    <row r="1494" spans="1:2" x14ac:dyDescent="0.2">
      <c r="A1494" s="167" t="s">
        <v>25</v>
      </c>
    </row>
    <row r="1495" spans="1:2" x14ac:dyDescent="0.2">
      <c r="A1495" s="167" t="s">
        <v>26</v>
      </c>
    </row>
    <row r="1496" spans="1:2" x14ac:dyDescent="0.2">
      <c r="A1496" s="167" t="s">
        <v>4517</v>
      </c>
    </row>
    <row r="1497" spans="1:2" x14ac:dyDescent="0.2">
      <c r="A1497" s="167" t="s">
        <v>61</v>
      </c>
    </row>
    <row r="1498" spans="1:2" x14ac:dyDescent="0.2">
      <c r="A1498" s="167" t="s">
        <v>3517</v>
      </c>
      <c r="B1498" s="170"/>
    </row>
    <row r="1499" spans="1:2" x14ac:dyDescent="0.2">
      <c r="A1499" s="167" t="s">
        <v>3038</v>
      </c>
    </row>
    <row r="1500" spans="1:2" x14ac:dyDescent="0.2">
      <c r="A1500" s="167" t="s">
        <v>4518</v>
      </c>
      <c r="B1500" s="167" t="b">
        <v>0</v>
      </c>
    </row>
    <row r="1501" spans="1:2" x14ac:dyDescent="0.2">
      <c r="A1501" s="167" t="s">
        <v>3041</v>
      </c>
      <c r="B1501" s="167" t="b">
        <v>0</v>
      </c>
    </row>
    <row r="1502" spans="1:2" x14ac:dyDescent="0.2">
      <c r="A1502" s="167" t="s">
        <v>3851</v>
      </c>
      <c r="B1502" s="167" t="b">
        <v>0</v>
      </c>
    </row>
    <row r="1503" spans="1:2" x14ac:dyDescent="0.2">
      <c r="A1503" s="167" t="s">
        <v>3042</v>
      </c>
      <c r="B1503" s="167" t="b">
        <v>0</v>
      </c>
    </row>
    <row r="1504" spans="1:2" x14ac:dyDescent="0.2">
      <c r="A1504" s="167" t="s">
        <v>4519</v>
      </c>
      <c r="B1504" s="167" t="b">
        <v>0</v>
      </c>
    </row>
    <row r="1505" spans="1:7" x14ac:dyDescent="0.2">
      <c r="A1505" s="167" t="s">
        <v>3043</v>
      </c>
      <c r="B1505" s="167" t="b">
        <v>0</v>
      </c>
    </row>
    <row r="1506" spans="1:7" x14ac:dyDescent="0.2">
      <c r="A1506" s="167" t="s">
        <v>3044</v>
      </c>
      <c r="B1506" s="167" t="b">
        <v>0</v>
      </c>
    </row>
    <row r="1507" spans="1:7" x14ac:dyDescent="0.2">
      <c r="A1507" s="167" t="s">
        <v>1419</v>
      </c>
      <c r="B1507" s="167" t="b">
        <v>0</v>
      </c>
    </row>
    <row r="1508" spans="1:7" x14ac:dyDescent="0.2">
      <c r="A1508" s="167" t="s">
        <v>3045</v>
      </c>
      <c r="B1508" s="167" t="b">
        <v>0</v>
      </c>
    </row>
    <row r="1509" spans="1:7" x14ac:dyDescent="0.2">
      <c r="A1509" s="167" t="s">
        <v>4520</v>
      </c>
    </row>
    <row r="1510" spans="1:7" x14ac:dyDescent="0.2">
      <c r="A1510" s="167" t="s">
        <v>1263</v>
      </c>
      <c r="B1510" s="170"/>
    </row>
    <row r="1511" spans="1:7" x14ac:dyDescent="0.2">
      <c r="A1511" s="167" t="s">
        <v>4521</v>
      </c>
      <c r="B1511" s="167" t="b">
        <v>0</v>
      </c>
    </row>
    <row r="1512" spans="1:7" x14ac:dyDescent="0.2">
      <c r="A1512" s="167" t="s">
        <v>4522</v>
      </c>
      <c r="B1512" s="167" t="b">
        <v>0</v>
      </c>
    </row>
    <row r="1513" spans="1:7" x14ac:dyDescent="0.2">
      <c r="A1513" s="167" t="s">
        <v>4523</v>
      </c>
      <c r="B1513" s="167" t="b">
        <v>0</v>
      </c>
    </row>
    <row r="1514" spans="1:7" x14ac:dyDescent="0.2">
      <c r="A1514" s="167" t="s">
        <v>4524</v>
      </c>
      <c r="B1514" s="167" t="b">
        <v>0</v>
      </c>
    </row>
    <row r="1515" spans="1:7" x14ac:dyDescent="0.2">
      <c r="A1515" s="167" t="s">
        <v>4525</v>
      </c>
      <c r="B1515" s="167" t="b">
        <v>0</v>
      </c>
    </row>
    <row r="1516" spans="1:7" x14ac:dyDescent="0.2">
      <c r="A1516" s="167" t="s">
        <v>4526</v>
      </c>
      <c r="B1516" s="167" t="b">
        <v>0</v>
      </c>
    </row>
    <row r="1517" spans="1:7" x14ac:dyDescent="0.2">
      <c r="A1517" s="167" t="s">
        <v>4527</v>
      </c>
      <c r="B1517" s="167" t="b">
        <v>0</v>
      </c>
    </row>
    <row r="1518" spans="1:7" x14ac:dyDescent="0.2">
      <c r="A1518" s="167" t="s">
        <v>4528</v>
      </c>
      <c r="B1518" s="167" t="b">
        <v>1</v>
      </c>
    </row>
    <row r="1519" spans="1:7" x14ac:dyDescent="0.2">
      <c r="A1519" s="215" t="s">
        <v>4529</v>
      </c>
      <c r="B1519" s="215"/>
      <c r="C1519" s="215"/>
      <c r="D1519" s="215"/>
      <c r="E1519" s="215"/>
      <c r="F1519" s="215"/>
      <c r="G1519" s="215"/>
    </row>
    <row r="1520" spans="1:7" x14ac:dyDescent="0.2">
      <c r="A1520" s="167" t="s">
        <v>1263</v>
      </c>
      <c r="B1520" s="170"/>
    </row>
    <row r="1521" spans="1:2" x14ac:dyDescent="0.2">
      <c r="A1521" s="167" t="s">
        <v>1465</v>
      </c>
    </row>
    <row r="1522" spans="1:2" x14ac:dyDescent="0.2">
      <c r="A1522" s="167" t="s">
        <v>4530</v>
      </c>
      <c r="B1522" s="167" t="b">
        <v>0</v>
      </c>
    </row>
    <row r="1523" spans="1:2" x14ac:dyDescent="0.2">
      <c r="A1523" s="167" t="s">
        <v>4531</v>
      </c>
      <c r="B1523" s="167" t="b">
        <v>0</v>
      </c>
    </row>
    <row r="1524" spans="1:2" x14ac:dyDescent="0.2">
      <c r="A1524" s="167" t="s">
        <v>3081</v>
      </c>
      <c r="B1524" s="167" t="b">
        <v>0</v>
      </c>
    </row>
    <row r="1525" spans="1:2" x14ac:dyDescent="0.2">
      <c r="A1525" s="167" t="s">
        <v>4507</v>
      </c>
      <c r="B1525" s="167" t="b">
        <v>0</v>
      </c>
    </row>
    <row r="1526" spans="1:2" x14ac:dyDescent="0.2">
      <c r="A1526" s="167" t="s">
        <v>4508</v>
      </c>
      <c r="B1526" s="167" t="b">
        <v>0</v>
      </c>
    </row>
    <row r="1527" spans="1:2" x14ac:dyDescent="0.2">
      <c r="A1527" s="167" t="s">
        <v>3033</v>
      </c>
      <c r="B1527" s="167" t="b">
        <v>0</v>
      </c>
    </row>
    <row r="1528" spans="1:2" x14ac:dyDescent="0.2">
      <c r="A1528" s="167" t="s">
        <v>4532</v>
      </c>
    </row>
    <row r="1529" spans="1:2" x14ac:dyDescent="0.2">
      <c r="A1529" s="167" t="s">
        <v>4533</v>
      </c>
      <c r="B1529" s="167" t="b">
        <v>0</v>
      </c>
    </row>
    <row r="1530" spans="1:2" x14ac:dyDescent="0.2">
      <c r="A1530" s="167" t="s">
        <v>4534</v>
      </c>
      <c r="B1530" s="167" t="b">
        <v>0</v>
      </c>
    </row>
    <row r="1531" spans="1:2" x14ac:dyDescent="0.2">
      <c r="A1531" s="167" t="s">
        <v>4535</v>
      </c>
    </row>
    <row r="1532" spans="1:2" x14ac:dyDescent="0.2">
      <c r="A1532" s="167" t="s">
        <v>4536</v>
      </c>
      <c r="B1532" s="167" t="b">
        <v>0</v>
      </c>
    </row>
    <row r="1533" spans="1:2" x14ac:dyDescent="0.2">
      <c r="A1533" s="167" t="s">
        <v>4537</v>
      </c>
      <c r="B1533" s="167" t="b">
        <v>0</v>
      </c>
    </row>
    <row r="1534" spans="1:2" x14ac:dyDescent="0.2">
      <c r="A1534" s="167" t="s">
        <v>4538</v>
      </c>
      <c r="B1534" s="167" t="b">
        <v>0</v>
      </c>
    </row>
    <row r="1535" spans="1:2" x14ac:dyDescent="0.2">
      <c r="A1535" s="167" t="s">
        <v>4539</v>
      </c>
      <c r="B1535" s="167" t="b">
        <v>0</v>
      </c>
    </row>
    <row r="1536" spans="1:2" x14ac:dyDescent="0.2">
      <c r="A1536" s="167" t="s">
        <v>4540</v>
      </c>
      <c r="B1536" s="167" t="b">
        <v>0</v>
      </c>
    </row>
    <row r="1537" spans="1:2" x14ac:dyDescent="0.2">
      <c r="A1537" s="167" t="s">
        <v>4541</v>
      </c>
      <c r="B1537" s="167" t="b">
        <v>0</v>
      </c>
    </row>
    <row r="1538" spans="1:2" x14ac:dyDescent="0.2">
      <c r="A1538" s="167" t="s">
        <v>4542</v>
      </c>
      <c r="B1538" s="167" t="b">
        <v>0</v>
      </c>
    </row>
    <row r="1539" spans="1:2" x14ac:dyDescent="0.2">
      <c r="A1539" s="167" t="s">
        <v>4543</v>
      </c>
      <c r="B1539" s="167" t="b">
        <v>0</v>
      </c>
    </row>
    <row r="1540" spans="1:2" x14ac:dyDescent="0.2">
      <c r="A1540" s="167" t="s">
        <v>4544</v>
      </c>
      <c r="B1540" s="167" t="b">
        <v>0</v>
      </c>
    </row>
    <row r="1541" spans="1:2" x14ac:dyDescent="0.2">
      <c r="A1541" s="167" t="s">
        <v>4545</v>
      </c>
      <c r="B1541" s="167" t="b">
        <v>0</v>
      </c>
    </row>
    <row r="1542" spans="1:2" x14ac:dyDescent="0.2">
      <c r="A1542" s="167" t="s">
        <v>4546</v>
      </c>
    </row>
    <row r="1543" spans="1:2" x14ac:dyDescent="0.2">
      <c r="A1543" s="167" t="s">
        <v>4547</v>
      </c>
    </row>
    <row r="1544" spans="1:2" x14ac:dyDescent="0.2">
      <c r="A1544" s="167" t="s">
        <v>4548</v>
      </c>
    </row>
    <row r="1545" spans="1:2" x14ac:dyDescent="0.2">
      <c r="A1545" s="167" t="s">
        <v>4549</v>
      </c>
    </row>
    <row r="1546" spans="1:2" x14ac:dyDescent="0.2">
      <c r="A1546" s="167" t="s">
        <v>4550</v>
      </c>
    </row>
    <row r="1547" spans="1:2" x14ac:dyDescent="0.2">
      <c r="A1547" s="167" t="s">
        <v>4551</v>
      </c>
    </row>
    <row r="1548" spans="1:2" x14ac:dyDescent="0.2">
      <c r="A1548" s="167" t="s">
        <v>3104</v>
      </c>
    </row>
    <row r="1549" spans="1:2" x14ac:dyDescent="0.2">
      <c r="A1549" s="167" t="s">
        <v>4552</v>
      </c>
    </row>
    <row r="1550" spans="1:2" x14ac:dyDescent="0.2">
      <c r="A1550" s="167" t="s">
        <v>4553</v>
      </c>
      <c r="B1550" s="167" t="b">
        <v>0</v>
      </c>
    </row>
    <row r="1551" spans="1:2" x14ac:dyDescent="0.2">
      <c r="A1551" s="167" t="s">
        <v>3100</v>
      </c>
    </row>
    <row r="1552" spans="1:2" x14ac:dyDescent="0.2">
      <c r="A1552" s="167" t="s">
        <v>4554</v>
      </c>
      <c r="B1552" s="167" t="b">
        <v>0</v>
      </c>
    </row>
    <row r="1553" spans="1:2" x14ac:dyDescent="0.2">
      <c r="A1553" s="167" t="s">
        <v>4555</v>
      </c>
      <c r="B1553" s="167" t="b">
        <v>0</v>
      </c>
    </row>
    <row r="1554" spans="1:2" x14ac:dyDescent="0.2">
      <c r="A1554" s="167" t="s">
        <v>1074</v>
      </c>
      <c r="B1554" s="167" t="b">
        <v>0</v>
      </c>
    </row>
    <row r="1555" spans="1:2" x14ac:dyDescent="0.2">
      <c r="A1555" s="167" t="s">
        <v>3111</v>
      </c>
    </row>
    <row r="1556" spans="1:2" x14ac:dyDescent="0.2">
      <c r="A1556" s="167" t="s">
        <v>3100</v>
      </c>
    </row>
    <row r="1557" spans="1:2" x14ac:dyDescent="0.2">
      <c r="A1557" s="167" t="s">
        <v>4556</v>
      </c>
    </row>
    <row r="1558" spans="1:2" x14ac:dyDescent="0.2">
      <c r="A1558" s="167" t="s">
        <v>4557</v>
      </c>
    </row>
    <row r="1559" spans="1:2" x14ac:dyDescent="0.2">
      <c r="A1559" s="167" t="s">
        <v>3962</v>
      </c>
    </row>
    <row r="1560" spans="1:2" x14ac:dyDescent="0.2">
      <c r="A1560" s="167" t="s">
        <v>4558</v>
      </c>
      <c r="B1560" s="167" t="b">
        <v>0</v>
      </c>
    </row>
    <row r="1561" spans="1:2" x14ac:dyDescent="0.2">
      <c r="A1561" s="167" t="s">
        <v>4559</v>
      </c>
      <c r="B1561" s="167" t="b">
        <v>0</v>
      </c>
    </row>
    <row r="1562" spans="1:2" x14ac:dyDescent="0.2">
      <c r="A1562" s="167" t="s">
        <v>4560</v>
      </c>
      <c r="B1562" s="167" t="b">
        <v>0</v>
      </c>
    </row>
    <row r="1563" spans="1:2" x14ac:dyDescent="0.2">
      <c r="A1563" s="167" t="s">
        <v>4561</v>
      </c>
      <c r="B1563" s="167" t="b">
        <v>0</v>
      </c>
    </row>
    <row r="1564" spans="1:2" x14ac:dyDescent="0.2">
      <c r="A1564" s="167" t="s">
        <v>4562</v>
      </c>
      <c r="B1564" s="167" t="b">
        <v>0</v>
      </c>
    </row>
    <row r="1565" spans="1:2" x14ac:dyDescent="0.2">
      <c r="A1565" s="167" t="s">
        <v>4563</v>
      </c>
    </row>
    <row r="1566" spans="1:2" x14ac:dyDescent="0.2">
      <c r="A1566" s="167" t="s">
        <v>4564</v>
      </c>
      <c r="B1566" s="167" t="b">
        <v>0</v>
      </c>
    </row>
    <row r="1567" spans="1:2" x14ac:dyDescent="0.2">
      <c r="A1567" s="167" t="s">
        <v>4565</v>
      </c>
      <c r="B1567" s="167" t="b">
        <v>0</v>
      </c>
    </row>
    <row r="1568" spans="1:2" x14ac:dyDescent="0.2">
      <c r="A1568" s="167" t="s">
        <v>4566</v>
      </c>
    </row>
    <row r="1569" spans="1:2" x14ac:dyDescent="0.2">
      <c r="A1569" s="167" t="s">
        <v>3962</v>
      </c>
    </row>
    <row r="1570" spans="1:2" x14ac:dyDescent="0.2">
      <c r="A1570" s="167" t="s">
        <v>4567</v>
      </c>
      <c r="B1570" s="167" t="b">
        <v>0</v>
      </c>
    </row>
    <row r="1571" spans="1:2" x14ac:dyDescent="0.2">
      <c r="A1571" s="167" t="s">
        <v>157</v>
      </c>
    </row>
    <row r="1572" spans="1:2" x14ac:dyDescent="0.2">
      <c r="A1572" s="167" t="s">
        <v>4568</v>
      </c>
    </row>
    <row r="1573" spans="1:2" x14ac:dyDescent="0.2">
      <c r="A1573" s="167" t="s">
        <v>4569</v>
      </c>
    </row>
    <row r="1574" spans="1:2" x14ac:dyDescent="0.2">
      <c r="A1574" s="167" t="s">
        <v>4570</v>
      </c>
      <c r="B1574" s="167" t="b">
        <v>0</v>
      </c>
    </row>
    <row r="1575" spans="1:2" x14ac:dyDescent="0.2">
      <c r="A1575" s="167" t="s">
        <v>4571</v>
      </c>
      <c r="B1575" s="167" t="b">
        <v>0</v>
      </c>
    </row>
    <row r="1576" spans="1:2" x14ac:dyDescent="0.2">
      <c r="A1576" s="167" t="s">
        <v>4572</v>
      </c>
      <c r="B1576" s="167" t="b">
        <v>0</v>
      </c>
    </row>
    <row r="1577" spans="1:2" x14ac:dyDescent="0.2">
      <c r="A1577" s="167" t="s">
        <v>4573</v>
      </c>
      <c r="B1577" s="167" t="b">
        <v>0</v>
      </c>
    </row>
    <row r="1578" spans="1:2" x14ac:dyDescent="0.2">
      <c r="A1578" s="167" t="s">
        <v>4574</v>
      </c>
    </row>
    <row r="1579" spans="1:2" x14ac:dyDescent="0.2">
      <c r="A1579" s="167" t="s">
        <v>3962</v>
      </c>
    </row>
    <row r="1580" spans="1:2" x14ac:dyDescent="0.2">
      <c r="A1580" s="167" t="s">
        <v>4575</v>
      </c>
      <c r="B1580" s="167" t="b">
        <v>0</v>
      </c>
    </row>
    <row r="1581" spans="1:2" x14ac:dyDescent="0.2">
      <c r="A1581" s="167" t="s">
        <v>4576</v>
      </c>
      <c r="B1581" s="167" t="b">
        <v>0</v>
      </c>
    </row>
    <row r="1582" spans="1:2" x14ac:dyDescent="0.2">
      <c r="A1582" s="167" t="s">
        <v>4577</v>
      </c>
      <c r="B1582" s="167" t="b">
        <v>0</v>
      </c>
    </row>
    <row r="1583" spans="1:2" x14ac:dyDescent="0.2">
      <c r="A1583" s="167" t="s">
        <v>4578</v>
      </c>
      <c r="B1583" s="167" t="b">
        <v>0</v>
      </c>
    </row>
    <row r="1584" spans="1:2" x14ac:dyDescent="0.2">
      <c r="A1584" s="167" t="s">
        <v>4579</v>
      </c>
      <c r="B1584" s="167" t="b">
        <v>0</v>
      </c>
    </row>
    <row r="1585" spans="1:2" x14ac:dyDescent="0.2">
      <c r="A1585" s="167" t="s">
        <v>3962</v>
      </c>
    </row>
    <row r="1586" spans="1:2" x14ac:dyDescent="0.2">
      <c r="A1586" s="167" t="s">
        <v>4258</v>
      </c>
    </row>
    <row r="1587" spans="1:2" x14ac:dyDescent="0.2">
      <c r="A1587" s="167" t="s">
        <v>4260</v>
      </c>
    </row>
    <row r="1588" spans="1:2" x14ac:dyDescent="0.2">
      <c r="A1588" s="167" t="s">
        <v>4264</v>
      </c>
    </row>
    <row r="1589" spans="1:2" x14ac:dyDescent="0.2">
      <c r="A1589" s="167" t="s">
        <v>4262</v>
      </c>
    </row>
    <row r="1590" spans="1:2" x14ac:dyDescent="0.2">
      <c r="A1590" s="167" t="s">
        <v>4580</v>
      </c>
    </row>
    <row r="1591" spans="1:2" x14ac:dyDescent="0.2">
      <c r="A1591" s="167" t="s">
        <v>4581</v>
      </c>
    </row>
    <row r="1592" spans="1:2" x14ac:dyDescent="0.2">
      <c r="A1592" s="167" t="s">
        <v>3962</v>
      </c>
    </row>
    <row r="1593" spans="1:2" x14ac:dyDescent="0.2">
      <c r="A1593" s="167" t="s">
        <v>4310</v>
      </c>
    </row>
    <row r="1594" spans="1:2" x14ac:dyDescent="0.2">
      <c r="A1594" s="167" t="s">
        <v>4582</v>
      </c>
    </row>
    <row r="1595" spans="1:2" x14ac:dyDescent="0.2">
      <c r="A1595" s="167" t="s">
        <v>4583</v>
      </c>
    </row>
    <row r="1596" spans="1:2" x14ac:dyDescent="0.2">
      <c r="A1596" s="167" t="s">
        <v>4584</v>
      </c>
      <c r="B1596" s="167" t="b">
        <v>0</v>
      </c>
    </row>
    <row r="1597" spans="1:2" x14ac:dyDescent="0.2">
      <c r="A1597" s="167" t="s">
        <v>4585</v>
      </c>
      <c r="B1597" s="167" t="b">
        <v>0</v>
      </c>
    </row>
    <row r="1598" spans="1:2" x14ac:dyDescent="0.2">
      <c r="A1598" s="167" t="s">
        <v>67</v>
      </c>
      <c r="B1598" s="167" t="b">
        <v>0</v>
      </c>
    </row>
    <row r="1599" spans="1:2" x14ac:dyDescent="0.2">
      <c r="A1599" s="167" t="s">
        <v>3155</v>
      </c>
      <c r="B1599" s="167" t="b">
        <v>0</v>
      </c>
    </row>
    <row r="1600" spans="1:2" x14ac:dyDescent="0.2">
      <c r="A1600" s="167" t="s">
        <v>68</v>
      </c>
      <c r="B1600" s="167" t="b">
        <v>0</v>
      </c>
    </row>
    <row r="1601" spans="1:7" x14ac:dyDescent="0.2">
      <c r="A1601" s="167" t="s">
        <v>1262</v>
      </c>
      <c r="B1601" s="167" t="s">
        <v>3295</v>
      </c>
    </row>
    <row r="1602" spans="1:7" x14ac:dyDescent="0.2">
      <c r="A1602" s="167" t="s">
        <v>4586</v>
      </c>
      <c r="B1602" s="174" t="s">
        <v>3295</v>
      </c>
    </row>
    <row r="1603" spans="1:7" x14ac:dyDescent="0.2">
      <c r="A1603" s="167" t="s">
        <v>4587</v>
      </c>
      <c r="B1603" s="167" t="b">
        <v>0</v>
      </c>
    </row>
    <row r="1604" spans="1:7" x14ac:dyDescent="0.2">
      <c r="A1604" s="167" t="s">
        <v>4588</v>
      </c>
      <c r="B1604" s="167" t="b">
        <v>0</v>
      </c>
    </row>
    <row r="1605" spans="1:7" x14ac:dyDescent="0.2">
      <c r="A1605" s="167" t="s">
        <v>4589</v>
      </c>
    </row>
    <row r="1606" spans="1:7" x14ac:dyDescent="0.2">
      <c r="A1606" s="167" t="s">
        <v>4590</v>
      </c>
    </row>
    <row r="1607" spans="1:7" x14ac:dyDescent="0.2">
      <c r="A1607" s="167" t="s">
        <v>4591</v>
      </c>
    </row>
    <row r="1608" spans="1:7" x14ac:dyDescent="0.2">
      <c r="A1608" s="167" t="s">
        <v>4592</v>
      </c>
    </row>
    <row r="1609" spans="1:7" x14ac:dyDescent="0.2">
      <c r="A1609" s="215" t="s">
        <v>4593</v>
      </c>
      <c r="B1609" s="215"/>
      <c r="C1609" s="215"/>
      <c r="D1609" s="215"/>
      <c r="E1609" s="215"/>
      <c r="F1609" s="215"/>
      <c r="G1609" s="215"/>
    </row>
    <row r="1610" spans="1:7" x14ac:dyDescent="0.2">
      <c r="A1610" s="167" t="s">
        <v>4594</v>
      </c>
    </row>
    <row r="1611" spans="1:7" x14ac:dyDescent="0.2">
      <c r="A1611" s="167" t="s">
        <v>4595</v>
      </c>
    </row>
    <row r="1612" spans="1:7" x14ac:dyDescent="0.2">
      <c r="A1612" s="167" t="s">
        <v>4596</v>
      </c>
      <c r="C1612" s="167" t="s">
        <v>368</v>
      </c>
      <c r="D1612" s="170"/>
    </row>
    <row r="1613" spans="1:7" x14ac:dyDescent="0.2">
      <c r="A1613" s="167" t="s">
        <v>4597</v>
      </c>
      <c r="C1613" s="167" t="s">
        <v>368</v>
      </c>
      <c r="D1613" s="181"/>
    </row>
    <row r="1614" spans="1:7" x14ac:dyDescent="0.2">
      <c r="A1614" s="167" t="s">
        <v>4598</v>
      </c>
      <c r="C1614" s="167" t="s">
        <v>368</v>
      </c>
    </row>
    <row r="1615" spans="1:7" x14ac:dyDescent="0.2">
      <c r="A1615" s="167" t="s">
        <v>4599</v>
      </c>
      <c r="C1615" s="167" t="s">
        <v>368</v>
      </c>
    </row>
    <row r="1616" spans="1:7" x14ac:dyDescent="0.2">
      <c r="A1616" s="167" t="s">
        <v>4600</v>
      </c>
      <c r="C1616" s="167" t="s">
        <v>368</v>
      </c>
    </row>
    <row r="1617" spans="1:3" x14ac:dyDescent="0.2">
      <c r="A1617" s="167" t="s">
        <v>4601</v>
      </c>
      <c r="C1617" s="167" t="s">
        <v>368</v>
      </c>
    </row>
    <row r="1618" spans="1:3" x14ac:dyDescent="0.2">
      <c r="A1618" s="167" t="s">
        <v>4602</v>
      </c>
      <c r="C1618" s="167" t="s">
        <v>368</v>
      </c>
    </row>
    <row r="1619" spans="1:3" x14ac:dyDescent="0.2">
      <c r="A1619" s="167" t="s">
        <v>4603</v>
      </c>
      <c r="C1619" s="167" t="s">
        <v>368</v>
      </c>
    </row>
    <row r="1620" spans="1:3" x14ac:dyDescent="0.2">
      <c r="A1620" s="167" t="s">
        <v>4604</v>
      </c>
    </row>
    <row r="1621" spans="1:3" x14ac:dyDescent="0.2">
      <c r="A1621" s="167" t="s">
        <v>4605</v>
      </c>
    </row>
    <row r="1622" spans="1:3" x14ac:dyDescent="0.2">
      <c r="A1622" s="167" t="s">
        <v>4606</v>
      </c>
      <c r="B1622" s="170"/>
    </row>
    <row r="1623" spans="1:3" x14ac:dyDescent="0.2">
      <c r="A1623" s="167" t="s">
        <v>4607</v>
      </c>
      <c r="B1623" s="170"/>
    </row>
    <row r="1624" spans="1:3" x14ac:dyDescent="0.2">
      <c r="A1624" s="167" t="s">
        <v>4608</v>
      </c>
    </row>
    <row r="1625" spans="1:3" x14ac:dyDescent="0.2">
      <c r="A1625" s="167" t="s">
        <v>4609</v>
      </c>
    </row>
    <row r="1626" spans="1:3" x14ac:dyDescent="0.2">
      <c r="A1626" s="167" t="s">
        <v>4610</v>
      </c>
    </row>
    <row r="1627" spans="1:3" x14ac:dyDescent="0.2">
      <c r="A1627" s="167" t="s">
        <v>4611</v>
      </c>
    </row>
    <row r="1628" spans="1:3" x14ac:dyDescent="0.2">
      <c r="A1628" s="167" t="s">
        <v>4612</v>
      </c>
    </row>
    <row r="1629" spans="1:3" x14ac:dyDescent="0.2">
      <c r="A1629" s="167" t="s">
        <v>4613</v>
      </c>
    </row>
    <row r="1630" spans="1:3" x14ac:dyDescent="0.2">
      <c r="A1630" s="167" t="s">
        <v>4614</v>
      </c>
    </row>
    <row r="1631" spans="1:3" x14ac:dyDescent="0.2">
      <c r="A1631" s="167" t="s">
        <v>4615</v>
      </c>
    </row>
    <row r="1632" spans="1:3" x14ac:dyDescent="0.2">
      <c r="A1632" s="167" t="s">
        <v>4616</v>
      </c>
    </row>
    <row r="1633" spans="1:2" x14ac:dyDescent="0.2">
      <c r="A1633" s="167" t="s">
        <v>4617</v>
      </c>
    </row>
    <row r="1634" spans="1:2" x14ac:dyDescent="0.2">
      <c r="A1634" s="167" t="s">
        <v>4618</v>
      </c>
    </row>
    <row r="1635" spans="1:2" x14ac:dyDescent="0.2">
      <c r="A1635" s="167" t="s">
        <v>4619</v>
      </c>
    </row>
    <row r="1636" spans="1:2" x14ac:dyDescent="0.2">
      <c r="A1636" s="167" t="s">
        <v>3215</v>
      </c>
      <c r="B1636" s="167" t="b">
        <v>0</v>
      </c>
    </row>
    <row r="1637" spans="1:2" x14ac:dyDescent="0.2">
      <c r="A1637" s="167" t="s">
        <v>4620</v>
      </c>
    </row>
    <row r="1638" spans="1:2" x14ac:dyDescent="0.2">
      <c r="A1638" s="167" t="s">
        <v>4621</v>
      </c>
    </row>
    <row r="1639" spans="1:2" x14ac:dyDescent="0.2">
      <c r="A1639" s="167" t="s">
        <v>4622</v>
      </c>
      <c r="B1639" s="167" t="b">
        <v>0</v>
      </c>
    </row>
    <row r="1640" spans="1:2" x14ac:dyDescent="0.2">
      <c r="A1640" s="167" t="s">
        <v>4623</v>
      </c>
      <c r="B1640" s="167" t="b">
        <v>0</v>
      </c>
    </row>
    <row r="1641" spans="1:2" x14ac:dyDescent="0.2">
      <c r="A1641" s="167" t="s">
        <v>4624</v>
      </c>
      <c r="B1641" s="167" t="b">
        <v>0</v>
      </c>
    </row>
    <row r="1642" spans="1:2" x14ac:dyDescent="0.2">
      <c r="A1642" s="167" t="s">
        <v>4625</v>
      </c>
      <c r="B1642" s="167" t="b">
        <v>0</v>
      </c>
    </row>
    <row r="1643" spans="1:2" x14ac:dyDescent="0.2">
      <c r="A1643" s="167" t="s">
        <v>4626</v>
      </c>
      <c r="B1643" s="167" t="b">
        <v>0</v>
      </c>
    </row>
    <row r="1644" spans="1:2" x14ac:dyDescent="0.2">
      <c r="A1644" s="167" t="s">
        <v>4627</v>
      </c>
    </row>
    <row r="1645" spans="1:2" x14ac:dyDescent="0.2">
      <c r="A1645" s="167" t="s">
        <v>4628</v>
      </c>
    </row>
    <row r="1646" spans="1:2" x14ac:dyDescent="0.2">
      <c r="A1646" s="167" t="s">
        <v>4629</v>
      </c>
    </row>
    <row r="1647" spans="1:2" x14ac:dyDescent="0.2">
      <c r="A1647" s="167" t="s">
        <v>4630</v>
      </c>
    </row>
    <row r="1648" spans="1:2" x14ac:dyDescent="0.2">
      <c r="A1648" s="167" t="s">
        <v>4631</v>
      </c>
    </row>
    <row r="1649" spans="1:4" x14ac:dyDescent="0.2">
      <c r="A1649" s="167" t="s">
        <v>4632</v>
      </c>
      <c r="B1649" s="174"/>
      <c r="C1649" s="174" t="str">
        <f>IF(Data!B1651=TRUE,"New information received from "&amp;IF(Data!B1654=TRUE,"supervisory visit. ","")&amp;IF(Data!B1655=TRUE,"report made on progress note. ","")&amp;IF(Data!B1656=TRUE,Data!B1657&amp;". ","")&amp;"Form reviewed and signed off on "&amp;TEXT(Data!B1653,"mm/dd/yyyy")&amp;" by "&amp;Data!B1652&amp;". ","")</f>
        <v/>
      </c>
      <c r="D1649" s="167" t="s">
        <v>4633</v>
      </c>
    </row>
    <row r="1650" spans="1:4" x14ac:dyDescent="0.2">
      <c r="A1650" s="167" t="s">
        <v>4634</v>
      </c>
    </row>
    <row r="1651" spans="1:4" x14ac:dyDescent="0.2">
      <c r="A1651" s="167" t="s">
        <v>4635</v>
      </c>
      <c r="B1651" s="167" t="b">
        <v>0</v>
      </c>
    </row>
    <row r="1652" spans="1:4" x14ac:dyDescent="0.2">
      <c r="A1652" s="167" t="s">
        <v>4636</v>
      </c>
    </row>
    <row r="1653" spans="1:4" x14ac:dyDescent="0.2">
      <c r="A1653" s="167" t="s">
        <v>4637</v>
      </c>
      <c r="B1653" s="170"/>
    </row>
    <row r="1654" spans="1:4" x14ac:dyDescent="0.2">
      <c r="A1654" s="167" t="s">
        <v>4638</v>
      </c>
      <c r="B1654" s="167" t="b">
        <v>0</v>
      </c>
    </row>
    <row r="1655" spans="1:4" x14ac:dyDescent="0.2">
      <c r="A1655" s="167" t="s">
        <v>4639</v>
      </c>
      <c r="B1655" s="167" t="b">
        <v>0</v>
      </c>
    </row>
    <row r="1656" spans="1:4" x14ac:dyDescent="0.2">
      <c r="A1656" s="167" t="s">
        <v>4640</v>
      </c>
      <c r="B1656" s="167" t="b">
        <v>0</v>
      </c>
    </row>
    <row r="1657" spans="1:4" x14ac:dyDescent="0.2">
      <c r="A1657" s="167" t="s">
        <v>4641</v>
      </c>
    </row>
    <row r="1658" spans="1:4" x14ac:dyDescent="0.2">
      <c r="A1658" s="167" t="s">
        <v>4642</v>
      </c>
      <c r="B1658" s="174"/>
      <c r="C1658" s="167" t="s">
        <v>4643</v>
      </c>
    </row>
    <row r="1659" spans="1:4" x14ac:dyDescent="0.2">
      <c r="A1659" s="167" t="s">
        <v>4644</v>
      </c>
      <c r="B1659" s="167" t="str">
        <f>Data!C1659</f>
        <v/>
      </c>
      <c r="C1659" s="167" t="s">
        <v>1450</v>
      </c>
    </row>
    <row r="1660" spans="1:4" x14ac:dyDescent="0.2">
      <c r="A1660" s="167" t="s">
        <v>4645</v>
      </c>
      <c r="B1660" s="174">
        <f>Data!C1660</f>
        <v>0</v>
      </c>
      <c r="C1660" s="174">
        <v>0</v>
      </c>
    </row>
    <row r="1661" spans="1:4" x14ac:dyDescent="0.2">
      <c r="A1661" s="167" t="s">
        <v>4646</v>
      </c>
    </row>
    <row r="1662" spans="1:4" x14ac:dyDescent="0.2">
      <c r="A1662" s="167" t="s">
        <v>4647</v>
      </c>
      <c r="B1662" s="167" t="s">
        <v>634</v>
      </c>
    </row>
    <row r="1663" spans="1:4" x14ac:dyDescent="0.2">
      <c r="A1663" s="167" t="s">
        <v>4648</v>
      </c>
      <c r="B1663" s="167" t="s">
        <v>634</v>
      </c>
    </row>
    <row r="1664" spans="1:4" x14ac:dyDescent="0.2">
      <c r="A1664" s="167" t="s">
        <v>4649</v>
      </c>
    </row>
    <row r="1665" spans="1:2" x14ac:dyDescent="0.2">
      <c r="A1665" s="167" t="s">
        <v>4650</v>
      </c>
    </row>
    <row r="1666" spans="1:2" x14ac:dyDescent="0.2">
      <c r="A1666" s="167" t="s">
        <v>4651</v>
      </c>
      <c r="B1666" s="170"/>
    </row>
    <row r="1667" spans="1:2" x14ac:dyDescent="0.2">
      <c r="A1667" s="167" t="s">
        <v>4652</v>
      </c>
    </row>
    <row r="1668" spans="1:2" x14ac:dyDescent="0.2">
      <c r="A1668" s="167" t="s">
        <v>4653</v>
      </c>
    </row>
    <row r="1669" spans="1:2" x14ac:dyDescent="0.2">
      <c r="A1669" s="167" t="s">
        <v>4654</v>
      </c>
      <c r="B1669" s="167" t="b">
        <v>0</v>
      </c>
    </row>
    <row r="1670" spans="1:2" x14ac:dyDescent="0.2">
      <c r="A1670" s="167" t="s">
        <v>173</v>
      </c>
      <c r="B1670" s="167" t="b">
        <v>0</v>
      </c>
    </row>
    <row r="1671" spans="1:2" x14ac:dyDescent="0.2">
      <c r="A1671" s="167" t="s">
        <v>4655</v>
      </c>
      <c r="B1671" s="170"/>
    </row>
    <row r="1672" spans="1:2" x14ac:dyDescent="0.2">
      <c r="A1672" s="167" t="s">
        <v>3258</v>
      </c>
      <c r="B1672" s="170"/>
    </row>
    <row r="1673" spans="1:2" x14ac:dyDescent="0.2">
      <c r="A1673" s="167" t="s">
        <v>4656</v>
      </c>
      <c r="B1673" s="167" t="b">
        <v>0</v>
      </c>
    </row>
    <row r="1674" spans="1:2" x14ac:dyDescent="0.2">
      <c r="A1674" s="167" t="s">
        <v>4657</v>
      </c>
      <c r="B1674" s="170"/>
    </row>
    <row r="1675" spans="1:2" x14ac:dyDescent="0.2">
      <c r="A1675" s="167" t="s">
        <v>4658</v>
      </c>
    </row>
    <row r="1676" spans="1:2" x14ac:dyDescent="0.2">
      <c r="A1676" s="167" t="s">
        <v>4659</v>
      </c>
    </row>
    <row r="1677" spans="1:2" x14ac:dyDescent="0.2">
      <c r="A1677" s="167" t="s">
        <v>4660</v>
      </c>
      <c r="B1677" s="167" t="b">
        <v>1</v>
      </c>
    </row>
    <row r="1678" spans="1:2" x14ac:dyDescent="0.2">
      <c r="A1678" s="167" t="s">
        <v>4661</v>
      </c>
    </row>
    <row r="1679" spans="1:2" x14ac:dyDescent="0.2">
      <c r="A1679" s="167" t="s">
        <v>4662</v>
      </c>
    </row>
    <row r="1680" spans="1:2" x14ac:dyDescent="0.2">
      <c r="A1680" s="167" t="s">
        <v>4663</v>
      </c>
    </row>
    <row r="1681" spans="1:3" x14ac:dyDescent="0.2">
      <c r="A1681" s="167" t="s">
        <v>3733</v>
      </c>
    </row>
    <row r="1682" spans="1:3" x14ac:dyDescent="0.2">
      <c r="A1682" s="167" t="s">
        <v>4664</v>
      </c>
    </row>
    <row r="1683" spans="1:3" x14ac:dyDescent="0.2">
      <c r="A1683" s="167" t="s">
        <v>4230</v>
      </c>
      <c r="B1683" s="170"/>
    </row>
    <row r="1684" spans="1:3" x14ac:dyDescent="0.2">
      <c r="A1684" s="167" t="s">
        <v>3517</v>
      </c>
      <c r="B1684" s="170"/>
    </row>
    <row r="1685" spans="1:3" x14ac:dyDescent="0.2">
      <c r="A1685" s="167" t="s">
        <v>4665</v>
      </c>
      <c r="B1685" s="170"/>
    </row>
    <row r="1686" spans="1:3" x14ac:dyDescent="0.2">
      <c r="A1686" s="167" t="s">
        <v>4666</v>
      </c>
      <c r="B1686" s="170"/>
    </row>
    <row r="1687" spans="1:3" x14ac:dyDescent="0.2">
      <c r="A1687" s="167" t="s">
        <v>4667</v>
      </c>
    </row>
    <row r="1688" spans="1:3" x14ac:dyDescent="0.2">
      <c r="A1688" s="167" t="s">
        <v>4668</v>
      </c>
      <c r="B1688" s="170"/>
    </row>
    <row r="1689" spans="1:3" x14ac:dyDescent="0.2">
      <c r="A1689" s="167" t="s">
        <v>4669</v>
      </c>
    </row>
    <row r="1690" spans="1:3" x14ac:dyDescent="0.2">
      <c r="A1690" s="167" t="s">
        <v>4670</v>
      </c>
      <c r="B1690" s="170"/>
    </row>
    <row r="1691" spans="1:3" x14ac:dyDescent="0.2">
      <c r="A1691" s="167" t="s">
        <v>4671</v>
      </c>
      <c r="B1691" s="176">
        <f>B34-120</f>
        <v>-120</v>
      </c>
      <c r="C1691" s="167" t="s">
        <v>4643</v>
      </c>
    </row>
    <row r="1692" spans="1:3" x14ac:dyDescent="0.2">
      <c r="A1692" s="167" t="s">
        <v>4672</v>
      </c>
      <c r="B1692" s="176">
        <f>B34</f>
        <v>0</v>
      </c>
      <c r="C1692" s="167" t="s">
        <v>4643</v>
      </c>
    </row>
    <row r="1693" spans="1:3" x14ac:dyDescent="0.2">
      <c r="A1693" s="167" t="s">
        <v>4673</v>
      </c>
      <c r="B1693" s="167" t="b">
        <v>1</v>
      </c>
    </row>
    <row r="1694" spans="1:3" x14ac:dyDescent="0.2">
      <c r="A1694" s="167" t="s">
        <v>4674</v>
      </c>
      <c r="B1694" s="182">
        <v>100</v>
      </c>
    </row>
    <row r="1695" spans="1:3" x14ac:dyDescent="0.2">
      <c r="A1695" s="167" t="s">
        <v>4675</v>
      </c>
    </row>
    <row r="1696" spans="1:3" x14ac:dyDescent="0.2">
      <c r="A1696" s="167" t="s">
        <v>4676</v>
      </c>
    </row>
    <row r="1697" spans="1:2" x14ac:dyDescent="0.2">
      <c r="A1697" s="167" t="s">
        <v>4677</v>
      </c>
    </row>
    <row r="1698" spans="1:2" x14ac:dyDescent="0.2">
      <c r="A1698" s="167" t="s">
        <v>4678</v>
      </c>
    </row>
    <row r="1699" spans="1:2" x14ac:dyDescent="0.2">
      <c r="A1699" s="167" t="s">
        <v>4679</v>
      </c>
    </row>
    <row r="1700" spans="1:2" x14ac:dyDescent="0.2">
      <c r="A1700" s="167" t="s">
        <v>4680</v>
      </c>
      <c r="B1700" s="167" t="b">
        <v>0</v>
      </c>
    </row>
    <row r="1701" spans="1:2" x14ac:dyDescent="0.2">
      <c r="A1701" s="167" t="s">
        <v>4681</v>
      </c>
      <c r="B1701" s="167" t="b">
        <v>0</v>
      </c>
    </row>
    <row r="1702" spans="1:2" x14ac:dyDescent="0.2">
      <c r="A1702" s="167" t="s">
        <v>4682</v>
      </c>
      <c r="B1702" s="167" t="b">
        <v>0</v>
      </c>
    </row>
    <row r="1703" spans="1:2" x14ac:dyDescent="0.2">
      <c r="A1703" s="167" t="s">
        <v>4683</v>
      </c>
      <c r="B1703" s="167" t="b">
        <v>0</v>
      </c>
    </row>
    <row r="1704" spans="1:2" x14ac:dyDescent="0.2">
      <c r="A1704" s="167" t="s">
        <v>4684</v>
      </c>
      <c r="B1704" s="167" t="b">
        <v>0</v>
      </c>
    </row>
    <row r="1705" spans="1:2" x14ac:dyDescent="0.2">
      <c r="A1705" s="167" t="s">
        <v>4685</v>
      </c>
      <c r="B1705" s="167" t="b">
        <v>0</v>
      </c>
    </row>
    <row r="1706" spans="1:2" x14ac:dyDescent="0.2">
      <c r="A1706" s="167" t="s">
        <v>4686</v>
      </c>
      <c r="B1706" s="167" t="b">
        <v>0</v>
      </c>
    </row>
    <row r="1707" spans="1:2" x14ac:dyDescent="0.2">
      <c r="A1707" s="167" t="s">
        <v>4687</v>
      </c>
      <c r="B1707" s="167" t="b">
        <v>0</v>
      </c>
    </row>
    <row r="1708" spans="1:2" x14ac:dyDescent="0.2">
      <c r="A1708" s="167" t="s">
        <v>4688</v>
      </c>
      <c r="B1708" s="167" t="b">
        <v>0</v>
      </c>
    </row>
    <row r="1709" spans="1:2" x14ac:dyDescent="0.2">
      <c r="A1709" s="167" t="s">
        <v>4689</v>
      </c>
      <c r="B1709" s="167" t="b">
        <v>0</v>
      </c>
    </row>
    <row r="1710" spans="1:2" x14ac:dyDescent="0.2">
      <c r="A1710" s="167" t="s">
        <v>4690</v>
      </c>
      <c r="B1710" s="167" t="b">
        <v>0</v>
      </c>
    </row>
    <row r="1711" spans="1:2" x14ac:dyDescent="0.2">
      <c r="A1711" s="167" t="s">
        <v>4691</v>
      </c>
      <c r="B1711" s="167" t="b">
        <v>0</v>
      </c>
    </row>
    <row r="1712" spans="1:2" x14ac:dyDescent="0.2">
      <c r="A1712" s="167" t="s">
        <v>4692</v>
      </c>
      <c r="B1712" s="167" t="b">
        <v>0</v>
      </c>
    </row>
    <row r="1713" spans="1:7" x14ac:dyDescent="0.2">
      <c r="A1713" s="167" t="s">
        <v>4693</v>
      </c>
    </row>
    <row r="1714" spans="1:7" x14ac:dyDescent="0.2">
      <c r="A1714" s="167" t="s">
        <v>4694</v>
      </c>
      <c r="B1714" s="167" t="b">
        <v>0</v>
      </c>
    </row>
    <row r="1715" spans="1:7" x14ac:dyDescent="0.2">
      <c r="A1715" s="167" t="s">
        <v>4695</v>
      </c>
      <c r="B1715" s="167" t="b">
        <v>0</v>
      </c>
    </row>
    <row r="1716" spans="1:7" x14ac:dyDescent="0.2">
      <c r="A1716" s="167" t="s">
        <v>4696</v>
      </c>
    </row>
    <row r="1717" spans="1:7" x14ac:dyDescent="0.2">
      <c r="A1717" s="167" t="s">
        <v>4697</v>
      </c>
    </row>
    <row r="1718" spans="1:7" x14ac:dyDescent="0.2">
      <c r="A1718" s="167" t="s">
        <v>4698</v>
      </c>
    </row>
    <row r="1719" spans="1:7" x14ac:dyDescent="0.2">
      <c r="A1719" s="167" t="s">
        <v>4699</v>
      </c>
    </row>
    <row r="1720" spans="1:7" x14ac:dyDescent="0.2">
      <c r="A1720" s="215" t="s">
        <v>4700</v>
      </c>
      <c r="B1720" s="215"/>
      <c r="C1720" s="215"/>
      <c r="D1720" s="215"/>
      <c r="E1720" s="215"/>
      <c r="F1720" s="215"/>
      <c r="G1720" s="215"/>
    </row>
    <row r="1721" spans="1:7" x14ac:dyDescent="0.2">
      <c r="A1721" s="167" t="s">
        <v>4701</v>
      </c>
      <c r="B1721" s="167" t="b">
        <v>0</v>
      </c>
    </row>
    <row r="1722" spans="1:7" x14ac:dyDescent="0.2">
      <c r="A1722" s="167" t="s">
        <v>1418</v>
      </c>
      <c r="B1722" s="167" t="b">
        <v>0</v>
      </c>
    </row>
    <row r="1723" spans="1:7" x14ac:dyDescent="0.2">
      <c r="A1723" s="167" t="s">
        <v>4702</v>
      </c>
      <c r="B1723" s="167" t="b">
        <v>0</v>
      </c>
    </row>
    <row r="1724" spans="1:7" x14ac:dyDescent="0.2">
      <c r="A1724" s="167" t="s">
        <v>4703</v>
      </c>
    </row>
    <row r="1725" spans="1:7" x14ac:dyDescent="0.2">
      <c r="A1725" s="167" t="s">
        <v>4704</v>
      </c>
    </row>
    <row r="1726" spans="1:7" x14ac:dyDescent="0.2">
      <c r="A1726" s="167" t="s">
        <v>4705</v>
      </c>
    </row>
    <row r="1727" spans="1:7" x14ac:dyDescent="0.2">
      <c r="A1727" s="167" t="s">
        <v>4706</v>
      </c>
    </row>
    <row r="1728" spans="1:7" x14ac:dyDescent="0.2">
      <c r="A1728" s="167" t="s">
        <v>4707</v>
      </c>
    </row>
    <row r="1729" spans="1:7" x14ac:dyDescent="0.2">
      <c r="A1729" s="167" t="s">
        <v>4708</v>
      </c>
    </row>
    <row r="1730" spans="1:7" x14ac:dyDescent="0.2">
      <c r="A1730" s="167" t="s">
        <v>4709</v>
      </c>
    </row>
    <row r="1731" spans="1:7" x14ac:dyDescent="0.2">
      <c r="A1731" s="167" t="s">
        <v>4710</v>
      </c>
    </row>
    <row r="1732" spans="1:7" x14ac:dyDescent="0.2">
      <c r="A1732" s="167" t="s">
        <v>4711</v>
      </c>
    </row>
    <row r="1733" spans="1:7" x14ac:dyDescent="0.2">
      <c r="A1733" s="167" t="s">
        <v>4712</v>
      </c>
    </row>
    <row r="1734" spans="1:7" x14ac:dyDescent="0.2">
      <c r="A1734" s="167" t="s">
        <v>4516</v>
      </c>
    </row>
    <row r="1735" spans="1:7" x14ac:dyDescent="0.2">
      <c r="A1735" s="167" t="s">
        <v>4713</v>
      </c>
    </row>
    <row r="1736" spans="1:7" x14ac:dyDescent="0.2">
      <c r="A1736" s="167" t="s">
        <v>4714</v>
      </c>
    </row>
    <row r="1737" spans="1:7" x14ac:dyDescent="0.2">
      <c r="A1737" s="167" t="s">
        <v>4517</v>
      </c>
    </row>
    <row r="1738" spans="1:7" x14ac:dyDescent="0.2">
      <c r="A1738" s="167" t="s">
        <v>4715</v>
      </c>
    </row>
    <row r="1739" spans="1:7" x14ac:dyDescent="0.2">
      <c r="A1739" s="167" t="s">
        <v>4716</v>
      </c>
    </row>
    <row r="1740" spans="1:7" x14ac:dyDescent="0.2">
      <c r="A1740" s="167" t="s">
        <v>4717</v>
      </c>
    </row>
    <row r="1741" spans="1:7" x14ac:dyDescent="0.2">
      <c r="A1741" s="167" t="s">
        <v>4718</v>
      </c>
    </row>
    <row r="1742" spans="1:7" x14ac:dyDescent="0.2">
      <c r="A1742" s="167" t="s">
        <v>4719</v>
      </c>
    </row>
    <row r="1743" spans="1:7" x14ac:dyDescent="0.2">
      <c r="A1743" s="167" t="s">
        <v>4720</v>
      </c>
    </row>
    <row r="1744" spans="1:7" x14ac:dyDescent="0.2">
      <c r="A1744" s="215" t="s">
        <v>4721</v>
      </c>
      <c r="B1744" s="215"/>
      <c r="C1744" s="215"/>
      <c r="D1744" s="215"/>
      <c r="E1744" s="215"/>
      <c r="F1744" s="215"/>
      <c r="G1744" s="215"/>
    </row>
    <row r="1745" spans="1:7" x14ac:dyDescent="0.2">
      <c r="A1745" s="167" t="s">
        <v>4722</v>
      </c>
    </row>
    <row r="1746" spans="1:7" x14ac:dyDescent="0.2">
      <c r="A1746" s="167" t="s">
        <v>4723</v>
      </c>
      <c r="B1746" s="167" t="b">
        <v>0</v>
      </c>
    </row>
    <row r="1747" spans="1:7" x14ac:dyDescent="0.2">
      <c r="A1747" s="167" t="s">
        <v>4724</v>
      </c>
    </row>
    <row r="1748" spans="1:7" x14ac:dyDescent="0.2">
      <c r="A1748" s="215">
        <v>8.1999999999999993</v>
      </c>
      <c r="B1748" s="215"/>
      <c r="C1748" s="215"/>
      <c r="D1748" s="215"/>
      <c r="E1748" s="215"/>
      <c r="F1748" s="215"/>
      <c r="G1748" s="215"/>
    </row>
    <row r="1749" spans="1:7" x14ac:dyDescent="0.2">
      <c r="A1749" s="167" t="s">
        <v>4725</v>
      </c>
    </row>
    <row r="1750" spans="1:7" x14ac:dyDescent="0.2">
      <c r="A1750" s="167" t="s">
        <v>4726</v>
      </c>
    </row>
    <row r="1751" spans="1:7" x14ac:dyDescent="0.2">
      <c r="A1751" s="167" t="s">
        <v>4727</v>
      </c>
    </row>
    <row r="1752" spans="1:7" x14ac:dyDescent="0.2">
      <c r="A1752" s="215">
        <v>8.3000000000000007</v>
      </c>
      <c r="B1752" s="215"/>
      <c r="C1752" s="215"/>
      <c r="D1752" s="215"/>
      <c r="E1752" s="215"/>
      <c r="F1752" s="215"/>
      <c r="G1752" s="215"/>
    </row>
    <row r="1753" spans="1:7" x14ac:dyDescent="0.2">
      <c r="A1753" s="167" t="s">
        <v>4728</v>
      </c>
    </row>
    <row r="1754" spans="1:7" x14ac:dyDescent="0.2">
      <c r="A1754" s="167" t="s">
        <v>4729</v>
      </c>
    </row>
    <row r="1755" spans="1:7" x14ac:dyDescent="0.2">
      <c r="A1755" s="167" t="s">
        <v>4370</v>
      </c>
      <c r="B1755" s="167" t="b">
        <v>0</v>
      </c>
    </row>
    <row r="1756" spans="1:7" x14ac:dyDescent="0.2">
      <c r="A1756" s="167" t="s">
        <v>147</v>
      </c>
      <c r="B1756" s="167" t="b">
        <v>0</v>
      </c>
    </row>
    <row r="1757" spans="1:7" x14ac:dyDescent="0.2">
      <c r="A1757" s="167" t="s">
        <v>148</v>
      </c>
      <c r="B1757" s="167" t="b">
        <v>0</v>
      </c>
    </row>
    <row r="1758" spans="1:7" x14ac:dyDescent="0.2">
      <c r="A1758" s="167" t="s">
        <v>149</v>
      </c>
      <c r="B1758" s="167" t="b">
        <v>0</v>
      </c>
    </row>
    <row r="1759" spans="1:7" x14ac:dyDescent="0.2">
      <c r="A1759" s="167" t="s">
        <v>150</v>
      </c>
      <c r="B1759" s="167" t="b">
        <v>0</v>
      </c>
    </row>
    <row r="1760" spans="1:7" x14ac:dyDescent="0.2">
      <c r="A1760" s="167" t="s">
        <v>151</v>
      </c>
      <c r="B1760" s="167" t="b">
        <v>0</v>
      </c>
    </row>
    <row r="1761" spans="1:2" x14ac:dyDescent="0.2">
      <c r="A1761" s="167" t="s">
        <v>152</v>
      </c>
      <c r="B1761" s="167" t="b">
        <v>0</v>
      </c>
    </row>
    <row r="1762" spans="1:2" x14ac:dyDescent="0.2">
      <c r="A1762" s="167" t="s">
        <v>4372</v>
      </c>
    </row>
    <row r="1763" spans="1:2" x14ac:dyDescent="0.2">
      <c r="A1763" s="167" t="s">
        <v>4373</v>
      </c>
    </row>
    <row r="1764" spans="1:2" x14ac:dyDescent="0.2">
      <c r="A1764" s="167" t="s">
        <v>4374</v>
      </c>
    </row>
    <row r="1765" spans="1:2" x14ac:dyDescent="0.2">
      <c r="A1765" s="167" t="s">
        <v>4375</v>
      </c>
    </row>
    <row r="1766" spans="1:2" x14ac:dyDescent="0.2">
      <c r="A1766" s="167" t="s">
        <v>4376</v>
      </c>
    </row>
    <row r="1767" spans="1:2" x14ac:dyDescent="0.2">
      <c r="A1767" s="167" t="s">
        <v>4377</v>
      </c>
    </row>
    <row r="1768" spans="1:2" x14ac:dyDescent="0.2">
      <c r="A1768" s="167" t="s">
        <v>4378</v>
      </c>
    </row>
    <row r="1769" spans="1:2" x14ac:dyDescent="0.2">
      <c r="A1769" s="167" t="s">
        <v>4379</v>
      </c>
    </row>
    <row r="1770" spans="1:2" x14ac:dyDescent="0.2">
      <c r="A1770" s="167" t="s">
        <v>4380</v>
      </c>
    </row>
    <row r="1771" spans="1:2" x14ac:dyDescent="0.2">
      <c r="A1771" s="167" t="s">
        <v>4381</v>
      </c>
    </row>
    <row r="1772" spans="1:2" x14ac:dyDescent="0.2">
      <c r="A1772" s="167" t="s">
        <v>4382</v>
      </c>
    </row>
    <row r="1773" spans="1:2" x14ac:dyDescent="0.2">
      <c r="A1773" s="167" t="s">
        <v>4383</v>
      </c>
    </row>
    <row r="1774" spans="1:2" x14ac:dyDescent="0.2">
      <c r="A1774" s="167" t="s">
        <v>4384</v>
      </c>
    </row>
    <row r="1775" spans="1:2" x14ac:dyDescent="0.2">
      <c r="A1775" s="167" t="s">
        <v>4385</v>
      </c>
    </row>
    <row r="1776" spans="1:2" x14ac:dyDescent="0.2">
      <c r="A1776" s="167" t="s">
        <v>4386</v>
      </c>
    </row>
    <row r="1777" spans="1:1" x14ac:dyDescent="0.2">
      <c r="A1777" s="167" t="s">
        <v>4387</v>
      </c>
    </row>
    <row r="1778" spans="1:1" x14ac:dyDescent="0.2">
      <c r="A1778" s="167" t="s">
        <v>4388</v>
      </c>
    </row>
    <row r="1779" spans="1:1" x14ac:dyDescent="0.2">
      <c r="A1779" s="167" t="s">
        <v>4389</v>
      </c>
    </row>
    <row r="1780" spans="1:1" x14ac:dyDescent="0.2">
      <c r="A1780" s="167" t="s">
        <v>4390</v>
      </c>
    </row>
    <row r="1781" spans="1:1" x14ac:dyDescent="0.2">
      <c r="A1781" s="167" t="s">
        <v>4391</v>
      </c>
    </row>
    <row r="1782" spans="1:1" x14ac:dyDescent="0.2">
      <c r="A1782" s="167" t="s">
        <v>4392</v>
      </c>
    </row>
    <row r="1783" spans="1:1" x14ac:dyDescent="0.2">
      <c r="A1783" s="167" t="s">
        <v>4393</v>
      </c>
    </row>
    <row r="1784" spans="1:1" x14ac:dyDescent="0.2">
      <c r="A1784" s="167" t="s">
        <v>4394</v>
      </c>
    </row>
    <row r="1785" spans="1:1" x14ac:dyDescent="0.2">
      <c r="A1785" s="167" t="s">
        <v>4395</v>
      </c>
    </row>
    <row r="1786" spans="1:1" x14ac:dyDescent="0.2">
      <c r="A1786" s="167" t="s">
        <v>4396</v>
      </c>
    </row>
    <row r="1787" spans="1:1" x14ac:dyDescent="0.2">
      <c r="A1787" s="167" t="s">
        <v>4397</v>
      </c>
    </row>
    <row r="1788" spans="1:1" x14ac:dyDescent="0.2">
      <c r="A1788" s="167" t="s">
        <v>4398</v>
      </c>
    </row>
    <row r="1789" spans="1:1" x14ac:dyDescent="0.2">
      <c r="A1789" s="167" t="s">
        <v>4399</v>
      </c>
    </row>
    <row r="1790" spans="1:1" x14ac:dyDescent="0.2">
      <c r="A1790" s="167" t="s">
        <v>4400</v>
      </c>
    </row>
    <row r="1791" spans="1:1" x14ac:dyDescent="0.2">
      <c r="A1791" s="167" t="s">
        <v>4401</v>
      </c>
    </row>
    <row r="1792" spans="1:1" x14ac:dyDescent="0.2">
      <c r="A1792" s="167" t="s">
        <v>4402</v>
      </c>
    </row>
    <row r="1793" spans="1:7" x14ac:dyDescent="0.2">
      <c r="A1793" s="167" t="s">
        <v>4403</v>
      </c>
    </row>
    <row r="1794" spans="1:7" x14ac:dyDescent="0.2">
      <c r="A1794" s="167" t="s">
        <v>4404</v>
      </c>
    </row>
    <row r="1795" spans="1:7" x14ac:dyDescent="0.2">
      <c r="A1795" s="167" t="s">
        <v>4405</v>
      </c>
    </row>
    <row r="1796" spans="1:7" x14ac:dyDescent="0.2">
      <c r="A1796" s="167" t="s">
        <v>4406</v>
      </c>
    </row>
    <row r="1797" spans="1:7" x14ac:dyDescent="0.2">
      <c r="A1797" s="167" t="s">
        <v>4407</v>
      </c>
    </row>
    <row r="1798" spans="1:7" x14ac:dyDescent="0.2">
      <c r="A1798" s="167" t="s">
        <v>4408</v>
      </c>
    </row>
    <row r="1799" spans="1:7" x14ac:dyDescent="0.2">
      <c r="A1799" s="167" t="s">
        <v>4409</v>
      </c>
    </row>
    <row r="1800" spans="1:7" x14ac:dyDescent="0.2">
      <c r="A1800" s="167" t="s">
        <v>4410</v>
      </c>
    </row>
    <row r="1801" spans="1:7" x14ac:dyDescent="0.2">
      <c r="A1801" s="167" t="s">
        <v>4411</v>
      </c>
    </row>
    <row r="1802" spans="1:7" x14ac:dyDescent="0.2">
      <c r="A1802" s="167" t="s">
        <v>4412</v>
      </c>
    </row>
    <row r="1803" spans="1:7" x14ac:dyDescent="0.2">
      <c r="A1803" s="167" t="s">
        <v>4413</v>
      </c>
    </row>
    <row r="1804" spans="1:7" x14ac:dyDescent="0.2">
      <c r="A1804" s="167" t="s">
        <v>4730</v>
      </c>
    </row>
    <row r="1805" spans="1:7" x14ac:dyDescent="0.2">
      <c r="A1805" s="215" t="s">
        <v>4731</v>
      </c>
      <c r="B1805" s="215"/>
      <c r="C1805" s="215"/>
      <c r="D1805" s="215"/>
      <c r="E1805" s="215"/>
      <c r="F1805" s="215"/>
      <c r="G1805" s="215"/>
    </row>
    <row r="1806" spans="1:7" x14ac:dyDescent="0.2">
      <c r="A1806" s="167" t="s">
        <v>4732</v>
      </c>
    </row>
    <row r="1807" spans="1:7" x14ac:dyDescent="0.2">
      <c r="A1807" s="167" t="s">
        <v>4733</v>
      </c>
    </row>
    <row r="1808" spans="1:7" x14ac:dyDescent="0.2">
      <c r="A1808" s="167" t="s">
        <v>4734</v>
      </c>
    </row>
    <row r="1809" spans="1:7" x14ac:dyDescent="0.2">
      <c r="A1809" s="167" t="s">
        <v>4735</v>
      </c>
    </row>
    <row r="1810" spans="1:7" x14ac:dyDescent="0.2">
      <c r="A1810" s="167" t="s">
        <v>4736</v>
      </c>
    </row>
    <row r="1811" spans="1:7" x14ac:dyDescent="0.2">
      <c r="A1811" s="167" t="s">
        <v>4737</v>
      </c>
    </row>
    <row r="1812" spans="1:7" x14ac:dyDescent="0.2">
      <c r="A1812" s="167" t="s">
        <v>4738</v>
      </c>
    </row>
    <row r="1813" spans="1:7" x14ac:dyDescent="0.2">
      <c r="A1813" s="167" t="s">
        <v>4739</v>
      </c>
    </row>
    <row r="1814" spans="1:7" x14ac:dyDescent="0.2">
      <c r="A1814" s="215">
        <v>8.6</v>
      </c>
      <c r="B1814" s="215"/>
      <c r="C1814" s="215"/>
      <c r="D1814" s="215"/>
      <c r="E1814" s="215"/>
      <c r="F1814" s="215"/>
      <c r="G1814" s="215"/>
    </row>
    <row r="1815" spans="1:7" x14ac:dyDescent="0.2">
      <c r="A1815" s="167" t="s">
        <v>4740</v>
      </c>
    </row>
    <row r="1816" spans="1:7" x14ac:dyDescent="0.2">
      <c r="A1816" s="167" t="s">
        <v>4741</v>
      </c>
    </row>
    <row r="1817" spans="1:7" x14ac:dyDescent="0.2">
      <c r="A1817" s="167" t="s">
        <v>4742</v>
      </c>
    </row>
    <row r="1818" spans="1:7" x14ac:dyDescent="0.2">
      <c r="A1818" s="167" t="s">
        <v>4743</v>
      </c>
    </row>
    <row r="1819" spans="1:7" x14ac:dyDescent="0.2">
      <c r="A1819" s="215" t="s">
        <v>4744</v>
      </c>
      <c r="B1819" s="215"/>
      <c r="C1819" s="215"/>
      <c r="D1819" s="215"/>
      <c r="E1819" s="215"/>
      <c r="F1819" s="215"/>
      <c r="G1819" s="215"/>
    </row>
    <row r="1820" spans="1:7" x14ac:dyDescent="0.2">
      <c r="A1820" s="167" t="s">
        <v>4745</v>
      </c>
    </row>
    <row r="1821" spans="1:7" x14ac:dyDescent="0.2">
      <c r="A1821" s="167" t="s">
        <v>4746</v>
      </c>
    </row>
    <row r="1822" spans="1:7" x14ac:dyDescent="0.2">
      <c r="A1822" s="167" t="s">
        <v>4747</v>
      </c>
    </row>
    <row r="1823" spans="1:7" x14ac:dyDescent="0.2">
      <c r="A1823" s="167" t="s">
        <v>4748</v>
      </c>
    </row>
    <row r="1824" spans="1:7" x14ac:dyDescent="0.2">
      <c r="A1824" s="167" t="s">
        <v>1402</v>
      </c>
    </row>
    <row r="1825" spans="1:1" x14ac:dyDescent="0.2">
      <c r="A1825" s="167" t="s">
        <v>177</v>
      </c>
    </row>
    <row r="1826" spans="1:1" x14ac:dyDescent="0.2">
      <c r="A1826" s="167" t="s">
        <v>176</v>
      </c>
    </row>
    <row r="1827" spans="1:1" x14ac:dyDescent="0.2">
      <c r="A1827" s="167" t="s">
        <v>183</v>
      </c>
    </row>
    <row r="1828" spans="1:1" x14ac:dyDescent="0.2">
      <c r="A1828" s="167" t="s">
        <v>1068</v>
      </c>
    </row>
    <row r="1829" spans="1:1" x14ac:dyDescent="0.2">
      <c r="A1829" s="167" t="s">
        <v>179</v>
      </c>
    </row>
    <row r="1830" spans="1:1" x14ac:dyDescent="0.2">
      <c r="A1830" s="167" t="s">
        <v>4749</v>
      </c>
    </row>
    <row r="1831" spans="1:1" x14ac:dyDescent="0.2">
      <c r="A1831" s="167" t="s">
        <v>4748</v>
      </c>
    </row>
    <row r="1832" spans="1:1" x14ac:dyDescent="0.2">
      <c r="A1832" s="167" t="s">
        <v>1402</v>
      </c>
    </row>
    <row r="1833" spans="1:1" x14ac:dyDescent="0.2">
      <c r="A1833" s="167" t="s">
        <v>177</v>
      </c>
    </row>
    <row r="1834" spans="1:1" x14ac:dyDescent="0.2">
      <c r="A1834" s="167" t="s">
        <v>176</v>
      </c>
    </row>
    <row r="1835" spans="1:1" x14ac:dyDescent="0.2">
      <c r="A1835" s="167" t="s">
        <v>183</v>
      </c>
    </row>
    <row r="1836" spans="1:1" x14ac:dyDescent="0.2">
      <c r="A1836" s="167" t="s">
        <v>1068</v>
      </c>
    </row>
    <row r="1837" spans="1:1" x14ac:dyDescent="0.2">
      <c r="A1837" s="167" t="s">
        <v>179</v>
      </c>
    </row>
    <row r="1838" spans="1:1" x14ac:dyDescent="0.2">
      <c r="A1838" s="167" t="s">
        <v>4750</v>
      </c>
    </row>
    <row r="1839" spans="1:1" x14ac:dyDescent="0.2">
      <c r="A1839" s="167" t="s">
        <v>4751</v>
      </c>
    </row>
    <row r="1840" spans="1:1" x14ac:dyDescent="0.2">
      <c r="A1840" s="167" t="s">
        <v>4752</v>
      </c>
    </row>
    <row r="1841" spans="1:7" x14ac:dyDescent="0.2">
      <c r="A1841" s="167" t="s">
        <v>4753</v>
      </c>
    </row>
    <row r="1842" spans="1:7" x14ac:dyDescent="0.2">
      <c r="A1842" s="215">
        <v>9.1999999999999993</v>
      </c>
      <c r="B1842" s="215"/>
      <c r="C1842" s="215"/>
      <c r="D1842" s="215"/>
      <c r="E1842" s="215"/>
      <c r="F1842" s="215"/>
      <c r="G1842" s="215"/>
    </row>
    <row r="1843" spans="1:7" x14ac:dyDescent="0.2">
      <c r="A1843" s="167" t="s">
        <v>4754</v>
      </c>
    </row>
    <row r="1844" spans="1:7" x14ac:dyDescent="0.2">
      <c r="A1844" s="167" t="s">
        <v>4755</v>
      </c>
    </row>
    <row r="1845" spans="1:7" x14ac:dyDescent="0.2">
      <c r="A1845" s="215">
        <v>9.3000000000000007</v>
      </c>
      <c r="B1845" s="215"/>
      <c r="C1845" s="215"/>
      <c r="D1845" s="215"/>
      <c r="E1845" s="215"/>
      <c r="F1845" s="215"/>
      <c r="G1845" s="215"/>
    </row>
    <row r="1846" spans="1:7" x14ac:dyDescent="0.2">
      <c r="A1846" s="167" t="s">
        <v>4756</v>
      </c>
    </row>
    <row r="1847" spans="1:7" x14ac:dyDescent="0.2">
      <c r="A1847" s="215">
        <v>9.6</v>
      </c>
      <c r="B1847" s="215"/>
      <c r="C1847" s="215"/>
      <c r="D1847" s="215"/>
      <c r="E1847" s="215"/>
      <c r="F1847" s="215"/>
      <c r="G1847" s="215"/>
    </row>
    <row r="1848" spans="1:7" x14ac:dyDescent="0.2">
      <c r="A1848" s="186" t="s">
        <v>4771</v>
      </c>
    </row>
    <row r="1850" spans="1:7" x14ac:dyDescent="0.2">
      <c r="A1850" s="167" t="s">
        <v>3256</v>
      </c>
      <c r="B1850" s="185"/>
    </row>
    <row r="1851" spans="1:7" x14ac:dyDescent="0.2">
      <c r="A1851" s="167" t="s">
        <v>3387</v>
      </c>
    </row>
    <row r="1852" spans="1:7" x14ac:dyDescent="0.2">
      <c r="A1852" s="167" t="s">
        <v>3388</v>
      </c>
    </row>
    <row r="1853" spans="1:7" x14ac:dyDescent="0.2">
      <c r="A1853" s="167" t="s">
        <v>4772</v>
      </c>
    </row>
    <row r="1854" spans="1:7" x14ac:dyDescent="0.2">
      <c r="A1854" s="167" t="s">
        <v>3249</v>
      </c>
    </row>
    <row r="1855" spans="1:7" x14ac:dyDescent="0.2">
      <c r="A1855" s="167" t="s">
        <v>4776</v>
      </c>
      <c r="B1855" s="185"/>
    </row>
    <row r="1856" spans="1:7" x14ac:dyDescent="0.2">
      <c r="A1856" s="167" t="s">
        <v>4773</v>
      </c>
      <c r="B1856" s="167" t="b">
        <v>0</v>
      </c>
    </row>
    <row r="1857" spans="1:2" x14ac:dyDescent="0.2">
      <c r="A1857" s="167" t="s">
        <v>4774</v>
      </c>
      <c r="B1857" s="185"/>
    </row>
    <row r="1858" spans="1:2" x14ac:dyDescent="0.2">
      <c r="A1858" s="167" t="s">
        <v>4665</v>
      </c>
      <c r="B1858" s="185"/>
    </row>
    <row r="1859" spans="1:2" x14ac:dyDescent="0.2">
      <c r="A1859" s="167" t="s">
        <v>4662</v>
      </c>
    </row>
    <row r="1860" spans="1:2" x14ac:dyDescent="0.2">
      <c r="A1860" s="167" t="s">
        <v>4779</v>
      </c>
      <c r="B1860" s="167" t="b">
        <v>0</v>
      </c>
    </row>
    <row r="1861" spans="1:2" x14ac:dyDescent="0.2">
      <c r="A1861" s="167" t="s">
        <v>4775</v>
      </c>
    </row>
    <row r="1862" spans="1:2" x14ac:dyDescent="0.2">
      <c r="A1862" s="167" t="s">
        <v>4777</v>
      </c>
      <c r="B1862" s="185"/>
    </row>
    <row r="1863" spans="1:2" x14ac:dyDescent="0.2">
      <c r="A1863" s="167" t="s">
        <v>4778</v>
      </c>
    </row>
    <row r="1865" spans="1:2" x14ac:dyDescent="0.2">
      <c r="A1865" s="167" t="s">
        <v>4783</v>
      </c>
      <c r="B1865" s="167" t="b">
        <v>0</v>
      </c>
    </row>
    <row r="1866" spans="1:2" x14ac:dyDescent="0.2">
      <c r="A1866" s="167" t="s">
        <v>1451</v>
      </c>
    </row>
    <row r="1867" spans="1:2" x14ac:dyDescent="0.2">
      <c r="A1867" s="167" t="s">
        <v>145</v>
      </c>
    </row>
    <row r="1868" spans="1:2" x14ac:dyDescent="0.2">
      <c r="A1868" s="167" t="s">
        <v>3711</v>
      </c>
    </row>
    <row r="1869" spans="1:2" x14ac:dyDescent="0.2">
      <c r="A1869" s="167" t="s">
        <v>3561</v>
      </c>
    </row>
  </sheetData>
  <mergeCells count="90">
    <mergeCell ref="A1805:G1805"/>
    <mergeCell ref="A1814:G1814"/>
    <mergeCell ref="A1819:G1819"/>
    <mergeCell ref="A1842:G1842"/>
    <mergeCell ref="A1845:G1845"/>
    <mergeCell ref="A1752:G1752"/>
    <mergeCell ref="A1411:G1411"/>
    <mergeCell ref="A1437:G1437"/>
    <mergeCell ref="A1465:G1465"/>
    <mergeCell ref="A1468:G1468"/>
    <mergeCell ref="A1474:G1474"/>
    <mergeCell ref="A1477:G1477"/>
    <mergeCell ref="A1519:G1519"/>
    <mergeCell ref="A1609:G1609"/>
    <mergeCell ref="A1720:G1720"/>
    <mergeCell ref="A1744:G1744"/>
    <mergeCell ref="A1748:G1748"/>
    <mergeCell ref="A1401:G1401"/>
    <mergeCell ref="A1015:G1015"/>
    <mergeCell ref="A1021:G1021"/>
    <mergeCell ref="A1024:G1024"/>
    <mergeCell ref="A1036:G1036"/>
    <mergeCell ref="A1039:G1039"/>
    <mergeCell ref="A1152:G1152"/>
    <mergeCell ref="A1211:G1211"/>
    <mergeCell ref="A1215:G1215"/>
    <mergeCell ref="A1268:G1268"/>
    <mergeCell ref="A1319:G1319"/>
    <mergeCell ref="A1328:G1328"/>
    <mergeCell ref="A995:G995"/>
    <mergeCell ref="A698:G698"/>
    <mergeCell ref="A724:G724"/>
    <mergeCell ref="A750:G750"/>
    <mergeCell ref="A780:G780"/>
    <mergeCell ref="A807:G807"/>
    <mergeCell ref="A829:G829"/>
    <mergeCell ref="A841:G841"/>
    <mergeCell ref="A861:G861"/>
    <mergeCell ref="A906:G906"/>
    <mergeCell ref="A913:G913"/>
    <mergeCell ref="A949:G949"/>
    <mergeCell ref="A677:G677"/>
    <mergeCell ref="A487:G487"/>
    <mergeCell ref="A498:G498"/>
    <mergeCell ref="A512:G512"/>
    <mergeCell ref="A526:G526"/>
    <mergeCell ref="A544:G544"/>
    <mergeCell ref="A558:G558"/>
    <mergeCell ref="A579:G579"/>
    <mergeCell ref="A596:G596"/>
    <mergeCell ref="A610:G610"/>
    <mergeCell ref="A624:G624"/>
    <mergeCell ref="A644:G644"/>
    <mergeCell ref="A209:G209"/>
    <mergeCell ref="A238:G238"/>
    <mergeCell ref="A255:G255"/>
    <mergeCell ref="A269:G269"/>
    <mergeCell ref="A473:G473"/>
    <mergeCell ref="A295:G295"/>
    <mergeCell ref="A299:G299"/>
    <mergeCell ref="A306:G306"/>
    <mergeCell ref="A309:G309"/>
    <mergeCell ref="A316:G316"/>
    <mergeCell ref="A328:G328"/>
    <mergeCell ref="A351:G351"/>
    <mergeCell ref="A358:G358"/>
    <mergeCell ref="A408:G408"/>
    <mergeCell ref="A430:G430"/>
    <mergeCell ref="A457:G457"/>
    <mergeCell ref="A167:G167"/>
    <mergeCell ref="A169:G169"/>
    <mergeCell ref="A173:G173"/>
    <mergeCell ref="A186:G186"/>
    <mergeCell ref="A197:G197"/>
    <mergeCell ref="A1847:G1847"/>
    <mergeCell ref="A109:G109"/>
    <mergeCell ref="A1:G1"/>
    <mergeCell ref="A20:G20"/>
    <mergeCell ref="A29:G29"/>
    <mergeCell ref="A37:G37"/>
    <mergeCell ref="A42:G42"/>
    <mergeCell ref="A54:G54"/>
    <mergeCell ref="A66:G66"/>
    <mergeCell ref="A78:G78"/>
    <mergeCell ref="A86:G86"/>
    <mergeCell ref="A97:G97"/>
    <mergeCell ref="A103:G103"/>
    <mergeCell ref="A282:G282"/>
    <mergeCell ref="A118:G118"/>
    <mergeCell ref="A140:G140"/>
  </mergeCells>
  <printOptions headings="1"/>
  <pageMargins left="0.25" right="0.25" top="0.25" bottom="0.25" header="0" footer="0"/>
  <pageSetup orientation="portrait" horizontalDpi="4294967293"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3">
    <tabColor theme="9" tint="-0.249977111117893"/>
  </sheetPr>
  <dimension ref="A1:G62"/>
  <sheetViews>
    <sheetView workbookViewId="0">
      <selection activeCell="A3" sqref="A3:A6"/>
    </sheetView>
  </sheetViews>
  <sheetFormatPr defaultRowHeight="12.75" x14ac:dyDescent="0.2"/>
  <cols>
    <col min="16" max="16" width="9.42578125" bestFit="1" customWidth="1"/>
  </cols>
  <sheetData>
    <row r="1" spans="1:7" x14ac:dyDescent="0.2">
      <c r="A1" s="215" t="s">
        <v>154</v>
      </c>
      <c r="B1" s="215"/>
      <c r="C1" s="215"/>
      <c r="D1" s="215"/>
      <c r="E1" s="215"/>
      <c r="F1" s="215"/>
      <c r="G1" s="215"/>
    </row>
    <row r="2" spans="1:7" x14ac:dyDescent="0.2">
      <c r="A2" s="1" t="s">
        <v>155</v>
      </c>
      <c r="B2" t="s">
        <v>156</v>
      </c>
      <c r="C2" t="s">
        <v>2885</v>
      </c>
      <c r="D2" t="s">
        <v>2886</v>
      </c>
      <c r="E2" t="s">
        <v>158</v>
      </c>
      <c r="F2" t="s">
        <v>159</v>
      </c>
      <c r="G2" t="s">
        <v>102</v>
      </c>
    </row>
    <row r="17" spans="2:2" x14ac:dyDescent="0.2">
      <c r="B17" s="88"/>
    </row>
    <row r="18" spans="2:2" x14ac:dyDescent="0.2">
      <c r="B18" s="88"/>
    </row>
    <row r="19" spans="2:2" x14ac:dyDescent="0.2">
      <c r="B19" s="88"/>
    </row>
    <row r="20" spans="2:2" x14ac:dyDescent="0.2">
      <c r="B20" s="88"/>
    </row>
    <row r="21" spans="2:2" x14ac:dyDescent="0.2">
      <c r="B21" s="88"/>
    </row>
    <row r="22" spans="2:2" x14ac:dyDescent="0.2">
      <c r="B22" s="88"/>
    </row>
    <row r="23" spans="2:2" x14ac:dyDescent="0.2">
      <c r="B23" s="88"/>
    </row>
    <row r="24" spans="2:2" x14ac:dyDescent="0.2">
      <c r="B24" s="88"/>
    </row>
    <row r="25" spans="2:2" x14ac:dyDescent="0.2">
      <c r="B25" s="88"/>
    </row>
    <row r="26" spans="2:2" x14ac:dyDescent="0.2">
      <c r="B26" s="88"/>
    </row>
    <row r="27" spans="2:2" x14ac:dyDescent="0.2">
      <c r="B27" s="88"/>
    </row>
    <row r="28" spans="2:2" x14ac:dyDescent="0.2">
      <c r="B28" s="88"/>
    </row>
    <row r="29" spans="2:2" x14ac:dyDescent="0.2">
      <c r="B29" s="88"/>
    </row>
    <row r="30" spans="2:2" x14ac:dyDescent="0.2">
      <c r="B30" s="88"/>
    </row>
    <row r="31" spans="2:2" x14ac:dyDescent="0.2">
      <c r="B31" s="88"/>
    </row>
    <row r="32" spans="2:2" x14ac:dyDescent="0.2">
      <c r="B32" s="88"/>
    </row>
    <row r="33" spans="2:2" x14ac:dyDescent="0.2">
      <c r="B33" s="88"/>
    </row>
    <row r="34" spans="2:2" x14ac:dyDescent="0.2">
      <c r="B34" s="88"/>
    </row>
    <row r="35" spans="2:2" x14ac:dyDescent="0.2">
      <c r="B35" s="88"/>
    </row>
    <row r="36" spans="2:2" x14ac:dyDescent="0.2">
      <c r="B36" s="88"/>
    </row>
    <row r="37" spans="2:2" x14ac:dyDescent="0.2">
      <c r="B37" s="88"/>
    </row>
    <row r="38" spans="2:2" x14ac:dyDescent="0.2">
      <c r="B38" s="88"/>
    </row>
    <row r="39" spans="2:2" x14ac:dyDescent="0.2">
      <c r="B39" s="88"/>
    </row>
    <row r="40" spans="2:2" x14ac:dyDescent="0.2">
      <c r="B40" s="88"/>
    </row>
    <row r="41" spans="2:2" x14ac:dyDescent="0.2">
      <c r="B41" s="88"/>
    </row>
    <row r="42" spans="2:2" x14ac:dyDescent="0.2">
      <c r="B42" s="88"/>
    </row>
    <row r="43" spans="2:2" x14ac:dyDescent="0.2">
      <c r="B43" s="88"/>
    </row>
    <row r="44" spans="2:2" x14ac:dyDescent="0.2">
      <c r="B44" s="88"/>
    </row>
    <row r="45" spans="2:2" x14ac:dyDescent="0.2">
      <c r="B45" s="88"/>
    </row>
    <row r="46" spans="2:2" x14ac:dyDescent="0.2">
      <c r="B46" s="88"/>
    </row>
    <row r="47" spans="2:2" x14ac:dyDescent="0.2">
      <c r="B47" s="88"/>
    </row>
    <row r="48" spans="2:2" x14ac:dyDescent="0.2">
      <c r="B48" s="88"/>
    </row>
    <row r="49" spans="2:2" x14ac:dyDescent="0.2">
      <c r="B49" s="88"/>
    </row>
    <row r="50" spans="2:2" x14ac:dyDescent="0.2">
      <c r="B50" s="88"/>
    </row>
    <row r="51" spans="2:2" x14ac:dyDescent="0.2">
      <c r="B51" s="88"/>
    </row>
    <row r="52" spans="2:2" x14ac:dyDescent="0.2">
      <c r="B52" s="88"/>
    </row>
    <row r="53" spans="2:2" x14ac:dyDescent="0.2">
      <c r="B53" s="88"/>
    </row>
    <row r="54" spans="2:2" x14ac:dyDescent="0.2">
      <c r="B54" s="88"/>
    </row>
    <row r="55" spans="2:2" x14ac:dyDescent="0.2">
      <c r="B55" s="88"/>
    </row>
    <row r="56" spans="2:2" x14ac:dyDescent="0.2">
      <c r="B56" s="88"/>
    </row>
    <row r="57" spans="2:2" x14ac:dyDescent="0.2">
      <c r="B57" s="88"/>
    </row>
    <row r="58" spans="2:2" x14ac:dyDescent="0.2">
      <c r="B58" s="88"/>
    </row>
    <row r="59" spans="2:2" x14ac:dyDescent="0.2">
      <c r="B59" s="88"/>
    </row>
    <row r="60" spans="2:2" x14ac:dyDescent="0.2">
      <c r="B60" s="88"/>
    </row>
    <row r="61" spans="2:2" x14ac:dyDescent="0.2">
      <c r="B61" s="88"/>
    </row>
    <row r="62" spans="2:2" x14ac:dyDescent="0.2">
      <c r="B62" s="88"/>
    </row>
  </sheetData>
  <sortState xmlns:xlrd2="http://schemas.microsoft.com/office/spreadsheetml/2017/richdata2" ref="A3:G56">
    <sortCondition ref="A3"/>
  </sortState>
  <mergeCells count="1">
    <mergeCell ref="A1:G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6">
    <tabColor theme="9" tint="-0.249977111117893"/>
  </sheetPr>
  <dimension ref="A1:D53"/>
  <sheetViews>
    <sheetView workbookViewId="0">
      <selection activeCell="H15" sqref="H15"/>
    </sheetView>
  </sheetViews>
  <sheetFormatPr defaultColWidth="2.7109375" defaultRowHeight="12.75" x14ac:dyDescent="0.2"/>
  <cols>
    <col min="1" max="1" width="34.28515625" customWidth="1"/>
    <col min="2" max="4" width="15.7109375" customWidth="1"/>
    <col min="6" max="6" width="16.140625" customWidth="1"/>
    <col min="7" max="7" width="17.140625" customWidth="1"/>
    <col min="8" max="8" width="19" customWidth="1"/>
  </cols>
  <sheetData>
    <row r="1" spans="1:4" x14ac:dyDescent="0.2">
      <c r="A1" s="1" t="s">
        <v>2907</v>
      </c>
      <c r="B1" s="1" t="s">
        <v>2911</v>
      </c>
      <c r="C1" s="1" t="s">
        <v>2912</v>
      </c>
      <c r="D1" s="1" t="s">
        <v>71</v>
      </c>
    </row>
    <row r="2" spans="1:4" x14ac:dyDescent="0.2">
      <c r="A2" s="1"/>
      <c r="B2" s="1"/>
      <c r="C2" s="1"/>
      <c r="D2" s="1"/>
    </row>
    <row r="3" spans="1:4" x14ac:dyDescent="0.2">
      <c r="A3" s="1"/>
      <c r="B3" s="1"/>
      <c r="C3" s="1"/>
      <c r="D3" s="1"/>
    </row>
    <row r="4" spans="1:4" x14ac:dyDescent="0.2">
      <c r="A4" s="1"/>
      <c r="B4" s="1"/>
      <c r="C4" s="1"/>
      <c r="D4" s="1"/>
    </row>
    <row r="5" spans="1:4" x14ac:dyDescent="0.2">
      <c r="A5" s="1"/>
      <c r="B5" s="1"/>
      <c r="C5" s="1"/>
      <c r="D5" s="1"/>
    </row>
    <row r="6" spans="1:4" x14ac:dyDescent="0.2">
      <c r="A6" s="1"/>
      <c r="B6" s="1"/>
      <c r="C6" s="1"/>
      <c r="D6" s="1"/>
    </row>
    <row r="7" spans="1:4" x14ac:dyDescent="0.2">
      <c r="A7" s="1"/>
      <c r="B7" s="1"/>
      <c r="C7" s="1"/>
      <c r="D7" s="1"/>
    </row>
    <row r="8" spans="1:4" x14ac:dyDescent="0.2">
      <c r="A8" s="1"/>
      <c r="B8" s="1"/>
      <c r="C8" s="1"/>
      <c r="D8" s="1"/>
    </row>
    <row r="9" spans="1:4" x14ac:dyDescent="0.2">
      <c r="A9" s="1"/>
      <c r="B9" s="1"/>
      <c r="C9" s="1"/>
      <c r="D9" s="1"/>
    </row>
    <row r="10" spans="1:4" x14ac:dyDescent="0.2">
      <c r="A10" s="1"/>
      <c r="B10" s="1"/>
      <c r="C10" s="1"/>
      <c r="D10" s="1"/>
    </row>
    <row r="11" spans="1:4" x14ac:dyDescent="0.2">
      <c r="A11" s="1"/>
      <c r="B11" s="1"/>
      <c r="C11" s="1"/>
      <c r="D11" s="1"/>
    </row>
    <row r="12" spans="1:4" x14ac:dyDescent="0.2">
      <c r="A12" s="1"/>
      <c r="B12" s="1"/>
      <c r="C12" s="1"/>
      <c r="D12" s="1"/>
    </row>
    <row r="13" spans="1:4" x14ac:dyDescent="0.2">
      <c r="A13" s="1"/>
      <c r="B13" s="1"/>
      <c r="C13" s="1"/>
      <c r="D13" s="1"/>
    </row>
    <row r="14" spans="1:4" x14ac:dyDescent="0.2">
      <c r="A14" s="1"/>
      <c r="B14" s="1"/>
      <c r="C14" s="1"/>
      <c r="D14" s="1"/>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row r="19" spans="1:4" x14ac:dyDescent="0.2">
      <c r="A19" s="1"/>
      <c r="B19" s="1"/>
      <c r="C19" s="1"/>
      <c r="D19" s="1"/>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c r="D28" s="1"/>
    </row>
    <row r="29" spans="1:4" x14ac:dyDescent="0.2">
      <c r="A29" s="1"/>
      <c r="B29" s="1"/>
      <c r="C29" s="1"/>
      <c r="D29" s="1"/>
    </row>
    <row r="30" spans="1:4" x14ac:dyDescent="0.2">
      <c r="A30" s="1"/>
      <c r="B30" s="1"/>
      <c r="C30" s="1"/>
      <c r="D30" s="1"/>
    </row>
    <row r="31" spans="1:4" x14ac:dyDescent="0.2">
      <c r="A31" s="1"/>
      <c r="B31" s="1"/>
      <c r="C31" s="1"/>
      <c r="D31" s="1"/>
    </row>
    <row r="32" spans="1:4" x14ac:dyDescent="0.2">
      <c r="A32" s="1"/>
      <c r="B32" s="1"/>
      <c r="C32" s="1"/>
      <c r="D32" s="1"/>
    </row>
    <row r="33" spans="1:4" x14ac:dyDescent="0.2">
      <c r="A33" s="1"/>
      <c r="B33" s="1"/>
      <c r="C33" s="1"/>
      <c r="D33" s="1"/>
    </row>
    <row r="34" spans="1:4" x14ac:dyDescent="0.2">
      <c r="A34" s="1"/>
      <c r="B34" s="1"/>
      <c r="C34" s="1"/>
      <c r="D34" s="1"/>
    </row>
    <row r="35" spans="1:4" x14ac:dyDescent="0.2">
      <c r="A35" s="1"/>
      <c r="B35" s="1"/>
      <c r="C35" s="1"/>
      <c r="D35" s="1"/>
    </row>
    <row r="36" spans="1:4" x14ac:dyDescent="0.2">
      <c r="A36" s="1"/>
      <c r="B36" s="1"/>
      <c r="C36" s="1"/>
      <c r="D36" s="1"/>
    </row>
    <row r="37" spans="1:4" x14ac:dyDescent="0.2">
      <c r="A37" s="1"/>
      <c r="B37" s="1"/>
      <c r="C37" s="1"/>
      <c r="D37" s="1"/>
    </row>
    <row r="38" spans="1:4" x14ac:dyDescent="0.2">
      <c r="A38" s="1"/>
      <c r="B38" s="1"/>
      <c r="C38" s="1"/>
      <c r="D38" s="1"/>
    </row>
    <row r="39" spans="1:4" x14ac:dyDescent="0.2">
      <c r="A39" s="1"/>
      <c r="B39" s="1"/>
      <c r="C39" s="1"/>
      <c r="D39" s="1"/>
    </row>
    <row r="40" spans="1:4" x14ac:dyDescent="0.2">
      <c r="A40" s="1"/>
      <c r="B40" s="1"/>
      <c r="C40" s="1"/>
      <c r="D40" s="1"/>
    </row>
    <row r="41" spans="1:4" x14ac:dyDescent="0.2">
      <c r="A41" s="1"/>
      <c r="B41" s="1"/>
      <c r="C41" s="1"/>
      <c r="D41" s="1"/>
    </row>
    <row r="42" spans="1:4" x14ac:dyDescent="0.2">
      <c r="A42" s="1"/>
      <c r="B42" s="1"/>
      <c r="C42" s="1"/>
      <c r="D42" s="1"/>
    </row>
    <row r="43" spans="1:4" x14ac:dyDescent="0.2">
      <c r="A43" s="1"/>
      <c r="B43" s="1"/>
      <c r="C43" s="1"/>
      <c r="D43" s="1"/>
    </row>
    <row r="44" spans="1:4" x14ac:dyDescent="0.2">
      <c r="A44" s="1"/>
      <c r="B44" s="1"/>
      <c r="C44" s="1"/>
      <c r="D44" s="1"/>
    </row>
    <row r="45" spans="1:4" x14ac:dyDescent="0.2">
      <c r="A45" s="1"/>
      <c r="B45" s="1"/>
      <c r="C45" s="1"/>
      <c r="D45" s="1"/>
    </row>
    <row r="46" spans="1:4" x14ac:dyDescent="0.2">
      <c r="A46" s="1"/>
      <c r="B46" s="1"/>
      <c r="C46" s="1"/>
      <c r="D46" s="1"/>
    </row>
    <row r="47" spans="1:4" x14ac:dyDescent="0.2">
      <c r="A47" s="1"/>
      <c r="B47" s="1"/>
      <c r="C47" s="1"/>
      <c r="D47" s="1"/>
    </row>
    <row r="48" spans="1:4" x14ac:dyDescent="0.2">
      <c r="A48" s="1"/>
      <c r="B48" s="1"/>
      <c r="C48" s="1"/>
      <c r="D48" s="1"/>
    </row>
    <row r="49" spans="1:4" x14ac:dyDescent="0.2">
      <c r="A49" s="1"/>
      <c r="B49" s="1"/>
      <c r="C49" s="1"/>
      <c r="D49" s="1"/>
    </row>
    <row r="50" spans="1:4" x14ac:dyDescent="0.2">
      <c r="A50" s="1"/>
      <c r="B50" s="1"/>
      <c r="C50" s="1"/>
      <c r="D50" s="1"/>
    </row>
    <row r="51" spans="1:4" x14ac:dyDescent="0.2">
      <c r="A51" s="1"/>
      <c r="B51" s="1"/>
      <c r="C51" s="1"/>
      <c r="D51" s="1"/>
    </row>
    <row r="52" spans="1:4" x14ac:dyDescent="0.2">
      <c r="A52" s="1"/>
      <c r="B52" s="1"/>
      <c r="C52" s="1"/>
      <c r="D52" s="1"/>
    </row>
    <row r="53" spans="1:4" x14ac:dyDescent="0.2">
      <c r="A53" s="1"/>
      <c r="B53" s="1"/>
      <c r="C53" s="1"/>
      <c r="D53" s="1"/>
    </row>
  </sheetData>
  <sortState xmlns:xlrd2="http://schemas.microsoft.com/office/spreadsheetml/2017/richdata2" ref="A5:D54">
    <sortCondition ref="A5"/>
  </sortState>
  <pageMargins left="0.25" right="0.25" top="0.75" bottom="0.75" header="0.3" footer="0.3"/>
  <pageSetup orientation="portrait" verticalDpi="1200" r:id="rId1"/>
  <headerFooter>
    <oddHeader>&amp;L&amp;G</oddHeader>
    <oddFooter>&amp;C3088 Mercer University Drive Suite 100 Atlanta, GA 30341
678-310-6305 Fax 404-935-6110</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B463B-7DDF-449C-B36A-8753E12CCA0D}">
  <sheetPr codeName="Sheet76">
    <tabColor theme="9" tint="-0.249977111117893"/>
  </sheetPr>
  <dimension ref="A1:P473"/>
  <sheetViews>
    <sheetView workbookViewId="0">
      <selection sqref="A1:A1048576"/>
    </sheetView>
  </sheetViews>
  <sheetFormatPr defaultRowHeight="12.75" x14ac:dyDescent="0.2"/>
  <cols>
    <col min="1" max="1" width="9.42578125" style="190" bestFit="1" customWidth="1"/>
    <col min="16" max="16" width="9.42578125" bestFit="1" customWidth="1"/>
  </cols>
  <sheetData>
    <row r="1" spans="1:16" x14ac:dyDescent="0.2">
      <c r="A1" s="194" t="s">
        <v>1263</v>
      </c>
      <c r="B1" s="1" t="s">
        <v>1264</v>
      </c>
      <c r="C1" s="1" t="s">
        <v>1465</v>
      </c>
      <c r="D1" s="1" t="s">
        <v>1266</v>
      </c>
      <c r="E1" s="1" t="s">
        <v>1267</v>
      </c>
      <c r="F1" s="1" t="s">
        <v>1066</v>
      </c>
      <c r="G1" s="1" t="s">
        <v>177</v>
      </c>
      <c r="H1" s="1" t="s">
        <v>178</v>
      </c>
      <c r="I1" s="1" t="s">
        <v>183</v>
      </c>
      <c r="J1" s="1" t="s">
        <v>179</v>
      </c>
      <c r="K1" s="1" t="s">
        <v>1068</v>
      </c>
      <c r="L1" s="108"/>
      <c r="P1" t="s">
        <v>3266</v>
      </c>
    </row>
    <row r="2" spans="1:16" x14ac:dyDescent="0.2">
      <c r="A2" s="196"/>
      <c r="P2" s="196">
        <f>A3</f>
        <v>0</v>
      </c>
    </row>
    <row r="3" spans="1:16" x14ac:dyDescent="0.2">
      <c r="A3" s="196"/>
      <c r="P3" s="196">
        <f t="shared" ref="P3:P44" si="0">A4</f>
        <v>0</v>
      </c>
    </row>
    <row r="4" spans="1:16" x14ac:dyDescent="0.2">
      <c r="A4" s="196"/>
      <c r="P4" s="196">
        <f t="shared" si="0"/>
        <v>0</v>
      </c>
    </row>
    <row r="5" spans="1:16" x14ac:dyDescent="0.2">
      <c r="A5" s="196"/>
      <c r="P5" s="196">
        <f t="shared" si="0"/>
        <v>0</v>
      </c>
    </row>
    <row r="6" spans="1:16" x14ac:dyDescent="0.2">
      <c r="A6" s="196"/>
      <c r="P6" s="196">
        <f t="shared" si="0"/>
        <v>0</v>
      </c>
    </row>
    <row r="7" spans="1:16" x14ac:dyDescent="0.2">
      <c r="A7" s="196"/>
      <c r="P7" s="196">
        <f t="shared" si="0"/>
        <v>0</v>
      </c>
    </row>
    <row r="8" spans="1:16" x14ac:dyDescent="0.2">
      <c r="A8" s="196"/>
      <c r="P8" s="196">
        <f t="shared" si="0"/>
        <v>0</v>
      </c>
    </row>
    <row r="9" spans="1:16" x14ac:dyDescent="0.2">
      <c r="A9" s="196"/>
      <c r="P9" s="196">
        <f t="shared" si="0"/>
        <v>0</v>
      </c>
    </row>
    <row r="10" spans="1:16" x14ac:dyDescent="0.2">
      <c r="A10" s="196"/>
      <c r="P10" s="196">
        <f t="shared" si="0"/>
        <v>0</v>
      </c>
    </row>
    <row r="11" spans="1:16" x14ac:dyDescent="0.2">
      <c r="A11" s="196"/>
      <c r="P11" s="196">
        <f t="shared" si="0"/>
        <v>0</v>
      </c>
    </row>
    <row r="12" spans="1:16" x14ac:dyDescent="0.2">
      <c r="A12" s="196"/>
      <c r="P12" s="196">
        <f t="shared" si="0"/>
        <v>0</v>
      </c>
    </row>
    <row r="13" spans="1:16" x14ac:dyDescent="0.2">
      <c r="A13" s="196"/>
      <c r="P13" s="196">
        <f t="shared" si="0"/>
        <v>0</v>
      </c>
    </row>
    <row r="14" spans="1:16" x14ac:dyDescent="0.2">
      <c r="A14" s="196"/>
      <c r="P14" s="196">
        <f t="shared" si="0"/>
        <v>0</v>
      </c>
    </row>
    <row r="15" spans="1:16" x14ac:dyDescent="0.2">
      <c r="A15" s="196"/>
      <c r="P15" s="196">
        <f t="shared" si="0"/>
        <v>0</v>
      </c>
    </row>
    <row r="16" spans="1:16" x14ac:dyDescent="0.2">
      <c r="A16" s="196"/>
      <c r="P16" s="196">
        <f t="shared" si="0"/>
        <v>0</v>
      </c>
    </row>
    <row r="17" spans="1:16" x14ac:dyDescent="0.2">
      <c r="A17" s="196"/>
      <c r="P17" s="196">
        <f t="shared" si="0"/>
        <v>0</v>
      </c>
    </row>
    <row r="18" spans="1:16" x14ac:dyDescent="0.2">
      <c r="A18" s="196"/>
      <c r="P18" s="196">
        <f t="shared" si="0"/>
        <v>0</v>
      </c>
    </row>
    <row r="19" spans="1:16" x14ac:dyDescent="0.2">
      <c r="A19" s="196"/>
      <c r="P19" s="196">
        <f t="shared" si="0"/>
        <v>0</v>
      </c>
    </row>
    <row r="20" spans="1:16" x14ac:dyDescent="0.2">
      <c r="A20" s="196"/>
      <c r="P20" s="196">
        <f t="shared" si="0"/>
        <v>0</v>
      </c>
    </row>
    <row r="21" spans="1:16" x14ac:dyDescent="0.2">
      <c r="A21" s="196"/>
      <c r="P21" s="196">
        <f t="shared" si="0"/>
        <v>0</v>
      </c>
    </row>
    <row r="22" spans="1:16" x14ac:dyDescent="0.2">
      <c r="A22" s="196"/>
      <c r="P22" s="196">
        <f t="shared" si="0"/>
        <v>0</v>
      </c>
    </row>
    <row r="23" spans="1:16" x14ac:dyDescent="0.2">
      <c r="A23" s="196"/>
      <c r="P23" s="196">
        <f t="shared" si="0"/>
        <v>0</v>
      </c>
    </row>
    <row r="24" spans="1:16" x14ac:dyDescent="0.2">
      <c r="A24" s="196"/>
      <c r="P24" s="196">
        <f t="shared" si="0"/>
        <v>0</v>
      </c>
    </row>
    <row r="25" spans="1:16" x14ac:dyDescent="0.2">
      <c r="A25" s="196"/>
      <c r="P25" s="196">
        <f t="shared" si="0"/>
        <v>0</v>
      </c>
    </row>
    <row r="26" spans="1:16" x14ac:dyDescent="0.2">
      <c r="A26" s="196"/>
      <c r="P26" s="196">
        <f t="shared" si="0"/>
        <v>0</v>
      </c>
    </row>
    <row r="27" spans="1:16" x14ac:dyDescent="0.2">
      <c r="A27" s="196"/>
      <c r="P27" s="196">
        <f t="shared" si="0"/>
        <v>0</v>
      </c>
    </row>
    <row r="28" spans="1:16" x14ac:dyDescent="0.2">
      <c r="A28" s="196"/>
      <c r="P28" s="196">
        <f t="shared" si="0"/>
        <v>0</v>
      </c>
    </row>
    <row r="29" spans="1:16" x14ac:dyDescent="0.2">
      <c r="A29" s="196"/>
      <c r="P29" s="196">
        <f t="shared" si="0"/>
        <v>0</v>
      </c>
    </row>
    <row r="30" spans="1:16" x14ac:dyDescent="0.2">
      <c r="A30" s="196"/>
      <c r="P30" s="196">
        <f t="shared" si="0"/>
        <v>0</v>
      </c>
    </row>
    <row r="31" spans="1:16" x14ac:dyDescent="0.2">
      <c r="A31" s="196"/>
      <c r="P31" s="196">
        <f t="shared" si="0"/>
        <v>0</v>
      </c>
    </row>
    <row r="32" spans="1:16" x14ac:dyDescent="0.2">
      <c r="A32" s="196"/>
      <c r="P32" s="196">
        <f t="shared" si="0"/>
        <v>0</v>
      </c>
    </row>
    <row r="33" spans="1:16" x14ac:dyDescent="0.2">
      <c r="A33" s="196"/>
      <c r="P33" s="196">
        <f t="shared" si="0"/>
        <v>0</v>
      </c>
    </row>
    <row r="34" spans="1:16" x14ac:dyDescent="0.2">
      <c r="A34" s="196"/>
      <c r="P34" s="196">
        <f t="shared" si="0"/>
        <v>0</v>
      </c>
    </row>
    <row r="35" spans="1:16" x14ac:dyDescent="0.2">
      <c r="A35" s="196"/>
      <c r="P35" s="196">
        <f t="shared" si="0"/>
        <v>0</v>
      </c>
    </row>
    <row r="36" spans="1:16" x14ac:dyDescent="0.2">
      <c r="A36" s="196"/>
      <c r="P36" s="196">
        <f t="shared" si="0"/>
        <v>0</v>
      </c>
    </row>
    <row r="37" spans="1:16" x14ac:dyDescent="0.2">
      <c r="A37" s="196"/>
      <c r="P37" s="196">
        <f t="shared" si="0"/>
        <v>0</v>
      </c>
    </row>
    <row r="38" spans="1:16" x14ac:dyDescent="0.2">
      <c r="A38" s="196"/>
      <c r="P38" s="196">
        <f t="shared" si="0"/>
        <v>0</v>
      </c>
    </row>
    <row r="39" spans="1:16" x14ac:dyDescent="0.2">
      <c r="A39" s="196"/>
      <c r="P39" s="196">
        <f t="shared" si="0"/>
        <v>0</v>
      </c>
    </row>
    <row r="40" spans="1:16" x14ac:dyDescent="0.2">
      <c r="A40" s="196"/>
      <c r="P40" s="196">
        <f t="shared" si="0"/>
        <v>0</v>
      </c>
    </row>
    <row r="41" spans="1:16" x14ac:dyDescent="0.2">
      <c r="A41" s="196"/>
      <c r="P41" s="196">
        <f t="shared" si="0"/>
        <v>0</v>
      </c>
    </row>
    <row r="42" spans="1:16" x14ac:dyDescent="0.2">
      <c r="A42" s="196"/>
      <c r="P42" s="196">
        <f t="shared" si="0"/>
        <v>0</v>
      </c>
    </row>
    <row r="43" spans="1:16" x14ac:dyDescent="0.2">
      <c r="A43" s="196"/>
      <c r="P43" s="196">
        <f t="shared" si="0"/>
        <v>0</v>
      </c>
    </row>
    <row r="44" spans="1:16" x14ac:dyDescent="0.2">
      <c r="A44" s="196"/>
      <c r="P44" s="196">
        <f t="shared" si="0"/>
        <v>0</v>
      </c>
    </row>
    <row r="45" spans="1:16" x14ac:dyDescent="0.2">
      <c r="A45" s="196"/>
      <c r="P45" s="196"/>
    </row>
    <row r="46" spans="1:16" x14ac:dyDescent="0.2">
      <c r="A46" s="196"/>
      <c r="P46" s="196"/>
    </row>
    <row r="47" spans="1:16" x14ac:dyDescent="0.2">
      <c r="A47" s="196"/>
      <c r="P47" s="196"/>
    </row>
    <row r="48" spans="1:16" x14ac:dyDescent="0.2">
      <c r="A48" s="196"/>
      <c r="P48" s="196"/>
    </row>
    <row r="49" spans="1:16" x14ac:dyDescent="0.2">
      <c r="A49" s="196"/>
      <c r="P49" s="196"/>
    </row>
    <row r="50" spans="1:16" x14ac:dyDescent="0.2">
      <c r="A50" s="196"/>
      <c r="P50" s="196"/>
    </row>
    <row r="51" spans="1:16" x14ac:dyDescent="0.2">
      <c r="A51" s="196"/>
      <c r="P51" s="196"/>
    </row>
    <row r="52" spans="1:16" x14ac:dyDescent="0.2">
      <c r="A52" s="196"/>
      <c r="P52" s="196"/>
    </row>
    <row r="53" spans="1:16" x14ac:dyDescent="0.2">
      <c r="A53" s="196"/>
      <c r="P53" s="196"/>
    </row>
    <row r="54" spans="1:16" x14ac:dyDescent="0.2">
      <c r="A54" s="196"/>
      <c r="P54" s="196"/>
    </row>
    <row r="55" spans="1:16" x14ac:dyDescent="0.2">
      <c r="A55" s="196"/>
      <c r="P55" s="196"/>
    </row>
    <row r="56" spans="1:16" x14ac:dyDescent="0.2">
      <c r="A56" s="196"/>
      <c r="P56" s="196"/>
    </row>
    <row r="57" spans="1:16" x14ac:dyDescent="0.2">
      <c r="A57" s="196"/>
      <c r="P57" s="196"/>
    </row>
    <row r="58" spans="1:16" x14ac:dyDescent="0.2">
      <c r="A58" s="196"/>
      <c r="P58" s="196"/>
    </row>
    <row r="59" spans="1:16" x14ac:dyDescent="0.2">
      <c r="A59" s="196"/>
      <c r="P59" s="196"/>
    </row>
    <row r="60" spans="1:16" x14ac:dyDescent="0.2">
      <c r="A60" s="196"/>
      <c r="P60" s="196"/>
    </row>
    <row r="61" spans="1:16" x14ac:dyDescent="0.2">
      <c r="A61" s="196"/>
      <c r="P61" s="196"/>
    </row>
    <row r="62" spans="1:16" x14ac:dyDescent="0.2">
      <c r="A62" s="196"/>
      <c r="P62" s="196"/>
    </row>
    <row r="63" spans="1:16" x14ac:dyDescent="0.2">
      <c r="A63" s="196"/>
      <c r="P63" s="196"/>
    </row>
    <row r="64" spans="1:16" x14ac:dyDescent="0.2">
      <c r="A64" s="196"/>
      <c r="P64" s="196"/>
    </row>
    <row r="65" spans="1:16" x14ac:dyDescent="0.2">
      <c r="A65" s="196"/>
      <c r="P65" s="196"/>
    </row>
    <row r="66" spans="1:16" x14ac:dyDescent="0.2">
      <c r="A66" s="196"/>
      <c r="P66" s="196"/>
    </row>
    <row r="67" spans="1:16" x14ac:dyDescent="0.2">
      <c r="A67" s="196"/>
      <c r="P67" s="196"/>
    </row>
    <row r="68" spans="1:16" x14ac:dyDescent="0.2">
      <c r="A68" s="196"/>
      <c r="P68" s="196"/>
    </row>
    <row r="69" spans="1:16" x14ac:dyDescent="0.2">
      <c r="A69" s="196"/>
      <c r="P69" s="196"/>
    </row>
    <row r="70" spans="1:16" x14ac:dyDescent="0.2">
      <c r="A70" s="196"/>
      <c r="P70" s="196"/>
    </row>
    <row r="71" spans="1:16" x14ac:dyDescent="0.2">
      <c r="A71" s="196"/>
      <c r="P71" s="196"/>
    </row>
    <row r="72" spans="1:16" x14ac:dyDescent="0.2">
      <c r="A72" s="196"/>
      <c r="P72" s="196"/>
    </row>
    <row r="73" spans="1:16" x14ac:dyDescent="0.2">
      <c r="A73" s="196"/>
      <c r="P73" s="196"/>
    </row>
    <row r="74" spans="1:16" x14ac:dyDescent="0.2">
      <c r="A74" s="196"/>
      <c r="P74" s="196"/>
    </row>
    <row r="75" spans="1:16" x14ac:dyDescent="0.2">
      <c r="A75" s="196"/>
      <c r="P75" s="196"/>
    </row>
    <row r="76" spans="1:16" x14ac:dyDescent="0.2">
      <c r="A76" s="196"/>
      <c r="P76" s="196"/>
    </row>
    <row r="77" spans="1:16" x14ac:dyDescent="0.2">
      <c r="A77" s="196"/>
      <c r="P77" s="196"/>
    </row>
    <row r="78" spans="1:16" x14ac:dyDescent="0.2">
      <c r="A78" s="196"/>
      <c r="P78" s="196"/>
    </row>
    <row r="79" spans="1:16" x14ac:dyDescent="0.2">
      <c r="A79" s="196"/>
      <c r="P79" s="196"/>
    </row>
    <row r="80" spans="1:16" x14ac:dyDescent="0.2">
      <c r="A80" s="196"/>
      <c r="P80" s="196"/>
    </row>
    <row r="81" spans="1:16" x14ac:dyDescent="0.2">
      <c r="A81" s="196"/>
      <c r="P81" s="196"/>
    </row>
    <row r="82" spans="1:16" x14ac:dyDescent="0.2">
      <c r="A82" s="196"/>
      <c r="P82" s="196"/>
    </row>
    <row r="83" spans="1:16" x14ac:dyDescent="0.2">
      <c r="A83" s="196"/>
      <c r="P83" s="196"/>
    </row>
    <row r="84" spans="1:16" x14ac:dyDescent="0.2">
      <c r="A84" s="196"/>
      <c r="P84" s="196"/>
    </row>
    <row r="85" spans="1:16" x14ac:dyDescent="0.2">
      <c r="A85" s="196"/>
      <c r="P85" s="196"/>
    </row>
    <row r="86" spans="1:16" x14ac:dyDescent="0.2">
      <c r="A86" s="196"/>
      <c r="P86" s="196"/>
    </row>
    <row r="87" spans="1:16" x14ac:dyDescent="0.2">
      <c r="A87" s="196"/>
      <c r="P87" s="196"/>
    </row>
    <row r="88" spans="1:16" x14ac:dyDescent="0.2">
      <c r="A88" s="196"/>
      <c r="P88" s="196"/>
    </row>
    <row r="89" spans="1:16" x14ac:dyDescent="0.2">
      <c r="A89" s="196"/>
      <c r="P89" s="196"/>
    </row>
    <row r="90" spans="1:16" x14ac:dyDescent="0.2">
      <c r="A90" s="196"/>
      <c r="P90" s="196"/>
    </row>
    <row r="91" spans="1:16" x14ac:dyDescent="0.2">
      <c r="A91" s="196"/>
      <c r="P91" s="196"/>
    </row>
    <row r="92" spans="1:16" x14ac:dyDescent="0.2">
      <c r="A92" s="196"/>
      <c r="P92" s="196"/>
    </row>
    <row r="93" spans="1:16" x14ac:dyDescent="0.2">
      <c r="A93" s="196"/>
      <c r="P93" s="196"/>
    </row>
    <row r="94" spans="1:16" x14ac:dyDescent="0.2">
      <c r="A94" s="196"/>
      <c r="P94" s="196"/>
    </row>
    <row r="95" spans="1:16" x14ac:dyDescent="0.2">
      <c r="A95" s="196"/>
      <c r="P95" s="196"/>
    </row>
    <row r="96" spans="1:16" x14ac:dyDescent="0.2">
      <c r="A96" s="196"/>
      <c r="P96" s="196"/>
    </row>
    <row r="97" spans="1:16" x14ac:dyDescent="0.2">
      <c r="A97" s="196"/>
      <c r="P97" s="196"/>
    </row>
    <row r="98" spans="1:16" x14ac:dyDescent="0.2">
      <c r="A98" s="196"/>
      <c r="P98" s="196"/>
    </row>
    <row r="99" spans="1:16" x14ac:dyDescent="0.2">
      <c r="A99" s="196"/>
      <c r="P99" s="196"/>
    </row>
    <row r="100" spans="1:16" x14ac:dyDescent="0.2">
      <c r="A100" s="196"/>
      <c r="P100" s="196"/>
    </row>
    <row r="101" spans="1:16" x14ac:dyDescent="0.2">
      <c r="A101" s="196"/>
      <c r="P101" s="196"/>
    </row>
    <row r="102" spans="1:16" x14ac:dyDescent="0.2">
      <c r="A102" s="196"/>
      <c r="P102" s="196"/>
    </row>
    <row r="103" spans="1:16" x14ac:dyDescent="0.2">
      <c r="A103" s="196"/>
      <c r="P103" s="196"/>
    </row>
    <row r="104" spans="1:16" x14ac:dyDescent="0.2">
      <c r="A104" s="196"/>
      <c r="P104" s="196"/>
    </row>
    <row r="105" spans="1:16" x14ac:dyDescent="0.2">
      <c r="A105" s="196"/>
      <c r="P105" s="196"/>
    </row>
    <row r="106" spans="1:16" x14ac:dyDescent="0.2">
      <c r="A106" s="196"/>
      <c r="P106" s="196"/>
    </row>
    <row r="107" spans="1:16" x14ac:dyDescent="0.2">
      <c r="A107" s="196"/>
      <c r="P107" s="196"/>
    </row>
    <row r="108" spans="1:16" x14ac:dyDescent="0.2">
      <c r="A108" s="196"/>
      <c r="P108" s="196"/>
    </row>
    <row r="109" spans="1:16" x14ac:dyDescent="0.2">
      <c r="A109" s="196"/>
      <c r="P109" s="196"/>
    </row>
    <row r="110" spans="1:16" x14ac:dyDescent="0.2">
      <c r="A110" s="196"/>
      <c r="P110" s="196"/>
    </row>
    <row r="111" spans="1:16" x14ac:dyDescent="0.2">
      <c r="A111" s="196"/>
      <c r="P111" s="196"/>
    </row>
    <row r="112" spans="1:16" x14ac:dyDescent="0.2">
      <c r="A112" s="196"/>
      <c r="P112" s="196"/>
    </row>
    <row r="113" spans="1:16" x14ac:dyDescent="0.2">
      <c r="A113" s="196"/>
      <c r="P113" s="196"/>
    </row>
    <row r="114" spans="1:16" x14ac:dyDescent="0.2">
      <c r="A114" s="196"/>
      <c r="P114" s="196"/>
    </row>
    <row r="115" spans="1:16" x14ac:dyDescent="0.2">
      <c r="A115" s="196"/>
      <c r="P115" s="196"/>
    </row>
    <row r="116" spans="1:16" x14ac:dyDescent="0.2">
      <c r="A116" s="196"/>
      <c r="P116" s="196"/>
    </row>
    <row r="117" spans="1:16" x14ac:dyDescent="0.2">
      <c r="A117" s="196"/>
      <c r="P117" s="196"/>
    </row>
    <row r="118" spans="1:16" x14ac:dyDescent="0.2">
      <c r="A118" s="196"/>
      <c r="P118" s="196"/>
    </row>
    <row r="119" spans="1:16" x14ac:dyDescent="0.2">
      <c r="A119" s="196"/>
      <c r="P119" s="196"/>
    </row>
    <row r="120" spans="1:16" x14ac:dyDescent="0.2">
      <c r="A120" s="196"/>
      <c r="P120" s="196"/>
    </row>
    <row r="121" spans="1:16" x14ac:dyDescent="0.2">
      <c r="A121" s="196"/>
      <c r="P121" s="196"/>
    </row>
    <row r="122" spans="1:16" x14ac:dyDescent="0.2">
      <c r="A122" s="196"/>
      <c r="P122" s="196"/>
    </row>
    <row r="123" spans="1:16" x14ac:dyDescent="0.2">
      <c r="A123" s="196"/>
      <c r="P123" s="196"/>
    </row>
    <row r="124" spans="1:16" x14ac:dyDescent="0.2">
      <c r="A124" s="196"/>
      <c r="P124" s="196"/>
    </row>
    <row r="125" spans="1:16" x14ac:dyDescent="0.2">
      <c r="A125" s="196"/>
      <c r="P125" s="196"/>
    </row>
    <row r="126" spans="1:16" x14ac:dyDescent="0.2">
      <c r="A126" s="196"/>
      <c r="P126" s="196"/>
    </row>
    <row r="127" spans="1:16" x14ac:dyDescent="0.2">
      <c r="A127" s="196"/>
      <c r="P127" s="196"/>
    </row>
    <row r="128" spans="1:16" x14ac:dyDescent="0.2">
      <c r="A128" s="196"/>
      <c r="P128" s="196"/>
    </row>
    <row r="129" spans="1:16" x14ac:dyDescent="0.2">
      <c r="A129" s="196"/>
      <c r="P129" s="196"/>
    </row>
    <row r="130" spans="1:16" x14ac:dyDescent="0.2">
      <c r="A130" s="196"/>
      <c r="P130" s="196"/>
    </row>
    <row r="131" spans="1:16" x14ac:dyDescent="0.2">
      <c r="A131" s="196"/>
      <c r="P131" s="196"/>
    </row>
    <row r="132" spans="1:16" x14ac:dyDescent="0.2">
      <c r="A132" s="196"/>
      <c r="P132" s="196"/>
    </row>
    <row r="133" spans="1:16" x14ac:dyDescent="0.2">
      <c r="A133" s="196"/>
      <c r="P133" s="196"/>
    </row>
    <row r="134" spans="1:16" x14ac:dyDescent="0.2">
      <c r="A134" s="196"/>
      <c r="P134" s="196"/>
    </row>
    <row r="135" spans="1:16" x14ac:dyDescent="0.2">
      <c r="A135" s="196"/>
      <c r="P135" s="196"/>
    </row>
    <row r="136" spans="1:16" x14ac:dyDescent="0.2">
      <c r="A136" s="196"/>
      <c r="P136" s="196"/>
    </row>
    <row r="137" spans="1:16" x14ac:dyDescent="0.2">
      <c r="A137" s="196"/>
      <c r="P137" s="196"/>
    </row>
    <row r="138" spans="1:16" x14ac:dyDescent="0.2">
      <c r="A138" s="196"/>
      <c r="P138" s="196"/>
    </row>
    <row r="139" spans="1:16" x14ac:dyDescent="0.2">
      <c r="A139" s="196"/>
      <c r="P139" s="196"/>
    </row>
    <row r="140" spans="1:16" x14ac:dyDescent="0.2">
      <c r="A140" s="196"/>
      <c r="P140" s="196"/>
    </row>
    <row r="141" spans="1:16" x14ac:dyDescent="0.2">
      <c r="A141" s="196"/>
      <c r="P141" s="196"/>
    </row>
    <row r="142" spans="1:16" x14ac:dyDescent="0.2">
      <c r="A142" s="196"/>
      <c r="P142" s="196"/>
    </row>
    <row r="143" spans="1:16" x14ac:dyDescent="0.2">
      <c r="A143" s="196"/>
      <c r="P143" s="196"/>
    </row>
    <row r="144" spans="1:16" x14ac:dyDescent="0.2">
      <c r="A144" s="196"/>
      <c r="P144" s="196"/>
    </row>
    <row r="145" spans="1:16" x14ac:dyDescent="0.2">
      <c r="A145" s="196"/>
      <c r="P145" s="196"/>
    </row>
    <row r="146" spans="1:16" x14ac:dyDescent="0.2">
      <c r="A146" s="196"/>
      <c r="P146" s="196"/>
    </row>
    <row r="147" spans="1:16" x14ac:dyDescent="0.2">
      <c r="A147" s="196"/>
      <c r="P147" s="196"/>
    </row>
    <row r="148" spans="1:16" x14ac:dyDescent="0.2">
      <c r="A148" s="196"/>
      <c r="P148" s="196"/>
    </row>
    <row r="149" spans="1:16" x14ac:dyDescent="0.2">
      <c r="A149" s="196"/>
      <c r="P149" s="196"/>
    </row>
    <row r="150" spans="1:16" x14ac:dyDescent="0.2">
      <c r="A150" s="196"/>
      <c r="P150" s="196"/>
    </row>
    <row r="151" spans="1:16" x14ac:dyDescent="0.2">
      <c r="A151" s="196"/>
      <c r="P151" s="196"/>
    </row>
    <row r="152" spans="1:16" x14ac:dyDescent="0.2">
      <c r="A152" s="196"/>
      <c r="P152" s="196"/>
    </row>
    <row r="153" spans="1:16" x14ac:dyDescent="0.2">
      <c r="A153" s="196"/>
      <c r="P153" s="196"/>
    </row>
    <row r="154" spans="1:16" x14ac:dyDescent="0.2">
      <c r="A154" s="196"/>
      <c r="P154" s="196"/>
    </row>
    <row r="155" spans="1:16" x14ac:dyDescent="0.2">
      <c r="A155" s="196"/>
      <c r="P155" s="196"/>
    </row>
    <row r="156" spans="1:16" x14ac:dyDescent="0.2">
      <c r="A156" s="196"/>
      <c r="P156" s="196"/>
    </row>
    <row r="157" spans="1:16" x14ac:dyDescent="0.2">
      <c r="A157" s="196"/>
      <c r="P157" s="196"/>
    </row>
    <row r="158" spans="1:16" x14ac:dyDescent="0.2">
      <c r="A158" s="196"/>
      <c r="P158" s="196"/>
    </row>
    <row r="159" spans="1:16" x14ac:dyDescent="0.2">
      <c r="A159" s="196"/>
      <c r="P159" s="196"/>
    </row>
    <row r="160" spans="1:16" x14ac:dyDescent="0.2">
      <c r="A160" s="196"/>
      <c r="P160" s="196"/>
    </row>
    <row r="161" spans="1:16" x14ac:dyDescent="0.2">
      <c r="A161" s="196"/>
      <c r="P161" s="196"/>
    </row>
    <row r="162" spans="1:16" x14ac:dyDescent="0.2">
      <c r="A162" s="196"/>
      <c r="P162" s="196"/>
    </row>
    <row r="163" spans="1:16" x14ac:dyDescent="0.2">
      <c r="A163" s="196"/>
      <c r="P163" s="196"/>
    </row>
    <row r="164" spans="1:16" x14ac:dyDescent="0.2">
      <c r="A164" s="196"/>
      <c r="P164" s="196"/>
    </row>
    <row r="165" spans="1:16" x14ac:dyDescent="0.2">
      <c r="A165" s="196"/>
      <c r="P165" s="196"/>
    </row>
    <row r="166" spans="1:16" x14ac:dyDescent="0.2">
      <c r="A166" s="196"/>
      <c r="P166" s="196"/>
    </row>
    <row r="167" spans="1:16" x14ac:dyDescent="0.2">
      <c r="A167" s="196"/>
      <c r="P167" s="196"/>
    </row>
    <row r="168" spans="1:16" x14ac:dyDescent="0.2">
      <c r="A168" s="196"/>
      <c r="P168" s="196"/>
    </row>
    <row r="169" spans="1:16" x14ac:dyDescent="0.2">
      <c r="A169" s="196"/>
      <c r="P169" s="196"/>
    </row>
    <row r="170" spans="1:16" x14ac:dyDescent="0.2">
      <c r="A170" s="196"/>
      <c r="P170" s="196"/>
    </row>
    <row r="171" spans="1:16" x14ac:dyDescent="0.2">
      <c r="A171" s="196"/>
      <c r="P171" s="196"/>
    </row>
    <row r="172" spans="1:16" x14ac:dyDescent="0.2">
      <c r="A172" s="196"/>
      <c r="P172" s="196"/>
    </row>
    <row r="173" spans="1:16" x14ac:dyDescent="0.2">
      <c r="A173" s="196"/>
      <c r="P173" s="196"/>
    </row>
    <row r="174" spans="1:16" x14ac:dyDescent="0.2">
      <c r="A174" s="196"/>
      <c r="P174" s="196"/>
    </row>
    <row r="175" spans="1:16" x14ac:dyDescent="0.2">
      <c r="A175" s="196"/>
      <c r="P175" s="196"/>
    </row>
    <row r="176" spans="1:16" x14ac:dyDescent="0.2">
      <c r="A176" s="196"/>
      <c r="P176" s="196"/>
    </row>
    <row r="177" spans="1:16" x14ac:dyDescent="0.2">
      <c r="A177" s="196"/>
      <c r="P177" s="196"/>
    </row>
    <row r="178" spans="1:16" x14ac:dyDescent="0.2">
      <c r="A178" s="196"/>
      <c r="P178" s="196"/>
    </row>
    <row r="179" spans="1:16" x14ac:dyDescent="0.2">
      <c r="A179" s="196"/>
      <c r="P179" s="196"/>
    </row>
    <row r="180" spans="1:16" x14ac:dyDescent="0.2">
      <c r="A180" s="196"/>
      <c r="P180" s="196"/>
    </row>
    <row r="181" spans="1:16" x14ac:dyDescent="0.2">
      <c r="A181" s="196"/>
      <c r="P181" s="196"/>
    </row>
    <row r="182" spans="1:16" x14ac:dyDescent="0.2">
      <c r="A182" s="196"/>
      <c r="P182" s="196"/>
    </row>
    <row r="183" spans="1:16" x14ac:dyDescent="0.2">
      <c r="A183" s="196"/>
      <c r="P183" s="196"/>
    </row>
    <row r="184" spans="1:16" x14ac:dyDescent="0.2">
      <c r="A184" s="196"/>
      <c r="P184" s="196"/>
    </row>
    <row r="185" spans="1:16" x14ac:dyDescent="0.2">
      <c r="A185" s="196"/>
      <c r="P185" s="196"/>
    </row>
    <row r="186" spans="1:16" x14ac:dyDescent="0.2">
      <c r="A186" s="196"/>
      <c r="P186" s="196"/>
    </row>
    <row r="187" spans="1:16" x14ac:dyDescent="0.2">
      <c r="A187" s="196"/>
      <c r="P187" s="196"/>
    </row>
    <row r="188" spans="1:16" x14ac:dyDescent="0.2">
      <c r="A188" s="196"/>
      <c r="P188" s="196"/>
    </row>
    <row r="189" spans="1:16" x14ac:dyDescent="0.2">
      <c r="A189" s="196"/>
      <c r="P189" s="196"/>
    </row>
    <row r="190" spans="1:16" x14ac:dyDescent="0.2">
      <c r="A190" s="196"/>
      <c r="P190" s="196"/>
    </row>
    <row r="191" spans="1:16" x14ac:dyDescent="0.2">
      <c r="A191" s="196"/>
      <c r="P191" s="196"/>
    </row>
    <row r="192" spans="1:16" x14ac:dyDescent="0.2">
      <c r="A192" s="196"/>
      <c r="P192" s="196"/>
    </row>
    <row r="193" spans="1:16" x14ac:dyDescent="0.2">
      <c r="A193" s="196"/>
      <c r="P193" s="196"/>
    </row>
    <row r="194" spans="1:16" x14ac:dyDescent="0.2">
      <c r="A194" s="196"/>
      <c r="P194" s="196"/>
    </row>
    <row r="195" spans="1:16" x14ac:dyDescent="0.2">
      <c r="A195" s="196"/>
      <c r="P195" s="196"/>
    </row>
    <row r="196" spans="1:16" x14ac:dyDescent="0.2">
      <c r="A196" s="196"/>
      <c r="P196" s="196"/>
    </row>
    <row r="197" spans="1:16" x14ac:dyDescent="0.2">
      <c r="A197" s="196"/>
      <c r="P197" s="196"/>
    </row>
    <row r="198" spans="1:16" x14ac:dyDescent="0.2">
      <c r="A198" s="196"/>
      <c r="P198" s="196"/>
    </row>
    <row r="199" spans="1:16" x14ac:dyDescent="0.2">
      <c r="A199" s="196"/>
      <c r="P199" s="196"/>
    </row>
    <row r="200" spans="1:16" x14ac:dyDescent="0.2">
      <c r="A200" s="196"/>
      <c r="P200" s="196"/>
    </row>
    <row r="201" spans="1:16" x14ac:dyDescent="0.2">
      <c r="A201" s="196"/>
      <c r="P201" s="196"/>
    </row>
    <row r="202" spans="1:16" x14ac:dyDescent="0.2">
      <c r="A202" s="196"/>
      <c r="P202" s="196"/>
    </row>
    <row r="203" spans="1:16" x14ac:dyDescent="0.2">
      <c r="A203" s="196"/>
      <c r="P203" s="196"/>
    </row>
    <row r="204" spans="1:16" x14ac:dyDescent="0.2">
      <c r="A204" s="196"/>
      <c r="P204" s="196"/>
    </row>
    <row r="205" spans="1:16" x14ac:dyDescent="0.2">
      <c r="A205" s="196"/>
      <c r="P205" s="196"/>
    </row>
    <row r="206" spans="1:16" x14ac:dyDescent="0.2">
      <c r="A206" s="196"/>
      <c r="P206" s="196"/>
    </row>
    <row r="207" spans="1:16" x14ac:dyDescent="0.2">
      <c r="A207" s="196"/>
      <c r="P207" s="196"/>
    </row>
    <row r="208" spans="1:16" x14ac:dyDescent="0.2">
      <c r="A208" s="196"/>
      <c r="P208" s="196"/>
    </row>
    <row r="209" spans="1:16" x14ac:dyDescent="0.2">
      <c r="A209" s="196"/>
      <c r="P209" s="196"/>
    </row>
    <row r="210" spans="1:16" x14ac:dyDescent="0.2">
      <c r="A210" s="196"/>
      <c r="P210" s="196"/>
    </row>
    <row r="211" spans="1:16" x14ac:dyDescent="0.2">
      <c r="A211" s="196"/>
      <c r="P211" s="196"/>
    </row>
    <row r="212" spans="1:16" x14ac:dyDescent="0.2">
      <c r="A212" s="196"/>
      <c r="P212" s="196"/>
    </row>
    <row r="213" spans="1:16" x14ac:dyDescent="0.2">
      <c r="A213" s="196"/>
      <c r="P213" s="196"/>
    </row>
    <row r="214" spans="1:16" x14ac:dyDescent="0.2">
      <c r="A214" s="196"/>
      <c r="P214" s="196"/>
    </row>
    <row r="215" spans="1:16" x14ac:dyDescent="0.2">
      <c r="A215" s="196"/>
      <c r="P215" s="196"/>
    </row>
    <row r="216" spans="1:16" x14ac:dyDescent="0.2">
      <c r="A216" s="196"/>
      <c r="P216" s="196"/>
    </row>
    <row r="217" spans="1:16" x14ac:dyDescent="0.2">
      <c r="A217" s="196"/>
      <c r="P217" s="196"/>
    </row>
    <row r="218" spans="1:16" x14ac:dyDescent="0.2">
      <c r="A218" s="196"/>
      <c r="P218" s="196"/>
    </row>
    <row r="219" spans="1:16" x14ac:dyDescent="0.2">
      <c r="A219" s="196"/>
      <c r="P219" s="196"/>
    </row>
    <row r="220" spans="1:16" x14ac:dyDescent="0.2">
      <c r="A220" s="196"/>
      <c r="P220" s="196"/>
    </row>
    <row r="221" spans="1:16" x14ac:dyDescent="0.2">
      <c r="A221" s="196"/>
      <c r="P221" s="196"/>
    </row>
    <row r="222" spans="1:16" x14ac:dyDescent="0.2">
      <c r="A222" s="196"/>
      <c r="P222" s="196"/>
    </row>
    <row r="223" spans="1:16" x14ac:dyDescent="0.2">
      <c r="A223" s="196"/>
      <c r="P223" s="196"/>
    </row>
    <row r="224" spans="1:16" x14ac:dyDescent="0.2">
      <c r="A224" s="196"/>
      <c r="P224" s="196"/>
    </row>
    <row r="225" spans="1:16" x14ac:dyDescent="0.2">
      <c r="A225" s="196"/>
      <c r="P225" s="196"/>
    </row>
    <row r="226" spans="1:16" x14ac:dyDescent="0.2">
      <c r="A226" s="196"/>
      <c r="P226" s="196"/>
    </row>
    <row r="227" spans="1:16" x14ac:dyDescent="0.2">
      <c r="A227" s="196"/>
      <c r="P227" s="196"/>
    </row>
    <row r="228" spans="1:16" x14ac:dyDescent="0.2">
      <c r="A228" s="196"/>
      <c r="P228" s="196"/>
    </row>
    <row r="229" spans="1:16" x14ac:dyDescent="0.2">
      <c r="A229" s="196"/>
      <c r="P229" s="196"/>
    </row>
    <row r="230" spans="1:16" x14ac:dyDescent="0.2">
      <c r="A230" s="196"/>
      <c r="P230" s="196"/>
    </row>
    <row r="231" spans="1:16" x14ac:dyDescent="0.2">
      <c r="A231" s="196"/>
      <c r="P231" s="196"/>
    </row>
    <row r="232" spans="1:16" x14ac:dyDescent="0.2">
      <c r="A232" s="196"/>
      <c r="P232" s="196"/>
    </row>
    <row r="233" spans="1:16" x14ac:dyDescent="0.2">
      <c r="A233" s="196"/>
      <c r="P233" s="196"/>
    </row>
    <row r="234" spans="1:16" x14ac:dyDescent="0.2">
      <c r="A234" s="196"/>
      <c r="P234" s="196"/>
    </row>
    <row r="235" spans="1:16" x14ac:dyDescent="0.2">
      <c r="A235" s="196"/>
      <c r="P235" s="196"/>
    </row>
    <row r="236" spans="1:16" x14ac:dyDescent="0.2">
      <c r="A236" s="196"/>
      <c r="P236" s="196"/>
    </row>
    <row r="237" spans="1:16" x14ac:dyDescent="0.2">
      <c r="A237" s="196"/>
      <c r="P237" s="196"/>
    </row>
    <row r="238" spans="1:16" x14ac:dyDescent="0.2">
      <c r="A238" s="196"/>
      <c r="P238" s="196"/>
    </row>
    <row r="239" spans="1:16" x14ac:dyDescent="0.2">
      <c r="A239" s="196"/>
      <c r="P239" s="196"/>
    </row>
    <row r="240" spans="1:16" x14ac:dyDescent="0.2">
      <c r="A240" s="196"/>
      <c r="P240" s="196"/>
    </row>
    <row r="241" spans="1:16" x14ac:dyDescent="0.2">
      <c r="A241" s="196"/>
      <c r="P241" s="196"/>
    </row>
    <row r="242" spans="1:16" x14ac:dyDescent="0.2">
      <c r="A242" s="196"/>
      <c r="P242" s="196"/>
    </row>
    <row r="243" spans="1:16" x14ac:dyDescent="0.2">
      <c r="A243" s="196"/>
      <c r="P243" s="196"/>
    </row>
    <row r="244" spans="1:16" x14ac:dyDescent="0.2">
      <c r="A244" s="196"/>
      <c r="P244" s="196"/>
    </row>
    <row r="245" spans="1:16" x14ac:dyDescent="0.2">
      <c r="A245" s="196"/>
      <c r="P245" s="196"/>
    </row>
    <row r="246" spans="1:16" x14ac:dyDescent="0.2">
      <c r="A246" s="196"/>
      <c r="P246" s="196"/>
    </row>
    <row r="247" spans="1:16" x14ac:dyDescent="0.2">
      <c r="A247" s="196"/>
      <c r="P247" s="196"/>
    </row>
    <row r="248" spans="1:16" x14ac:dyDescent="0.2">
      <c r="A248" s="196"/>
      <c r="P248" s="196"/>
    </row>
    <row r="249" spans="1:16" x14ac:dyDescent="0.2">
      <c r="A249" s="196"/>
      <c r="P249" s="196"/>
    </row>
    <row r="250" spans="1:16" x14ac:dyDescent="0.2">
      <c r="A250" s="196"/>
      <c r="P250" s="196"/>
    </row>
    <row r="251" spans="1:16" x14ac:dyDescent="0.2">
      <c r="A251" s="196"/>
      <c r="P251" s="196"/>
    </row>
    <row r="252" spans="1:16" x14ac:dyDescent="0.2">
      <c r="A252" s="196"/>
      <c r="P252" s="196"/>
    </row>
    <row r="253" spans="1:16" x14ac:dyDescent="0.2">
      <c r="A253" s="196"/>
      <c r="P253" s="196"/>
    </row>
    <row r="254" spans="1:16" x14ac:dyDescent="0.2">
      <c r="A254" s="196"/>
      <c r="P254" s="196"/>
    </row>
    <row r="255" spans="1:16" x14ac:dyDescent="0.2">
      <c r="A255" s="196"/>
      <c r="P255" s="196"/>
    </row>
    <row r="256" spans="1:16" x14ac:dyDescent="0.2">
      <c r="A256" s="196"/>
      <c r="P256" s="196"/>
    </row>
    <row r="257" spans="1:16" x14ac:dyDescent="0.2">
      <c r="A257" s="196"/>
      <c r="P257" s="196"/>
    </row>
    <row r="258" spans="1:16" x14ac:dyDescent="0.2">
      <c r="A258" s="196"/>
      <c r="P258" s="196"/>
    </row>
    <row r="259" spans="1:16" x14ac:dyDescent="0.2">
      <c r="A259" s="196"/>
      <c r="P259" s="196"/>
    </row>
    <row r="260" spans="1:16" x14ac:dyDescent="0.2">
      <c r="A260" s="196"/>
      <c r="P260" s="196"/>
    </row>
    <row r="261" spans="1:16" x14ac:dyDescent="0.2">
      <c r="A261" s="196"/>
      <c r="P261" s="196"/>
    </row>
    <row r="262" spans="1:16" x14ac:dyDescent="0.2">
      <c r="A262" s="196"/>
      <c r="P262" s="196"/>
    </row>
    <row r="263" spans="1:16" x14ac:dyDescent="0.2">
      <c r="A263" s="196"/>
      <c r="P263" s="196"/>
    </row>
    <row r="264" spans="1:16" x14ac:dyDescent="0.2">
      <c r="A264" s="196"/>
      <c r="P264" s="196"/>
    </row>
    <row r="265" spans="1:16" x14ac:dyDescent="0.2">
      <c r="A265" s="196"/>
      <c r="P265" s="196"/>
    </row>
    <row r="266" spans="1:16" x14ac:dyDescent="0.2">
      <c r="A266" s="196"/>
      <c r="P266" s="196"/>
    </row>
    <row r="267" spans="1:16" x14ac:dyDescent="0.2">
      <c r="A267" s="196"/>
      <c r="P267" s="196"/>
    </row>
    <row r="268" spans="1:16" x14ac:dyDescent="0.2">
      <c r="A268" s="196"/>
      <c r="P268" s="196"/>
    </row>
    <row r="269" spans="1:16" x14ac:dyDescent="0.2">
      <c r="A269" s="196"/>
      <c r="P269" s="196"/>
    </row>
    <row r="270" spans="1:16" x14ac:dyDescent="0.2">
      <c r="A270" s="196"/>
      <c r="P270" s="196"/>
    </row>
    <row r="271" spans="1:16" x14ac:dyDescent="0.2">
      <c r="A271" s="196"/>
      <c r="P271" s="196"/>
    </row>
    <row r="272" spans="1:16" x14ac:dyDescent="0.2">
      <c r="A272" s="196"/>
      <c r="P272" s="196"/>
    </row>
    <row r="273" spans="1:16" x14ac:dyDescent="0.2">
      <c r="A273" s="196"/>
      <c r="P273" s="196"/>
    </row>
    <row r="274" spans="1:16" x14ac:dyDescent="0.2">
      <c r="A274" s="196"/>
      <c r="P274" s="196"/>
    </row>
    <row r="275" spans="1:16" x14ac:dyDescent="0.2">
      <c r="A275" s="196"/>
      <c r="P275" s="196"/>
    </row>
    <row r="276" spans="1:16" x14ac:dyDescent="0.2">
      <c r="A276" s="196"/>
      <c r="P276" s="196"/>
    </row>
    <row r="277" spans="1:16" x14ac:dyDescent="0.2">
      <c r="A277" s="196"/>
      <c r="P277" s="196"/>
    </row>
    <row r="278" spans="1:16" x14ac:dyDescent="0.2">
      <c r="A278" s="196"/>
      <c r="P278" s="196"/>
    </row>
    <row r="279" spans="1:16" x14ac:dyDescent="0.2">
      <c r="A279" s="196"/>
      <c r="P279" s="196"/>
    </row>
    <row r="280" spans="1:16" x14ac:dyDescent="0.2">
      <c r="A280" s="196"/>
      <c r="P280" s="196"/>
    </row>
    <row r="281" spans="1:16" x14ac:dyDescent="0.2">
      <c r="A281" s="196"/>
      <c r="P281" s="196"/>
    </row>
    <row r="282" spans="1:16" x14ac:dyDescent="0.2">
      <c r="A282" s="196"/>
      <c r="P282" s="196"/>
    </row>
    <row r="283" spans="1:16" x14ac:dyDescent="0.2">
      <c r="A283" s="196"/>
      <c r="P283" s="196"/>
    </row>
    <row r="284" spans="1:16" x14ac:dyDescent="0.2">
      <c r="A284" s="196"/>
      <c r="P284" s="196"/>
    </row>
    <row r="285" spans="1:16" x14ac:dyDescent="0.2">
      <c r="A285" s="196"/>
      <c r="P285" s="196"/>
    </row>
    <row r="286" spans="1:16" x14ac:dyDescent="0.2">
      <c r="A286" s="196"/>
      <c r="P286" s="196"/>
    </row>
    <row r="287" spans="1:16" x14ac:dyDescent="0.2">
      <c r="A287" s="196"/>
      <c r="P287" s="196"/>
    </row>
    <row r="288" spans="1:16" x14ac:dyDescent="0.2">
      <c r="A288" s="196"/>
      <c r="P288" s="196"/>
    </row>
    <row r="289" spans="1:16" x14ac:dyDescent="0.2">
      <c r="A289" s="196"/>
      <c r="P289" s="196"/>
    </row>
    <row r="290" spans="1:16" x14ac:dyDescent="0.2">
      <c r="A290" s="196"/>
      <c r="P290" s="196"/>
    </row>
    <row r="291" spans="1:16" x14ac:dyDescent="0.2">
      <c r="A291" s="196"/>
      <c r="P291" s="196"/>
    </row>
    <row r="292" spans="1:16" x14ac:dyDescent="0.2">
      <c r="A292" s="196"/>
      <c r="P292" s="196"/>
    </row>
    <row r="293" spans="1:16" x14ac:dyDescent="0.2">
      <c r="A293" s="196"/>
      <c r="P293" s="196"/>
    </row>
    <row r="294" spans="1:16" x14ac:dyDescent="0.2">
      <c r="A294" s="196"/>
      <c r="P294" s="196"/>
    </row>
    <row r="295" spans="1:16" x14ac:dyDescent="0.2">
      <c r="A295" s="196"/>
      <c r="P295" s="196"/>
    </row>
    <row r="296" spans="1:16" x14ac:dyDescent="0.2">
      <c r="A296" s="196"/>
      <c r="P296" s="196"/>
    </row>
    <row r="297" spans="1:16" x14ac:dyDescent="0.2">
      <c r="A297" s="196"/>
      <c r="P297" s="196"/>
    </row>
    <row r="298" spans="1:16" x14ac:dyDescent="0.2">
      <c r="A298" s="196"/>
      <c r="P298" s="196"/>
    </row>
    <row r="299" spans="1:16" x14ac:dyDescent="0.2">
      <c r="A299" s="196"/>
      <c r="P299" s="196"/>
    </row>
    <row r="300" spans="1:16" x14ac:dyDescent="0.2">
      <c r="A300" s="196"/>
      <c r="P300" s="196"/>
    </row>
    <row r="301" spans="1:16" x14ac:dyDescent="0.2">
      <c r="A301" s="196"/>
      <c r="P301" s="196"/>
    </row>
    <row r="302" spans="1:16" x14ac:dyDescent="0.2">
      <c r="A302" s="196"/>
      <c r="P302" s="196"/>
    </row>
    <row r="303" spans="1:16" x14ac:dyDescent="0.2">
      <c r="A303" s="196"/>
      <c r="P303" s="196"/>
    </row>
    <row r="304" spans="1:16" x14ac:dyDescent="0.2">
      <c r="A304" s="196"/>
      <c r="P304" s="196"/>
    </row>
    <row r="305" spans="1:16" x14ac:dyDescent="0.2">
      <c r="A305" s="196"/>
      <c r="P305" s="196"/>
    </row>
    <row r="306" spans="1:16" x14ac:dyDescent="0.2">
      <c r="A306" s="196"/>
      <c r="P306" s="196"/>
    </row>
    <row r="307" spans="1:16" x14ac:dyDescent="0.2">
      <c r="A307" s="196"/>
      <c r="P307" s="196"/>
    </row>
    <row r="308" spans="1:16" x14ac:dyDescent="0.2">
      <c r="A308" s="196"/>
      <c r="P308" s="196"/>
    </row>
    <row r="309" spans="1:16" x14ac:dyDescent="0.2">
      <c r="A309" s="196"/>
      <c r="P309" s="196"/>
    </row>
    <row r="310" spans="1:16" x14ac:dyDescent="0.2">
      <c r="A310" s="196"/>
      <c r="P310" s="196"/>
    </row>
    <row r="311" spans="1:16" x14ac:dyDescent="0.2">
      <c r="A311" s="196"/>
      <c r="P311" s="196"/>
    </row>
    <row r="312" spans="1:16" x14ac:dyDescent="0.2">
      <c r="A312" s="196"/>
      <c r="P312" s="196"/>
    </row>
    <row r="313" spans="1:16" x14ac:dyDescent="0.2">
      <c r="A313" s="196"/>
      <c r="P313" s="196"/>
    </row>
    <row r="314" spans="1:16" x14ac:dyDescent="0.2">
      <c r="A314" s="196"/>
      <c r="P314" s="196"/>
    </row>
    <row r="315" spans="1:16" x14ac:dyDescent="0.2">
      <c r="A315" s="196"/>
      <c r="P315" s="196"/>
    </row>
    <row r="316" spans="1:16" x14ac:dyDescent="0.2">
      <c r="A316" s="196"/>
      <c r="P316" s="196"/>
    </row>
    <row r="317" spans="1:16" x14ac:dyDescent="0.2">
      <c r="A317" s="196"/>
      <c r="P317" s="196"/>
    </row>
    <row r="318" spans="1:16" x14ac:dyDescent="0.2">
      <c r="A318" s="196"/>
      <c r="P318" s="196"/>
    </row>
    <row r="319" spans="1:16" x14ac:dyDescent="0.2">
      <c r="A319" s="196"/>
      <c r="P319" s="196"/>
    </row>
    <row r="320" spans="1:16" x14ac:dyDescent="0.2">
      <c r="A320" s="196"/>
      <c r="P320" s="196"/>
    </row>
    <row r="321" spans="1:16" x14ac:dyDescent="0.2">
      <c r="A321" s="196"/>
      <c r="P321" s="196"/>
    </row>
    <row r="322" spans="1:16" x14ac:dyDescent="0.2">
      <c r="A322" s="196"/>
      <c r="P322" s="196"/>
    </row>
    <row r="323" spans="1:16" x14ac:dyDescent="0.2">
      <c r="A323" s="196"/>
      <c r="P323" s="196"/>
    </row>
    <row r="324" spans="1:16" x14ac:dyDescent="0.2">
      <c r="A324" s="196"/>
      <c r="P324" s="196"/>
    </row>
    <row r="325" spans="1:16" x14ac:dyDescent="0.2">
      <c r="A325" s="196"/>
      <c r="P325" s="196"/>
    </row>
    <row r="326" spans="1:16" x14ac:dyDescent="0.2">
      <c r="A326" s="196"/>
      <c r="P326" s="196"/>
    </row>
    <row r="327" spans="1:16" x14ac:dyDescent="0.2">
      <c r="A327" s="196"/>
      <c r="P327" s="196"/>
    </row>
    <row r="328" spans="1:16" x14ac:dyDescent="0.2">
      <c r="A328" s="196"/>
      <c r="P328" s="196"/>
    </row>
    <row r="329" spans="1:16" x14ac:dyDescent="0.2">
      <c r="A329" s="196"/>
      <c r="P329" s="196"/>
    </row>
    <row r="330" spans="1:16" x14ac:dyDescent="0.2">
      <c r="A330" s="196"/>
      <c r="P330" s="196"/>
    </row>
    <row r="331" spans="1:16" x14ac:dyDescent="0.2">
      <c r="A331" s="196"/>
      <c r="P331" s="196"/>
    </row>
    <row r="332" spans="1:16" x14ac:dyDescent="0.2">
      <c r="A332" s="196"/>
      <c r="P332" s="196"/>
    </row>
    <row r="333" spans="1:16" x14ac:dyDescent="0.2">
      <c r="A333" s="196"/>
      <c r="P333" s="196"/>
    </row>
    <row r="334" spans="1:16" x14ac:dyDescent="0.2">
      <c r="A334" s="196"/>
      <c r="P334" s="196"/>
    </row>
    <row r="335" spans="1:16" x14ac:dyDescent="0.2">
      <c r="A335" s="196"/>
      <c r="P335" s="196"/>
    </row>
    <row r="336" spans="1:16" x14ac:dyDescent="0.2">
      <c r="A336" s="196"/>
      <c r="P336" s="196"/>
    </row>
    <row r="337" spans="1:16" x14ac:dyDescent="0.2">
      <c r="A337" s="196"/>
      <c r="P337" s="196"/>
    </row>
    <row r="338" spans="1:16" x14ac:dyDescent="0.2">
      <c r="A338" s="196"/>
      <c r="P338" s="196"/>
    </row>
    <row r="339" spans="1:16" x14ac:dyDescent="0.2">
      <c r="A339" s="196"/>
      <c r="P339" s="196"/>
    </row>
    <row r="340" spans="1:16" x14ac:dyDescent="0.2">
      <c r="A340" s="196"/>
      <c r="P340" s="196"/>
    </row>
    <row r="341" spans="1:16" x14ac:dyDescent="0.2">
      <c r="A341" s="196"/>
      <c r="P341" s="196"/>
    </row>
    <row r="342" spans="1:16" x14ac:dyDescent="0.2">
      <c r="A342" s="196"/>
      <c r="P342" s="196"/>
    </row>
    <row r="343" spans="1:16" x14ac:dyDescent="0.2">
      <c r="A343" s="196"/>
      <c r="P343" s="196"/>
    </row>
    <row r="344" spans="1:16" x14ac:dyDescent="0.2">
      <c r="A344" s="196"/>
      <c r="P344" s="196"/>
    </row>
    <row r="345" spans="1:16" x14ac:dyDescent="0.2">
      <c r="A345" s="196"/>
      <c r="P345" s="196"/>
    </row>
    <row r="346" spans="1:16" x14ac:dyDescent="0.2">
      <c r="A346" s="196"/>
      <c r="P346" s="196"/>
    </row>
    <row r="347" spans="1:16" x14ac:dyDescent="0.2">
      <c r="A347" s="196"/>
      <c r="P347" s="196"/>
    </row>
    <row r="348" spans="1:16" x14ac:dyDescent="0.2">
      <c r="A348" s="196"/>
      <c r="P348" s="196"/>
    </row>
    <row r="349" spans="1:16" x14ac:dyDescent="0.2">
      <c r="A349" s="196"/>
      <c r="P349" s="196"/>
    </row>
    <row r="350" spans="1:16" x14ac:dyDescent="0.2">
      <c r="A350" s="196"/>
      <c r="P350" s="196"/>
    </row>
    <row r="351" spans="1:16" x14ac:dyDescent="0.2">
      <c r="A351" s="196"/>
      <c r="P351" s="196"/>
    </row>
    <row r="352" spans="1:16" x14ac:dyDescent="0.2">
      <c r="A352" s="196"/>
      <c r="P352" s="196"/>
    </row>
    <row r="353" spans="1:16" x14ac:dyDescent="0.2">
      <c r="A353" s="196"/>
      <c r="P353" s="196"/>
    </row>
    <row r="354" spans="1:16" x14ac:dyDescent="0.2">
      <c r="A354" s="196"/>
      <c r="P354" s="196"/>
    </row>
    <row r="355" spans="1:16" x14ac:dyDescent="0.2">
      <c r="A355" s="196"/>
      <c r="P355" s="196"/>
    </row>
    <row r="356" spans="1:16" x14ac:dyDescent="0.2">
      <c r="A356" s="196"/>
      <c r="P356" s="196"/>
    </row>
    <row r="357" spans="1:16" x14ac:dyDescent="0.2">
      <c r="A357" s="196"/>
      <c r="P357" s="196"/>
    </row>
    <row r="358" spans="1:16" x14ac:dyDescent="0.2">
      <c r="A358" s="196"/>
      <c r="P358" s="196"/>
    </row>
    <row r="359" spans="1:16" x14ac:dyDescent="0.2">
      <c r="A359" s="196"/>
      <c r="P359" s="196"/>
    </row>
    <row r="360" spans="1:16" x14ac:dyDescent="0.2">
      <c r="A360" s="196"/>
      <c r="P360" s="196"/>
    </row>
    <row r="361" spans="1:16" x14ac:dyDescent="0.2">
      <c r="A361" s="196"/>
      <c r="P361" s="196"/>
    </row>
    <row r="362" spans="1:16" x14ac:dyDescent="0.2">
      <c r="A362" s="196"/>
      <c r="P362" s="196"/>
    </row>
    <row r="363" spans="1:16" x14ac:dyDescent="0.2">
      <c r="A363" s="196"/>
      <c r="P363" s="196"/>
    </row>
    <row r="364" spans="1:16" x14ac:dyDescent="0.2">
      <c r="A364" s="196"/>
      <c r="P364" s="196"/>
    </row>
    <row r="365" spans="1:16" x14ac:dyDescent="0.2">
      <c r="A365" s="196"/>
      <c r="P365" s="196"/>
    </row>
    <row r="366" spans="1:16" x14ac:dyDescent="0.2">
      <c r="A366" s="196"/>
      <c r="P366" s="196"/>
    </row>
    <row r="367" spans="1:16" x14ac:dyDescent="0.2">
      <c r="A367" s="196"/>
      <c r="P367" s="196"/>
    </row>
    <row r="368" spans="1:16" x14ac:dyDescent="0.2">
      <c r="A368" s="196"/>
      <c r="P368" s="196"/>
    </row>
    <row r="369" spans="1:16" x14ac:dyDescent="0.2">
      <c r="A369" s="196"/>
      <c r="P369" s="196"/>
    </row>
    <row r="370" spans="1:16" x14ac:dyDescent="0.2">
      <c r="A370" s="196"/>
      <c r="P370" s="196"/>
    </row>
    <row r="371" spans="1:16" x14ac:dyDescent="0.2">
      <c r="A371" s="196"/>
      <c r="P371" s="196"/>
    </row>
    <row r="372" spans="1:16" x14ac:dyDescent="0.2">
      <c r="A372" s="196"/>
      <c r="P372" s="196"/>
    </row>
    <row r="373" spans="1:16" x14ac:dyDescent="0.2">
      <c r="A373" s="196"/>
      <c r="P373" s="196"/>
    </row>
    <row r="374" spans="1:16" x14ac:dyDescent="0.2">
      <c r="A374" s="196"/>
    </row>
    <row r="375" spans="1:16" x14ac:dyDescent="0.2">
      <c r="A375" s="196"/>
    </row>
    <row r="376" spans="1:16" x14ac:dyDescent="0.2">
      <c r="A376" s="196"/>
    </row>
    <row r="377" spans="1:16" x14ac:dyDescent="0.2">
      <c r="A377" s="196"/>
    </row>
    <row r="378" spans="1:16" x14ac:dyDescent="0.2">
      <c r="A378" s="196"/>
    </row>
    <row r="379" spans="1:16" x14ac:dyDescent="0.2">
      <c r="A379" s="196"/>
    </row>
    <row r="380" spans="1:16" x14ac:dyDescent="0.2">
      <c r="A380" s="196"/>
    </row>
    <row r="381" spans="1:16" x14ac:dyDescent="0.2">
      <c r="A381" s="196"/>
    </row>
    <row r="382" spans="1:16" x14ac:dyDescent="0.2">
      <c r="A382" s="196"/>
    </row>
    <row r="383" spans="1:16" x14ac:dyDescent="0.2">
      <c r="A383" s="196"/>
    </row>
    <row r="384" spans="1:16" x14ac:dyDescent="0.2">
      <c r="A384" s="196"/>
    </row>
    <row r="385" spans="1:1" x14ac:dyDescent="0.2">
      <c r="A385" s="196"/>
    </row>
    <row r="386" spans="1:1" x14ac:dyDescent="0.2">
      <c r="A386" s="196"/>
    </row>
    <row r="387" spans="1:1" x14ac:dyDescent="0.2">
      <c r="A387" s="196"/>
    </row>
    <row r="388" spans="1:1" x14ac:dyDescent="0.2">
      <c r="A388" s="196"/>
    </row>
    <row r="389" spans="1:1" x14ac:dyDescent="0.2">
      <c r="A389" s="196"/>
    </row>
    <row r="390" spans="1:1" x14ac:dyDescent="0.2">
      <c r="A390" s="196"/>
    </row>
    <row r="391" spans="1:1" x14ac:dyDescent="0.2">
      <c r="A391" s="196"/>
    </row>
    <row r="392" spans="1:1" x14ac:dyDescent="0.2">
      <c r="A392" s="196"/>
    </row>
    <row r="393" spans="1:1" x14ac:dyDescent="0.2">
      <c r="A393" s="196"/>
    </row>
    <row r="394" spans="1:1" x14ac:dyDescent="0.2">
      <c r="A394" s="196"/>
    </row>
    <row r="395" spans="1:1" x14ac:dyDescent="0.2">
      <c r="A395" s="196"/>
    </row>
    <row r="396" spans="1:1" x14ac:dyDescent="0.2">
      <c r="A396" s="196"/>
    </row>
    <row r="397" spans="1:1" x14ac:dyDescent="0.2">
      <c r="A397" s="196"/>
    </row>
    <row r="398" spans="1:1" x14ac:dyDescent="0.2">
      <c r="A398" s="196"/>
    </row>
    <row r="399" spans="1:1" x14ac:dyDescent="0.2">
      <c r="A399" s="196"/>
    </row>
    <row r="400" spans="1:1" x14ac:dyDescent="0.2">
      <c r="A400" s="196"/>
    </row>
    <row r="401" spans="1:1" x14ac:dyDescent="0.2">
      <c r="A401" s="196"/>
    </row>
    <row r="402" spans="1:1" x14ac:dyDescent="0.2">
      <c r="A402" s="196"/>
    </row>
    <row r="403" spans="1:1" x14ac:dyDescent="0.2">
      <c r="A403" s="196"/>
    </row>
    <row r="404" spans="1:1" x14ac:dyDescent="0.2">
      <c r="A404" s="196"/>
    </row>
    <row r="405" spans="1:1" x14ac:dyDescent="0.2">
      <c r="A405" s="196"/>
    </row>
    <row r="406" spans="1:1" x14ac:dyDescent="0.2">
      <c r="A406" s="196"/>
    </row>
    <row r="407" spans="1:1" x14ac:dyDescent="0.2">
      <c r="A407" s="196"/>
    </row>
    <row r="408" spans="1:1" x14ac:dyDescent="0.2">
      <c r="A408" s="196"/>
    </row>
    <row r="409" spans="1:1" x14ac:dyDescent="0.2">
      <c r="A409" s="196"/>
    </row>
    <row r="410" spans="1:1" x14ac:dyDescent="0.2">
      <c r="A410" s="196"/>
    </row>
    <row r="411" spans="1:1" x14ac:dyDescent="0.2">
      <c r="A411" s="196"/>
    </row>
    <row r="412" spans="1:1" x14ac:dyDescent="0.2">
      <c r="A412" s="196"/>
    </row>
    <row r="413" spans="1:1" x14ac:dyDescent="0.2">
      <c r="A413" s="196"/>
    </row>
    <row r="414" spans="1:1" x14ac:dyDescent="0.2">
      <c r="A414" s="196"/>
    </row>
    <row r="415" spans="1:1" x14ac:dyDescent="0.2">
      <c r="A415" s="196"/>
    </row>
    <row r="416" spans="1:1" x14ac:dyDescent="0.2">
      <c r="A416" s="196"/>
    </row>
    <row r="417" spans="1:1" x14ac:dyDescent="0.2">
      <c r="A417" s="196"/>
    </row>
    <row r="418" spans="1:1" x14ac:dyDescent="0.2">
      <c r="A418" s="196"/>
    </row>
    <row r="419" spans="1:1" x14ac:dyDescent="0.2">
      <c r="A419" s="196"/>
    </row>
    <row r="420" spans="1:1" x14ac:dyDescent="0.2">
      <c r="A420" s="196"/>
    </row>
    <row r="421" spans="1:1" x14ac:dyDescent="0.2">
      <c r="A421" s="196"/>
    </row>
    <row r="422" spans="1:1" x14ac:dyDescent="0.2">
      <c r="A422" s="196"/>
    </row>
    <row r="423" spans="1:1" x14ac:dyDescent="0.2">
      <c r="A423" s="196"/>
    </row>
    <row r="424" spans="1:1" x14ac:dyDescent="0.2">
      <c r="A424" s="196"/>
    </row>
    <row r="425" spans="1:1" x14ac:dyDescent="0.2">
      <c r="A425" s="196"/>
    </row>
    <row r="426" spans="1:1" x14ac:dyDescent="0.2">
      <c r="A426" s="196"/>
    </row>
    <row r="427" spans="1:1" x14ac:dyDescent="0.2">
      <c r="A427" s="196"/>
    </row>
    <row r="428" spans="1:1" x14ac:dyDescent="0.2">
      <c r="A428" s="196"/>
    </row>
    <row r="429" spans="1:1" x14ac:dyDescent="0.2">
      <c r="A429" s="196"/>
    </row>
    <row r="430" spans="1:1" x14ac:dyDescent="0.2">
      <c r="A430" s="196"/>
    </row>
    <row r="431" spans="1:1" x14ac:dyDescent="0.2">
      <c r="A431" s="196"/>
    </row>
    <row r="432" spans="1:1" x14ac:dyDescent="0.2">
      <c r="A432" s="196"/>
    </row>
    <row r="433" spans="1:1" x14ac:dyDescent="0.2">
      <c r="A433" s="196"/>
    </row>
    <row r="434" spans="1:1" x14ac:dyDescent="0.2">
      <c r="A434" s="196"/>
    </row>
    <row r="435" spans="1:1" x14ac:dyDescent="0.2">
      <c r="A435" s="196"/>
    </row>
    <row r="436" spans="1:1" x14ac:dyDescent="0.2">
      <c r="A436" s="196"/>
    </row>
    <row r="437" spans="1:1" x14ac:dyDescent="0.2">
      <c r="A437" s="196"/>
    </row>
    <row r="438" spans="1:1" x14ac:dyDescent="0.2">
      <c r="A438" s="196"/>
    </row>
    <row r="439" spans="1:1" x14ac:dyDescent="0.2">
      <c r="A439" s="196"/>
    </row>
    <row r="440" spans="1:1" x14ac:dyDescent="0.2">
      <c r="A440" s="196"/>
    </row>
    <row r="441" spans="1:1" x14ac:dyDescent="0.2">
      <c r="A441" s="196"/>
    </row>
    <row r="442" spans="1:1" x14ac:dyDescent="0.2">
      <c r="A442" s="196"/>
    </row>
    <row r="443" spans="1:1" x14ac:dyDescent="0.2">
      <c r="A443" s="196"/>
    </row>
    <row r="444" spans="1:1" x14ac:dyDescent="0.2">
      <c r="A444" s="196"/>
    </row>
    <row r="445" spans="1:1" x14ac:dyDescent="0.2">
      <c r="A445" s="196"/>
    </row>
    <row r="446" spans="1:1" x14ac:dyDescent="0.2">
      <c r="A446" s="196"/>
    </row>
    <row r="447" spans="1:1" x14ac:dyDescent="0.2">
      <c r="A447" s="196"/>
    </row>
    <row r="448" spans="1:1" x14ac:dyDescent="0.2">
      <c r="A448" s="196"/>
    </row>
    <row r="449" spans="1:1" x14ac:dyDescent="0.2">
      <c r="A449" s="196"/>
    </row>
    <row r="450" spans="1:1" x14ac:dyDescent="0.2">
      <c r="A450" s="196"/>
    </row>
    <row r="451" spans="1:1" x14ac:dyDescent="0.2">
      <c r="A451" s="196"/>
    </row>
    <row r="452" spans="1:1" x14ac:dyDescent="0.2">
      <c r="A452" s="196"/>
    </row>
    <row r="453" spans="1:1" x14ac:dyDescent="0.2">
      <c r="A453" s="196"/>
    </row>
    <row r="454" spans="1:1" x14ac:dyDescent="0.2">
      <c r="A454" s="196"/>
    </row>
    <row r="455" spans="1:1" x14ac:dyDescent="0.2">
      <c r="A455" s="196"/>
    </row>
    <row r="456" spans="1:1" x14ac:dyDescent="0.2">
      <c r="A456" s="196"/>
    </row>
    <row r="457" spans="1:1" x14ac:dyDescent="0.2">
      <c r="A457" s="196"/>
    </row>
    <row r="458" spans="1:1" x14ac:dyDescent="0.2">
      <c r="A458" s="196"/>
    </row>
    <row r="459" spans="1:1" x14ac:dyDescent="0.2">
      <c r="A459" s="196"/>
    </row>
    <row r="460" spans="1:1" x14ac:dyDescent="0.2">
      <c r="A460" s="196"/>
    </row>
    <row r="461" spans="1:1" x14ac:dyDescent="0.2">
      <c r="A461" s="196"/>
    </row>
    <row r="462" spans="1:1" x14ac:dyDescent="0.2">
      <c r="A462" s="196"/>
    </row>
    <row r="463" spans="1:1" x14ac:dyDescent="0.2">
      <c r="A463" s="196"/>
    </row>
    <row r="464" spans="1:1" x14ac:dyDescent="0.2">
      <c r="A464" s="196"/>
    </row>
    <row r="465" spans="1:1" x14ac:dyDescent="0.2">
      <c r="A465" s="196"/>
    </row>
    <row r="466" spans="1:1" x14ac:dyDescent="0.2">
      <c r="A466" s="196"/>
    </row>
    <row r="467" spans="1:1" x14ac:dyDescent="0.2">
      <c r="A467" s="196"/>
    </row>
    <row r="468" spans="1:1" x14ac:dyDescent="0.2">
      <c r="A468" s="196"/>
    </row>
    <row r="469" spans="1:1" x14ac:dyDescent="0.2">
      <c r="A469" s="196"/>
    </row>
    <row r="470" spans="1:1" x14ac:dyDescent="0.2">
      <c r="A470" s="196"/>
    </row>
    <row r="471" spans="1:1" x14ac:dyDescent="0.2">
      <c r="A471" s="196"/>
    </row>
    <row r="472" spans="1:1" x14ac:dyDescent="0.2">
      <c r="A472" s="196"/>
    </row>
    <row r="473" spans="1:1" x14ac:dyDescent="0.2">
      <c r="A473" s="196"/>
    </row>
  </sheetData>
  <sortState xmlns:xlrd2="http://schemas.microsoft.com/office/spreadsheetml/2017/richdata2" ref="A2:K44">
    <sortCondition descending="1" ref="A2:A44"/>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5">
    <tabColor theme="9" tint="-0.249977111117893"/>
  </sheetPr>
  <dimension ref="A8:O10"/>
  <sheetViews>
    <sheetView workbookViewId="0">
      <selection activeCell="K8" sqref="K8:O10"/>
    </sheetView>
  </sheetViews>
  <sheetFormatPr defaultRowHeight="12.75" x14ac:dyDescent="0.2"/>
  <sheetData>
    <row r="8" spans="1:15" x14ac:dyDescent="0.2">
      <c r="A8" t="s">
        <v>1201</v>
      </c>
      <c r="C8" s="216"/>
      <c r="D8" s="216"/>
      <c r="E8" s="216"/>
      <c r="F8" s="216"/>
      <c r="G8" s="216"/>
      <c r="I8" t="s">
        <v>1427</v>
      </c>
      <c r="K8" s="217"/>
      <c r="L8" s="217"/>
      <c r="M8" s="217"/>
      <c r="N8" s="217"/>
      <c r="O8" s="217"/>
    </row>
    <row r="9" spans="1:15" x14ac:dyDescent="0.2">
      <c r="C9" s="216"/>
      <c r="D9" s="216"/>
      <c r="E9" s="216"/>
      <c r="F9" s="216"/>
      <c r="G9" s="216"/>
      <c r="K9" s="217"/>
      <c r="L9" s="217"/>
      <c r="M9" s="217"/>
      <c r="N9" s="217"/>
      <c r="O9" s="217"/>
    </row>
    <row r="10" spans="1:15" x14ac:dyDescent="0.2">
      <c r="C10" s="216"/>
      <c r="D10" s="216"/>
      <c r="E10" s="216"/>
      <c r="F10" s="216"/>
      <c r="G10" s="216"/>
      <c r="K10" s="217"/>
      <c r="L10" s="217"/>
      <c r="M10" s="217"/>
      <c r="N10" s="217"/>
      <c r="O10" s="217"/>
    </row>
  </sheetData>
  <mergeCells count="2">
    <mergeCell ref="C8:G10"/>
    <mergeCell ref="K8:O10"/>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8">
    <tabColor theme="9" tint="-0.249977111117893"/>
  </sheetPr>
  <dimension ref="A1:J1"/>
  <sheetViews>
    <sheetView workbookViewId="0">
      <selection activeCell="F102" sqref="F102:AL102"/>
    </sheetView>
  </sheetViews>
  <sheetFormatPr defaultColWidth="12.7109375" defaultRowHeight="12.75" x14ac:dyDescent="0.2"/>
  <cols>
    <col min="1" max="1" width="16.140625" customWidth="1"/>
  </cols>
  <sheetData>
    <row r="1" spans="1:10" x14ac:dyDescent="0.2">
      <c r="A1" t="s">
        <v>144</v>
      </c>
      <c r="B1" t="s">
        <v>145</v>
      </c>
      <c r="C1" t="s">
        <v>23</v>
      </c>
      <c r="D1" t="s">
        <v>2960</v>
      </c>
      <c r="E1" t="s">
        <v>24</v>
      </c>
      <c r="F1" t="s">
        <v>25</v>
      </c>
      <c r="G1" t="s">
        <v>26</v>
      </c>
      <c r="H1" t="s">
        <v>60</v>
      </c>
      <c r="I1" t="s">
        <v>2961</v>
      </c>
      <c r="J1" t="s">
        <v>1495</v>
      </c>
    </row>
  </sheetData>
  <sortState xmlns:xlrd2="http://schemas.microsoft.com/office/spreadsheetml/2017/richdata2" ref="A3:J4">
    <sortCondition ref="A2"/>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1">
    <tabColor theme="9" tint="-0.249977111117893"/>
  </sheetPr>
  <dimension ref="A1:R471"/>
  <sheetViews>
    <sheetView showZeros="0" workbookViewId="0">
      <selection sqref="A1:A1048576"/>
    </sheetView>
  </sheetViews>
  <sheetFormatPr defaultRowHeight="12.75" x14ac:dyDescent="0.2"/>
  <cols>
    <col min="1" max="1" width="20.140625" style="190" customWidth="1"/>
    <col min="2" max="3" width="15.140625" customWidth="1"/>
    <col min="4" max="4" width="15.85546875" customWidth="1"/>
    <col min="5" max="5" width="11.7109375" customWidth="1"/>
    <col min="6" max="6" width="12.5703125" customWidth="1"/>
    <col min="10" max="10" width="24.7109375" customWidth="1"/>
    <col min="11" max="11" width="20.140625" customWidth="1"/>
    <col min="12" max="12" width="15.5703125" customWidth="1"/>
    <col min="13" max="13" width="12.140625" customWidth="1"/>
  </cols>
  <sheetData>
    <row r="1" spans="1:18" x14ac:dyDescent="0.2">
      <c r="A1" s="190" t="s">
        <v>1464</v>
      </c>
      <c r="B1" t="s">
        <v>1465</v>
      </c>
      <c r="C1" t="s">
        <v>1262</v>
      </c>
      <c r="J1" t="s">
        <v>3019</v>
      </c>
      <c r="K1" s="2">
        <f>A2</f>
        <v>0</v>
      </c>
      <c r="L1" s="2"/>
      <c r="M1" s="2" t="s">
        <v>1464</v>
      </c>
    </row>
    <row r="2" spans="1:18" x14ac:dyDescent="0.2">
      <c r="A2" s="196"/>
      <c r="B2" s="2"/>
      <c r="C2" s="2"/>
      <c r="E2" s="2">
        <f>Q4</f>
        <v>0</v>
      </c>
      <c r="G2" s="2"/>
      <c r="J2" s="2" t="s">
        <v>3025</v>
      </c>
      <c r="K2" s="2">
        <f>C2</f>
        <v>0</v>
      </c>
      <c r="L2" s="2"/>
      <c r="M2" s="2" t="s">
        <v>1262</v>
      </c>
    </row>
    <row r="3" spans="1:18" x14ac:dyDescent="0.2">
      <c r="A3" s="196"/>
      <c r="B3" s="2"/>
      <c r="C3" s="2"/>
      <c r="E3" s="2">
        <f t="shared" ref="E3:E8" si="0">Q5</f>
        <v>0</v>
      </c>
      <c r="F3" s="2"/>
      <c r="G3" s="2"/>
      <c r="J3" s="2"/>
      <c r="L3" s="2"/>
      <c r="M3" s="2"/>
      <c r="P3" t="s">
        <v>1264</v>
      </c>
      <c r="Q3" t="s">
        <v>1263</v>
      </c>
    </row>
    <row r="4" spans="1:18" x14ac:dyDescent="0.2">
      <c r="A4" s="196"/>
      <c r="B4" s="2"/>
      <c r="C4" s="2"/>
      <c r="E4" s="2">
        <f t="shared" si="0"/>
        <v>0</v>
      </c>
      <c r="F4" s="2"/>
      <c r="G4" s="2"/>
      <c r="J4" s="2"/>
      <c r="L4" s="2"/>
      <c r="O4" s="2"/>
      <c r="Q4" s="2"/>
      <c r="R4" s="2"/>
    </row>
    <row r="5" spans="1:18" x14ac:dyDescent="0.2">
      <c r="A5" s="196"/>
      <c r="B5" s="2"/>
      <c r="C5" s="2"/>
      <c r="E5" s="2">
        <f t="shared" si="0"/>
        <v>0</v>
      </c>
      <c r="F5" s="2"/>
      <c r="G5" s="2"/>
      <c r="J5" s="2"/>
      <c r="L5" s="2"/>
      <c r="O5" s="2"/>
      <c r="Q5" s="2"/>
      <c r="R5" s="2"/>
    </row>
    <row r="6" spans="1:18" x14ac:dyDescent="0.2">
      <c r="A6" s="196"/>
      <c r="B6" s="2"/>
      <c r="C6" s="2"/>
      <c r="E6" s="2">
        <f t="shared" si="0"/>
        <v>0</v>
      </c>
      <c r="F6" s="2"/>
      <c r="G6" s="2"/>
      <c r="J6" s="2"/>
      <c r="L6" s="2"/>
      <c r="Q6" s="2"/>
      <c r="R6" s="2"/>
    </row>
    <row r="7" spans="1:18" x14ac:dyDescent="0.2">
      <c r="A7" s="196"/>
      <c r="B7" s="2"/>
      <c r="C7" s="2"/>
      <c r="D7">
        <f t="shared" ref="D7:D8" si="1">P9</f>
        <v>0</v>
      </c>
      <c r="E7" s="2">
        <f t="shared" si="0"/>
        <v>0</v>
      </c>
      <c r="F7" s="2"/>
      <c r="G7" s="2"/>
      <c r="J7" s="2"/>
      <c r="K7" s="2"/>
      <c r="L7" s="2"/>
      <c r="Q7" s="2"/>
      <c r="R7" s="2"/>
    </row>
    <row r="8" spans="1:18" x14ac:dyDescent="0.2">
      <c r="A8" s="196"/>
      <c r="B8" s="2"/>
      <c r="C8" s="2"/>
      <c r="D8">
        <f t="shared" si="1"/>
        <v>0</v>
      </c>
      <c r="E8" s="2">
        <f t="shared" si="0"/>
        <v>0</v>
      </c>
      <c r="F8" s="2"/>
      <c r="G8" s="2"/>
      <c r="K8" s="2"/>
      <c r="L8" s="2"/>
      <c r="Q8" s="2"/>
      <c r="R8" s="2"/>
    </row>
    <row r="9" spans="1:18" x14ac:dyDescent="0.2">
      <c r="A9" s="196"/>
      <c r="C9" s="2"/>
      <c r="F9" s="2"/>
      <c r="K9" s="2"/>
      <c r="L9" s="2"/>
      <c r="Q9" s="2"/>
      <c r="R9" s="2"/>
    </row>
    <row r="10" spans="1:18" x14ac:dyDescent="0.2">
      <c r="A10" s="196"/>
      <c r="C10" s="2"/>
      <c r="F10" s="2"/>
      <c r="J10" s="2"/>
      <c r="K10" s="2"/>
      <c r="L10" s="2">
        <f>K10</f>
        <v>0</v>
      </c>
      <c r="Q10" s="2"/>
    </row>
    <row r="11" spans="1:18" x14ac:dyDescent="0.2">
      <c r="A11" s="196"/>
      <c r="F11" s="2"/>
      <c r="J11" s="2" t="s">
        <v>3243</v>
      </c>
      <c r="K11" s="2">
        <v>43497</v>
      </c>
      <c r="L11" s="2"/>
    </row>
    <row r="12" spans="1:18" x14ac:dyDescent="0.2">
      <c r="A12" s="196"/>
      <c r="F12" s="2"/>
      <c r="J12" s="2" t="s">
        <v>3244</v>
      </c>
      <c r="K12" s="2">
        <f>K2</f>
        <v>0</v>
      </c>
      <c r="L12" s="2"/>
    </row>
    <row r="13" spans="1:18" x14ac:dyDescent="0.2">
      <c r="A13" s="196"/>
      <c r="F13" s="2"/>
      <c r="L13" s="2"/>
    </row>
    <row r="14" spans="1:18" x14ac:dyDescent="0.2">
      <c r="A14" s="196"/>
      <c r="F14" s="2"/>
      <c r="J14" t="s">
        <v>3020</v>
      </c>
      <c r="K14" s="2"/>
      <c r="L14" s="2"/>
    </row>
    <row r="15" spans="1:18" x14ac:dyDescent="0.2">
      <c r="A15" s="196"/>
      <c r="F15" s="2"/>
      <c r="J15" s="2" t="s">
        <v>3021</v>
      </c>
      <c r="L15" s="2"/>
    </row>
    <row r="16" spans="1:18" x14ac:dyDescent="0.2">
      <c r="A16" s="196"/>
      <c r="F16" s="2"/>
      <c r="L16" s="2"/>
    </row>
    <row r="17" spans="1:15" x14ac:dyDescent="0.2">
      <c r="A17" s="196"/>
      <c r="F17" s="2"/>
      <c r="J17" t="s">
        <v>3022</v>
      </c>
      <c r="K17" s="2"/>
      <c r="L17" s="2"/>
    </row>
    <row r="18" spans="1:15" x14ac:dyDescent="0.2">
      <c r="A18" s="196"/>
      <c r="F18" s="2"/>
      <c r="J18" t="s">
        <v>3023</v>
      </c>
      <c r="L18" s="2"/>
    </row>
    <row r="19" spans="1:15" x14ac:dyDescent="0.2">
      <c r="A19" s="196"/>
      <c r="F19" s="2"/>
      <c r="L19" s="2"/>
    </row>
    <row r="20" spans="1:15" x14ac:dyDescent="0.2">
      <c r="A20" s="196"/>
      <c r="F20" s="2"/>
      <c r="J20" t="s">
        <v>3024</v>
      </c>
      <c r="L20" s="2"/>
      <c r="O20" t="s">
        <v>1162</v>
      </c>
    </row>
    <row r="21" spans="1:15" x14ac:dyDescent="0.2">
      <c r="A21" s="196"/>
      <c r="F21" s="2"/>
      <c r="K21" s="2"/>
      <c r="L21" s="2"/>
    </row>
    <row r="22" spans="1:15" x14ac:dyDescent="0.2">
      <c r="A22" s="196"/>
      <c r="F22" s="2"/>
      <c r="K22" s="2"/>
      <c r="L22" s="2"/>
    </row>
    <row r="23" spans="1:15" x14ac:dyDescent="0.2">
      <c r="A23" s="196"/>
      <c r="F23" s="2"/>
      <c r="K23" s="2"/>
      <c r="L23" s="2"/>
    </row>
    <row r="24" spans="1:15" x14ac:dyDescent="0.2">
      <c r="A24" s="196"/>
      <c r="F24" s="2"/>
      <c r="K24" s="2"/>
      <c r="L24" s="2"/>
    </row>
    <row r="25" spans="1:15" x14ac:dyDescent="0.2">
      <c r="A25" s="196"/>
      <c r="F25" s="2"/>
      <c r="K25" s="2"/>
      <c r="L25" s="2"/>
    </row>
    <row r="26" spans="1:15" x14ac:dyDescent="0.2">
      <c r="A26" s="196"/>
      <c r="F26" s="2"/>
      <c r="K26" s="2"/>
      <c r="L26" s="2"/>
    </row>
    <row r="27" spans="1:15" x14ac:dyDescent="0.2">
      <c r="A27" s="196"/>
      <c r="F27" s="2"/>
      <c r="K27" s="2"/>
      <c r="L27" s="2"/>
    </row>
    <row r="28" spans="1:15" x14ac:dyDescent="0.2">
      <c r="A28" s="196"/>
      <c r="F28" s="2"/>
      <c r="K28" s="2"/>
      <c r="L28" s="2"/>
    </row>
    <row r="29" spans="1:15" x14ac:dyDescent="0.2">
      <c r="A29" s="196"/>
      <c r="F29" s="2"/>
      <c r="K29" s="2"/>
      <c r="L29" s="2"/>
    </row>
    <row r="30" spans="1:15" x14ac:dyDescent="0.2">
      <c r="A30" s="196"/>
      <c r="F30" s="2"/>
      <c r="K30" s="2"/>
      <c r="L30" s="2"/>
    </row>
    <row r="31" spans="1:15" x14ac:dyDescent="0.2">
      <c r="A31" s="196"/>
      <c r="F31" s="2"/>
      <c r="K31" s="2"/>
      <c r="L31" s="2"/>
    </row>
    <row r="32" spans="1:15" x14ac:dyDescent="0.2">
      <c r="A32" s="196"/>
      <c r="F32" s="2"/>
      <c r="L32" s="2"/>
    </row>
    <row r="33" spans="1:12" x14ac:dyDescent="0.2">
      <c r="A33" s="196"/>
      <c r="F33" s="2"/>
      <c r="L33" s="2"/>
    </row>
    <row r="34" spans="1:12" x14ac:dyDescent="0.2">
      <c r="A34" s="196"/>
      <c r="F34" s="2"/>
      <c r="L34" s="2"/>
    </row>
    <row r="35" spans="1:12" x14ac:dyDescent="0.2">
      <c r="A35" s="196"/>
      <c r="F35" s="2"/>
      <c r="L35" s="2"/>
    </row>
    <row r="36" spans="1:12" x14ac:dyDescent="0.2">
      <c r="A36" s="196"/>
      <c r="F36" s="2"/>
      <c r="L36" s="2"/>
    </row>
    <row r="37" spans="1:12" x14ac:dyDescent="0.2">
      <c r="A37" s="196"/>
      <c r="F37" s="2"/>
      <c r="L37" s="2"/>
    </row>
    <row r="38" spans="1:12" x14ac:dyDescent="0.2">
      <c r="A38" s="196"/>
      <c r="L38" s="2"/>
    </row>
    <row r="39" spans="1:12" x14ac:dyDescent="0.2">
      <c r="A39" s="196"/>
    </row>
    <row r="40" spans="1:12" x14ac:dyDescent="0.2">
      <c r="A40" s="196"/>
    </row>
    <row r="41" spans="1:12" x14ac:dyDescent="0.2">
      <c r="A41" s="196"/>
    </row>
    <row r="42" spans="1:12" x14ac:dyDescent="0.2">
      <c r="A42" s="196"/>
    </row>
    <row r="43" spans="1:12" x14ac:dyDescent="0.2">
      <c r="A43" s="196"/>
    </row>
    <row r="44" spans="1:12" x14ac:dyDescent="0.2">
      <c r="A44" s="196"/>
    </row>
    <row r="45" spans="1:12" x14ac:dyDescent="0.2">
      <c r="A45" s="196"/>
    </row>
    <row r="46" spans="1:12" x14ac:dyDescent="0.2">
      <c r="A46" s="196"/>
    </row>
    <row r="47" spans="1:12" x14ac:dyDescent="0.2">
      <c r="A47" s="196"/>
    </row>
    <row r="48" spans="1:12" x14ac:dyDescent="0.2">
      <c r="A48" s="196"/>
    </row>
    <row r="49" spans="1:1" x14ac:dyDescent="0.2">
      <c r="A49" s="196"/>
    </row>
    <row r="50" spans="1:1" x14ac:dyDescent="0.2">
      <c r="A50" s="196"/>
    </row>
    <row r="51" spans="1:1" x14ac:dyDescent="0.2">
      <c r="A51" s="196"/>
    </row>
    <row r="52" spans="1:1" x14ac:dyDescent="0.2">
      <c r="A52" s="196"/>
    </row>
    <row r="53" spans="1:1" x14ac:dyDescent="0.2">
      <c r="A53" s="196"/>
    </row>
    <row r="54" spans="1:1" x14ac:dyDescent="0.2">
      <c r="A54" s="196"/>
    </row>
    <row r="55" spans="1:1" x14ac:dyDescent="0.2">
      <c r="A55" s="196"/>
    </row>
    <row r="56" spans="1:1" x14ac:dyDescent="0.2">
      <c r="A56" s="196"/>
    </row>
    <row r="57" spans="1:1" x14ac:dyDescent="0.2">
      <c r="A57" s="196"/>
    </row>
    <row r="58" spans="1:1" x14ac:dyDescent="0.2">
      <c r="A58" s="196"/>
    </row>
    <row r="59" spans="1:1" x14ac:dyDescent="0.2">
      <c r="A59" s="196"/>
    </row>
    <row r="60" spans="1:1" x14ac:dyDescent="0.2">
      <c r="A60" s="196"/>
    </row>
    <row r="61" spans="1:1" x14ac:dyDescent="0.2">
      <c r="A61" s="196"/>
    </row>
    <row r="62" spans="1:1" x14ac:dyDescent="0.2">
      <c r="A62" s="196"/>
    </row>
    <row r="63" spans="1:1" x14ac:dyDescent="0.2">
      <c r="A63" s="196"/>
    </row>
    <row r="64" spans="1:1" x14ac:dyDescent="0.2">
      <c r="A64" s="196"/>
    </row>
    <row r="65" spans="1:1" x14ac:dyDescent="0.2">
      <c r="A65" s="196"/>
    </row>
    <row r="66" spans="1:1" x14ac:dyDescent="0.2">
      <c r="A66" s="196"/>
    </row>
    <row r="67" spans="1:1" x14ac:dyDescent="0.2">
      <c r="A67" s="196"/>
    </row>
    <row r="68" spans="1:1" x14ac:dyDescent="0.2">
      <c r="A68" s="196"/>
    </row>
    <row r="69" spans="1:1" x14ac:dyDescent="0.2">
      <c r="A69" s="196"/>
    </row>
    <row r="70" spans="1:1" x14ac:dyDescent="0.2">
      <c r="A70" s="196"/>
    </row>
    <row r="71" spans="1:1" x14ac:dyDescent="0.2">
      <c r="A71" s="196"/>
    </row>
    <row r="72" spans="1:1" x14ac:dyDescent="0.2">
      <c r="A72" s="196"/>
    </row>
    <row r="73" spans="1:1" x14ac:dyDescent="0.2">
      <c r="A73" s="196"/>
    </row>
    <row r="74" spans="1:1" x14ac:dyDescent="0.2">
      <c r="A74" s="196"/>
    </row>
    <row r="75" spans="1:1" x14ac:dyDescent="0.2">
      <c r="A75" s="196"/>
    </row>
    <row r="76" spans="1:1" x14ac:dyDescent="0.2">
      <c r="A76" s="196"/>
    </row>
    <row r="77" spans="1:1" x14ac:dyDescent="0.2">
      <c r="A77" s="196"/>
    </row>
    <row r="78" spans="1:1" x14ac:dyDescent="0.2">
      <c r="A78" s="196"/>
    </row>
    <row r="79" spans="1:1" x14ac:dyDescent="0.2">
      <c r="A79" s="196"/>
    </row>
    <row r="80" spans="1:1" x14ac:dyDescent="0.2">
      <c r="A80" s="196"/>
    </row>
    <row r="81" spans="1:1" x14ac:dyDescent="0.2">
      <c r="A81" s="196"/>
    </row>
    <row r="82" spans="1:1" x14ac:dyDescent="0.2">
      <c r="A82" s="196"/>
    </row>
    <row r="83" spans="1:1" x14ac:dyDescent="0.2">
      <c r="A83" s="196"/>
    </row>
    <row r="84" spans="1:1" x14ac:dyDescent="0.2">
      <c r="A84" s="196"/>
    </row>
    <row r="85" spans="1:1" x14ac:dyDescent="0.2">
      <c r="A85" s="196"/>
    </row>
    <row r="86" spans="1:1" x14ac:dyDescent="0.2">
      <c r="A86" s="196"/>
    </row>
    <row r="87" spans="1:1" x14ac:dyDescent="0.2">
      <c r="A87" s="196"/>
    </row>
    <row r="88" spans="1:1" x14ac:dyDescent="0.2">
      <c r="A88" s="196"/>
    </row>
    <row r="89" spans="1:1" x14ac:dyDescent="0.2">
      <c r="A89" s="196"/>
    </row>
    <row r="90" spans="1:1" x14ac:dyDescent="0.2">
      <c r="A90" s="196"/>
    </row>
    <row r="91" spans="1:1" x14ac:dyDescent="0.2">
      <c r="A91" s="196"/>
    </row>
    <row r="92" spans="1:1" x14ac:dyDescent="0.2">
      <c r="A92" s="196"/>
    </row>
    <row r="93" spans="1:1" x14ac:dyDescent="0.2">
      <c r="A93" s="196"/>
    </row>
    <row r="94" spans="1:1" x14ac:dyDescent="0.2">
      <c r="A94" s="196"/>
    </row>
    <row r="95" spans="1:1" x14ac:dyDescent="0.2">
      <c r="A95" s="196"/>
    </row>
    <row r="96" spans="1:1" x14ac:dyDescent="0.2">
      <c r="A96" s="196"/>
    </row>
    <row r="97" spans="1:1" x14ac:dyDescent="0.2">
      <c r="A97" s="196"/>
    </row>
    <row r="98" spans="1:1" x14ac:dyDescent="0.2">
      <c r="A98" s="196"/>
    </row>
    <row r="99" spans="1:1" x14ac:dyDescent="0.2">
      <c r="A99" s="196"/>
    </row>
    <row r="100" spans="1:1" x14ac:dyDescent="0.2">
      <c r="A100" s="196"/>
    </row>
    <row r="101" spans="1:1" x14ac:dyDescent="0.2">
      <c r="A101" s="196"/>
    </row>
    <row r="102" spans="1:1" x14ac:dyDescent="0.2">
      <c r="A102" s="196"/>
    </row>
    <row r="103" spans="1:1" x14ac:dyDescent="0.2">
      <c r="A103" s="196"/>
    </row>
    <row r="104" spans="1:1" x14ac:dyDescent="0.2">
      <c r="A104" s="196"/>
    </row>
    <row r="105" spans="1:1" x14ac:dyDescent="0.2">
      <c r="A105" s="196"/>
    </row>
    <row r="106" spans="1:1" x14ac:dyDescent="0.2">
      <c r="A106" s="196"/>
    </row>
    <row r="107" spans="1:1" x14ac:dyDescent="0.2">
      <c r="A107" s="196"/>
    </row>
    <row r="108" spans="1:1" x14ac:dyDescent="0.2">
      <c r="A108" s="196"/>
    </row>
    <row r="109" spans="1:1" x14ac:dyDescent="0.2">
      <c r="A109" s="196"/>
    </row>
    <row r="110" spans="1:1" x14ac:dyDescent="0.2">
      <c r="A110" s="196"/>
    </row>
    <row r="111" spans="1:1" x14ac:dyDescent="0.2">
      <c r="A111" s="196"/>
    </row>
    <row r="112" spans="1:1" x14ac:dyDescent="0.2">
      <c r="A112" s="196"/>
    </row>
    <row r="113" spans="1:1" x14ac:dyDescent="0.2">
      <c r="A113" s="196"/>
    </row>
    <row r="114" spans="1:1" x14ac:dyDescent="0.2">
      <c r="A114" s="196"/>
    </row>
    <row r="115" spans="1:1" x14ac:dyDescent="0.2">
      <c r="A115" s="196"/>
    </row>
    <row r="116" spans="1:1" x14ac:dyDescent="0.2">
      <c r="A116" s="196"/>
    </row>
    <row r="117" spans="1:1" x14ac:dyDescent="0.2">
      <c r="A117" s="196"/>
    </row>
    <row r="118" spans="1:1" x14ac:dyDescent="0.2">
      <c r="A118" s="196"/>
    </row>
    <row r="119" spans="1:1" x14ac:dyDescent="0.2">
      <c r="A119" s="196"/>
    </row>
    <row r="120" spans="1:1" x14ac:dyDescent="0.2">
      <c r="A120" s="196"/>
    </row>
    <row r="121" spans="1:1" x14ac:dyDescent="0.2">
      <c r="A121" s="196"/>
    </row>
    <row r="122" spans="1:1" x14ac:dyDescent="0.2">
      <c r="A122" s="196"/>
    </row>
    <row r="123" spans="1:1" x14ac:dyDescent="0.2">
      <c r="A123" s="196"/>
    </row>
    <row r="124" spans="1:1" x14ac:dyDescent="0.2">
      <c r="A124" s="196"/>
    </row>
    <row r="125" spans="1:1" x14ac:dyDescent="0.2">
      <c r="A125" s="196"/>
    </row>
    <row r="126" spans="1:1" x14ac:dyDescent="0.2">
      <c r="A126" s="196"/>
    </row>
    <row r="127" spans="1:1" x14ac:dyDescent="0.2">
      <c r="A127" s="196"/>
    </row>
    <row r="128" spans="1:1" x14ac:dyDescent="0.2">
      <c r="A128" s="196"/>
    </row>
    <row r="129" spans="1:1" x14ac:dyDescent="0.2">
      <c r="A129" s="196"/>
    </row>
    <row r="130" spans="1:1" x14ac:dyDescent="0.2">
      <c r="A130" s="196"/>
    </row>
    <row r="131" spans="1:1" x14ac:dyDescent="0.2">
      <c r="A131" s="196"/>
    </row>
    <row r="132" spans="1:1" x14ac:dyDescent="0.2">
      <c r="A132" s="196"/>
    </row>
    <row r="133" spans="1:1" x14ac:dyDescent="0.2">
      <c r="A133" s="196"/>
    </row>
    <row r="134" spans="1:1" x14ac:dyDescent="0.2">
      <c r="A134" s="196"/>
    </row>
    <row r="135" spans="1:1" x14ac:dyDescent="0.2">
      <c r="A135" s="196"/>
    </row>
    <row r="136" spans="1:1" x14ac:dyDescent="0.2">
      <c r="A136" s="196"/>
    </row>
    <row r="137" spans="1:1" x14ac:dyDescent="0.2">
      <c r="A137" s="196"/>
    </row>
    <row r="138" spans="1:1" x14ac:dyDescent="0.2">
      <c r="A138" s="196"/>
    </row>
    <row r="139" spans="1:1" x14ac:dyDescent="0.2">
      <c r="A139" s="196"/>
    </row>
    <row r="140" spans="1:1" x14ac:dyDescent="0.2">
      <c r="A140" s="196"/>
    </row>
    <row r="141" spans="1:1" x14ac:dyDescent="0.2">
      <c r="A141" s="196"/>
    </row>
    <row r="142" spans="1:1" x14ac:dyDescent="0.2">
      <c r="A142" s="196"/>
    </row>
    <row r="143" spans="1:1" x14ac:dyDescent="0.2">
      <c r="A143" s="196"/>
    </row>
    <row r="144" spans="1:1" x14ac:dyDescent="0.2">
      <c r="A144" s="196"/>
    </row>
    <row r="145" spans="1:1" x14ac:dyDescent="0.2">
      <c r="A145" s="196"/>
    </row>
    <row r="146" spans="1:1" x14ac:dyDescent="0.2">
      <c r="A146" s="196"/>
    </row>
    <row r="147" spans="1:1" x14ac:dyDescent="0.2">
      <c r="A147" s="196"/>
    </row>
    <row r="148" spans="1:1" x14ac:dyDescent="0.2">
      <c r="A148" s="196"/>
    </row>
    <row r="149" spans="1:1" x14ac:dyDescent="0.2">
      <c r="A149" s="196"/>
    </row>
    <row r="150" spans="1:1" x14ac:dyDescent="0.2">
      <c r="A150" s="196"/>
    </row>
    <row r="151" spans="1:1" x14ac:dyDescent="0.2">
      <c r="A151" s="196"/>
    </row>
    <row r="152" spans="1:1" x14ac:dyDescent="0.2">
      <c r="A152" s="196"/>
    </row>
    <row r="153" spans="1:1" x14ac:dyDescent="0.2">
      <c r="A153" s="196"/>
    </row>
    <row r="154" spans="1:1" x14ac:dyDescent="0.2">
      <c r="A154" s="196"/>
    </row>
    <row r="155" spans="1:1" x14ac:dyDescent="0.2">
      <c r="A155" s="196"/>
    </row>
    <row r="156" spans="1:1" x14ac:dyDescent="0.2">
      <c r="A156" s="196"/>
    </row>
    <row r="157" spans="1:1" x14ac:dyDescent="0.2">
      <c r="A157" s="196"/>
    </row>
    <row r="158" spans="1:1" x14ac:dyDescent="0.2">
      <c r="A158" s="196"/>
    </row>
    <row r="159" spans="1:1" x14ac:dyDescent="0.2">
      <c r="A159" s="196"/>
    </row>
    <row r="160" spans="1:1" x14ac:dyDescent="0.2">
      <c r="A160" s="196"/>
    </row>
    <row r="161" spans="1:1" x14ac:dyDescent="0.2">
      <c r="A161" s="196"/>
    </row>
    <row r="162" spans="1:1" x14ac:dyDescent="0.2">
      <c r="A162" s="196"/>
    </row>
    <row r="163" spans="1:1" x14ac:dyDescent="0.2">
      <c r="A163" s="196"/>
    </row>
    <row r="164" spans="1:1" x14ac:dyDescent="0.2">
      <c r="A164" s="196"/>
    </row>
    <row r="165" spans="1:1" x14ac:dyDescent="0.2">
      <c r="A165" s="196"/>
    </row>
    <row r="166" spans="1:1" x14ac:dyDescent="0.2">
      <c r="A166" s="196"/>
    </row>
    <row r="167" spans="1:1" x14ac:dyDescent="0.2">
      <c r="A167" s="196"/>
    </row>
    <row r="168" spans="1:1" x14ac:dyDescent="0.2">
      <c r="A168" s="196"/>
    </row>
    <row r="169" spans="1:1" x14ac:dyDescent="0.2">
      <c r="A169" s="196"/>
    </row>
    <row r="170" spans="1:1" x14ac:dyDescent="0.2">
      <c r="A170" s="196"/>
    </row>
    <row r="171" spans="1:1" x14ac:dyDescent="0.2">
      <c r="A171" s="196"/>
    </row>
    <row r="172" spans="1:1" x14ac:dyDescent="0.2">
      <c r="A172" s="196"/>
    </row>
    <row r="173" spans="1:1" x14ac:dyDescent="0.2">
      <c r="A173" s="196"/>
    </row>
    <row r="174" spans="1:1" x14ac:dyDescent="0.2">
      <c r="A174" s="196"/>
    </row>
    <row r="175" spans="1:1" x14ac:dyDescent="0.2">
      <c r="A175" s="196"/>
    </row>
    <row r="176" spans="1:1" x14ac:dyDescent="0.2">
      <c r="A176" s="196"/>
    </row>
    <row r="177" spans="1:1" x14ac:dyDescent="0.2">
      <c r="A177" s="196"/>
    </row>
    <row r="178" spans="1:1" x14ac:dyDescent="0.2">
      <c r="A178" s="196"/>
    </row>
    <row r="179" spans="1:1" x14ac:dyDescent="0.2">
      <c r="A179" s="196"/>
    </row>
    <row r="180" spans="1:1" x14ac:dyDescent="0.2">
      <c r="A180" s="196"/>
    </row>
    <row r="181" spans="1:1" x14ac:dyDescent="0.2">
      <c r="A181" s="196"/>
    </row>
    <row r="182" spans="1:1" x14ac:dyDescent="0.2">
      <c r="A182" s="196"/>
    </row>
    <row r="183" spans="1:1" x14ac:dyDescent="0.2">
      <c r="A183" s="196"/>
    </row>
    <row r="184" spans="1:1" x14ac:dyDescent="0.2">
      <c r="A184" s="196"/>
    </row>
    <row r="185" spans="1:1" x14ac:dyDescent="0.2">
      <c r="A185" s="196"/>
    </row>
    <row r="186" spans="1:1" x14ac:dyDescent="0.2">
      <c r="A186" s="196"/>
    </row>
    <row r="187" spans="1:1" x14ac:dyDescent="0.2">
      <c r="A187" s="196"/>
    </row>
    <row r="188" spans="1:1" x14ac:dyDescent="0.2">
      <c r="A188" s="196"/>
    </row>
    <row r="189" spans="1:1" x14ac:dyDescent="0.2">
      <c r="A189" s="196"/>
    </row>
    <row r="190" spans="1:1" x14ac:dyDescent="0.2">
      <c r="A190" s="196"/>
    </row>
    <row r="191" spans="1:1" x14ac:dyDescent="0.2">
      <c r="A191" s="196"/>
    </row>
    <row r="192" spans="1:1" x14ac:dyDescent="0.2">
      <c r="A192" s="196"/>
    </row>
    <row r="193" spans="1:1" x14ac:dyDescent="0.2">
      <c r="A193" s="196"/>
    </row>
    <row r="194" spans="1:1" x14ac:dyDescent="0.2">
      <c r="A194" s="196"/>
    </row>
    <row r="195" spans="1:1" x14ac:dyDescent="0.2">
      <c r="A195" s="196"/>
    </row>
    <row r="196" spans="1:1" x14ac:dyDescent="0.2">
      <c r="A196" s="196"/>
    </row>
    <row r="197" spans="1:1" x14ac:dyDescent="0.2">
      <c r="A197" s="196"/>
    </row>
    <row r="198" spans="1:1" x14ac:dyDescent="0.2">
      <c r="A198" s="196"/>
    </row>
    <row r="199" spans="1:1" x14ac:dyDescent="0.2">
      <c r="A199" s="196"/>
    </row>
    <row r="200" spans="1:1" x14ac:dyDescent="0.2">
      <c r="A200" s="196"/>
    </row>
    <row r="201" spans="1:1" x14ac:dyDescent="0.2">
      <c r="A201" s="196"/>
    </row>
    <row r="202" spans="1:1" x14ac:dyDescent="0.2">
      <c r="A202" s="196"/>
    </row>
    <row r="203" spans="1:1" x14ac:dyDescent="0.2">
      <c r="A203" s="196"/>
    </row>
    <row r="204" spans="1:1" x14ac:dyDescent="0.2">
      <c r="A204" s="196"/>
    </row>
    <row r="205" spans="1:1" x14ac:dyDescent="0.2">
      <c r="A205" s="196"/>
    </row>
    <row r="206" spans="1:1" x14ac:dyDescent="0.2">
      <c r="A206" s="196"/>
    </row>
    <row r="207" spans="1:1" x14ac:dyDescent="0.2">
      <c r="A207" s="196"/>
    </row>
    <row r="208" spans="1:1" x14ac:dyDescent="0.2">
      <c r="A208" s="196"/>
    </row>
    <row r="209" spans="1:1" x14ac:dyDescent="0.2">
      <c r="A209" s="196"/>
    </row>
    <row r="210" spans="1:1" x14ac:dyDescent="0.2">
      <c r="A210" s="196"/>
    </row>
    <row r="211" spans="1:1" x14ac:dyDescent="0.2">
      <c r="A211" s="196"/>
    </row>
    <row r="212" spans="1:1" x14ac:dyDescent="0.2">
      <c r="A212" s="196"/>
    </row>
    <row r="213" spans="1:1" x14ac:dyDescent="0.2">
      <c r="A213" s="196"/>
    </row>
    <row r="214" spans="1:1" x14ac:dyDescent="0.2">
      <c r="A214" s="196"/>
    </row>
    <row r="215" spans="1:1" x14ac:dyDescent="0.2">
      <c r="A215" s="196"/>
    </row>
    <row r="216" spans="1:1" x14ac:dyDescent="0.2">
      <c r="A216" s="196"/>
    </row>
    <row r="217" spans="1:1" x14ac:dyDescent="0.2">
      <c r="A217" s="196"/>
    </row>
    <row r="218" spans="1:1" x14ac:dyDescent="0.2">
      <c r="A218" s="196"/>
    </row>
    <row r="219" spans="1:1" x14ac:dyDescent="0.2">
      <c r="A219" s="196"/>
    </row>
    <row r="220" spans="1:1" x14ac:dyDescent="0.2">
      <c r="A220" s="196"/>
    </row>
    <row r="221" spans="1:1" x14ac:dyDescent="0.2">
      <c r="A221" s="196"/>
    </row>
    <row r="222" spans="1:1" x14ac:dyDescent="0.2">
      <c r="A222" s="196"/>
    </row>
    <row r="223" spans="1:1" x14ac:dyDescent="0.2">
      <c r="A223" s="196"/>
    </row>
    <row r="224" spans="1:1" x14ac:dyDescent="0.2">
      <c r="A224" s="196"/>
    </row>
    <row r="225" spans="1:1" x14ac:dyDescent="0.2">
      <c r="A225" s="196"/>
    </row>
    <row r="226" spans="1:1" x14ac:dyDescent="0.2">
      <c r="A226" s="196"/>
    </row>
    <row r="227" spans="1:1" x14ac:dyDescent="0.2">
      <c r="A227" s="196"/>
    </row>
    <row r="228" spans="1:1" x14ac:dyDescent="0.2">
      <c r="A228" s="196"/>
    </row>
    <row r="229" spans="1:1" x14ac:dyDescent="0.2">
      <c r="A229" s="196"/>
    </row>
    <row r="230" spans="1:1" x14ac:dyDescent="0.2">
      <c r="A230" s="196"/>
    </row>
    <row r="231" spans="1:1" x14ac:dyDescent="0.2">
      <c r="A231" s="196"/>
    </row>
    <row r="232" spans="1:1" x14ac:dyDescent="0.2">
      <c r="A232" s="196"/>
    </row>
    <row r="233" spans="1:1" x14ac:dyDescent="0.2">
      <c r="A233" s="196"/>
    </row>
    <row r="234" spans="1:1" x14ac:dyDescent="0.2">
      <c r="A234" s="196"/>
    </row>
    <row r="235" spans="1:1" x14ac:dyDescent="0.2">
      <c r="A235" s="196"/>
    </row>
    <row r="236" spans="1:1" x14ac:dyDescent="0.2">
      <c r="A236" s="196"/>
    </row>
    <row r="237" spans="1:1" x14ac:dyDescent="0.2">
      <c r="A237" s="196"/>
    </row>
    <row r="238" spans="1:1" x14ac:dyDescent="0.2">
      <c r="A238" s="196"/>
    </row>
    <row r="239" spans="1:1" x14ac:dyDescent="0.2">
      <c r="A239" s="196"/>
    </row>
    <row r="240" spans="1:1" x14ac:dyDescent="0.2">
      <c r="A240" s="196"/>
    </row>
    <row r="241" spans="1:1" x14ac:dyDescent="0.2">
      <c r="A241" s="196"/>
    </row>
    <row r="242" spans="1:1" x14ac:dyDescent="0.2">
      <c r="A242" s="196"/>
    </row>
    <row r="243" spans="1:1" x14ac:dyDescent="0.2">
      <c r="A243" s="196"/>
    </row>
    <row r="244" spans="1:1" x14ac:dyDescent="0.2">
      <c r="A244" s="196"/>
    </row>
    <row r="245" spans="1:1" x14ac:dyDescent="0.2">
      <c r="A245" s="196"/>
    </row>
    <row r="246" spans="1:1" x14ac:dyDescent="0.2">
      <c r="A246" s="196"/>
    </row>
    <row r="247" spans="1:1" x14ac:dyDescent="0.2">
      <c r="A247" s="196"/>
    </row>
    <row r="248" spans="1:1" x14ac:dyDescent="0.2">
      <c r="A248" s="196"/>
    </row>
    <row r="249" spans="1:1" x14ac:dyDescent="0.2">
      <c r="A249" s="196"/>
    </row>
    <row r="250" spans="1:1" x14ac:dyDescent="0.2">
      <c r="A250" s="196"/>
    </row>
    <row r="251" spans="1:1" x14ac:dyDescent="0.2">
      <c r="A251" s="196"/>
    </row>
    <row r="252" spans="1:1" x14ac:dyDescent="0.2">
      <c r="A252" s="196"/>
    </row>
    <row r="253" spans="1:1" x14ac:dyDescent="0.2">
      <c r="A253" s="196"/>
    </row>
    <row r="254" spans="1:1" x14ac:dyDescent="0.2">
      <c r="A254" s="196"/>
    </row>
    <row r="255" spans="1:1" x14ac:dyDescent="0.2">
      <c r="A255" s="196"/>
    </row>
    <row r="256" spans="1:1" x14ac:dyDescent="0.2">
      <c r="A256" s="196"/>
    </row>
    <row r="257" spans="1:1" x14ac:dyDescent="0.2">
      <c r="A257" s="196"/>
    </row>
    <row r="258" spans="1:1" x14ac:dyDescent="0.2">
      <c r="A258" s="196"/>
    </row>
    <row r="259" spans="1:1" x14ac:dyDescent="0.2">
      <c r="A259" s="196"/>
    </row>
    <row r="260" spans="1:1" x14ac:dyDescent="0.2">
      <c r="A260" s="196"/>
    </row>
    <row r="261" spans="1:1" x14ac:dyDescent="0.2">
      <c r="A261" s="196"/>
    </row>
    <row r="262" spans="1:1" x14ac:dyDescent="0.2">
      <c r="A262" s="196"/>
    </row>
    <row r="263" spans="1:1" x14ac:dyDescent="0.2">
      <c r="A263" s="196"/>
    </row>
    <row r="264" spans="1:1" x14ac:dyDescent="0.2">
      <c r="A264" s="196"/>
    </row>
    <row r="265" spans="1:1" x14ac:dyDescent="0.2">
      <c r="A265" s="196"/>
    </row>
    <row r="266" spans="1:1" x14ac:dyDescent="0.2">
      <c r="A266" s="196"/>
    </row>
    <row r="267" spans="1:1" x14ac:dyDescent="0.2">
      <c r="A267" s="196"/>
    </row>
    <row r="268" spans="1:1" x14ac:dyDescent="0.2">
      <c r="A268" s="196"/>
    </row>
    <row r="269" spans="1:1" x14ac:dyDescent="0.2">
      <c r="A269" s="196"/>
    </row>
    <row r="270" spans="1:1" x14ac:dyDescent="0.2">
      <c r="A270" s="196"/>
    </row>
    <row r="271" spans="1:1" x14ac:dyDescent="0.2">
      <c r="A271" s="196"/>
    </row>
    <row r="272" spans="1:1" x14ac:dyDescent="0.2">
      <c r="A272" s="196"/>
    </row>
    <row r="273" spans="1:1" x14ac:dyDescent="0.2">
      <c r="A273" s="196"/>
    </row>
    <row r="274" spans="1:1" x14ac:dyDescent="0.2">
      <c r="A274" s="196"/>
    </row>
    <row r="275" spans="1:1" x14ac:dyDescent="0.2">
      <c r="A275" s="196"/>
    </row>
    <row r="276" spans="1:1" x14ac:dyDescent="0.2">
      <c r="A276" s="196"/>
    </row>
    <row r="277" spans="1:1" x14ac:dyDescent="0.2">
      <c r="A277" s="196"/>
    </row>
    <row r="278" spans="1:1" x14ac:dyDescent="0.2">
      <c r="A278" s="196"/>
    </row>
    <row r="279" spans="1:1" x14ac:dyDescent="0.2">
      <c r="A279" s="196"/>
    </row>
    <row r="280" spans="1:1" x14ac:dyDescent="0.2">
      <c r="A280" s="196"/>
    </row>
    <row r="281" spans="1:1" x14ac:dyDescent="0.2">
      <c r="A281" s="196"/>
    </row>
    <row r="282" spans="1:1" x14ac:dyDescent="0.2">
      <c r="A282" s="196"/>
    </row>
    <row r="283" spans="1:1" x14ac:dyDescent="0.2">
      <c r="A283" s="196"/>
    </row>
    <row r="284" spans="1:1" x14ac:dyDescent="0.2">
      <c r="A284" s="196"/>
    </row>
    <row r="285" spans="1:1" x14ac:dyDescent="0.2">
      <c r="A285" s="196"/>
    </row>
    <row r="286" spans="1:1" x14ac:dyDescent="0.2">
      <c r="A286" s="196"/>
    </row>
    <row r="287" spans="1:1" x14ac:dyDescent="0.2">
      <c r="A287" s="196"/>
    </row>
    <row r="288" spans="1:1" x14ac:dyDescent="0.2">
      <c r="A288" s="196"/>
    </row>
    <row r="289" spans="1:1" x14ac:dyDescent="0.2">
      <c r="A289" s="196"/>
    </row>
    <row r="290" spans="1:1" x14ac:dyDescent="0.2">
      <c r="A290" s="196"/>
    </row>
    <row r="291" spans="1:1" x14ac:dyDescent="0.2">
      <c r="A291" s="196"/>
    </row>
    <row r="292" spans="1:1" x14ac:dyDescent="0.2">
      <c r="A292" s="196"/>
    </row>
    <row r="293" spans="1:1" x14ac:dyDescent="0.2">
      <c r="A293" s="196"/>
    </row>
    <row r="294" spans="1:1" x14ac:dyDescent="0.2">
      <c r="A294" s="196"/>
    </row>
    <row r="295" spans="1:1" x14ac:dyDescent="0.2">
      <c r="A295" s="196"/>
    </row>
    <row r="296" spans="1:1" x14ac:dyDescent="0.2">
      <c r="A296" s="196"/>
    </row>
    <row r="297" spans="1:1" x14ac:dyDescent="0.2">
      <c r="A297" s="196"/>
    </row>
    <row r="298" spans="1:1" x14ac:dyDescent="0.2">
      <c r="A298" s="196"/>
    </row>
    <row r="299" spans="1:1" x14ac:dyDescent="0.2">
      <c r="A299" s="196"/>
    </row>
    <row r="300" spans="1:1" x14ac:dyDescent="0.2">
      <c r="A300" s="196"/>
    </row>
    <row r="301" spans="1:1" x14ac:dyDescent="0.2">
      <c r="A301" s="196"/>
    </row>
    <row r="302" spans="1:1" x14ac:dyDescent="0.2">
      <c r="A302" s="196"/>
    </row>
    <row r="303" spans="1:1" x14ac:dyDescent="0.2">
      <c r="A303" s="196"/>
    </row>
    <row r="304" spans="1:1" x14ac:dyDescent="0.2">
      <c r="A304" s="196"/>
    </row>
    <row r="305" spans="1:1" x14ac:dyDescent="0.2">
      <c r="A305" s="196"/>
    </row>
    <row r="306" spans="1:1" x14ac:dyDescent="0.2">
      <c r="A306" s="196"/>
    </row>
    <row r="307" spans="1:1" x14ac:dyDescent="0.2">
      <c r="A307" s="196"/>
    </row>
    <row r="308" spans="1:1" x14ac:dyDescent="0.2">
      <c r="A308" s="196"/>
    </row>
    <row r="309" spans="1:1" x14ac:dyDescent="0.2">
      <c r="A309" s="196"/>
    </row>
    <row r="310" spans="1:1" x14ac:dyDescent="0.2">
      <c r="A310" s="196"/>
    </row>
    <row r="311" spans="1:1" x14ac:dyDescent="0.2">
      <c r="A311" s="196"/>
    </row>
    <row r="312" spans="1:1" x14ac:dyDescent="0.2">
      <c r="A312" s="196"/>
    </row>
    <row r="313" spans="1:1" x14ac:dyDescent="0.2">
      <c r="A313" s="196"/>
    </row>
    <row r="314" spans="1:1" x14ac:dyDescent="0.2">
      <c r="A314" s="196"/>
    </row>
    <row r="315" spans="1:1" x14ac:dyDescent="0.2">
      <c r="A315" s="196"/>
    </row>
    <row r="316" spans="1:1" x14ac:dyDescent="0.2">
      <c r="A316" s="196"/>
    </row>
    <row r="317" spans="1:1" x14ac:dyDescent="0.2">
      <c r="A317" s="196"/>
    </row>
    <row r="318" spans="1:1" x14ac:dyDescent="0.2">
      <c r="A318" s="196"/>
    </row>
    <row r="319" spans="1:1" x14ac:dyDescent="0.2">
      <c r="A319" s="196"/>
    </row>
    <row r="320" spans="1:1" x14ac:dyDescent="0.2">
      <c r="A320" s="196"/>
    </row>
    <row r="321" spans="1:1" x14ac:dyDescent="0.2">
      <c r="A321" s="196"/>
    </row>
    <row r="322" spans="1:1" x14ac:dyDescent="0.2">
      <c r="A322" s="196"/>
    </row>
    <row r="323" spans="1:1" x14ac:dyDescent="0.2">
      <c r="A323" s="196"/>
    </row>
    <row r="324" spans="1:1" x14ac:dyDescent="0.2">
      <c r="A324" s="196"/>
    </row>
    <row r="325" spans="1:1" x14ac:dyDescent="0.2">
      <c r="A325" s="196"/>
    </row>
    <row r="326" spans="1:1" x14ac:dyDescent="0.2">
      <c r="A326" s="196"/>
    </row>
    <row r="327" spans="1:1" x14ac:dyDescent="0.2">
      <c r="A327" s="196"/>
    </row>
    <row r="328" spans="1:1" x14ac:dyDescent="0.2">
      <c r="A328" s="196"/>
    </row>
    <row r="329" spans="1:1" x14ac:dyDescent="0.2">
      <c r="A329" s="196"/>
    </row>
    <row r="330" spans="1:1" x14ac:dyDescent="0.2">
      <c r="A330" s="196"/>
    </row>
    <row r="331" spans="1:1" x14ac:dyDescent="0.2">
      <c r="A331" s="196"/>
    </row>
    <row r="332" spans="1:1" x14ac:dyDescent="0.2">
      <c r="A332" s="196"/>
    </row>
    <row r="333" spans="1:1" x14ac:dyDescent="0.2">
      <c r="A333" s="196"/>
    </row>
    <row r="334" spans="1:1" x14ac:dyDescent="0.2">
      <c r="A334" s="196"/>
    </row>
    <row r="335" spans="1:1" x14ac:dyDescent="0.2">
      <c r="A335" s="196"/>
    </row>
    <row r="336" spans="1:1" x14ac:dyDescent="0.2">
      <c r="A336" s="196"/>
    </row>
    <row r="337" spans="1:1" x14ac:dyDescent="0.2">
      <c r="A337" s="196"/>
    </row>
    <row r="338" spans="1:1" x14ac:dyDescent="0.2">
      <c r="A338" s="196"/>
    </row>
    <row r="339" spans="1:1" x14ac:dyDescent="0.2">
      <c r="A339" s="196"/>
    </row>
    <row r="340" spans="1:1" x14ac:dyDescent="0.2">
      <c r="A340" s="196"/>
    </row>
    <row r="341" spans="1:1" x14ac:dyDescent="0.2">
      <c r="A341" s="196"/>
    </row>
    <row r="342" spans="1:1" x14ac:dyDescent="0.2">
      <c r="A342" s="196"/>
    </row>
    <row r="343" spans="1:1" x14ac:dyDescent="0.2">
      <c r="A343" s="196"/>
    </row>
    <row r="344" spans="1:1" x14ac:dyDescent="0.2">
      <c r="A344" s="196"/>
    </row>
    <row r="345" spans="1:1" x14ac:dyDescent="0.2">
      <c r="A345" s="196"/>
    </row>
    <row r="346" spans="1:1" x14ac:dyDescent="0.2">
      <c r="A346" s="196"/>
    </row>
    <row r="347" spans="1:1" x14ac:dyDescent="0.2">
      <c r="A347" s="196"/>
    </row>
    <row r="348" spans="1:1" x14ac:dyDescent="0.2">
      <c r="A348" s="196"/>
    </row>
    <row r="349" spans="1:1" x14ac:dyDescent="0.2">
      <c r="A349" s="196"/>
    </row>
    <row r="350" spans="1:1" x14ac:dyDescent="0.2">
      <c r="A350" s="196"/>
    </row>
    <row r="351" spans="1:1" x14ac:dyDescent="0.2">
      <c r="A351" s="196"/>
    </row>
    <row r="352" spans="1:1" x14ac:dyDescent="0.2">
      <c r="A352" s="196"/>
    </row>
    <row r="353" spans="1:1" x14ac:dyDescent="0.2">
      <c r="A353" s="196"/>
    </row>
    <row r="354" spans="1:1" x14ac:dyDescent="0.2">
      <c r="A354" s="196"/>
    </row>
    <row r="355" spans="1:1" x14ac:dyDescent="0.2">
      <c r="A355" s="196"/>
    </row>
    <row r="356" spans="1:1" x14ac:dyDescent="0.2">
      <c r="A356" s="196"/>
    </row>
    <row r="357" spans="1:1" x14ac:dyDescent="0.2">
      <c r="A357" s="196"/>
    </row>
    <row r="358" spans="1:1" x14ac:dyDescent="0.2">
      <c r="A358" s="196"/>
    </row>
    <row r="359" spans="1:1" x14ac:dyDescent="0.2">
      <c r="A359" s="196"/>
    </row>
    <row r="360" spans="1:1" x14ac:dyDescent="0.2">
      <c r="A360" s="196"/>
    </row>
    <row r="361" spans="1:1" x14ac:dyDescent="0.2">
      <c r="A361" s="196"/>
    </row>
    <row r="362" spans="1:1" x14ac:dyDescent="0.2">
      <c r="A362" s="196"/>
    </row>
    <row r="363" spans="1:1" x14ac:dyDescent="0.2">
      <c r="A363" s="196"/>
    </row>
    <row r="364" spans="1:1" x14ac:dyDescent="0.2">
      <c r="A364" s="196"/>
    </row>
    <row r="365" spans="1:1" x14ac:dyDescent="0.2">
      <c r="A365" s="196"/>
    </row>
    <row r="366" spans="1:1" x14ac:dyDescent="0.2">
      <c r="A366" s="196"/>
    </row>
    <row r="367" spans="1:1" x14ac:dyDescent="0.2">
      <c r="A367" s="196"/>
    </row>
    <row r="368" spans="1:1" x14ac:dyDescent="0.2">
      <c r="A368" s="196"/>
    </row>
    <row r="369" spans="1:1" x14ac:dyDescent="0.2">
      <c r="A369" s="196"/>
    </row>
    <row r="370" spans="1:1" x14ac:dyDescent="0.2">
      <c r="A370" s="196"/>
    </row>
    <row r="371" spans="1:1" x14ac:dyDescent="0.2">
      <c r="A371" s="196"/>
    </row>
    <row r="372" spans="1:1" x14ac:dyDescent="0.2">
      <c r="A372" s="196"/>
    </row>
    <row r="373" spans="1:1" x14ac:dyDescent="0.2">
      <c r="A373" s="196"/>
    </row>
    <row r="374" spans="1:1" x14ac:dyDescent="0.2">
      <c r="A374" s="196"/>
    </row>
    <row r="375" spans="1:1" x14ac:dyDescent="0.2">
      <c r="A375" s="196"/>
    </row>
    <row r="376" spans="1:1" x14ac:dyDescent="0.2">
      <c r="A376" s="196"/>
    </row>
    <row r="377" spans="1:1" x14ac:dyDescent="0.2">
      <c r="A377" s="196"/>
    </row>
    <row r="378" spans="1:1" x14ac:dyDescent="0.2">
      <c r="A378" s="196"/>
    </row>
    <row r="379" spans="1:1" x14ac:dyDescent="0.2">
      <c r="A379" s="196"/>
    </row>
    <row r="380" spans="1:1" x14ac:dyDescent="0.2">
      <c r="A380" s="196"/>
    </row>
    <row r="381" spans="1:1" x14ac:dyDescent="0.2">
      <c r="A381" s="196"/>
    </row>
    <row r="382" spans="1:1" x14ac:dyDescent="0.2">
      <c r="A382" s="196"/>
    </row>
    <row r="383" spans="1:1" x14ac:dyDescent="0.2">
      <c r="A383" s="196"/>
    </row>
    <row r="384" spans="1:1" x14ac:dyDescent="0.2">
      <c r="A384" s="196"/>
    </row>
    <row r="385" spans="1:1" x14ac:dyDescent="0.2">
      <c r="A385" s="196"/>
    </row>
    <row r="386" spans="1:1" x14ac:dyDescent="0.2">
      <c r="A386" s="196"/>
    </row>
    <row r="387" spans="1:1" x14ac:dyDescent="0.2">
      <c r="A387" s="196"/>
    </row>
    <row r="388" spans="1:1" x14ac:dyDescent="0.2">
      <c r="A388" s="196"/>
    </row>
    <row r="389" spans="1:1" x14ac:dyDescent="0.2">
      <c r="A389" s="196"/>
    </row>
    <row r="390" spans="1:1" x14ac:dyDescent="0.2">
      <c r="A390" s="196"/>
    </row>
    <row r="391" spans="1:1" x14ac:dyDescent="0.2">
      <c r="A391" s="196"/>
    </row>
    <row r="392" spans="1:1" x14ac:dyDescent="0.2">
      <c r="A392" s="196"/>
    </row>
    <row r="393" spans="1:1" x14ac:dyDescent="0.2">
      <c r="A393" s="196"/>
    </row>
    <row r="394" spans="1:1" x14ac:dyDescent="0.2">
      <c r="A394" s="196"/>
    </row>
    <row r="395" spans="1:1" x14ac:dyDescent="0.2">
      <c r="A395" s="196"/>
    </row>
    <row r="396" spans="1:1" x14ac:dyDescent="0.2">
      <c r="A396" s="196"/>
    </row>
    <row r="397" spans="1:1" x14ac:dyDescent="0.2">
      <c r="A397" s="196"/>
    </row>
    <row r="398" spans="1:1" x14ac:dyDescent="0.2">
      <c r="A398" s="196"/>
    </row>
    <row r="399" spans="1:1" x14ac:dyDescent="0.2">
      <c r="A399" s="196"/>
    </row>
    <row r="400" spans="1:1" x14ac:dyDescent="0.2">
      <c r="A400" s="196"/>
    </row>
    <row r="401" spans="1:1" x14ac:dyDescent="0.2">
      <c r="A401" s="196"/>
    </row>
    <row r="402" spans="1:1" x14ac:dyDescent="0.2">
      <c r="A402" s="196"/>
    </row>
    <row r="403" spans="1:1" x14ac:dyDescent="0.2">
      <c r="A403" s="196"/>
    </row>
    <row r="404" spans="1:1" x14ac:dyDescent="0.2">
      <c r="A404" s="196"/>
    </row>
    <row r="405" spans="1:1" x14ac:dyDescent="0.2">
      <c r="A405" s="196"/>
    </row>
    <row r="406" spans="1:1" x14ac:dyDescent="0.2">
      <c r="A406" s="196"/>
    </row>
    <row r="407" spans="1:1" x14ac:dyDescent="0.2">
      <c r="A407" s="196"/>
    </row>
    <row r="408" spans="1:1" x14ac:dyDescent="0.2">
      <c r="A408" s="196"/>
    </row>
    <row r="409" spans="1:1" x14ac:dyDescent="0.2">
      <c r="A409" s="196"/>
    </row>
    <row r="410" spans="1:1" x14ac:dyDescent="0.2">
      <c r="A410" s="196"/>
    </row>
    <row r="411" spans="1:1" x14ac:dyDescent="0.2">
      <c r="A411" s="196"/>
    </row>
    <row r="412" spans="1:1" x14ac:dyDescent="0.2">
      <c r="A412" s="196"/>
    </row>
    <row r="413" spans="1:1" x14ac:dyDescent="0.2">
      <c r="A413" s="196"/>
    </row>
    <row r="414" spans="1:1" x14ac:dyDescent="0.2">
      <c r="A414" s="196"/>
    </row>
    <row r="415" spans="1:1" x14ac:dyDescent="0.2">
      <c r="A415" s="196"/>
    </row>
    <row r="416" spans="1:1" x14ac:dyDescent="0.2">
      <c r="A416" s="196"/>
    </row>
    <row r="417" spans="1:1" x14ac:dyDescent="0.2">
      <c r="A417" s="196"/>
    </row>
    <row r="418" spans="1:1" x14ac:dyDescent="0.2">
      <c r="A418" s="196"/>
    </row>
    <row r="419" spans="1:1" x14ac:dyDescent="0.2">
      <c r="A419" s="196"/>
    </row>
    <row r="420" spans="1:1" x14ac:dyDescent="0.2">
      <c r="A420" s="196"/>
    </row>
    <row r="421" spans="1:1" x14ac:dyDescent="0.2">
      <c r="A421" s="196"/>
    </row>
    <row r="422" spans="1:1" x14ac:dyDescent="0.2">
      <c r="A422" s="196"/>
    </row>
    <row r="423" spans="1:1" x14ac:dyDescent="0.2">
      <c r="A423" s="196"/>
    </row>
    <row r="424" spans="1:1" x14ac:dyDescent="0.2">
      <c r="A424" s="196"/>
    </row>
    <row r="425" spans="1:1" x14ac:dyDescent="0.2">
      <c r="A425" s="196"/>
    </row>
    <row r="426" spans="1:1" x14ac:dyDescent="0.2">
      <c r="A426" s="196"/>
    </row>
    <row r="427" spans="1:1" x14ac:dyDescent="0.2">
      <c r="A427" s="196"/>
    </row>
    <row r="428" spans="1:1" x14ac:dyDescent="0.2">
      <c r="A428" s="196"/>
    </row>
    <row r="429" spans="1:1" x14ac:dyDescent="0.2">
      <c r="A429" s="196"/>
    </row>
    <row r="430" spans="1:1" x14ac:dyDescent="0.2">
      <c r="A430" s="196"/>
    </row>
    <row r="431" spans="1:1" x14ac:dyDescent="0.2">
      <c r="A431" s="196"/>
    </row>
    <row r="432" spans="1:1" x14ac:dyDescent="0.2">
      <c r="A432" s="196"/>
    </row>
    <row r="433" spans="1:1" x14ac:dyDescent="0.2">
      <c r="A433" s="196"/>
    </row>
    <row r="434" spans="1:1" x14ac:dyDescent="0.2">
      <c r="A434" s="196"/>
    </row>
    <row r="435" spans="1:1" x14ac:dyDescent="0.2">
      <c r="A435" s="196"/>
    </row>
    <row r="436" spans="1:1" x14ac:dyDescent="0.2">
      <c r="A436" s="196"/>
    </row>
    <row r="437" spans="1:1" x14ac:dyDescent="0.2">
      <c r="A437" s="196"/>
    </row>
    <row r="438" spans="1:1" x14ac:dyDescent="0.2">
      <c r="A438" s="196"/>
    </row>
    <row r="439" spans="1:1" x14ac:dyDescent="0.2">
      <c r="A439" s="196"/>
    </row>
    <row r="440" spans="1:1" x14ac:dyDescent="0.2">
      <c r="A440" s="196"/>
    </row>
    <row r="441" spans="1:1" x14ac:dyDescent="0.2">
      <c r="A441" s="196"/>
    </row>
    <row r="442" spans="1:1" x14ac:dyDescent="0.2">
      <c r="A442" s="196"/>
    </row>
    <row r="443" spans="1:1" x14ac:dyDescent="0.2">
      <c r="A443" s="196"/>
    </row>
    <row r="444" spans="1:1" x14ac:dyDescent="0.2">
      <c r="A444" s="196"/>
    </row>
    <row r="445" spans="1:1" x14ac:dyDescent="0.2">
      <c r="A445" s="196"/>
    </row>
    <row r="446" spans="1:1" x14ac:dyDescent="0.2">
      <c r="A446" s="196"/>
    </row>
    <row r="447" spans="1:1" x14ac:dyDescent="0.2">
      <c r="A447" s="196"/>
    </row>
    <row r="448" spans="1:1" x14ac:dyDescent="0.2">
      <c r="A448" s="196"/>
    </row>
    <row r="449" spans="1:1" x14ac:dyDescent="0.2">
      <c r="A449" s="196"/>
    </row>
    <row r="450" spans="1:1" x14ac:dyDescent="0.2">
      <c r="A450" s="196"/>
    </row>
    <row r="451" spans="1:1" x14ac:dyDescent="0.2">
      <c r="A451" s="196"/>
    </row>
    <row r="452" spans="1:1" x14ac:dyDescent="0.2">
      <c r="A452" s="196"/>
    </row>
    <row r="453" spans="1:1" x14ac:dyDescent="0.2">
      <c r="A453" s="196"/>
    </row>
    <row r="454" spans="1:1" x14ac:dyDescent="0.2">
      <c r="A454" s="196"/>
    </row>
    <row r="455" spans="1:1" x14ac:dyDescent="0.2">
      <c r="A455" s="196"/>
    </row>
    <row r="456" spans="1:1" x14ac:dyDescent="0.2">
      <c r="A456" s="196"/>
    </row>
    <row r="457" spans="1:1" x14ac:dyDescent="0.2">
      <c r="A457" s="196"/>
    </row>
    <row r="458" spans="1:1" x14ac:dyDescent="0.2">
      <c r="A458" s="196"/>
    </row>
    <row r="459" spans="1:1" x14ac:dyDescent="0.2">
      <c r="A459" s="196"/>
    </row>
    <row r="460" spans="1:1" x14ac:dyDescent="0.2">
      <c r="A460" s="196"/>
    </row>
    <row r="461" spans="1:1" x14ac:dyDescent="0.2">
      <c r="A461" s="196"/>
    </row>
    <row r="462" spans="1:1" x14ac:dyDescent="0.2">
      <c r="A462" s="196"/>
    </row>
    <row r="463" spans="1:1" x14ac:dyDescent="0.2">
      <c r="A463" s="196"/>
    </row>
    <row r="464" spans="1:1" x14ac:dyDescent="0.2">
      <c r="A464" s="196"/>
    </row>
    <row r="465" spans="1:1" x14ac:dyDescent="0.2">
      <c r="A465" s="196"/>
    </row>
    <row r="466" spans="1:1" x14ac:dyDescent="0.2">
      <c r="A466" s="196"/>
    </row>
    <row r="467" spans="1:1" x14ac:dyDescent="0.2">
      <c r="A467" s="196"/>
    </row>
    <row r="468" spans="1:1" x14ac:dyDescent="0.2">
      <c r="A468" s="196"/>
    </row>
    <row r="469" spans="1:1" x14ac:dyDescent="0.2">
      <c r="A469" s="196"/>
    </row>
    <row r="470" spans="1:1" x14ac:dyDescent="0.2">
      <c r="A470" s="196"/>
    </row>
    <row r="471" spans="1:1" x14ac:dyDescent="0.2">
      <c r="A471" s="196"/>
    </row>
  </sheetData>
  <sortState xmlns:xlrd2="http://schemas.microsoft.com/office/spreadsheetml/2017/richdata2" ref="A2:C38">
    <sortCondition descending="1" ref="A2:A38"/>
  </sortState>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B44D8-87FC-43B8-A811-B1F65CF20F30}">
  <sheetPr codeName="Sheet5">
    <tabColor theme="9" tint="-0.249977111117893"/>
  </sheetPr>
  <dimension ref="A1:U209"/>
  <sheetViews>
    <sheetView workbookViewId="0">
      <selection activeCell="R1" activeCellId="3" sqref="C1:C1048576 F1:F1048576 L1:L1048576 R1:R1048576"/>
    </sheetView>
  </sheetViews>
  <sheetFormatPr defaultRowHeight="12.75" x14ac:dyDescent="0.2"/>
  <cols>
    <col min="1" max="1" width="5.85546875" bestFit="1" customWidth="1"/>
    <col min="2" max="2" width="19.5703125" bestFit="1" customWidth="1"/>
    <col min="3" max="3" width="12.7109375" style="190" bestFit="1" customWidth="1"/>
    <col min="4" max="4" width="9.42578125" bestFit="1" customWidth="1"/>
    <col min="5" max="5" width="11.7109375" bestFit="1" customWidth="1"/>
    <col min="6" max="6" width="9.7109375" style="190" bestFit="1" customWidth="1"/>
    <col min="7" max="7" width="11.28515625" bestFit="1" customWidth="1"/>
    <col min="8" max="8" width="15.140625" bestFit="1" customWidth="1"/>
    <col min="9" max="9" width="14.7109375" bestFit="1" customWidth="1"/>
    <col min="10" max="10" width="18.85546875" bestFit="1" customWidth="1"/>
    <col min="11" max="11" width="12.7109375" bestFit="1" customWidth="1"/>
    <col min="12" max="12" width="8.42578125" style="190" bestFit="1" customWidth="1"/>
    <col min="13" max="13" width="24.85546875" bestFit="1" customWidth="1"/>
    <col min="14" max="14" width="18" bestFit="1" customWidth="1"/>
    <col min="15" max="15" width="10.28515625" bestFit="1" customWidth="1"/>
    <col min="16" max="16" width="13.7109375" bestFit="1" customWidth="1"/>
    <col min="17" max="17" width="12" bestFit="1" customWidth="1"/>
    <col min="18" max="18" width="16.140625" style="190" bestFit="1" customWidth="1"/>
    <col min="19" max="19" width="12" bestFit="1" customWidth="1"/>
    <col min="20" max="20" width="6.7109375" bestFit="1" customWidth="1"/>
    <col min="21" max="21" width="14.85546875" bestFit="1" customWidth="1"/>
  </cols>
  <sheetData>
    <row r="1" spans="1:21" x14ac:dyDescent="0.2">
      <c r="A1" t="s">
        <v>3488</v>
      </c>
      <c r="B1" t="s">
        <v>3257</v>
      </c>
      <c r="C1" s="190" t="s">
        <v>3256</v>
      </c>
      <c r="D1" t="s">
        <v>1451</v>
      </c>
      <c r="E1" t="s">
        <v>3385</v>
      </c>
      <c r="F1" s="190" t="s">
        <v>3258</v>
      </c>
      <c r="G1" t="s">
        <v>3386</v>
      </c>
      <c r="H1" t="s">
        <v>3387</v>
      </c>
      <c r="I1" t="s">
        <v>3388</v>
      </c>
      <c r="J1" t="s">
        <v>3259</v>
      </c>
      <c r="K1" t="s">
        <v>3389</v>
      </c>
      <c r="L1" s="190" t="s">
        <v>3390</v>
      </c>
      <c r="M1" t="s">
        <v>3391</v>
      </c>
      <c r="N1" t="s">
        <v>1465</v>
      </c>
      <c r="O1" t="s">
        <v>3392</v>
      </c>
      <c r="P1" t="s">
        <v>3393</v>
      </c>
      <c r="Q1" t="s">
        <v>3394</v>
      </c>
      <c r="R1" s="190" t="s">
        <v>3264</v>
      </c>
      <c r="S1" t="s">
        <v>3395</v>
      </c>
      <c r="T1" t="s">
        <v>3396</v>
      </c>
      <c r="U1" t="s">
        <v>3260</v>
      </c>
    </row>
    <row r="2" spans="1:21" x14ac:dyDescent="0.2">
      <c r="A2" s="160"/>
      <c r="C2" s="196"/>
      <c r="F2" s="196"/>
      <c r="G2" s="161"/>
      <c r="H2" s="161"/>
      <c r="I2" s="161"/>
      <c r="L2" s="196"/>
      <c r="N2" s="161"/>
      <c r="O2" s="196"/>
      <c r="P2" s="196"/>
      <c r="R2" s="196"/>
    </row>
    <row r="3" spans="1:21" x14ac:dyDescent="0.2">
      <c r="A3" s="160"/>
      <c r="C3" s="196"/>
      <c r="F3" s="196"/>
      <c r="G3" s="161"/>
      <c r="H3" s="161"/>
      <c r="I3" s="161"/>
      <c r="L3" s="196"/>
      <c r="N3" s="161"/>
      <c r="O3" s="196"/>
      <c r="P3" s="196"/>
      <c r="R3" s="196"/>
    </row>
    <row r="4" spans="1:21" x14ac:dyDescent="0.2">
      <c r="A4" s="160"/>
      <c r="C4" s="196"/>
      <c r="F4" s="196"/>
      <c r="G4" s="161"/>
      <c r="H4" s="161"/>
      <c r="I4" s="161"/>
      <c r="L4" s="196"/>
      <c r="N4" s="161"/>
      <c r="O4" s="196"/>
      <c r="P4" s="196"/>
      <c r="R4" s="196"/>
    </row>
    <row r="5" spans="1:21" x14ac:dyDescent="0.2">
      <c r="A5" s="160"/>
      <c r="C5" s="196"/>
      <c r="F5" s="196"/>
      <c r="G5" s="161"/>
      <c r="H5" s="161"/>
      <c r="I5" s="161"/>
      <c r="L5" s="196"/>
      <c r="N5" s="161"/>
      <c r="O5" s="196"/>
      <c r="P5" s="196"/>
      <c r="R5" s="196"/>
    </row>
    <row r="6" spans="1:21" x14ac:dyDescent="0.2">
      <c r="A6" s="160"/>
      <c r="C6" s="196"/>
      <c r="F6" s="196"/>
      <c r="G6" s="161"/>
      <c r="H6" s="161"/>
      <c r="I6" s="161"/>
      <c r="L6" s="196"/>
      <c r="N6" s="161"/>
      <c r="O6" s="196"/>
      <c r="P6" s="196"/>
      <c r="R6" s="196"/>
    </row>
    <row r="7" spans="1:21" x14ac:dyDescent="0.2">
      <c r="A7" s="161"/>
      <c r="B7" s="161"/>
      <c r="C7" s="196"/>
      <c r="D7" s="161"/>
      <c r="E7" s="161"/>
      <c r="F7" s="196"/>
      <c r="G7" s="161"/>
      <c r="H7" s="161"/>
      <c r="I7" s="161"/>
      <c r="J7" s="161"/>
      <c r="K7" s="161"/>
      <c r="L7" s="196"/>
      <c r="M7" s="161"/>
      <c r="N7" s="161"/>
      <c r="O7" s="196"/>
      <c r="P7" s="196"/>
      <c r="Q7" s="161"/>
      <c r="R7" s="196"/>
      <c r="S7" s="161"/>
      <c r="T7" s="161"/>
      <c r="U7" s="161"/>
    </row>
    <row r="8" spans="1:21" x14ac:dyDescent="0.2">
      <c r="A8" s="161"/>
      <c r="B8" s="161"/>
      <c r="C8" s="196"/>
      <c r="D8" s="161"/>
      <c r="E8" s="161"/>
      <c r="F8" s="196"/>
      <c r="G8" s="161"/>
      <c r="H8" s="161"/>
      <c r="I8" s="161"/>
      <c r="J8" s="161"/>
      <c r="K8" s="161"/>
      <c r="L8" s="196"/>
      <c r="M8" s="161"/>
      <c r="N8" s="161"/>
      <c r="O8" s="196"/>
      <c r="P8" s="196"/>
      <c r="Q8" s="161"/>
      <c r="R8" s="196"/>
      <c r="S8" s="161"/>
      <c r="T8" s="161"/>
      <c r="U8" s="161"/>
    </row>
    <row r="9" spans="1:21" x14ac:dyDescent="0.2">
      <c r="A9" s="161"/>
      <c r="B9" s="161"/>
      <c r="C9" s="196"/>
      <c r="D9" s="161"/>
      <c r="E9" s="161"/>
      <c r="F9" s="196"/>
      <c r="G9" s="161"/>
      <c r="H9" s="161"/>
      <c r="I9" s="161"/>
      <c r="J9" s="161"/>
      <c r="K9" s="161"/>
      <c r="L9" s="196"/>
      <c r="M9" s="161"/>
      <c r="N9" s="161"/>
      <c r="O9" s="196"/>
      <c r="P9" s="196"/>
      <c r="Q9" s="161"/>
      <c r="R9" s="196"/>
      <c r="S9" s="161"/>
      <c r="T9" s="161"/>
      <c r="U9" s="161"/>
    </row>
    <row r="10" spans="1:21" x14ac:dyDescent="0.2">
      <c r="A10" s="161"/>
      <c r="B10" s="161"/>
      <c r="C10" s="196"/>
      <c r="D10" s="161"/>
      <c r="E10" s="161"/>
      <c r="F10" s="196"/>
      <c r="G10" s="161"/>
      <c r="H10" s="161"/>
      <c r="I10" s="161"/>
      <c r="J10" s="161"/>
      <c r="K10" s="161"/>
      <c r="L10" s="196"/>
      <c r="M10" s="161"/>
      <c r="N10" s="161"/>
      <c r="O10" s="196"/>
      <c r="P10" s="196"/>
      <c r="Q10" s="161"/>
      <c r="R10" s="196"/>
      <c r="S10" s="161"/>
      <c r="T10" s="161"/>
      <c r="U10" s="161"/>
    </row>
    <row r="11" spans="1:21" x14ac:dyDescent="0.2">
      <c r="A11" s="161"/>
      <c r="B11" s="161"/>
      <c r="C11" s="196"/>
      <c r="D11" s="161"/>
      <c r="E11" s="161"/>
      <c r="F11" s="196"/>
      <c r="G11" s="161"/>
      <c r="H11" s="161"/>
      <c r="I11" s="161"/>
      <c r="J11" s="161"/>
      <c r="K11" s="161"/>
      <c r="L11" s="196"/>
      <c r="M11" s="161"/>
      <c r="N11" s="161"/>
      <c r="O11" s="196"/>
      <c r="P11" s="196"/>
      <c r="Q11" s="161"/>
      <c r="R11" s="196"/>
      <c r="S11" s="161"/>
      <c r="T11" s="161"/>
      <c r="U11" s="161"/>
    </row>
    <row r="12" spans="1:21" x14ac:dyDescent="0.2">
      <c r="A12" s="161"/>
      <c r="B12" s="161"/>
      <c r="C12" s="196"/>
      <c r="D12" s="161"/>
      <c r="E12" s="161"/>
      <c r="F12" s="196"/>
      <c r="G12" s="161"/>
      <c r="H12" s="161"/>
      <c r="I12" s="161"/>
      <c r="J12" s="161"/>
      <c r="K12" s="161"/>
      <c r="L12" s="196"/>
      <c r="M12" s="161"/>
      <c r="N12" s="161"/>
      <c r="O12" s="196"/>
      <c r="P12" s="196"/>
      <c r="Q12" s="161"/>
      <c r="R12" s="196"/>
      <c r="S12" s="161"/>
      <c r="T12" s="161"/>
      <c r="U12" s="161"/>
    </row>
    <row r="13" spans="1:21" x14ac:dyDescent="0.2">
      <c r="A13" s="161"/>
      <c r="B13" s="161"/>
      <c r="C13" s="196"/>
      <c r="D13" s="161"/>
      <c r="E13" s="161"/>
      <c r="F13" s="196"/>
      <c r="G13" s="161"/>
      <c r="H13" s="161"/>
      <c r="I13" s="161"/>
      <c r="J13" s="161"/>
      <c r="K13" s="161"/>
      <c r="L13" s="196"/>
      <c r="M13" s="161"/>
      <c r="N13" s="161"/>
      <c r="O13" s="196"/>
      <c r="P13" s="196"/>
      <c r="Q13" s="161"/>
      <c r="R13" s="196"/>
      <c r="S13" s="161"/>
      <c r="T13" s="161"/>
      <c r="U13" s="161"/>
    </row>
    <row r="14" spans="1:21" x14ac:dyDescent="0.2">
      <c r="A14" s="161"/>
      <c r="B14" s="161"/>
      <c r="C14" s="196"/>
      <c r="D14" s="161"/>
      <c r="E14" s="161"/>
      <c r="F14" s="196"/>
      <c r="G14" s="161"/>
      <c r="H14" s="161"/>
      <c r="I14" s="161"/>
      <c r="J14" s="161"/>
      <c r="K14" s="161"/>
      <c r="L14" s="196"/>
      <c r="M14" s="161"/>
      <c r="N14" s="161"/>
      <c r="O14" s="196"/>
      <c r="P14" s="196"/>
      <c r="Q14" s="161"/>
      <c r="R14" s="196"/>
      <c r="S14" s="161"/>
      <c r="T14" s="161"/>
      <c r="U14" s="161"/>
    </row>
    <row r="15" spans="1:21" x14ac:dyDescent="0.2">
      <c r="A15" s="161"/>
      <c r="B15" s="161"/>
      <c r="C15" s="196"/>
      <c r="D15" s="161"/>
      <c r="E15" s="161"/>
      <c r="F15" s="196"/>
      <c r="G15" s="161"/>
      <c r="H15" s="161"/>
      <c r="I15" s="161"/>
      <c r="J15" s="161"/>
      <c r="K15" s="161"/>
      <c r="L15" s="196"/>
      <c r="M15" s="161"/>
      <c r="N15" s="161"/>
      <c r="O15" s="196"/>
      <c r="P15" s="196"/>
      <c r="Q15" s="161"/>
      <c r="R15" s="196"/>
      <c r="S15" s="161"/>
      <c r="T15" s="161"/>
      <c r="U15" s="161"/>
    </row>
    <row r="16" spans="1:21" x14ac:dyDescent="0.2">
      <c r="A16" s="161"/>
      <c r="B16" s="161"/>
      <c r="C16" s="196"/>
      <c r="D16" s="161"/>
      <c r="E16" s="161"/>
      <c r="F16" s="196"/>
      <c r="G16" s="161"/>
      <c r="H16" s="161"/>
      <c r="I16" s="161"/>
      <c r="J16" s="161"/>
      <c r="K16" s="161"/>
      <c r="L16" s="196"/>
      <c r="M16" s="161"/>
      <c r="N16" s="161"/>
      <c r="O16" s="196"/>
      <c r="P16" s="196"/>
      <c r="Q16" s="161"/>
      <c r="R16" s="196"/>
      <c r="S16" s="161"/>
      <c r="T16" s="161"/>
      <c r="U16" s="161"/>
    </row>
    <row r="17" spans="1:21" x14ac:dyDescent="0.2">
      <c r="A17" s="161"/>
      <c r="B17" s="161"/>
      <c r="C17" s="196"/>
      <c r="D17" s="161"/>
      <c r="E17" s="161"/>
      <c r="F17" s="196"/>
      <c r="G17" s="161"/>
      <c r="H17" s="161"/>
      <c r="I17" s="161"/>
      <c r="J17" s="161"/>
      <c r="K17" s="161"/>
      <c r="L17" s="196"/>
      <c r="M17" s="161"/>
      <c r="N17" s="161"/>
      <c r="O17" s="196"/>
      <c r="P17" s="196"/>
      <c r="Q17" s="161"/>
      <c r="R17" s="196"/>
      <c r="S17" s="161"/>
      <c r="T17" s="161"/>
      <c r="U17" s="161"/>
    </row>
    <row r="18" spans="1:21" x14ac:dyDescent="0.2">
      <c r="A18" s="161"/>
      <c r="B18" s="161"/>
      <c r="C18" s="196"/>
      <c r="D18" s="161"/>
      <c r="E18" s="161"/>
      <c r="F18" s="196"/>
      <c r="G18" s="161"/>
      <c r="H18" s="161"/>
      <c r="I18" s="161"/>
      <c r="J18" s="161"/>
      <c r="K18" s="161"/>
      <c r="L18" s="196"/>
      <c r="M18" s="161"/>
      <c r="N18" s="161"/>
      <c r="O18" s="196"/>
      <c r="P18" s="196"/>
      <c r="Q18" s="161"/>
      <c r="R18" s="196"/>
      <c r="S18" s="161"/>
      <c r="T18" s="161"/>
      <c r="U18" s="161"/>
    </row>
    <row r="19" spans="1:21" x14ac:dyDescent="0.2">
      <c r="A19" s="161"/>
      <c r="B19" s="161"/>
      <c r="C19" s="196"/>
      <c r="D19" s="161"/>
      <c r="E19" s="161"/>
      <c r="F19" s="196"/>
      <c r="G19" s="161"/>
      <c r="H19" s="161"/>
      <c r="I19" s="161"/>
      <c r="J19" s="161"/>
      <c r="K19" s="161"/>
      <c r="L19" s="196"/>
      <c r="M19" s="161"/>
      <c r="N19" s="161"/>
      <c r="O19" s="196"/>
      <c r="P19" s="196"/>
      <c r="Q19" s="161"/>
      <c r="R19" s="196"/>
      <c r="S19" s="161"/>
      <c r="T19" s="161"/>
      <c r="U19" s="161"/>
    </row>
    <row r="20" spans="1:21" x14ac:dyDescent="0.2">
      <c r="A20" s="161"/>
      <c r="B20" s="161"/>
      <c r="C20" s="196"/>
      <c r="D20" s="161"/>
      <c r="E20" s="161"/>
      <c r="F20" s="196"/>
      <c r="G20" s="161"/>
      <c r="H20" s="161"/>
      <c r="I20" s="161"/>
      <c r="J20" s="161"/>
      <c r="K20" s="161"/>
      <c r="L20" s="196"/>
      <c r="M20" s="161"/>
      <c r="N20" s="161"/>
      <c r="O20" s="196"/>
      <c r="P20" s="196"/>
      <c r="Q20" s="161"/>
      <c r="R20" s="196"/>
      <c r="S20" s="161"/>
      <c r="T20" s="161"/>
      <c r="U20" s="161"/>
    </row>
    <row r="21" spans="1:21" x14ac:dyDescent="0.2">
      <c r="A21" s="161"/>
      <c r="B21" s="161"/>
      <c r="C21" s="196"/>
      <c r="D21" s="161"/>
      <c r="E21" s="161"/>
      <c r="F21" s="196"/>
      <c r="G21" s="161"/>
      <c r="H21" s="161"/>
      <c r="I21" s="161"/>
      <c r="J21" s="161"/>
      <c r="K21" s="161"/>
      <c r="L21" s="196"/>
      <c r="M21" s="161"/>
      <c r="N21" s="161"/>
      <c r="O21" s="196"/>
      <c r="P21" s="196"/>
      <c r="Q21" s="161"/>
      <c r="R21" s="196"/>
      <c r="S21" s="161"/>
      <c r="T21" s="161"/>
      <c r="U21" s="161"/>
    </row>
    <row r="22" spans="1:21" x14ac:dyDescent="0.2">
      <c r="A22" s="161"/>
      <c r="B22" s="161"/>
      <c r="C22" s="196"/>
      <c r="D22" s="161"/>
      <c r="E22" s="161"/>
      <c r="F22" s="196"/>
      <c r="G22" s="161"/>
      <c r="H22" s="161"/>
      <c r="I22" s="161"/>
      <c r="J22" s="161"/>
      <c r="K22" s="161"/>
      <c r="L22" s="196"/>
      <c r="M22" s="161"/>
      <c r="N22" s="161"/>
      <c r="O22" s="196"/>
      <c r="P22" s="196"/>
      <c r="Q22" s="161"/>
      <c r="R22" s="196"/>
      <c r="S22" s="161"/>
      <c r="T22" s="161"/>
      <c r="U22" s="161"/>
    </row>
    <row r="23" spans="1:21" x14ac:dyDescent="0.2">
      <c r="A23" s="161"/>
      <c r="B23" s="161"/>
      <c r="C23" s="196"/>
      <c r="D23" s="161"/>
      <c r="E23" s="161"/>
      <c r="F23" s="196"/>
      <c r="G23" s="161"/>
      <c r="H23" s="161"/>
      <c r="I23" s="161"/>
      <c r="J23" s="161"/>
      <c r="K23" s="161"/>
      <c r="L23" s="196"/>
      <c r="M23" s="161"/>
      <c r="N23" s="161"/>
      <c r="O23" s="196"/>
      <c r="P23" s="196"/>
      <c r="Q23" s="161"/>
      <c r="R23" s="196"/>
      <c r="S23" s="161"/>
      <c r="T23" s="161"/>
      <c r="U23" s="161"/>
    </row>
    <row r="24" spans="1:21" x14ac:dyDescent="0.2">
      <c r="A24" s="161"/>
      <c r="B24" s="161"/>
      <c r="C24" s="196"/>
      <c r="D24" s="161"/>
      <c r="E24" s="161"/>
      <c r="F24" s="196"/>
      <c r="G24" s="161"/>
      <c r="H24" s="161"/>
      <c r="I24" s="161"/>
      <c r="J24" s="161"/>
      <c r="K24" s="161"/>
      <c r="L24" s="196"/>
      <c r="M24" s="161"/>
      <c r="N24" s="161"/>
      <c r="O24" s="196"/>
      <c r="P24" s="196"/>
      <c r="Q24" s="161"/>
      <c r="R24" s="196"/>
      <c r="S24" s="161"/>
      <c r="T24" s="161"/>
      <c r="U24" s="161"/>
    </row>
    <row r="25" spans="1:21" x14ac:dyDescent="0.2">
      <c r="A25" s="161"/>
      <c r="B25" s="161"/>
      <c r="C25" s="196"/>
      <c r="D25" s="161"/>
      <c r="E25" s="161"/>
      <c r="F25" s="196"/>
      <c r="G25" s="161"/>
      <c r="H25" s="161"/>
      <c r="I25" s="161"/>
      <c r="J25" s="161"/>
      <c r="K25" s="161"/>
      <c r="L25" s="196"/>
      <c r="M25" s="161"/>
      <c r="N25" s="161"/>
      <c r="O25" s="196"/>
      <c r="P25" s="196"/>
      <c r="Q25" s="161"/>
      <c r="R25" s="196"/>
      <c r="S25" s="161"/>
      <c r="T25" s="161"/>
      <c r="U25" s="161"/>
    </row>
    <row r="26" spans="1:21" x14ac:dyDescent="0.2">
      <c r="A26" s="161"/>
      <c r="B26" s="161"/>
      <c r="C26" s="196"/>
      <c r="D26" s="161"/>
      <c r="E26" s="161"/>
      <c r="F26" s="196"/>
      <c r="G26" s="161"/>
      <c r="H26" s="161"/>
      <c r="I26" s="161"/>
      <c r="J26" s="161"/>
      <c r="K26" s="161"/>
      <c r="L26" s="196"/>
      <c r="M26" s="161"/>
      <c r="N26" s="161"/>
      <c r="O26" s="196"/>
      <c r="P26" s="196"/>
      <c r="Q26" s="161"/>
      <c r="R26" s="196"/>
      <c r="S26" s="161"/>
      <c r="T26" s="161"/>
      <c r="U26" s="161"/>
    </row>
    <row r="27" spans="1:21" x14ac:dyDescent="0.2">
      <c r="A27" s="161"/>
      <c r="B27" s="161"/>
      <c r="C27" s="196"/>
      <c r="D27" s="161"/>
      <c r="E27" s="161"/>
      <c r="F27" s="196"/>
      <c r="G27" s="161"/>
      <c r="H27" s="161"/>
      <c r="I27" s="161"/>
      <c r="J27" s="161"/>
      <c r="K27" s="161"/>
      <c r="L27" s="196"/>
      <c r="M27" s="161"/>
      <c r="N27" s="161"/>
      <c r="O27" s="196"/>
      <c r="P27" s="196"/>
      <c r="Q27" s="161"/>
      <c r="R27" s="196"/>
      <c r="S27" s="161"/>
      <c r="T27" s="161"/>
      <c r="U27" s="161"/>
    </row>
    <row r="28" spans="1:21" x14ac:dyDescent="0.2">
      <c r="A28" s="161"/>
      <c r="B28" s="161"/>
      <c r="C28" s="196"/>
      <c r="D28" s="161"/>
      <c r="E28" s="161"/>
      <c r="F28" s="196"/>
      <c r="G28" s="161"/>
      <c r="H28" s="161"/>
      <c r="I28" s="161"/>
      <c r="J28" s="161"/>
      <c r="K28" s="161"/>
      <c r="L28" s="196"/>
      <c r="M28" s="161"/>
      <c r="N28" s="161"/>
      <c r="O28" s="196"/>
      <c r="P28" s="196"/>
      <c r="Q28" s="161"/>
      <c r="R28" s="196"/>
      <c r="S28" s="161"/>
      <c r="T28" s="161"/>
      <c r="U28" s="161"/>
    </row>
    <row r="29" spans="1:21" x14ac:dyDescent="0.2">
      <c r="A29" s="161"/>
      <c r="B29" s="161"/>
      <c r="C29" s="196"/>
      <c r="D29" s="161"/>
      <c r="E29" s="161"/>
      <c r="F29" s="196"/>
      <c r="G29" s="161"/>
      <c r="H29" s="161"/>
      <c r="I29" s="161"/>
      <c r="J29" s="161"/>
      <c r="K29" s="161"/>
      <c r="L29" s="196"/>
      <c r="M29" s="161"/>
      <c r="N29" s="161"/>
      <c r="O29" s="196"/>
      <c r="P29" s="196"/>
      <c r="Q29" s="161"/>
      <c r="R29" s="196"/>
      <c r="S29" s="161"/>
      <c r="T29" s="161"/>
      <c r="U29" s="161"/>
    </row>
    <row r="30" spans="1:21" x14ac:dyDescent="0.2">
      <c r="A30" s="161"/>
      <c r="B30" s="161"/>
      <c r="C30" s="196"/>
      <c r="D30" s="161"/>
      <c r="E30" s="161"/>
      <c r="F30" s="196"/>
      <c r="G30" s="161"/>
      <c r="H30" s="161"/>
      <c r="I30" s="161"/>
      <c r="J30" s="161"/>
      <c r="K30" s="161"/>
      <c r="L30" s="196"/>
      <c r="M30" s="161"/>
      <c r="N30" s="161"/>
      <c r="O30" s="196"/>
      <c r="P30" s="196"/>
      <c r="Q30" s="161"/>
      <c r="R30" s="196"/>
      <c r="S30" s="161"/>
      <c r="T30" s="161"/>
      <c r="U30" s="161"/>
    </row>
    <row r="31" spans="1:21" x14ac:dyDescent="0.2">
      <c r="A31" s="161"/>
      <c r="B31" s="161"/>
      <c r="C31" s="196"/>
      <c r="D31" s="161"/>
      <c r="E31" s="161"/>
      <c r="F31" s="196"/>
      <c r="G31" s="161"/>
      <c r="H31" s="161"/>
      <c r="I31" s="161"/>
      <c r="J31" s="161"/>
      <c r="K31" s="161"/>
      <c r="L31" s="196"/>
      <c r="M31" s="161"/>
      <c r="N31" s="161"/>
      <c r="O31" s="196"/>
      <c r="P31" s="196"/>
      <c r="Q31" s="161"/>
      <c r="R31" s="196"/>
      <c r="S31" s="161"/>
      <c r="T31" s="161"/>
      <c r="U31" s="161"/>
    </row>
    <row r="32" spans="1:21" x14ac:dyDescent="0.2">
      <c r="A32" s="161"/>
      <c r="B32" s="161"/>
      <c r="C32" s="196"/>
      <c r="D32" s="161"/>
      <c r="E32" s="161"/>
      <c r="F32" s="196"/>
      <c r="G32" s="161"/>
      <c r="H32" s="161"/>
      <c r="I32" s="161"/>
      <c r="J32" s="161"/>
      <c r="K32" s="161"/>
      <c r="L32" s="196"/>
      <c r="M32" s="161"/>
      <c r="N32" s="161"/>
      <c r="O32" s="196"/>
      <c r="P32" s="196"/>
      <c r="Q32" s="161"/>
      <c r="R32" s="196"/>
      <c r="S32" s="161"/>
      <c r="T32" s="161"/>
      <c r="U32" s="161"/>
    </row>
    <row r="33" spans="1:21" x14ac:dyDescent="0.2">
      <c r="A33" s="161"/>
      <c r="B33" s="161"/>
      <c r="C33" s="196"/>
      <c r="D33" s="161"/>
      <c r="E33" s="161"/>
      <c r="F33" s="196"/>
      <c r="G33" s="161"/>
      <c r="H33" s="161"/>
      <c r="I33" s="161"/>
      <c r="J33" s="161"/>
      <c r="K33" s="161"/>
      <c r="L33" s="196"/>
      <c r="M33" s="161"/>
      <c r="N33" s="161"/>
      <c r="O33" s="196"/>
      <c r="P33" s="196"/>
      <c r="Q33" s="161"/>
      <c r="R33" s="196"/>
      <c r="S33" s="161"/>
      <c r="T33" s="161"/>
      <c r="U33" s="161"/>
    </row>
    <row r="34" spans="1:21" x14ac:dyDescent="0.2">
      <c r="A34" s="161"/>
      <c r="B34" s="161"/>
      <c r="C34" s="196"/>
      <c r="D34" s="161"/>
      <c r="E34" s="161"/>
      <c r="F34" s="196"/>
      <c r="G34" s="161"/>
      <c r="H34" s="161"/>
      <c r="I34" s="161"/>
      <c r="J34" s="161"/>
      <c r="K34" s="161"/>
      <c r="L34" s="196"/>
      <c r="M34" s="161"/>
      <c r="N34" s="161"/>
      <c r="O34" s="196"/>
      <c r="P34" s="196"/>
      <c r="Q34" s="161"/>
      <c r="R34" s="196"/>
      <c r="S34" s="161"/>
      <c r="T34" s="161"/>
      <c r="U34" s="161"/>
    </row>
    <row r="35" spans="1:21" x14ac:dyDescent="0.2">
      <c r="A35" s="161"/>
      <c r="B35" s="161"/>
      <c r="C35" s="196"/>
      <c r="D35" s="161"/>
      <c r="E35" s="161"/>
      <c r="F35" s="196"/>
      <c r="G35" s="161"/>
      <c r="H35" s="161"/>
      <c r="I35" s="161"/>
      <c r="J35" s="161"/>
      <c r="K35" s="161"/>
      <c r="L35" s="196"/>
      <c r="M35" s="161"/>
      <c r="N35" s="161"/>
      <c r="O35" s="196"/>
      <c r="P35" s="196"/>
      <c r="Q35" s="161"/>
      <c r="R35" s="196"/>
      <c r="S35" s="161"/>
      <c r="T35" s="161"/>
      <c r="U35" s="161"/>
    </row>
    <row r="36" spans="1:21" x14ac:dyDescent="0.2">
      <c r="A36" s="161"/>
      <c r="B36" s="161"/>
      <c r="C36" s="196"/>
      <c r="D36" s="161"/>
      <c r="E36" s="161"/>
      <c r="F36" s="196"/>
      <c r="G36" s="161"/>
      <c r="H36" s="161"/>
      <c r="I36" s="161"/>
      <c r="J36" s="161"/>
      <c r="K36" s="161"/>
      <c r="L36" s="196"/>
      <c r="M36" s="161"/>
      <c r="N36" s="161"/>
      <c r="O36" s="196"/>
      <c r="P36" s="196"/>
      <c r="Q36" s="161"/>
      <c r="R36" s="196"/>
      <c r="S36" s="161"/>
      <c r="T36" s="161"/>
      <c r="U36" s="161"/>
    </row>
    <row r="37" spans="1:21" x14ac:dyDescent="0.2">
      <c r="A37" s="161"/>
      <c r="B37" s="161"/>
      <c r="C37" s="196"/>
      <c r="D37" s="161"/>
      <c r="E37" s="161"/>
      <c r="F37" s="196"/>
      <c r="G37" s="161"/>
      <c r="H37" s="161"/>
      <c r="I37" s="161"/>
      <c r="J37" s="161"/>
      <c r="K37" s="161"/>
      <c r="L37" s="196"/>
      <c r="M37" s="161"/>
      <c r="N37" s="161"/>
      <c r="O37" s="196"/>
      <c r="P37" s="196"/>
      <c r="Q37" s="161"/>
      <c r="R37" s="196"/>
      <c r="S37" s="161"/>
      <c r="T37" s="161"/>
      <c r="U37" s="161"/>
    </row>
    <row r="38" spans="1:21" x14ac:dyDescent="0.2">
      <c r="A38" s="161"/>
      <c r="B38" s="161"/>
      <c r="C38" s="196"/>
      <c r="D38" s="161"/>
      <c r="E38" s="161"/>
      <c r="F38" s="196"/>
      <c r="G38" s="161"/>
      <c r="H38" s="161"/>
      <c r="I38" s="161"/>
      <c r="J38" s="161"/>
      <c r="K38" s="161"/>
      <c r="L38" s="196"/>
      <c r="M38" s="161"/>
      <c r="N38" s="161"/>
      <c r="O38" s="196"/>
      <c r="P38" s="196"/>
      <c r="Q38" s="161"/>
      <c r="R38" s="196"/>
      <c r="S38" s="161"/>
      <c r="T38" s="161"/>
      <c r="U38" s="161"/>
    </row>
    <row r="39" spans="1:21" x14ac:dyDescent="0.2">
      <c r="A39" s="161"/>
      <c r="B39" s="161"/>
      <c r="C39" s="196"/>
      <c r="D39" s="161"/>
      <c r="E39" s="161"/>
      <c r="F39" s="196"/>
      <c r="G39" s="161"/>
      <c r="H39" s="161"/>
      <c r="I39" s="161"/>
      <c r="J39" s="161"/>
      <c r="K39" s="161"/>
      <c r="L39" s="196"/>
      <c r="M39" s="161"/>
      <c r="N39" s="161"/>
      <c r="O39" s="196"/>
      <c r="P39" s="196"/>
      <c r="Q39" s="161"/>
      <c r="R39" s="196"/>
      <c r="S39" s="161"/>
      <c r="T39" s="161"/>
      <c r="U39" s="161"/>
    </row>
    <row r="40" spans="1:21" x14ac:dyDescent="0.2">
      <c r="C40" s="196"/>
      <c r="F40" s="196"/>
      <c r="L40" s="196"/>
      <c r="O40" s="196"/>
      <c r="P40" s="196"/>
      <c r="R40" s="196"/>
    </row>
    <row r="41" spans="1:21" x14ac:dyDescent="0.2">
      <c r="C41" s="196"/>
      <c r="F41" s="196"/>
      <c r="L41" s="196"/>
      <c r="O41" s="196"/>
      <c r="P41" s="196"/>
      <c r="R41" s="196"/>
    </row>
    <row r="42" spans="1:21" x14ac:dyDescent="0.2">
      <c r="C42" s="196"/>
      <c r="F42" s="196"/>
      <c r="L42" s="196"/>
      <c r="O42" s="196"/>
      <c r="P42" s="196"/>
      <c r="R42" s="196"/>
    </row>
    <row r="43" spans="1:21" x14ac:dyDescent="0.2">
      <c r="C43" s="196"/>
      <c r="F43" s="196"/>
      <c r="L43" s="196"/>
      <c r="O43" s="196"/>
      <c r="P43" s="196"/>
      <c r="R43" s="196"/>
    </row>
    <row r="44" spans="1:21" x14ac:dyDescent="0.2">
      <c r="C44" s="196"/>
      <c r="F44" s="196"/>
      <c r="L44" s="196"/>
      <c r="O44" s="196"/>
      <c r="P44" s="196"/>
      <c r="R44" s="196"/>
    </row>
    <row r="45" spans="1:21" x14ac:dyDescent="0.2">
      <c r="C45" s="196"/>
      <c r="F45" s="196"/>
      <c r="L45" s="196"/>
      <c r="O45" s="196"/>
      <c r="P45" s="196"/>
      <c r="R45" s="196"/>
    </row>
    <row r="46" spans="1:21" x14ac:dyDescent="0.2">
      <c r="C46" s="196"/>
      <c r="F46" s="196"/>
      <c r="L46" s="196"/>
      <c r="O46" s="196"/>
      <c r="P46" s="196"/>
      <c r="R46" s="196"/>
    </row>
    <row r="47" spans="1:21" x14ac:dyDescent="0.2">
      <c r="C47" s="196"/>
      <c r="F47" s="196"/>
      <c r="L47" s="196"/>
      <c r="O47" s="196"/>
      <c r="P47" s="196"/>
      <c r="R47" s="196"/>
    </row>
    <row r="48" spans="1:21" x14ac:dyDescent="0.2">
      <c r="C48" s="196"/>
      <c r="F48" s="196"/>
      <c r="L48" s="196"/>
      <c r="O48" s="196"/>
      <c r="P48" s="196"/>
      <c r="R48" s="196"/>
    </row>
    <row r="49" spans="3:18" x14ac:dyDescent="0.2">
      <c r="C49" s="196"/>
      <c r="F49" s="196"/>
      <c r="L49" s="196"/>
      <c r="O49" s="196"/>
      <c r="P49" s="196"/>
      <c r="R49" s="196"/>
    </row>
    <row r="50" spans="3:18" x14ac:dyDescent="0.2">
      <c r="C50" s="196"/>
      <c r="F50" s="196"/>
      <c r="L50" s="196"/>
      <c r="O50" s="196"/>
      <c r="P50" s="196"/>
      <c r="R50" s="196"/>
    </row>
    <row r="51" spans="3:18" x14ac:dyDescent="0.2">
      <c r="C51" s="196"/>
      <c r="F51" s="196"/>
      <c r="L51" s="196"/>
      <c r="O51" s="196"/>
      <c r="P51" s="196"/>
      <c r="R51" s="196"/>
    </row>
    <row r="52" spans="3:18" x14ac:dyDescent="0.2">
      <c r="C52" s="196"/>
      <c r="F52" s="196"/>
      <c r="L52" s="196"/>
      <c r="O52" s="196"/>
      <c r="P52" s="196"/>
      <c r="R52" s="196"/>
    </row>
    <row r="53" spans="3:18" x14ac:dyDescent="0.2">
      <c r="C53" s="196"/>
      <c r="F53" s="196"/>
      <c r="L53" s="196"/>
      <c r="O53" s="196"/>
      <c r="P53" s="196"/>
      <c r="R53" s="196"/>
    </row>
    <row r="54" spans="3:18" x14ac:dyDescent="0.2">
      <c r="C54" s="196"/>
      <c r="F54" s="196"/>
      <c r="L54" s="196"/>
      <c r="O54" s="196"/>
      <c r="P54" s="196"/>
      <c r="R54" s="196"/>
    </row>
    <row r="55" spans="3:18" x14ac:dyDescent="0.2">
      <c r="C55" s="196"/>
      <c r="F55" s="196"/>
      <c r="L55" s="196"/>
      <c r="O55" s="196"/>
      <c r="P55" s="196"/>
      <c r="R55" s="196"/>
    </row>
    <row r="56" spans="3:18" x14ac:dyDescent="0.2">
      <c r="C56" s="196"/>
      <c r="F56" s="196"/>
      <c r="L56" s="196"/>
      <c r="O56" s="196"/>
      <c r="P56" s="196"/>
      <c r="R56" s="196"/>
    </row>
    <row r="57" spans="3:18" x14ac:dyDescent="0.2">
      <c r="C57" s="196"/>
      <c r="F57" s="196"/>
      <c r="L57" s="196"/>
      <c r="O57" s="196"/>
      <c r="P57" s="196"/>
      <c r="R57" s="196"/>
    </row>
    <row r="58" spans="3:18" x14ac:dyDescent="0.2">
      <c r="C58" s="196"/>
      <c r="F58" s="196"/>
      <c r="L58" s="196"/>
      <c r="O58" s="196"/>
      <c r="P58" s="196"/>
      <c r="R58" s="196"/>
    </row>
    <row r="59" spans="3:18" x14ac:dyDescent="0.2">
      <c r="C59" s="196"/>
      <c r="F59" s="196"/>
      <c r="L59" s="196"/>
      <c r="O59" s="196"/>
      <c r="P59" s="196"/>
      <c r="R59" s="196"/>
    </row>
    <row r="60" spans="3:18" x14ac:dyDescent="0.2">
      <c r="C60" s="196"/>
      <c r="F60" s="196"/>
      <c r="L60" s="196"/>
      <c r="O60" s="196"/>
      <c r="P60" s="196"/>
      <c r="R60" s="196"/>
    </row>
    <row r="61" spans="3:18" x14ac:dyDescent="0.2">
      <c r="C61" s="196"/>
      <c r="F61" s="196"/>
      <c r="L61" s="196"/>
      <c r="O61" s="196"/>
      <c r="P61" s="196"/>
      <c r="R61" s="196"/>
    </row>
    <row r="62" spans="3:18" x14ac:dyDescent="0.2">
      <c r="C62" s="196"/>
      <c r="F62" s="196"/>
      <c r="L62" s="196"/>
      <c r="O62" s="196"/>
      <c r="P62" s="196"/>
      <c r="R62" s="196"/>
    </row>
    <row r="63" spans="3:18" x14ac:dyDescent="0.2">
      <c r="C63" s="196"/>
      <c r="F63" s="196"/>
      <c r="L63" s="196"/>
      <c r="O63" s="196"/>
      <c r="P63" s="196"/>
      <c r="R63" s="196"/>
    </row>
    <row r="64" spans="3:18" x14ac:dyDescent="0.2">
      <c r="C64" s="196"/>
      <c r="F64" s="196"/>
      <c r="L64" s="196"/>
      <c r="O64" s="196"/>
      <c r="P64" s="196"/>
      <c r="R64" s="196"/>
    </row>
    <row r="65" spans="3:18" x14ac:dyDescent="0.2">
      <c r="C65" s="196"/>
      <c r="F65" s="196"/>
      <c r="L65" s="196"/>
      <c r="O65" s="196"/>
      <c r="P65" s="196"/>
      <c r="R65" s="196"/>
    </row>
    <row r="66" spans="3:18" x14ac:dyDescent="0.2">
      <c r="C66" s="196"/>
      <c r="F66" s="196"/>
      <c r="L66" s="196"/>
      <c r="O66" s="196"/>
      <c r="P66" s="196"/>
      <c r="R66" s="196"/>
    </row>
    <row r="67" spans="3:18" x14ac:dyDescent="0.2">
      <c r="C67" s="196"/>
      <c r="F67" s="196"/>
      <c r="L67" s="196"/>
      <c r="O67" s="196"/>
      <c r="P67" s="196"/>
      <c r="R67" s="196"/>
    </row>
    <row r="68" spans="3:18" x14ac:dyDescent="0.2">
      <c r="C68" s="196"/>
      <c r="F68" s="196"/>
      <c r="L68" s="196"/>
      <c r="O68" s="196"/>
      <c r="P68" s="196"/>
      <c r="R68" s="196"/>
    </row>
    <row r="69" spans="3:18" x14ac:dyDescent="0.2">
      <c r="C69" s="196"/>
      <c r="F69" s="196"/>
      <c r="L69" s="196"/>
      <c r="O69" s="196"/>
      <c r="P69" s="196"/>
      <c r="R69" s="196"/>
    </row>
    <row r="70" spans="3:18" x14ac:dyDescent="0.2">
      <c r="C70" s="196"/>
      <c r="F70" s="196"/>
      <c r="L70" s="196"/>
      <c r="O70" s="196"/>
      <c r="P70" s="196"/>
      <c r="R70" s="196"/>
    </row>
    <row r="71" spans="3:18" x14ac:dyDescent="0.2">
      <c r="C71" s="196"/>
      <c r="F71" s="196"/>
      <c r="L71" s="196"/>
      <c r="O71" s="196"/>
      <c r="P71" s="196"/>
      <c r="R71" s="196"/>
    </row>
    <row r="72" spans="3:18" x14ac:dyDescent="0.2">
      <c r="C72" s="196"/>
      <c r="F72" s="196"/>
      <c r="L72" s="196"/>
      <c r="O72" s="196"/>
      <c r="P72" s="196"/>
      <c r="R72" s="196"/>
    </row>
    <row r="73" spans="3:18" x14ac:dyDescent="0.2">
      <c r="C73" s="196"/>
      <c r="F73" s="196"/>
      <c r="L73" s="196"/>
      <c r="O73" s="196"/>
      <c r="P73" s="196"/>
      <c r="R73" s="196"/>
    </row>
    <row r="74" spans="3:18" x14ac:dyDescent="0.2">
      <c r="C74" s="196"/>
      <c r="F74" s="196"/>
      <c r="L74" s="196"/>
      <c r="O74" s="196"/>
      <c r="P74" s="196"/>
      <c r="R74" s="196"/>
    </row>
    <row r="75" spans="3:18" x14ac:dyDescent="0.2">
      <c r="C75" s="196"/>
      <c r="F75" s="196"/>
      <c r="L75" s="196"/>
      <c r="O75" s="196"/>
      <c r="P75" s="196"/>
      <c r="R75" s="196"/>
    </row>
    <row r="76" spans="3:18" x14ac:dyDescent="0.2">
      <c r="C76" s="196"/>
      <c r="F76" s="196"/>
      <c r="L76" s="196"/>
      <c r="O76" s="196"/>
      <c r="P76" s="196"/>
      <c r="R76" s="196"/>
    </row>
    <row r="77" spans="3:18" x14ac:dyDescent="0.2">
      <c r="C77" s="196"/>
      <c r="F77" s="196"/>
      <c r="L77" s="196"/>
      <c r="O77" s="196"/>
      <c r="P77" s="196"/>
      <c r="R77" s="196"/>
    </row>
    <row r="78" spans="3:18" x14ac:dyDescent="0.2">
      <c r="C78" s="196"/>
      <c r="F78" s="196"/>
      <c r="L78" s="196"/>
      <c r="O78" s="196"/>
      <c r="P78" s="196"/>
      <c r="R78" s="196"/>
    </row>
    <row r="79" spans="3:18" x14ac:dyDescent="0.2">
      <c r="C79" s="196"/>
      <c r="F79" s="196"/>
      <c r="L79" s="196"/>
      <c r="O79" s="196"/>
      <c r="P79" s="196"/>
      <c r="R79" s="196"/>
    </row>
    <row r="80" spans="3:18" x14ac:dyDescent="0.2">
      <c r="C80" s="196"/>
      <c r="F80" s="196"/>
      <c r="L80" s="196"/>
      <c r="O80" s="196"/>
      <c r="P80" s="196"/>
      <c r="R80" s="196"/>
    </row>
    <row r="81" spans="3:18" x14ac:dyDescent="0.2">
      <c r="C81" s="196"/>
      <c r="F81" s="196"/>
      <c r="L81" s="196"/>
      <c r="O81" s="196"/>
      <c r="P81" s="196"/>
      <c r="R81" s="196"/>
    </row>
    <row r="82" spans="3:18" x14ac:dyDescent="0.2">
      <c r="C82" s="196"/>
      <c r="F82" s="196"/>
      <c r="L82" s="196"/>
      <c r="O82" s="196"/>
      <c r="P82" s="196"/>
      <c r="R82" s="196"/>
    </row>
    <row r="83" spans="3:18" x14ac:dyDescent="0.2">
      <c r="C83" s="196"/>
      <c r="F83" s="196"/>
      <c r="L83" s="196"/>
      <c r="O83" s="196"/>
      <c r="P83" s="196"/>
      <c r="R83" s="196"/>
    </row>
    <row r="84" spans="3:18" x14ac:dyDescent="0.2">
      <c r="C84" s="196"/>
      <c r="F84" s="196"/>
      <c r="L84" s="196"/>
      <c r="O84" s="196"/>
      <c r="P84" s="196"/>
      <c r="R84" s="196"/>
    </row>
    <row r="85" spans="3:18" x14ac:dyDescent="0.2">
      <c r="C85" s="196"/>
      <c r="F85" s="196"/>
      <c r="L85" s="196"/>
      <c r="O85" s="196"/>
      <c r="P85" s="196"/>
      <c r="R85" s="196"/>
    </row>
    <row r="86" spans="3:18" x14ac:dyDescent="0.2">
      <c r="C86" s="196"/>
      <c r="F86" s="196"/>
      <c r="L86" s="196"/>
      <c r="O86" s="196"/>
      <c r="P86" s="196"/>
      <c r="R86" s="196"/>
    </row>
    <row r="87" spans="3:18" x14ac:dyDescent="0.2">
      <c r="C87" s="196"/>
      <c r="F87" s="196"/>
      <c r="L87" s="196"/>
      <c r="O87" s="196"/>
      <c r="P87" s="196"/>
      <c r="R87" s="196"/>
    </row>
    <row r="88" spans="3:18" x14ac:dyDescent="0.2">
      <c r="C88" s="196"/>
      <c r="F88" s="196"/>
      <c r="L88" s="196"/>
      <c r="O88" s="196"/>
      <c r="P88" s="196"/>
      <c r="R88" s="196"/>
    </row>
    <row r="89" spans="3:18" x14ac:dyDescent="0.2">
      <c r="C89" s="196"/>
      <c r="F89" s="196"/>
      <c r="L89" s="196"/>
      <c r="O89" s="196"/>
      <c r="P89" s="196"/>
      <c r="R89" s="196"/>
    </row>
    <row r="90" spans="3:18" x14ac:dyDescent="0.2">
      <c r="C90" s="196"/>
      <c r="F90" s="196"/>
      <c r="L90" s="196"/>
      <c r="O90" s="196"/>
      <c r="P90" s="196"/>
      <c r="R90" s="196"/>
    </row>
    <row r="91" spans="3:18" x14ac:dyDescent="0.2">
      <c r="C91" s="196"/>
      <c r="F91" s="196"/>
      <c r="L91" s="196"/>
      <c r="O91" s="196"/>
      <c r="P91" s="196"/>
      <c r="R91" s="196"/>
    </row>
    <row r="92" spans="3:18" x14ac:dyDescent="0.2">
      <c r="C92" s="196"/>
      <c r="F92" s="196"/>
      <c r="L92" s="196"/>
      <c r="O92" s="196"/>
      <c r="P92" s="196"/>
      <c r="R92" s="196"/>
    </row>
    <row r="93" spans="3:18" x14ac:dyDescent="0.2">
      <c r="C93" s="196"/>
      <c r="F93" s="196"/>
      <c r="L93" s="196"/>
      <c r="O93" s="196"/>
      <c r="P93" s="196"/>
      <c r="R93" s="196"/>
    </row>
    <row r="94" spans="3:18" x14ac:dyDescent="0.2">
      <c r="C94" s="196"/>
      <c r="F94" s="196"/>
      <c r="L94" s="196"/>
      <c r="O94" s="196"/>
      <c r="P94" s="196"/>
      <c r="R94" s="196"/>
    </row>
    <row r="95" spans="3:18" x14ac:dyDescent="0.2">
      <c r="C95" s="196"/>
      <c r="F95" s="196"/>
      <c r="L95" s="196"/>
      <c r="O95" s="196"/>
      <c r="P95" s="196"/>
      <c r="R95" s="196"/>
    </row>
    <row r="96" spans="3:18" x14ac:dyDescent="0.2">
      <c r="C96" s="196"/>
      <c r="F96" s="196"/>
      <c r="L96" s="196"/>
      <c r="O96" s="196"/>
      <c r="P96" s="196"/>
      <c r="R96" s="196"/>
    </row>
    <row r="97" spans="3:18" x14ac:dyDescent="0.2">
      <c r="C97" s="196"/>
      <c r="F97" s="196"/>
      <c r="L97" s="196"/>
      <c r="O97" s="196"/>
      <c r="P97" s="196"/>
      <c r="R97" s="196"/>
    </row>
    <row r="98" spans="3:18" x14ac:dyDescent="0.2">
      <c r="C98" s="196"/>
      <c r="F98" s="196"/>
      <c r="L98" s="196"/>
      <c r="O98" s="196"/>
      <c r="P98" s="196"/>
      <c r="R98" s="196"/>
    </row>
    <row r="99" spans="3:18" x14ac:dyDescent="0.2">
      <c r="C99" s="196"/>
      <c r="F99" s="196"/>
      <c r="L99" s="196"/>
      <c r="O99" s="196"/>
      <c r="P99" s="196"/>
      <c r="R99" s="196"/>
    </row>
    <row r="100" spans="3:18" x14ac:dyDescent="0.2">
      <c r="C100" s="196"/>
      <c r="F100" s="196"/>
      <c r="L100" s="196"/>
      <c r="O100" s="196"/>
      <c r="P100" s="196"/>
      <c r="R100" s="196"/>
    </row>
    <row r="101" spans="3:18" x14ac:dyDescent="0.2">
      <c r="C101" s="196"/>
      <c r="F101" s="196"/>
      <c r="L101" s="196"/>
      <c r="O101" s="196"/>
      <c r="P101" s="196"/>
      <c r="R101" s="196"/>
    </row>
    <row r="102" spans="3:18" x14ac:dyDescent="0.2">
      <c r="C102" s="196"/>
      <c r="F102" s="196"/>
      <c r="L102" s="196"/>
      <c r="O102" s="196"/>
      <c r="P102" s="196"/>
      <c r="R102" s="196"/>
    </row>
    <row r="103" spans="3:18" x14ac:dyDescent="0.2">
      <c r="C103" s="196"/>
      <c r="F103" s="196"/>
      <c r="L103" s="196"/>
      <c r="O103" s="196"/>
      <c r="P103" s="196"/>
      <c r="R103" s="196"/>
    </row>
    <row r="104" spans="3:18" x14ac:dyDescent="0.2">
      <c r="C104" s="196"/>
      <c r="F104" s="196"/>
      <c r="L104" s="196"/>
      <c r="O104" s="196"/>
      <c r="P104" s="196"/>
      <c r="R104" s="196"/>
    </row>
    <row r="105" spans="3:18" x14ac:dyDescent="0.2">
      <c r="C105" s="196"/>
      <c r="F105" s="196"/>
      <c r="L105" s="196"/>
      <c r="O105" s="196"/>
      <c r="P105" s="196"/>
      <c r="R105" s="196"/>
    </row>
    <row r="106" spans="3:18" x14ac:dyDescent="0.2">
      <c r="C106" s="196"/>
      <c r="F106" s="196"/>
      <c r="L106" s="196"/>
      <c r="O106" s="196"/>
      <c r="P106" s="196"/>
      <c r="R106" s="196"/>
    </row>
    <row r="107" spans="3:18" x14ac:dyDescent="0.2">
      <c r="C107" s="196"/>
      <c r="F107" s="196"/>
      <c r="L107" s="196"/>
      <c r="O107" s="196"/>
      <c r="P107" s="196"/>
      <c r="R107" s="196"/>
    </row>
    <row r="108" spans="3:18" x14ac:dyDescent="0.2">
      <c r="C108" s="196"/>
      <c r="F108" s="196"/>
      <c r="L108" s="196"/>
      <c r="O108" s="196"/>
      <c r="P108" s="196"/>
      <c r="R108" s="196"/>
    </row>
    <row r="109" spans="3:18" x14ac:dyDescent="0.2">
      <c r="C109" s="196"/>
      <c r="F109" s="196"/>
      <c r="L109" s="196"/>
      <c r="O109" s="196"/>
      <c r="P109" s="196"/>
      <c r="R109" s="196"/>
    </row>
    <row r="110" spans="3:18" x14ac:dyDescent="0.2">
      <c r="C110" s="196"/>
      <c r="F110" s="196"/>
      <c r="L110" s="196"/>
      <c r="O110" s="196"/>
      <c r="P110" s="196"/>
      <c r="R110" s="196"/>
    </row>
    <row r="111" spans="3:18" x14ac:dyDescent="0.2">
      <c r="C111" s="196"/>
      <c r="F111" s="196"/>
      <c r="L111" s="196"/>
      <c r="O111" s="196"/>
      <c r="P111" s="196"/>
      <c r="R111" s="196"/>
    </row>
    <row r="112" spans="3:18" x14ac:dyDescent="0.2">
      <c r="C112" s="196"/>
      <c r="F112" s="196"/>
      <c r="L112" s="196"/>
      <c r="O112" s="196"/>
      <c r="P112" s="196"/>
      <c r="R112" s="196"/>
    </row>
    <row r="113" spans="3:18" x14ac:dyDescent="0.2">
      <c r="C113" s="196"/>
      <c r="F113" s="196"/>
      <c r="L113" s="196"/>
      <c r="O113" s="196"/>
      <c r="P113" s="196"/>
      <c r="R113" s="196"/>
    </row>
    <row r="114" spans="3:18" x14ac:dyDescent="0.2">
      <c r="C114" s="196"/>
      <c r="F114" s="196"/>
      <c r="L114" s="196"/>
      <c r="O114" s="196"/>
      <c r="P114" s="196"/>
      <c r="R114" s="196"/>
    </row>
    <row r="115" spans="3:18" x14ac:dyDescent="0.2">
      <c r="C115" s="196"/>
      <c r="F115" s="196"/>
      <c r="L115" s="196"/>
      <c r="O115" s="196"/>
      <c r="P115" s="196"/>
      <c r="R115" s="196"/>
    </row>
    <row r="116" spans="3:18" x14ac:dyDescent="0.2">
      <c r="C116" s="196"/>
      <c r="F116" s="196"/>
      <c r="L116" s="196"/>
      <c r="O116" s="196"/>
      <c r="P116" s="196"/>
      <c r="R116" s="196"/>
    </row>
    <row r="117" spans="3:18" x14ac:dyDescent="0.2">
      <c r="C117" s="196"/>
      <c r="F117" s="196"/>
      <c r="L117" s="196"/>
      <c r="O117" s="196"/>
      <c r="P117" s="196"/>
      <c r="R117" s="196"/>
    </row>
    <row r="118" spans="3:18" x14ac:dyDescent="0.2">
      <c r="C118" s="196"/>
      <c r="F118" s="196"/>
      <c r="L118" s="196"/>
      <c r="O118" s="196"/>
      <c r="P118" s="196"/>
      <c r="R118" s="196"/>
    </row>
    <row r="119" spans="3:18" x14ac:dyDescent="0.2">
      <c r="C119" s="196"/>
      <c r="F119" s="196"/>
      <c r="L119" s="196"/>
      <c r="O119" s="196"/>
      <c r="P119" s="196"/>
      <c r="R119" s="196"/>
    </row>
    <row r="120" spans="3:18" x14ac:dyDescent="0.2">
      <c r="C120" s="196"/>
      <c r="F120" s="196"/>
      <c r="L120" s="196"/>
      <c r="O120" s="196"/>
      <c r="P120" s="196"/>
      <c r="R120" s="196"/>
    </row>
    <row r="121" spans="3:18" x14ac:dyDescent="0.2">
      <c r="C121" s="196"/>
      <c r="F121" s="196"/>
      <c r="L121" s="196"/>
      <c r="O121" s="196"/>
      <c r="P121" s="196"/>
      <c r="R121" s="196"/>
    </row>
    <row r="122" spans="3:18" x14ac:dyDescent="0.2">
      <c r="C122" s="196"/>
      <c r="F122" s="196"/>
      <c r="L122" s="196"/>
      <c r="O122" s="196"/>
      <c r="P122" s="196"/>
      <c r="R122" s="196"/>
    </row>
    <row r="123" spans="3:18" x14ac:dyDescent="0.2">
      <c r="C123" s="196"/>
      <c r="F123" s="196"/>
      <c r="L123" s="196"/>
      <c r="O123" s="196"/>
      <c r="P123" s="196"/>
      <c r="R123" s="196"/>
    </row>
    <row r="124" spans="3:18" x14ac:dyDescent="0.2">
      <c r="C124" s="196"/>
      <c r="F124" s="196"/>
      <c r="L124" s="196"/>
      <c r="O124" s="196"/>
      <c r="P124" s="196"/>
      <c r="R124" s="196"/>
    </row>
    <row r="125" spans="3:18" x14ac:dyDescent="0.2">
      <c r="C125" s="196"/>
      <c r="F125" s="196"/>
      <c r="L125" s="196"/>
      <c r="O125" s="196"/>
      <c r="P125" s="196"/>
      <c r="R125" s="196"/>
    </row>
    <row r="126" spans="3:18" x14ac:dyDescent="0.2">
      <c r="C126" s="196"/>
      <c r="F126" s="196"/>
      <c r="L126" s="196"/>
      <c r="O126" s="196"/>
      <c r="P126" s="196"/>
      <c r="R126" s="196"/>
    </row>
    <row r="127" spans="3:18" x14ac:dyDescent="0.2">
      <c r="C127" s="196"/>
      <c r="F127" s="196"/>
      <c r="L127" s="196"/>
      <c r="O127" s="196"/>
      <c r="P127" s="196"/>
      <c r="R127" s="196"/>
    </row>
    <row r="128" spans="3:18" x14ac:dyDescent="0.2">
      <c r="C128" s="196"/>
      <c r="F128" s="196"/>
      <c r="L128" s="196"/>
      <c r="O128" s="196"/>
      <c r="P128" s="196"/>
      <c r="R128" s="196"/>
    </row>
    <row r="129" spans="3:18" x14ac:dyDescent="0.2">
      <c r="C129" s="196"/>
      <c r="F129" s="196"/>
      <c r="L129" s="196"/>
      <c r="O129" s="196"/>
      <c r="P129" s="196"/>
      <c r="R129" s="196"/>
    </row>
    <row r="130" spans="3:18" x14ac:dyDescent="0.2">
      <c r="C130" s="196"/>
      <c r="F130" s="196"/>
      <c r="L130" s="196"/>
      <c r="O130" s="196"/>
      <c r="P130" s="196"/>
      <c r="R130" s="196"/>
    </row>
    <row r="131" spans="3:18" x14ac:dyDescent="0.2">
      <c r="C131" s="196"/>
      <c r="F131" s="196"/>
      <c r="L131" s="196"/>
      <c r="O131" s="196"/>
      <c r="P131" s="196"/>
      <c r="R131" s="196"/>
    </row>
    <row r="132" spans="3:18" x14ac:dyDescent="0.2">
      <c r="C132" s="196"/>
      <c r="F132" s="196"/>
      <c r="L132" s="196"/>
      <c r="O132" s="196"/>
      <c r="P132" s="196"/>
      <c r="R132" s="196"/>
    </row>
    <row r="133" spans="3:18" x14ac:dyDescent="0.2">
      <c r="C133" s="196"/>
      <c r="F133" s="196"/>
      <c r="L133" s="196"/>
      <c r="O133" s="196"/>
      <c r="P133" s="196"/>
      <c r="R133" s="196"/>
    </row>
    <row r="134" spans="3:18" x14ac:dyDescent="0.2">
      <c r="C134" s="196"/>
      <c r="F134" s="196"/>
      <c r="L134" s="196"/>
      <c r="O134" s="196"/>
      <c r="P134" s="196"/>
      <c r="R134" s="196"/>
    </row>
    <row r="135" spans="3:18" x14ac:dyDescent="0.2">
      <c r="C135" s="196"/>
      <c r="F135" s="196"/>
      <c r="L135" s="196"/>
      <c r="O135" s="196"/>
      <c r="P135" s="196"/>
      <c r="R135" s="196"/>
    </row>
    <row r="136" spans="3:18" x14ac:dyDescent="0.2">
      <c r="C136" s="196"/>
      <c r="F136" s="196"/>
      <c r="L136" s="196"/>
      <c r="O136" s="196"/>
      <c r="P136" s="196"/>
      <c r="R136" s="196"/>
    </row>
    <row r="137" spans="3:18" x14ac:dyDescent="0.2">
      <c r="C137" s="196"/>
      <c r="F137" s="196"/>
      <c r="L137" s="196"/>
      <c r="O137" s="196"/>
      <c r="P137" s="196"/>
      <c r="R137" s="196"/>
    </row>
    <row r="138" spans="3:18" x14ac:dyDescent="0.2">
      <c r="C138" s="196"/>
      <c r="F138" s="196"/>
      <c r="L138" s="196"/>
      <c r="O138" s="196"/>
      <c r="P138" s="196"/>
      <c r="R138" s="196"/>
    </row>
    <row r="139" spans="3:18" x14ac:dyDescent="0.2">
      <c r="C139" s="196"/>
      <c r="F139" s="196"/>
      <c r="L139" s="196"/>
      <c r="O139" s="196"/>
      <c r="P139" s="196"/>
      <c r="R139" s="196"/>
    </row>
    <row r="140" spans="3:18" x14ac:dyDescent="0.2">
      <c r="C140" s="196"/>
      <c r="F140" s="196"/>
      <c r="L140" s="196"/>
      <c r="O140" s="196"/>
      <c r="P140" s="196"/>
      <c r="R140" s="196"/>
    </row>
    <row r="141" spans="3:18" x14ac:dyDescent="0.2">
      <c r="C141" s="196"/>
      <c r="F141" s="196"/>
      <c r="L141" s="196"/>
      <c r="O141" s="196"/>
      <c r="P141" s="196"/>
      <c r="R141" s="196"/>
    </row>
    <row r="142" spans="3:18" x14ac:dyDescent="0.2">
      <c r="C142" s="196"/>
      <c r="F142" s="196"/>
      <c r="L142" s="196"/>
      <c r="O142" s="196"/>
      <c r="P142" s="196"/>
      <c r="R142" s="196"/>
    </row>
    <row r="143" spans="3:18" x14ac:dyDescent="0.2">
      <c r="C143" s="196"/>
      <c r="F143" s="196"/>
      <c r="L143" s="196"/>
      <c r="O143" s="196"/>
      <c r="P143" s="196"/>
      <c r="R143" s="196"/>
    </row>
    <row r="144" spans="3:18" x14ac:dyDescent="0.2">
      <c r="C144" s="196"/>
      <c r="F144" s="196"/>
      <c r="L144" s="196"/>
      <c r="O144" s="196"/>
      <c r="P144" s="196"/>
      <c r="R144" s="196"/>
    </row>
    <row r="145" spans="3:18" x14ac:dyDescent="0.2">
      <c r="C145" s="196"/>
      <c r="F145" s="196"/>
      <c r="L145" s="196"/>
      <c r="O145" s="196"/>
      <c r="P145" s="196"/>
      <c r="R145" s="196"/>
    </row>
    <row r="146" spans="3:18" x14ac:dyDescent="0.2">
      <c r="C146" s="196"/>
      <c r="F146" s="196"/>
      <c r="L146" s="196"/>
      <c r="O146" s="196"/>
      <c r="P146" s="196"/>
      <c r="R146" s="196"/>
    </row>
    <row r="147" spans="3:18" x14ac:dyDescent="0.2">
      <c r="C147" s="196"/>
      <c r="F147" s="196"/>
      <c r="L147" s="196"/>
      <c r="O147" s="196"/>
      <c r="P147" s="196"/>
      <c r="R147" s="196"/>
    </row>
    <row r="148" spans="3:18" x14ac:dyDescent="0.2">
      <c r="C148" s="196"/>
      <c r="F148" s="196"/>
      <c r="L148" s="196"/>
      <c r="O148" s="196"/>
      <c r="P148" s="196"/>
      <c r="R148" s="196"/>
    </row>
    <row r="149" spans="3:18" x14ac:dyDescent="0.2">
      <c r="C149" s="196"/>
      <c r="F149" s="196"/>
      <c r="L149" s="196"/>
      <c r="O149" s="196"/>
      <c r="P149" s="196"/>
      <c r="R149" s="196"/>
    </row>
    <row r="150" spans="3:18" x14ac:dyDescent="0.2">
      <c r="C150" s="196"/>
      <c r="F150" s="196"/>
      <c r="L150" s="196"/>
      <c r="O150" s="196"/>
      <c r="P150" s="196"/>
      <c r="R150" s="196"/>
    </row>
    <row r="151" spans="3:18" x14ac:dyDescent="0.2">
      <c r="C151" s="196"/>
      <c r="F151" s="196"/>
      <c r="L151" s="196"/>
      <c r="O151" s="196"/>
      <c r="P151" s="196"/>
      <c r="R151" s="196"/>
    </row>
    <row r="152" spans="3:18" x14ac:dyDescent="0.2">
      <c r="C152" s="196"/>
      <c r="F152" s="196"/>
      <c r="L152" s="196"/>
      <c r="O152" s="196"/>
      <c r="P152" s="196"/>
      <c r="R152" s="196"/>
    </row>
    <row r="153" spans="3:18" x14ac:dyDescent="0.2">
      <c r="C153" s="196"/>
      <c r="F153" s="196"/>
      <c r="L153" s="196"/>
      <c r="O153" s="196"/>
      <c r="P153" s="196"/>
      <c r="R153" s="196"/>
    </row>
    <row r="154" spans="3:18" x14ac:dyDescent="0.2">
      <c r="C154" s="196"/>
      <c r="F154" s="196"/>
      <c r="L154" s="196"/>
      <c r="O154" s="196"/>
      <c r="P154" s="196"/>
      <c r="R154" s="196"/>
    </row>
    <row r="155" spans="3:18" x14ac:dyDescent="0.2">
      <c r="C155" s="196"/>
      <c r="F155" s="196"/>
      <c r="L155" s="196"/>
      <c r="O155" s="196"/>
      <c r="P155" s="196"/>
      <c r="R155" s="196"/>
    </row>
    <row r="156" spans="3:18" x14ac:dyDescent="0.2">
      <c r="C156" s="196"/>
      <c r="F156" s="196"/>
      <c r="L156" s="196"/>
      <c r="O156" s="196"/>
      <c r="P156" s="196"/>
      <c r="R156" s="196"/>
    </row>
    <row r="157" spans="3:18" x14ac:dyDescent="0.2">
      <c r="C157" s="196"/>
      <c r="F157" s="196"/>
      <c r="L157" s="196"/>
      <c r="O157" s="196"/>
      <c r="P157" s="196"/>
      <c r="R157" s="196"/>
    </row>
    <row r="158" spans="3:18" x14ac:dyDescent="0.2">
      <c r="C158" s="196"/>
      <c r="F158" s="196"/>
      <c r="L158" s="196"/>
      <c r="O158" s="196"/>
      <c r="P158" s="196"/>
      <c r="R158" s="196"/>
    </row>
    <row r="159" spans="3:18" x14ac:dyDescent="0.2">
      <c r="C159" s="196"/>
      <c r="F159" s="196"/>
      <c r="L159" s="196"/>
      <c r="O159" s="196"/>
      <c r="P159" s="196"/>
      <c r="R159" s="196"/>
    </row>
    <row r="160" spans="3:18" x14ac:dyDescent="0.2">
      <c r="C160" s="196"/>
      <c r="F160" s="196"/>
      <c r="L160" s="196"/>
      <c r="O160" s="196"/>
      <c r="P160" s="196"/>
      <c r="R160" s="196"/>
    </row>
    <row r="161" spans="3:18" x14ac:dyDescent="0.2">
      <c r="C161" s="196"/>
      <c r="F161" s="196"/>
      <c r="L161" s="196"/>
      <c r="O161" s="196"/>
      <c r="P161" s="196"/>
      <c r="R161" s="196"/>
    </row>
    <row r="162" spans="3:18" x14ac:dyDescent="0.2">
      <c r="C162" s="196"/>
      <c r="F162" s="196"/>
      <c r="L162" s="196"/>
      <c r="O162" s="196"/>
      <c r="P162" s="196"/>
      <c r="R162" s="196"/>
    </row>
    <row r="163" spans="3:18" x14ac:dyDescent="0.2">
      <c r="C163" s="196"/>
      <c r="F163" s="196"/>
      <c r="L163" s="196"/>
      <c r="O163" s="196"/>
      <c r="P163" s="196"/>
      <c r="R163" s="196"/>
    </row>
    <row r="164" spans="3:18" x14ac:dyDescent="0.2">
      <c r="C164" s="196"/>
      <c r="F164" s="196"/>
      <c r="L164" s="196"/>
      <c r="O164" s="196"/>
      <c r="P164" s="196"/>
      <c r="R164" s="196"/>
    </row>
    <row r="165" spans="3:18" x14ac:dyDescent="0.2">
      <c r="C165" s="196"/>
      <c r="F165" s="196"/>
      <c r="L165" s="196"/>
      <c r="O165" s="196"/>
      <c r="P165" s="196"/>
      <c r="R165" s="196"/>
    </row>
    <row r="166" spans="3:18" x14ac:dyDescent="0.2">
      <c r="C166" s="196"/>
      <c r="F166" s="196"/>
      <c r="L166" s="196"/>
      <c r="O166" s="196"/>
      <c r="P166" s="196"/>
      <c r="R166" s="196"/>
    </row>
    <row r="167" spans="3:18" x14ac:dyDescent="0.2">
      <c r="C167" s="196"/>
      <c r="F167" s="196"/>
      <c r="L167" s="196"/>
      <c r="O167" s="196"/>
      <c r="P167" s="196"/>
      <c r="R167" s="196"/>
    </row>
    <row r="168" spans="3:18" x14ac:dyDescent="0.2">
      <c r="C168" s="196"/>
      <c r="F168" s="196"/>
      <c r="L168" s="196"/>
      <c r="O168" s="196"/>
      <c r="P168" s="196"/>
      <c r="R168" s="196"/>
    </row>
    <row r="169" spans="3:18" x14ac:dyDescent="0.2">
      <c r="C169" s="196"/>
      <c r="F169" s="196"/>
      <c r="L169" s="196"/>
      <c r="O169" s="196"/>
      <c r="P169" s="196"/>
      <c r="R169" s="196"/>
    </row>
    <row r="170" spans="3:18" x14ac:dyDescent="0.2">
      <c r="C170" s="196"/>
      <c r="F170" s="196"/>
      <c r="L170" s="196"/>
      <c r="O170" s="196"/>
      <c r="P170" s="196"/>
      <c r="R170" s="196"/>
    </row>
    <row r="171" spans="3:18" x14ac:dyDescent="0.2">
      <c r="C171" s="196"/>
      <c r="F171" s="196"/>
      <c r="L171" s="196"/>
      <c r="O171" s="196"/>
      <c r="P171" s="196"/>
      <c r="R171" s="196"/>
    </row>
    <row r="172" spans="3:18" x14ac:dyDescent="0.2">
      <c r="C172" s="196"/>
      <c r="F172" s="196"/>
      <c r="L172" s="196"/>
      <c r="O172" s="196"/>
      <c r="P172" s="196"/>
      <c r="R172" s="196"/>
    </row>
    <row r="173" spans="3:18" x14ac:dyDescent="0.2">
      <c r="C173" s="196"/>
      <c r="F173" s="196"/>
      <c r="L173" s="196"/>
      <c r="O173" s="196"/>
      <c r="P173" s="196"/>
      <c r="R173" s="196"/>
    </row>
    <row r="174" spans="3:18" x14ac:dyDescent="0.2">
      <c r="C174" s="196"/>
      <c r="F174" s="196"/>
      <c r="L174" s="196"/>
      <c r="O174" s="196"/>
      <c r="P174" s="196"/>
      <c r="R174" s="196"/>
    </row>
    <row r="175" spans="3:18" x14ac:dyDescent="0.2">
      <c r="C175" s="196"/>
      <c r="F175" s="196"/>
      <c r="L175" s="196"/>
      <c r="O175" s="196"/>
      <c r="P175" s="196"/>
      <c r="R175" s="196"/>
    </row>
    <row r="176" spans="3:18" x14ac:dyDescent="0.2">
      <c r="C176" s="196"/>
      <c r="F176" s="196"/>
      <c r="L176" s="196"/>
      <c r="O176" s="196"/>
      <c r="P176" s="196"/>
      <c r="R176" s="196"/>
    </row>
    <row r="177" spans="3:18" x14ac:dyDescent="0.2">
      <c r="C177" s="196"/>
      <c r="F177" s="196"/>
      <c r="L177" s="196"/>
      <c r="O177" s="196"/>
      <c r="P177" s="196"/>
      <c r="R177" s="196"/>
    </row>
    <row r="178" spans="3:18" x14ac:dyDescent="0.2">
      <c r="C178" s="196"/>
      <c r="F178" s="196"/>
      <c r="L178" s="196"/>
      <c r="O178" s="196"/>
      <c r="P178" s="196"/>
      <c r="R178" s="196"/>
    </row>
    <row r="179" spans="3:18" x14ac:dyDescent="0.2">
      <c r="C179" s="196"/>
      <c r="F179" s="196"/>
      <c r="L179" s="196"/>
      <c r="O179" s="196"/>
      <c r="P179" s="196"/>
      <c r="R179" s="196"/>
    </row>
    <row r="180" spans="3:18" x14ac:dyDescent="0.2">
      <c r="C180" s="196"/>
      <c r="F180" s="196"/>
      <c r="L180" s="196"/>
      <c r="O180" s="196"/>
      <c r="P180" s="196"/>
      <c r="R180" s="196"/>
    </row>
    <row r="181" spans="3:18" x14ac:dyDescent="0.2">
      <c r="C181" s="196"/>
      <c r="F181" s="196"/>
      <c r="L181" s="196"/>
      <c r="O181" s="196"/>
      <c r="P181" s="196"/>
      <c r="R181" s="196"/>
    </row>
    <row r="182" spans="3:18" x14ac:dyDescent="0.2">
      <c r="C182" s="196"/>
      <c r="F182" s="196"/>
      <c r="L182" s="196"/>
      <c r="O182" s="196"/>
      <c r="P182" s="196"/>
      <c r="R182" s="196"/>
    </row>
    <row r="183" spans="3:18" x14ac:dyDescent="0.2">
      <c r="C183" s="196"/>
      <c r="F183" s="196"/>
      <c r="L183" s="196"/>
      <c r="O183" s="196"/>
      <c r="P183" s="196"/>
      <c r="R183" s="196"/>
    </row>
    <row r="184" spans="3:18" x14ac:dyDescent="0.2">
      <c r="C184" s="196"/>
      <c r="F184" s="196"/>
      <c r="L184" s="196"/>
      <c r="O184" s="196"/>
      <c r="P184" s="196"/>
      <c r="R184" s="196"/>
    </row>
    <row r="185" spans="3:18" x14ac:dyDescent="0.2">
      <c r="C185" s="196"/>
      <c r="F185" s="196"/>
      <c r="L185" s="196"/>
      <c r="O185" s="196"/>
      <c r="P185" s="196"/>
      <c r="R185" s="196"/>
    </row>
    <row r="186" spans="3:18" x14ac:dyDescent="0.2">
      <c r="C186" s="196"/>
      <c r="F186" s="196"/>
      <c r="L186" s="196"/>
      <c r="O186" s="196"/>
      <c r="P186" s="196"/>
      <c r="R186" s="196"/>
    </row>
    <row r="187" spans="3:18" x14ac:dyDescent="0.2">
      <c r="C187" s="196"/>
      <c r="F187" s="196"/>
      <c r="L187" s="196"/>
      <c r="O187" s="196"/>
      <c r="P187" s="196"/>
      <c r="R187" s="196"/>
    </row>
    <row r="188" spans="3:18" x14ac:dyDescent="0.2">
      <c r="C188" s="196"/>
      <c r="F188" s="196"/>
      <c r="L188" s="196"/>
      <c r="O188" s="196"/>
      <c r="P188" s="196"/>
      <c r="R188" s="196"/>
    </row>
    <row r="189" spans="3:18" x14ac:dyDescent="0.2">
      <c r="C189" s="196"/>
      <c r="F189" s="196"/>
      <c r="L189" s="196"/>
      <c r="O189" s="196"/>
      <c r="P189" s="196"/>
      <c r="R189" s="196"/>
    </row>
    <row r="190" spans="3:18" x14ac:dyDescent="0.2">
      <c r="C190" s="196"/>
      <c r="F190" s="196"/>
      <c r="L190" s="196"/>
      <c r="O190" s="196"/>
      <c r="P190" s="196"/>
      <c r="R190" s="196"/>
    </row>
    <row r="191" spans="3:18" x14ac:dyDescent="0.2">
      <c r="C191" s="196"/>
      <c r="F191" s="196"/>
      <c r="L191" s="196"/>
      <c r="O191" s="196"/>
      <c r="P191" s="196"/>
      <c r="R191" s="196"/>
    </row>
    <row r="192" spans="3:18" x14ac:dyDescent="0.2">
      <c r="C192" s="196"/>
      <c r="F192" s="196"/>
      <c r="L192" s="196"/>
      <c r="O192" s="196"/>
      <c r="P192" s="196"/>
      <c r="R192" s="196"/>
    </row>
    <row r="193" spans="3:18" x14ac:dyDescent="0.2">
      <c r="C193" s="196"/>
      <c r="F193" s="196"/>
      <c r="L193" s="196"/>
      <c r="O193" s="196"/>
      <c r="P193" s="196"/>
      <c r="R193" s="196"/>
    </row>
    <row r="194" spans="3:18" x14ac:dyDescent="0.2">
      <c r="C194" s="196"/>
      <c r="F194" s="196"/>
      <c r="L194" s="196"/>
      <c r="O194" s="196"/>
      <c r="P194" s="196"/>
      <c r="R194" s="196"/>
    </row>
    <row r="195" spans="3:18" x14ac:dyDescent="0.2">
      <c r="C195" s="196"/>
      <c r="F195" s="196"/>
      <c r="L195" s="196"/>
      <c r="O195" s="196"/>
      <c r="P195" s="196"/>
      <c r="R195" s="196"/>
    </row>
    <row r="196" spans="3:18" x14ac:dyDescent="0.2">
      <c r="C196" s="196"/>
      <c r="F196" s="196"/>
      <c r="L196" s="196"/>
      <c r="O196" s="196"/>
      <c r="P196" s="196"/>
      <c r="R196" s="196"/>
    </row>
    <row r="197" spans="3:18" x14ac:dyDescent="0.2">
      <c r="C197" s="196"/>
      <c r="F197" s="196"/>
      <c r="L197" s="196"/>
      <c r="O197" s="196"/>
      <c r="P197" s="196"/>
      <c r="R197" s="196"/>
    </row>
    <row r="198" spans="3:18" x14ac:dyDescent="0.2">
      <c r="C198" s="196"/>
      <c r="F198" s="196"/>
      <c r="L198" s="196"/>
      <c r="O198" s="196"/>
      <c r="P198" s="196"/>
      <c r="R198" s="196"/>
    </row>
    <row r="199" spans="3:18" x14ac:dyDescent="0.2">
      <c r="C199" s="196"/>
      <c r="F199" s="196"/>
      <c r="L199" s="196"/>
      <c r="O199" s="196"/>
      <c r="P199" s="196"/>
      <c r="R199" s="196"/>
    </row>
    <row r="200" spans="3:18" x14ac:dyDescent="0.2">
      <c r="C200" s="196"/>
      <c r="F200" s="196"/>
      <c r="L200" s="196"/>
      <c r="O200" s="196"/>
      <c r="P200" s="196"/>
      <c r="R200" s="196"/>
    </row>
    <row r="201" spans="3:18" x14ac:dyDescent="0.2">
      <c r="C201" s="196"/>
      <c r="F201" s="196"/>
      <c r="L201" s="196"/>
      <c r="O201" s="196"/>
      <c r="P201" s="196"/>
      <c r="R201" s="196"/>
    </row>
    <row r="202" spans="3:18" x14ac:dyDescent="0.2">
      <c r="C202" s="196"/>
      <c r="F202" s="196"/>
      <c r="L202" s="196"/>
      <c r="O202" s="196"/>
      <c r="P202" s="196"/>
      <c r="R202" s="196"/>
    </row>
    <row r="203" spans="3:18" x14ac:dyDescent="0.2">
      <c r="C203" s="196"/>
      <c r="F203" s="196"/>
      <c r="L203" s="196"/>
      <c r="O203" s="196"/>
      <c r="P203" s="196"/>
      <c r="R203" s="196"/>
    </row>
    <row r="204" spans="3:18" x14ac:dyDescent="0.2">
      <c r="C204" s="196"/>
      <c r="F204" s="196"/>
      <c r="L204" s="196"/>
      <c r="O204" s="196"/>
      <c r="P204" s="196"/>
      <c r="R204" s="196"/>
    </row>
    <row r="205" spans="3:18" x14ac:dyDescent="0.2">
      <c r="C205" s="196"/>
      <c r="F205" s="196"/>
      <c r="L205" s="196"/>
      <c r="O205" s="196"/>
      <c r="P205" s="196"/>
      <c r="R205" s="196"/>
    </row>
    <row r="206" spans="3:18" x14ac:dyDescent="0.2">
      <c r="C206" s="196"/>
      <c r="F206" s="196"/>
      <c r="L206" s="196"/>
      <c r="R206" s="196"/>
    </row>
    <row r="207" spans="3:18" x14ac:dyDescent="0.2">
      <c r="C207" s="196"/>
      <c r="F207" s="196"/>
      <c r="L207" s="196"/>
      <c r="R207" s="196"/>
    </row>
    <row r="208" spans="3:18" x14ac:dyDescent="0.2">
      <c r="C208" s="196"/>
      <c r="F208" s="196"/>
      <c r="L208" s="196"/>
      <c r="R208" s="196"/>
    </row>
    <row r="209" spans="3:3" x14ac:dyDescent="0.2">
      <c r="C209" s="196"/>
    </row>
  </sheetData>
  <sortState xmlns:xlrd2="http://schemas.microsoft.com/office/spreadsheetml/2017/richdata2" ref="A2:U39">
    <sortCondition descending="1" ref="F2:F296"/>
  </sortState>
  <pageMargins left="0.25" right="0.25" top="0.75" bottom="0.75" header="0.3" footer="0.3"/>
  <pageSetup orientation="landscape"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0">
    <tabColor theme="5" tint="-0.249977111117893"/>
  </sheetPr>
  <dimension ref="A1:AL308"/>
  <sheetViews>
    <sheetView showZeros="0" view="pageLayout" topLeftCell="A10" zoomScaleNormal="100" workbookViewId="0">
      <selection activeCell="A52" sqref="A52"/>
    </sheetView>
  </sheetViews>
  <sheetFormatPr defaultColWidth="2.7109375" defaultRowHeight="12.75" x14ac:dyDescent="0.2"/>
  <sheetData>
    <row r="1" spans="1:38" x14ac:dyDescent="0.2">
      <c r="A1" s="173" t="s">
        <v>336</v>
      </c>
      <c r="B1" s="173"/>
      <c r="C1" s="173"/>
      <c r="D1" s="173"/>
      <c r="E1" s="173"/>
      <c r="F1" s="233" t="str">
        <f>_xlfn.CONCAT(Data!B2,", ",Data!B3," ",Data!B4)</f>
        <v xml:space="preserve">,  </v>
      </c>
      <c r="G1" s="233"/>
      <c r="H1" s="233"/>
      <c r="I1" s="233"/>
      <c r="J1" s="233"/>
      <c r="K1" s="233"/>
      <c r="L1" s="233"/>
      <c r="M1" s="233"/>
      <c r="N1" s="233"/>
      <c r="O1" s="233"/>
      <c r="P1" s="233"/>
      <c r="Q1" s="233"/>
      <c r="R1" s="233"/>
      <c r="S1" s="233"/>
      <c r="T1" s="233"/>
      <c r="U1" s="233"/>
      <c r="V1" s="233"/>
      <c r="W1" s="233"/>
      <c r="X1" s="233"/>
      <c r="Y1" s="233"/>
      <c r="Z1" s="233"/>
      <c r="AA1" s="173"/>
      <c r="AB1" s="173" t="s">
        <v>371</v>
      </c>
      <c r="AC1" s="173"/>
      <c r="AD1" s="218">
        <f>Data!B14</f>
        <v>0</v>
      </c>
      <c r="AE1" s="219"/>
      <c r="AF1" s="219"/>
      <c r="AG1" s="219"/>
      <c r="AH1" s="219"/>
      <c r="AI1" s="219"/>
      <c r="AJ1" s="219"/>
    </row>
    <row r="2" spans="1:38" x14ac:dyDescent="0.2">
      <c r="A2" t="s">
        <v>1280</v>
      </c>
      <c r="F2" s="218">
        <f>Data!B34</f>
        <v>0</v>
      </c>
      <c r="G2" s="219"/>
      <c r="H2" s="219"/>
      <c r="I2" s="219"/>
      <c r="J2" s="219"/>
      <c r="K2" s="219"/>
      <c r="L2" s="219"/>
      <c r="N2" t="s">
        <v>1281</v>
      </c>
      <c r="T2" s="219">
        <f>Data!B1132</f>
        <v>0</v>
      </c>
      <c r="U2" s="219"/>
      <c r="V2" s="219"/>
      <c r="W2" s="219"/>
      <c r="X2" s="219"/>
      <c r="Y2" s="219"/>
      <c r="Z2" s="219"/>
      <c r="AA2" s="219"/>
      <c r="AB2" s="219"/>
      <c r="AC2" s="219"/>
      <c r="AD2" s="219"/>
      <c r="AE2" s="219"/>
      <c r="AF2" s="219"/>
      <c r="AG2" s="219"/>
    </row>
    <row r="3" spans="1:38" x14ac:dyDescent="0.2">
      <c r="A3" t="s">
        <v>1466</v>
      </c>
      <c r="F3" s="117"/>
      <c r="G3" s="7"/>
      <c r="H3" s="7"/>
      <c r="I3" s="7"/>
      <c r="J3" s="280" t="e">
        <f>VLOOKUP(F2,VitalsHistory!A1:P50,16,FALSE)</f>
        <v>#N/A</v>
      </c>
      <c r="K3" s="280"/>
      <c r="L3" s="280"/>
      <c r="M3" s="280"/>
      <c r="N3" s="280"/>
      <c r="O3" s="280"/>
      <c r="P3" s="280"/>
      <c r="Q3" s="280"/>
      <c r="T3" s="7"/>
      <c r="U3" s="7"/>
      <c r="V3" s="7"/>
      <c r="W3" s="7"/>
      <c r="X3" s="7"/>
      <c r="Y3" s="7"/>
      <c r="Z3" s="7"/>
      <c r="AA3" s="7"/>
      <c r="AB3" s="7"/>
      <c r="AC3" s="7"/>
      <c r="AD3" s="7"/>
      <c r="AE3" s="7"/>
      <c r="AF3" s="7"/>
      <c r="AG3" s="7"/>
    </row>
    <row r="4" spans="1:38" x14ac:dyDescent="0.2">
      <c r="A4" t="s">
        <v>1282</v>
      </c>
      <c r="F4" s="219">
        <f>Data!B175</f>
        <v>0</v>
      </c>
      <c r="G4" s="219"/>
      <c r="H4" s="219"/>
      <c r="I4" s="219"/>
      <c r="J4" s="219"/>
      <c r="K4" s="219"/>
      <c r="L4" s="219"/>
      <c r="M4" s="219"/>
      <c r="N4" s="219"/>
      <c r="O4" s="219"/>
      <c r="P4" s="219"/>
      <c r="Q4" s="219"/>
      <c r="R4" s="219"/>
      <c r="S4" s="219"/>
      <c r="U4" t="s">
        <v>1048</v>
      </c>
      <c r="Y4" s="219" t="str">
        <f>_xlfn.CONCAT(DxListFull!A2," (",DxListFull!B2,")")</f>
        <v xml:space="preserve"> ()</v>
      </c>
      <c r="Z4" s="219"/>
      <c r="AA4" s="219"/>
      <c r="AB4" s="219"/>
      <c r="AC4" s="219"/>
      <c r="AD4" s="219"/>
      <c r="AE4" s="219"/>
      <c r="AF4" s="219"/>
      <c r="AG4" s="219"/>
      <c r="AH4" s="219"/>
      <c r="AI4" s="219"/>
      <c r="AJ4" s="219"/>
    </row>
    <row r="5" spans="1:38" x14ac:dyDescent="0.2">
      <c r="A5" t="s">
        <v>1283</v>
      </c>
      <c r="I5" s="21" t="str">
        <f>IF(Data!B178=TRUE,"P","")</f>
        <v/>
      </c>
      <c r="J5" t="s">
        <v>70</v>
      </c>
      <c r="N5" s="21" t="str">
        <f>IF(Data!B179=TRUE,"P","")</f>
        <v/>
      </c>
      <c r="O5" t="s">
        <v>79</v>
      </c>
      <c r="T5" s="21" t="str">
        <f>IF(Data!B180=TRUE,"P","")</f>
        <v/>
      </c>
      <c r="U5" t="s">
        <v>80</v>
      </c>
      <c r="AI5" s="233"/>
      <c r="AJ5" s="233"/>
      <c r="AK5" s="233"/>
    </row>
    <row r="6" spans="1:38" x14ac:dyDescent="0.2">
      <c r="A6" t="s">
        <v>1454</v>
      </c>
      <c r="E6" s="233">
        <f>IF(Data!B1133="Yes", Data!B1134,Data!B87)</f>
        <v>0</v>
      </c>
      <c r="F6" s="233"/>
      <c r="G6" s="233"/>
      <c r="H6" s="233"/>
      <c r="I6" s="233"/>
      <c r="J6" s="233"/>
      <c r="K6" s="233"/>
      <c r="L6" s="233"/>
      <c r="M6" s="233"/>
      <c r="N6" s="233"/>
      <c r="O6" s="233"/>
      <c r="P6" s="233"/>
      <c r="R6" t="s">
        <v>1455</v>
      </c>
      <c r="T6" s="21"/>
      <c r="X6" s="233">
        <f>Data!B1133</f>
        <v>0</v>
      </c>
      <c r="Y6" s="233"/>
      <c r="Z6" s="233"/>
    </row>
    <row r="7" spans="1:38" ht="15" x14ac:dyDescent="0.2">
      <c r="A7" t="s">
        <v>1456</v>
      </c>
      <c r="I7" s="233">
        <f>Data!B1136</f>
        <v>0</v>
      </c>
      <c r="J7" s="233"/>
      <c r="K7" s="233"/>
      <c r="L7" s="233"/>
      <c r="N7" s="3" t="str">
        <f>IF(Data!E997=TRUE,"P","")</f>
        <v/>
      </c>
      <c r="O7" t="s">
        <v>2893</v>
      </c>
      <c r="T7" s="3" t="str">
        <f>IF(Data!E1000=TRUE,"P","")</f>
        <v/>
      </c>
      <c r="U7" t="s">
        <v>2898</v>
      </c>
      <c r="Y7" s="3" t="str">
        <f>IF(Data!E1003=TRUE,"P","")</f>
        <v/>
      </c>
      <c r="Z7" t="s">
        <v>235</v>
      </c>
      <c r="AD7" s="3" t="str">
        <f>IF(Data!E1006=TRUE,"P","")</f>
        <v/>
      </c>
      <c r="AE7" t="s">
        <v>2905</v>
      </c>
    </row>
    <row r="8" spans="1:38" ht="15" x14ac:dyDescent="0.2">
      <c r="I8" s="233"/>
      <c r="J8" s="233"/>
      <c r="K8" s="233"/>
      <c r="L8" s="233"/>
      <c r="N8" s="3" t="str">
        <f>IF(Data!B997=TRUE,"P","")</f>
        <v/>
      </c>
      <c r="O8" t="s">
        <v>1457</v>
      </c>
      <c r="Q8" s="3" t="str">
        <f>IF(Data!B1000=TRUE,"P","")</f>
        <v/>
      </c>
      <c r="R8" t="s">
        <v>1458</v>
      </c>
      <c r="T8" s="3" t="str">
        <f>IF(Data!B1003=TRUE,"P","")</f>
        <v/>
      </c>
      <c r="U8" t="s">
        <v>1459</v>
      </c>
      <c r="W8" s="3" t="str">
        <f>IF(Data!B1006=TRUE,"P","")</f>
        <v/>
      </c>
      <c r="X8" t="s">
        <v>1460</v>
      </c>
      <c r="Z8" s="3" t="str">
        <f>IF(Data!B1009=TRUE,"P","")</f>
        <v/>
      </c>
      <c r="AA8" t="s">
        <v>1461</v>
      </c>
      <c r="AC8" s="3" t="str">
        <f>IF(Data!B1012=TRUE,"P","")</f>
        <v/>
      </c>
      <c r="AD8" t="s">
        <v>333</v>
      </c>
      <c r="AH8" s="3" t="str">
        <f>IF(Data!B1424=TRUE,"P","")</f>
        <v/>
      </c>
      <c r="AI8" t="s">
        <v>56</v>
      </c>
    </row>
    <row r="9" spans="1:38" x14ac:dyDescent="0.2">
      <c r="A9" t="s">
        <v>2915</v>
      </c>
      <c r="J9" s="281" t="str">
        <f>IF(Data!B997=TRUE,"Physical Therapy ("&amp;Data!B998&amp;"-Schedule: "&amp;Data!B999&amp;")","")&amp;IF(Data!B1000=TRUE,"Occupational Therapy ("&amp;Data!B1001&amp;"-Schedule: "&amp;Data!B1002&amp;")","")&amp;IF(Data!B1003=TRUE,"  Speech Therapy ("&amp;Data!B1004&amp;"-Schedule: "&amp;Data!B1005&amp;")","")&amp;IF(Data!B1006=TRUE,"  Infusion Therapy ("&amp;Data!B1007&amp;"-Schedule: "&amp;Data!B1008&amp;")","")&amp;IF(Data!B1009=TRUE,"  Home Health ("&amp;Data!B1010&amp;"-Schedule: "&amp;Data!B1011&amp;")","")&amp;IF(Data!B1012=TRUE,"  Hospice ("&amp;Data!B1013&amp;"-Schedule: "&amp;Data!B1014&amp;")","")&amp;IF(Data!E997=TRUE," Chemotherapy ("&amp;Data!E998&amp;"-Schedule: "&amp;Data!E999&amp;")","")&amp;IF(Data!E1000=TRUE," Radiation ("&amp;Data!E1001&amp;"-Schedule: "&amp;Data!E1002&amp;")","")&amp;IF(Data!E1003=TRUE," Dialysis ("&amp;Data!E1004&amp;"-Schedule: "&amp;Data!E1005&amp;")","")&amp;IF(Data!E1006=TRUE," Acupuncture ("&amp;Data!E1007&amp;"-Schedule: "&amp;Data!E1008&amp;")","")&amp;IF(Data!B1424=TRUE," "&amp;Data!B1425&amp;" - Schedule "&amp;Data!B1426,"")</f>
        <v/>
      </c>
      <c r="K9" s="281"/>
      <c r="L9" s="281"/>
      <c r="M9" s="281"/>
      <c r="N9" s="281"/>
      <c r="O9" s="281"/>
      <c r="P9" s="281"/>
      <c r="Q9" s="281"/>
      <c r="R9" s="281"/>
      <c r="S9" s="281"/>
      <c r="T9" s="281"/>
      <c r="U9" s="281"/>
      <c r="V9" s="281"/>
      <c r="W9" s="281"/>
      <c r="X9" s="281"/>
      <c r="Y9" s="281"/>
      <c r="Z9" s="281"/>
      <c r="AA9" s="281"/>
      <c r="AB9" s="281"/>
      <c r="AC9" s="281"/>
      <c r="AD9" s="281"/>
      <c r="AE9" s="281"/>
      <c r="AF9" s="281"/>
      <c r="AG9" s="281"/>
      <c r="AH9" s="281"/>
      <c r="AI9" s="281"/>
      <c r="AJ9" s="281"/>
      <c r="AK9" s="281"/>
    </row>
    <row r="10" spans="1:38" x14ac:dyDescent="0.2">
      <c r="J10" s="281"/>
      <c r="K10" s="281"/>
      <c r="L10" s="281"/>
      <c r="M10" s="281"/>
      <c r="N10" s="281"/>
      <c r="O10" s="281"/>
      <c r="P10" s="281"/>
      <c r="Q10" s="281"/>
      <c r="R10" s="281"/>
      <c r="S10" s="281"/>
      <c r="T10" s="281"/>
      <c r="U10" s="281"/>
      <c r="V10" s="281"/>
      <c r="W10" s="281"/>
      <c r="X10" s="281"/>
      <c r="Y10" s="281"/>
      <c r="Z10" s="281"/>
      <c r="AA10" s="281"/>
      <c r="AB10" s="281"/>
      <c r="AC10" s="281"/>
      <c r="AD10" s="281"/>
      <c r="AE10" s="281"/>
      <c r="AF10" s="281"/>
      <c r="AG10" s="281"/>
      <c r="AH10" s="281"/>
      <c r="AI10" s="281"/>
      <c r="AJ10" s="281"/>
      <c r="AK10" s="281"/>
    </row>
    <row r="11" spans="1:38" x14ac:dyDescent="0.2">
      <c r="J11" s="281"/>
      <c r="K11" s="281"/>
      <c r="L11" s="281"/>
      <c r="M11" s="281"/>
      <c r="N11" s="281"/>
      <c r="O11" s="281"/>
      <c r="P11" s="281"/>
      <c r="Q11" s="281"/>
      <c r="R11" s="281"/>
      <c r="S11" s="281"/>
      <c r="T11" s="281"/>
      <c r="U11" s="281"/>
      <c r="V11" s="281"/>
      <c r="W11" s="281"/>
      <c r="X11" s="281"/>
      <c r="Y11" s="281"/>
      <c r="Z11" s="281"/>
      <c r="AA11" s="281"/>
      <c r="AB11" s="281"/>
      <c r="AC11" s="281"/>
      <c r="AD11" s="281"/>
      <c r="AE11" s="281"/>
      <c r="AF11" s="281"/>
      <c r="AG11" s="281"/>
      <c r="AH11" s="281"/>
      <c r="AI11" s="281"/>
      <c r="AJ11" s="281"/>
      <c r="AK11" s="281"/>
    </row>
    <row r="12" spans="1:38" x14ac:dyDescent="0.2">
      <c r="A12" t="s">
        <v>2916</v>
      </c>
      <c r="F12" s="255" t="str">
        <f>_xlfn.CONCAT(IF(Data!B852="No","N/A","Client has decubitus wounds on "&amp;Data!B853&amp;"."),IF(Data!B852="Yes","  Current decuibitus level is "&amp;Data!B854&amp;".",""),IF(Data!B852="Yes","  Wounds are being treated by "&amp;Data!B855&amp;" "&amp;Data!B856&amp;".",""))</f>
        <v>Client has decubitus wounds on .</v>
      </c>
      <c r="G12" s="255"/>
      <c r="H12" s="255"/>
      <c r="I12" s="255"/>
      <c r="J12" s="255"/>
      <c r="K12" s="255"/>
      <c r="L12" s="255"/>
      <c r="M12" s="255"/>
      <c r="N12" s="255"/>
      <c r="O12" s="255"/>
      <c r="P12" s="255"/>
      <c r="Q12" s="255"/>
      <c r="R12" s="255"/>
      <c r="S12" s="255"/>
      <c r="T12" s="255"/>
      <c r="U12" s="255"/>
      <c r="V12" s="255"/>
      <c r="W12" s="255"/>
      <c r="X12" s="255"/>
      <c r="Y12" s="255"/>
      <c r="Z12" s="255"/>
      <c r="AA12" s="255"/>
      <c r="AB12" s="255"/>
      <c r="AC12" s="255"/>
      <c r="AD12" s="255"/>
      <c r="AE12" s="255"/>
      <c r="AF12" s="255"/>
      <c r="AG12" s="255"/>
      <c r="AH12" s="255"/>
      <c r="AI12" s="255"/>
      <c r="AJ12" s="255"/>
      <c r="AK12" s="255"/>
    </row>
    <row r="13" spans="1:38" x14ac:dyDescent="0.2">
      <c r="F13" s="255"/>
      <c r="G13" s="255"/>
      <c r="H13" s="255"/>
      <c r="I13" s="255"/>
      <c r="J13" s="255"/>
      <c r="K13" s="255"/>
      <c r="L13" s="255"/>
      <c r="M13" s="255"/>
      <c r="N13" s="255"/>
      <c r="O13" s="255"/>
      <c r="P13" s="255"/>
      <c r="Q13" s="255"/>
      <c r="R13" s="255"/>
      <c r="S13" s="255"/>
      <c r="T13" s="255"/>
      <c r="U13" s="255"/>
      <c r="V13" s="255"/>
      <c r="W13" s="255"/>
      <c r="X13" s="255"/>
      <c r="Y13" s="255"/>
      <c r="Z13" s="255"/>
      <c r="AA13" s="255"/>
      <c r="AB13" s="255"/>
      <c r="AC13" s="255"/>
      <c r="AD13" s="255"/>
      <c r="AE13" s="255"/>
      <c r="AF13" s="255"/>
      <c r="AG13" s="255"/>
      <c r="AH13" s="255"/>
      <c r="AI13" s="255"/>
      <c r="AJ13" s="255"/>
      <c r="AK13" s="255"/>
    </row>
    <row r="14" spans="1:38" x14ac:dyDescent="0.2">
      <c r="A14" s="232" t="s">
        <v>1284</v>
      </c>
      <c r="B14" s="232"/>
      <c r="C14" s="232"/>
      <c r="D14" s="232"/>
      <c r="E14" s="232"/>
      <c r="F14" s="232"/>
      <c r="G14" s="232"/>
      <c r="H14" s="232"/>
      <c r="I14" s="232"/>
      <c r="J14" s="232"/>
      <c r="K14" s="232"/>
      <c r="L14" s="232"/>
      <c r="M14" s="232"/>
      <c r="N14" s="232"/>
      <c r="O14" s="232"/>
      <c r="P14" s="232"/>
      <c r="Q14" s="232"/>
      <c r="R14" s="232"/>
      <c r="S14" s="232"/>
      <c r="T14" s="232"/>
      <c r="U14" s="232"/>
      <c r="V14" s="232"/>
      <c r="W14" s="232"/>
      <c r="X14" s="232"/>
      <c r="Y14" s="232"/>
      <c r="Z14" s="232"/>
      <c r="AA14" s="232"/>
      <c r="AB14" s="232"/>
      <c r="AC14" s="232"/>
      <c r="AD14" s="232"/>
      <c r="AE14" s="232"/>
      <c r="AF14" s="232"/>
      <c r="AG14" s="232"/>
      <c r="AH14" s="232"/>
      <c r="AI14" s="232"/>
      <c r="AJ14" s="232"/>
      <c r="AK14" s="232"/>
      <c r="AL14" s="126"/>
    </row>
    <row r="15" spans="1:38" x14ac:dyDescent="0.2">
      <c r="A15" s="120" t="s">
        <v>1285</v>
      </c>
      <c r="B15" s="120"/>
      <c r="C15" s="120"/>
      <c r="D15" s="120"/>
      <c r="E15" s="120"/>
      <c r="F15" s="120"/>
      <c r="G15" s="120"/>
      <c r="H15" s="120"/>
      <c r="I15" s="120"/>
      <c r="J15" s="278">
        <f>Data!B1044</f>
        <v>0</v>
      </c>
      <c r="K15" s="278"/>
      <c r="L15" s="278"/>
      <c r="M15" s="120"/>
      <c r="N15" s="120" t="s">
        <v>1286</v>
      </c>
      <c r="O15" s="120"/>
      <c r="P15" s="120"/>
      <c r="Q15" s="120"/>
      <c r="R15" s="120"/>
      <c r="S15" s="120"/>
      <c r="T15" s="120"/>
      <c r="U15" s="278">
        <f>Data!B1045</f>
        <v>0</v>
      </c>
      <c r="V15" s="278"/>
      <c r="W15" s="278"/>
      <c r="X15" s="278"/>
      <c r="Y15" s="278"/>
      <c r="Z15" s="278"/>
      <c r="AA15" s="278"/>
      <c r="AB15" s="278"/>
      <c r="AC15" s="278"/>
      <c r="AD15" s="278"/>
      <c r="AE15" s="278"/>
      <c r="AF15" s="278"/>
      <c r="AG15" s="278"/>
      <c r="AH15" s="278"/>
      <c r="AI15" s="278"/>
      <c r="AJ15" s="278"/>
      <c r="AK15" s="278"/>
      <c r="AL15" s="120"/>
    </row>
    <row r="16" spans="1:38" x14ac:dyDescent="0.2">
      <c r="A16" s="120" t="s">
        <v>1287</v>
      </c>
      <c r="B16" s="120"/>
      <c r="C16" s="120"/>
      <c r="D16" s="120"/>
      <c r="E16" s="120"/>
      <c r="F16" s="120"/>
      <c r="G16" s="120"/>
      <c r="H16" s="120"/>
      <c r="I16" s="120"/>
      <c r="J16" s="120"/>
      <c r="K16" s="120"/>
      <c r="L16" s="120"/>
      <c r="M16" s="120"/>
      <c r="N16" s="120"/>
      <c r="O16" s="120"/>
      <c r="P16" s="120"/>
      <c r="Q16" s="120"/>
      <c r="R16" s="120"/>
      <c r="S16" s="120"/>
      <c r="T16" s="120"/>
      <c r="U16" s="120"/>
      <c r="V16" s="120"/>
      <c r="W16" s="120"/>
      <c r="X16" s="120"/>
      <c r="Y16" s="120"/>
      <c r="Z16" s="120"/>
      <c r="AA16" s="120" t="s">
        <v>1333</v>
      </c>
      <c r="AB16" s="120"/>
      <c r="AC16" s="120"/>
      <c r="AD16" s="120"/>
      <c r="AE16" s="120"/>
      <c r="AF16" s="120"/>
      <c r="AG16" s="120"/>
      <c r="AH16" s="120"/>
      <c r="AI16" s="120"/>
      <c r="AJ16" s="120"/>
      <c r="AK16" s="120"/>
      <c r="AL16" s="120"/>
    </row>
    <row r="17" spans="1:38" x14ac:dyDescent="0.2">
      <c r="A17" s="120"/>
      <c r="B17" s="257" t="s">
        <v>1288</v>
      </c>
      <c r="C17" s="257"/>
      <c r="D17" s="257"/>
      <c r="E17" s="257"/>
      <c r="F17" s="257"/>
      <c r="G17" s="257"/>
      <c r="H17" s="257"/>
      <c r="I17" s="256">
        <f>Data!B1046</f>
        <v>0</v>
      </c>
      <c r="J17" s="256"/>
      <c r="K17" s="256"/>
      <c r="L17" s="256"/>
      <c r="M17" s="256"/>
      <c r="N17" s="256"/>
      <c r="O17" s="256"/>
      <c r="P17" s="256"/>
      <c r="Q17" s="256"/>
      <c r="R17" s="256"/>
      <c r="S17" s="256"/>
      <c r="T17" s="256"/>
      <c r="U17" s="256"/>
      <c r="V17" s="256"/>
      <c r="W17" s="256"/>
      <c r="X17" s="256"/>
      <c r="Y17" s="256"/>
      <c r="Z17" s="120"/>
      <c r="AA17" s="121" t="str">
        <f>IF(Data!B1124=TRUE,"P","")</f>
        <v/>
      </c>
      <c r="AB17" s="279" t="s">
        <v>1334</v>
      </c>
      <c r="AC17" s="279"/>
      <c r="AD17" s="279"/>
      <c r="AE17" s="279"/>
      <c r="AF17" s="279"/>
      <c r="AG17" s="279"/>
      <c r="AH17" s="279"/>
      <c r="AI17" s="279"/>
      <c r="AJ17" s="279"/>
      <c r="AK17" s="279"/>
      <c r="AL17" s="120"/>
    </row>
    <row r="18" spans="1:38" x14ac:dyDescent="0.2">
      <c r="A18" s="120"/>
      <c r="B18" s="257" t="s">
        <v>1289</v>
      </c>
      <c r="C18" s="257"/>
      <c r="D18" s="257"/>
      <c r="E18" s="257"/>
      <c r="F18" s="257"/>
      <c r="G18" s="257"/>
      <c r="H18" s="257"/>
      <c r="I18" s="256">
        <f>Data!B1047</f>
        <v>0</v>
      </c>
      <c r="J18" s="256"/>
      <c r="K18" s="256"/>
      <c r="L18" s="256"/>
      <c r="M18" s="256"/>
      <c r="N18" s="256"/>
      <c r="O18" s="256"/>
      <c r="P18" s="256"/>
      <c r="Q18" s="256"/>
      <c r="R18" s="256"/>
      <c r="S18" s="256"/>
      <c r="T18" s="256"/>
      <c r="U18" s="256"/>
      <c r="V18" s="256"/>
      <c r="W18" s="256"/>
      <c r="X18" s="256"/>
      <c r="Y18" s="256"/>
      <c r="Z18" s="120"/>
      <c r="AA18" s="121" t="str">
        <f>IF(Data!B1125=TRUE,"P","")</f>
        <v/>
      </c>
      <c r="AB18" s="279" t="s">
        <v>1335</v>
      </c>
      <c r="AC18" s="279"/>
      <c r="AD18" s="279"/>
      <c r="AE18" s="279"/>
      <c r="AF18" s="279"/>
      <c r="AG18" s="279"/>
      <c r="AH18" s="279"/>
      <c r="AI18" s="279"/>
      <c r="AJ18" s="279"/>
      <c r="AK18" s="279"/>
      <c r="AL18" s="120"/>
    </row>
    <row r="19" spans="1:38" x14ac:dyDescent="0.2">
      <c r="A19" s="120"/>
      <c r="B19" s="257" t="s">
        <v>1290</v>
      </c>
      <c r="C19" s="257"/>
      <c r="D19" s="257"/>
      <c r="E19" s="257"/>
      <c r="F19" s="257"/>
      <c r="G19" s="257"/>
      <c r="H19" s="257"/>
      <c r="I19" s="256">
        <f>Data!B1048</f>
        <v>0</v>
      </c>
      <c r="J19" s="256"/>
      <c r="K19" s="256"/>
      <c r="L19" s="256"/>
      <c r="M19" s="256"/>
      <c r="N19" s="256"/>
      <c r="O19" s="256"/>
      <c r="P19" s="256"/>
      <c r="Q19" s="256"/>
      <c r="R19" s="256"/>
      <c r="S19" s="256"/>
      <c r="T19" s="256"/>
      <c r="U19" s="256"/>
      <c r="V19" s="256"/>
      <c r="W19" s="256"/>
      <c r="X19" s="256"/>
      <c r="Y19" s="256"/>
      <c r="Z19" s="120"/>
      <c r="AA19" s="121" t="str">
        <f>IF(Data!B1126=TRUE,"P","")</f>
        <v/>
      </c>
      <c r="AB19" s="258" t="s">
        <v>1336</v>
      </c>
      <c r="AC19" s="258"/>
      <c r="AD19" s="258"/>
      <c r="AE19" s="258"/>
      <c r="AF19" s="258"/>
      <c r="AG19" s="258"/>
      <c r="AH19" s="258"/>
      <c r="AI19" s="258"/>
      <c r="AJ19" s="258"/>
      <c r="AK19" s="258"/>
      <c r="AL19" s="120"/>
    </row>
    <row r="20" spans="1:38" x14ac:dyDescent="0.2">
      <c r="A20" s="120"/>
      <c r="B20" s="257" t="s">
        <v>1291</v>
      </c>
      <c r="C20" s="257"/>
      <c r="D20" s="257"/>
      <c r="E20" s="257"/>
      <c r="F20" s="257"/>
      <c r="G20" s="257"/>
      <c r="H20" s="257"/>
      <c r="I20" s="256">
        <f>Data!B1049</f>
        <v>0</v>
      </c>
      <c r="J20" s="256"/>
      <c r="K20" s="256"/>
      <c r="L20" s="256"/>
      <c r="M20" s="256"/>
      <c r="N20" s="256"/>
      <c r="O20" s="256"/>
      <c r="P20" s="256"/>
      <c r="Q20" s="256"/>
      <c r="R20" s="256"/>
      <c r="S20" s="256"/>
      <c r="T20" s="256"/>
      <c r="U20" s="256"/>
      <c r="V20" s="256"/>
      <c r="W20" s="256"/>
      <c r="X20" s="256"/>
      <c r="Y20" s="256"/>
      <c r="Z20" s="120"/>
      <c r="AA20" s="121" t="str">
        <f>IF(Data!B1127=TRUE,"P","")</f>
        <v/>
      </c>
      <c r="AB20" s="258" t="s">
        <v>1337</v>
      </c>
      <c r="AC20" s="258"/>
      <c r="AD20" s="258"/>
      <c r="AE20" s="258"/>
      <c r="AF20" s="258"/>
      <c r="AG20" s="258"/>
      <c r="AH20" s="258"/>
      <c r="AI20" s="258"/>
      <c r="AJ20" s="258"/>
      <c r="AK20" s="258"/>
      <c r="AL20" s="120"/>
    </row>
    <row r="21" spans="1:38" x14ac:dyDescent="0.2">
      <c r="A21" s="120"/>
      <c r="B21" s="257" t="s">
        <v>1292</v>
      </c>
      <c r="C21" s="257"/>
      <c r="D21" s="257"/>
      <c r="E21" s="257"/>
      <c r="F21" s="257"/>
      <c r="G21" s="257"/>
      <c r="H21" s="257"/>
      <c r="I21" s="256">
        <f>Data!B1050</f>
        <v>0</v>
      </c>
      <c r="J21" s="256"/>
      <c r="K21" s="256"/>
      <c r="L21" s="256"/>
      <c r="M21" s="256"/>
      <c r="N21" s="256"/>
      <c r="O21" s="256"/>
      <c r="P21" s="256"/>
      <c r="Q21" s="256"/>
      <c r="R21" s="256"/>
      <c r="S21" s="256"/>
      <c r="T21" s="256"/>
      <c r="U21" s="256"/>
      <c r="V21" s="256"/>
      <c r="W21" s="256"/>
      <c r="X21" s="256"/>
      <c r="Y21" s="256"/>
      <c r="Z21" s="120"/>
      <c r="AA21" s="121" t="str">
        <f>IF(Data!B1128=TRUE,"P","")</f>
        <v/>
      </c>
      <c r="AB21" s="258" t="s">
        <v>1338</v>
      </c>
      <c r="AC21" s="258"/>
      <c r="AD21" s="258"/>
      <c r="AE21" s="258"/>
      <c r="AF21" s="258"/>
      <c r="AG21" s="258"/>
      <c r="AH21" s="258"/>
      <c r="AI21" s="258"/>
      <c r="AJ21" s="258"/>
      <c r="AK21" s="258"/>
      <c r="AL21" s="120"/>
    </row>
    <row r="22" spans="1:38" x14ac:dyDescent="0.2">
      <c r="A22" s="120"/>
      <c r="B22" s="257" t="s">
        <v>1293</v>
      </c>
      <c r="C22" s="257"/>
      <c r="D22" s="257"/>
      <c r="E22" s="257"/>
      <c r="F22" s="257"/>
      <c r="G22" s="257"/>
      <c r="H22" s="257"/>
      <c r="I22" s="256">
        <f>Data!B1051</f>
        <v>0</v>
      </c>
      <c r="J22" s="256"/>
      <c r="K22" s="256"/>
      <c r="L22" s="256"/>
      <c r="M22" s="256"/>
      <c r="N22" s="256"/>
      <c r="O22" s="256"/>
      <c r="P22" s="256"/>
      <c r="Q22" s="256"/>
      <c r="R22" s="256"/>
      <c r="S22" s="256"/>
      <c r="T22" s="256"/>
      <c r="U22" s="256"/>
      <c r="V22" s="256"/>
      <c r="W22" s="256"/>
      <c r="X22" s="256"/>
      <c r="Y22" s="256"/>
      <c r="Z22" s="120"/>
      <c r="AA22" s="121" t="str">
        <f>IF(Data!B1129=TRUE,"P","")</f>
        <v/>
      </c>
      <c r="AB22" s="258" t="s">
        <v>1339</v>
      </c>
      <c r="AC22" s="258"/>
      <c r="AD22" s="258"/>
      <c r="AE22" s="258"/>
      <c r="AF22" s="258"/>
      <c r="AG22" s="258"/>
      <c r="AH22" s="258"/>
      <c r="AI22" s="258"/>
      <c r="AJ22" s="258"/>
      <c r="AK22" s="258"/>
      <c r="AL22" s="120"/>
    </row>
    <row r="23" spans="1:38" x14ac:dyDescent="0.2">
      <c r="A23" s="120"/>
      <c r="B23" s="257" t="s">
        <v>1294</v>
      </c>
      <c r="C23" s="257"/>
      <c r="D23" s="257"/>
      <c r="E23" s="257"/>
      <c r="F23" s="257"/>
      <c r="G23" s="257"/>
      <c r="H23" s="257"/>
      <c r="I23" s="256">
        <f>Data!B1052</f>
        <v>0</v>
      </c>
      <c r="J23" s="256"/>
      <c r="K23" s="256"/>
      <c r="L23" s="256"/>
      <c r="M23" s="256"/>
      <c r="N23" s="256"/>
      <c r="O23" s="256"/>
      <c r="P23" s="256"/>
      <c r="Q23" s="256"/>
      <c r="R23" s="256"/>
      <c r="S23" s="256"/>
      <c r="T23" s="256"/>
      <c r="U23" s="256"/>
      <c r="V23" s="256"/>
      <c r="W23" s="256"/>
      <c r="X23" s="256"/>
      <c r="Y23" s="256"/>
      <c r="Z23" s="120"/>
      <c r="AA23" s="121" t="str">
        <f>IF(Data!B1130=TRUE,"P","")</f>
        <v/>
      </c>
      <c r="AB23" s="258" t="s">
        <v>1340</v>
      </c>
      <c r="AC23" s="258"/>
      <c r="AD23" s="258"/>
      <c r="AE23" s="258"/>
      <c r="AF23" s="258"/>
      <c r="AG23" s="258"/>
      <c r="AH23" s="258"/>
      <c r="AI23" s="258"/>
      <c r="AJ23" s="258"/>
      <c r="AK23" s="258"/>
      <c r="AL23" s="120"/>
    </row>
    <row r="24" spans="1:38" x14ac:dyDescent="0.2">
      <c r="A24" s="120" t="s">
        <v>1295</v>
      </c>
      <c r="B24" s="120"/>
      <c r="C24" s="120"/>
      <c r="D24" s="120"/>
      <c r="E24" s="120"/>
      <c r="F24" s="120"/>
      <c r="G24" s="120"/>
      <c r="H24" s="120"/>
      <c r="I24" s="120"/>
      <c r="J24" s="120"/>
      <c r="K24" s="120"/>
      <c r="L24" s="282" t="str">
        <f>IF(Data!B1053="","N/A",Data!B1053)</f>
        <v>N/A</v>
      </c>
      <c r="M24" s="282"/>
      <c r="N24" s="282"/>
      <c r="O24" s="282"/>
      <c r="P24" s="282"/>
      <c r="Q24" s="282"/>
      <c r="R24" s="282"/>
      <c r="S24" s="282"/>
      <c r="T24" s="282"/>
      <c r="U24" s="282"/>
      <c r="V24" s="282"/>
      <c r="W24" s="282"/>
      <c r="X24" s="282"/>
      <c r="Y24" s="282"/>
      <c r="Z24" s="282"/>
      <c r="AA24" s="282"/>
      <c r="AB24" s="282"/>
      <c r="AC24" s="282"/>
      <c r="AD24" s="282"/>
      <c r="AE24" s="282"/>
      <c r="AF24" s="282"/>
      <c r="AG24" s="282"/>
      <c r="AH24" s="282"/>
      <c r="AI24" s="282"/>
      <c r="AJ24" s="282"/>
      <c r="AK24" s="120"/>
      <c r="AL24" s="120"/>
    </row>
    <row r="25" spans="1:38" x14ac:dyDescent="0.2">
      <c r="A25" s="120"/>
      <c r="B25" s="120"/>
      <c r="C25" s="120"/>
      <c r="D25" s="120"/>
      <c r="E25" s="120"/>
      <c r="F25" s="120"/>
      <c r="G25" s="120"/>
      <c r="H25" s="120"/>
      <c r="I25" s="120"/>
      <c r="J25" s="120"/>
      <c r="K25" s="120"/>
      <c r="L25" s="282"/>
      <c r="M25" s="282"/>
      <c r="N25" s="282"/>
      <c r="O25" s="282"/>
      <c r="P25" s="282"/>
      <c r="Q25" s="282"/>
      <c r="R25" s="282"/>
      <c r="S25" s="282"/>
      <c r="T25" s="282"/>
      <c r="U25" s="282"/>
      <c r="V25" s="282"/>
      <c r="W25" s="282"/>
      <c r="X25" s="282"/>
      <c r="Y25" s="282"/>
      <c r="Z25" s="282"/>
      <c r="AA25" s="282"/>
      <c r="AB25" s="282"/>
      <c r="AC25" s="282"/>
      <c r="AD25" s="282"/>
      <c r="AE25" s="282"/>
      <c r="AF25" s="282"/>
      <c r="AG25" s="282"/>
      <c r="AH25" s="282"/>
      <c r="AI25" s="282"/>
      <c r="AJ25" s="282"/>
      <c r="AK25" s="120"/>
      <c r="AL25" s="120"/>
    </row>
    <row r="26" spans="1:38" x14ac:dyDescent="0.2">
      <c r="A26" s="232" t="s">
        <v>1296</v>
      </c>
      <c r="B26" s="232"/>
      <c r="C26" s="232"/>
      <c r="D26" s="232"/>
      <c r="E26" s="232"/>
      <c r="F26" s="232"/>
      <c r="G26" s="232"/>
      <c r="H26" s="232"/>
      <c r="I26" s="232"/>
      <c r="J26" s="232"/>
      <c r="K26" s="232"/>
      <c r="L26" s="232"/>
      <c r="M26" s="232"/>
      <c r="N26" s="232"/>
      <c r="O26" s="232"/>
      <c r="P26" s="232"/>
      <c r="Q26" s="232"/>
      <c r="R26" s="232"/>
      <c r="S26" s="232"/>
      <c r="T26" s="232"/>
      <c r="U26" s="232"/>
      <c r="V26" s="232"/>
      <c r="W26" s="232"/>
      <c r="X26" s="232"/>
      <c r="Y26" s="232"/>
      <c r="Z26" s="232"/>
      <c r="AA26" s="232"/>
      <c r="AB26" s="232"/>
      <c r="AC26" s="232"/>
      <c r="AD26" s="232"/>
      <c r="AE26" s="232"/>
      <c r="AF26" s="232"/>
      <c r="AG26" s="232"/>
      <c r="AH26" s="232"/>
      <c r="AI26" s="232"/>
      <c r="AJ26" s="232"/>
      <c r="AK26" s="232"/>
      <c r="AL26" s="126"/>
    </row>
    <row r="27" spans="1:38" x14ac:dyDescent="0.2">
      <c r="A27" t="s">
        <v>1065</v>
      </c>
      <c r="F27" s="233">
        <f>Data!B474</f>
        <v>0</v>
      </c>
      <c r="G27" s="233"/>
      <c r="H27" s="233"/>
      <c r="I27" s="100" t="s">
        <v>1279</v>
      </c>
      <c r="J27" s="219">
        <f>Data!C474</f>
        <v>0</v>
      </c>
      <c r="K27" s="219"/>
      <c r="L27" s="219"/>
      <c r="O27" t="s">
        <v>1068</v>
      </c>
      <c r="S27" s="219">
        <f>Data!B465</f>
        <v>0</v>
      </c>
      <c r="T27" s="219"/>
      <c r="U27" s="219"/>
      <c r="V27" s="219"/>
      <c r="W27" s="219"/>
      <c r="X27" s="219"/>
      <c r="Z27" t="s">
        <v>1298</v>
      </c>
    </row>
    <row r="28" spans="1:38" ht="12.75" customHeight="1" x14ac:dyDescent="0.2">
      <c r="A28" t="s">
        <v>177</v>
      </c>
      <c r="F28" s="219">
        <f>Data!B499</f>
        <v>0</v>
      </c>
      <c r="G28" s="219"/>
      <c r="H28" s="219"/>
      <c r="I28" s="219"/>
      <c r="J28" s="219"/>
      <c r="O28" t="s">
        <v>183</v>
      </c>
      <c r="S28" s="219" t="str">
        <f>Data!B545&amp;"%"</f>
        <v>98%</v>
      </c>
      <c r="T28" s="219"/>
      <c r="U28" s="219"/>
      <c r="V28" s="219"/>
      <c r="W28" s="219"/>
      <c r="X28" s="219"/>
      <c r="Z28" s="255" t="str">
        <f>IF(Data!B1054="","N/A",Data!B1054)</f>
        <v>N/A</v>
      </c>
      <c r="AA28" s="255"/>
      <c r="AB28" s="255"/>
      <c r="AC28" s="255"/>
      <c r="AD28" s="255"/>
      <c r="AE28" s="255"/>
      <c r="AF28" s="255"/>
      <c r="AG28" s="255"/>
      <c r="AH28" s="255"/>
      <c r="AI28" s="255"/>
      <c r="AJ28" s="255"/>
      <c r="AK28" s="255"/>
    </row>
    <row r="29" spans="1:38" x14ac:dyDescent="0.2">
      <c r="A29" t="s">
        <v>178</v>
      </c>
      <c r="F29" s="219">
        <f>Data!B513</f>
        <v>0</v>
      </c>
      <c r="G29" s="219"/>
      <c r="H29" s="219"/>
      <c r="I29" s="219"/>
      <c r="J29" s="219"/>
      <c r="O29" t="s">
        <v>179</v>
      </c>
      <c r="S29" s="219" t="str">
        <f>IF(Data!B529="","N/A",Data!B529)</f>
        <v>N/A</v>
      </c>
      <c r="T29" s="219"/>
      <c r="U29" s="219"/>
      <c r="V29" s="219"/>
      <c r="W29" s="219"/>
      <c r="X29" s="219"/>
      <c r="Z29" s="255"/>
      <c r="AA29" s="255"/>
      <c r="AB29" s="255"/>
      <c r="AC29" s="255"/>
      <c r="AD29" s="255"/>
      <c r="AE29" s="255"/>
      <c r="AF29" s="255"/>
      <c r="AG29" s="255"/>
      <c r="AH29" s="255"/>
      <c r="AI29" s="255"/>
      <c r="AJ29" s="255"/>
      <c r="AK29" s="255"/>
    </row>
    <row r="30" spans="1:38" x14ac:dyDescent="0.2">
      <c r="A30" t="s">
        <v>1066</v>
      </c>
      <c r="F30" s="219" t="str">
        <f>_xlfn.CONCAT(Data!B488,"°",Data!C488)</f>
        <v>°</v>
      </c>
      <c r="G30" s="219"/>
      <c r="H30" s="219"/>
      <c r="I30" s="219"/>
      <c r="J30" s="219"/>
      <c r="O30" t="s">
        <v>1297</v>
      </c>
      <c r="S30" s="7"/>
      <c r="T30" s="218">
        <f>Data!B1121</f>
        <v>0</v>
      </c>
      <c r="U30" s="218"/>
      <c r="V30" s="218"/>
      <c r="W30" s="218"/>
      <c r="X30" s="218"/>
      <c r="Y30" s="218"/>
      <c r="Z30" s="255"/>
      <c r="AA30" s="255"/>
      <c r="AB30" s="255"/>
      <c r="AC30" s="255"/>
      <c r="AD30" s="255"/>
      <c r="AE30" s="255"/>
      <c r="AF30" s="255"/>
      <c r="AG30" s="255"/>
      <c r="AH30" s="255"/>
      <c r="AI30" s="255"/>
      <c r="AJ30" s="255"/>
      <c r="AK30" s="255"/>
    </row>
    <row r="31" spans="1:38" x14ac:dyDescent="0.2">
      <c r="A31" t="s">
        <v>655</v>
      </c>
      <c r="E31" s="233">
        <f>Data!B466</f>
        <v>0</v>
      </c>
      <c r="F31" s="233"/>
      <c r="G31" s="233"/>
      <c r="H31" s="7"/>
      <c r="I31" s="16" t="s">
        <v>656</v>
      </c>
      <c r="J31" s="7"/>
      <c r="L31" s="233">
        <f>Data!B467</f>
        <v>0</v>
      </c>
      <c r="M31" s="233"/>
      <c r="N31" s="233"/>
      <c r="O31" s="233"/>
      <c r="P31" s="233"/>
      <c r="Q31" s="233"/>
      <c r="R31" s="233"/>
      <c r="S31" s="7"/>
      <c r="T31" s="117"/>
      <c r="U31" s="117"/>
      <c r="V31" s="117"/>
      <c r="W31" s="117"/>
      <c r="X31" s="117"/>
      <c r="Y31" s="117"/>
      <c r="Z31" s="255"/>
      <c r="AA31" s="255"/>
      <c r="AB31" s="255"/>
      <c r="AC31" s="255"/>
      <c r="AD31" s="255"/>
      <c r="AE31" s="255"/>
      <c r="AF31" s="255"/>
      <c r="AG31" s="255"/>
      <c r="AH31" s="255"/>
      <c r="AI31" s="255"/>
      <c r="AJ31" s="255"/>
      <c r="AK31" s="255"/>
    </row>
    <row r="32" spans="1:38" x14ac:dyDescent="0.2">
      <c r="F32" s="219"/>
      <c r="G32" s="219"/>
      <c r="H32" s="219"/>
      <c r="I32" s="219"/>
      <c r="J32" s="219"/>
      <c r="K32" s="219"/>
      <c r="L32" s="219"/>
      <c r="M32" s="219"/>
      <c r="N32" s="219"/>
      <c r="O32" s="219"/>
      <c r="P32" s="219"/>
      <c r="Q32" s="219"/>
      <c r="R32" s="219"/>
      <c r="S32" s="219"/>
      <c r="T32" s="219"/>
      <c r="U32" s="219"/>
      <c r="V32" s="219"/>
      <c r="W32" s="219"/>
      <c r="X32" s="219"/>
      <c r="Y32" s="219"/>
      <c r="Z32" s="219"/>
      <c r="AA32" s="219"/>
      <c r="AB32" s="219"/>
      <c r="AC32" s="219"/>
      <c r="AD32" s="219"/>
      <c r="AE32" s="219"/>
      <c r="AF32" s="219"/>
      <c r="AG32" s="219"/>
      <c r="AH32" s="219"/>
      <c r="AI32" s="219"/>
      <c r="AJ32" s="219"/>
      <c r="AK32" s="219"/>
    </row>
    <row r="33" spans="1:38" x14ac:dyDescent="0.2">
      <c r="A33" s="232" t="s">
        <v>3283</v>
      </c>
      <c r="B33" s="232"/>
      <c r="C33" s="232"/>
      <c r="D33" s="232"/>
      <c r="E33" s="232"/>
      <c r="F33" s="232"/>
      <c r="G33" s="232"/>
      <c r="H33" s="232"/>
      <c r="I33" s="232"/>
      <c r="J33" s="232"/>
      <c r="K33" s="232"/>
      <c r="L33" s="232"/>
      <c r="M33" s="232"/>
      <c r="N33" s="232"/>
      <c r="O33" s="232"/>
      <c r="P33" s="232"/>
      <c r="Q33" s="232"/>
      <c r="R33" s="232"/>
      <c r="S33" s="232"/>
      <c r="T33" s="232"/>
      <c r="U33" s="232"/>
      <c r="V33" s="232"/>
      <c r="W33" s="232"/>
      <c r="X33" s="232"/>
      <c r="Y33" s="232"/>
      <c r="Z33" s="232"/>
      <c r="AA33" s="232"/>
      <c r="AB33" s="232"/>
      <c r="AC33" s="232"/>
      <c r="AD33" s="232"/>
      <c r="AE33" s="232"/>
      <c r="AF33" s="232"/>
      <c r="AG33" s="232"/>
      <c r="AH33" s="232"/>
      <c r="AI33" s="232"/>
      <c r="AJ33" s="232"/>
      <c r="AK33" s="232"/>
      <c r="AL33" s="126"/>
    </row>
    <row r="34" spans="1:38" x14ac:dyDescent="0.2">
      <c r="A34" s="216" t="str">
        <f>IF(EventHidden!T5="","No significant event history in the last 120 days.",EventHidden!T5)</f>
        <v xml:space="preserve">**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v>
      </c>
      <c r="B34" s="216"/>
      <c r="C34" s="216"/>
      <c r="D34" s="216"/>
      <c r="E34" s="216"/>
      <c r="F34" s="216"/>
      <c r="G34" s="216"/>
      <c r="H34" s="216"/>
      <c r="I34" s="216"/>
      <c r="J34" s="216"/>
      <c r="K34" s="216"/>
      <c r="L34" s="216"/>
      <c r="M34" s="216"/>
      <c r="N34" s="216"/>
      <c r="O34" s="216"/>
      <c r="P34" s="216"/>
      <c r="Q34" s="216"/>
      <c r="R34" s="216"/>
      <c r="S34" s="216"/>
      <c r="T34" s="216"/>
      <c r="U34" s="216"/>
      <c r="V34" s="216"/>
      <c r="W34" s="216"/>
      <c r="X34" s="216"/>
      <c r="Y34" s="216"/>
      <c r="Z34" s="216"/>
      <c r="AA34" s="216"/>
      <c r="AB34" s="216"/>
      <c r="AC34" s="216"/>
      <c r="AD34" s="216"/>
      <c r="AE34" s="216"/>
      <c r="AF34" s="216"/>
      <c r="AG34" s="216"/>
      <c r="AH34" s="216"/>
      <c r="AI34" s="216"/>
      <c r="AJ34" s="216"/>
      <c r="AK34" s="216"/>
      <c r="AL34" s="216"/>
    </row>
    <row r="35" spans="1:38" x14ac:dyDescent="0.2">
      <c r="A35" s="216"/>
      <c r="B35" s="216"/>
      <c r="C35" s="216"/>
      <c r="D35" s="216"/>
      <c r="E35" s="216"/>
      <c r="F35" s="216"/>
      <c r="G35" s="216"/>
      <c r="H35" s="216"/>
      <c r="I35" s="216"/>
      <c r="J35" s="216"/>
      <c r="K35" s="216"/>
      <c r="L35" s="216"/>
      <c r="M35" s="216"/>
      <c r="N35" s="216"/>
      <c r="O35" s="216"/>
      <c r="P35" s="216"/>
      <c r="Q35" s="216"/>
      <c r="R35" s="216"/>
      <c r="S35" s="216"/>
      <c r="T35" s="216"/>
      <c r="U35" s="216"/>
      <c r="V35" s="216"/>
      <c r="W35" s="216"/>
      <c r="X35" s="216"/>
      <c r="Y35" s="216"/>
      <c r="Z35" s="216"/>
      <c r="AA35" s="216"/>
      <c r="AB35" s="216"/>
      <c r="AC35" s="216"/>
      <c r="AD35" s="216"/>
      <c r="AE35" s="216"/>
      <c r="AF35" s="216"/>
      <c r="AG35" s="216"/>
      <c r="AH35" s="216"/>
      <c r="AI35" s="216"/>
      <c r="AJ35" s="216"/>
      <c r="AK35" s="216"/>
      <c r="AL35" s="216"/>
    </row>
    <row r="36" spans="1:38" x14ac:dyDescent="0.2">
      <c r="A36" s="216"/>
      <c r="B36" s="216"/>
      <c r="C36" s="216"/>
      <c r="D36" s="216"/>
      <c r="E36" s="216"/>
      <c r="F36" s="216"/>
      <c r="G36" s="216"/>
      <c r="H36" s="216"/>
      <c r="I36" s="216"/>
      <c r="J36" s="216"/>
      <c r="K36" s="216"/>
      <c r="L36" s="216"/>
      <c r="M36" s="216"/>
      <c r="N36" s="216"/>
      <c r="O36" s="216"/>
      <c r="P36" s="216"/>
      <c r="Q36" s="216"/>
      <c r="R36" s="216"/>
      <c r="S36" s="216"/>
      <c r="T36" s="216"/>
      <c r="U36" s="216"/>
      <c r="V36" s="216"/>
      <c r="W36" s="216"/>
      <c r="X36" s="216"/>
      <c r="Y36" s="216"/>
      <c r="Z36" s="216"/>
      <c r="AA36" s="216"/>
      <c r="AB36" s="216"/>
      <c r="AC36" s="216"/>
      <c r="AD36" s="216"/>
      <c r="AE36" s="216"/>
      <c r="AF36" s="216"/>
      <c r="AG36" s="216"/>
      <c r="AH36" s="216"/>
      <c r="AI36" s="216"/>
      <c r="AJ36" s="216"/>
      <c r="AK36" s="216"/>
      <c r="AL36" s="216"/>
    </row>
    <row r="37" spans="1:38" ht="6.75" customHeight="1" x14ac:dyDescent="0.2">
      <c r="A37" s="216"/>
      <c r="B37" s="216"/>
      <c r="C37" s="216"/>
      <c r="D37" s="216"/>
      <c r="E37" s="216"/>
      <c r="F37" s="216"/>
      <c r="G37" s="216"/>
      <c r="H37" s="216"/>
      <c r="I37" s="216"/>
      <c r="J37" s="216"/>
      <c r="K37" s="216"/>
      <c r="L37" s="216"/>
      <c r="M37" s="216"/>
      <c r="N37" s="216"/>
      <c r="O37" s="216"/>
      <c r="P37" s="216"/>
      <c r="Q37" s="216"/>
      <c r="R37" s="216"/>
      <c r="S37" s="216"/>
      <c r="T37" s="216"/>
      <c r="U37" s="216"/>
      <c r="V37" s="216"/>
      <c r="W37" s="216"/>
      <c r="X37" s="216"/>
      <c r="Y37" s="216"/>
      <c r="Z37" s="216"/>
      <c r="AA37" s="216"/>
      <c r="AB37" s="216"/>
      <c r="AC37" s="216"/>
      <c r="AD37" s="216"/>
      <c r="AE37" s="216"/>
      <c r="AF37" s="216"/>
      <c r="AG37" s="216"/>
      <c r="AH37" s="216"/>
      <c r="AI37" s="216"/>
      <c r="AJ37" s="216"/>
      <c r="AK37" s="216"/>
      <c r="AL37" s="216"/>
    </row>
    <row r="38" spans="1:38" x14ac:dyDescent="0.2">
      <c r="A38" s="216"/>
      <c r="B38" s="216"/>
      <c r="C38" s="216"/>
      <c r="D38" s="216"/>
      <c r="E38" s="216"/>
      <c r="F38" s="216"/>
      <c r="G38" s="216"/>
      <c r="H38" s="216"/>
      <c r="I38" s="216"/>
      <c r="J38" s="216"/>
      <c r="K38" s="216"/>
      <c r="L38" s="216"/>
      <c r="M38" s="216"/>
      <c r="N38" s="216"/>
      <c r="O38" s="216"/>
      <c r="P38" s="216"/>
      <c r="Q38" s="216"/>
      <c r="R38" s="216"/>
      <c r="S38" s="216"/>
      <c r="T38" s="216"/>
      <c r="U38" s="216"/>
      <c r="V38" s="216"/>
      <c r="W38" s="216"/>
      <c r="X38" s="216"/>
      <c r="Y38" s="216"/>
      <c r="Z38" s="216"/>
      <c r="AA38" s="216"/>
      <c r="AB38" s="216"/>
      <c r="AC38" s="216"/>
      <c r="AD38" s="216"/>
      <c r="AE38" s="216"/>
      <c r="AF38" s="216"/>
      <c r="AG38" s="216"/>
      <c r="AH38" s="216"/>
      <c r="AI38" s="216"/>
      <c r="AJ38" s="216"/>
      <c r="AK38" s="216"/>
      <c r="AL38" s="216"/>
    </row>
    <row r="39" spans="1:38" x14ac:dyDescent="0.2">
      <c r="A39" s="216"/>
      <c r="B39" s="216"/>
      <c r="C39" s="216"/>
      <c r="D39" s="216"/>
      <c r="E39" s="216"/>
      <c r="F39" s="216"/>
      <c r="G39" s="216"/>
      <c r="H39" s="216"/>
      <c r="I39" s="216"/>
      <c r="J39" s="216"/>
      <c r="K39" s="216"/>
      <c r="L39" s="216"/>
      <c r="M39" s="216"/>
      <c r="N39" s="216"/>
      <c r="O39" s="216"/>
      <c r="P39" s="216"/>
      <c r="Q39" s="216"/>
      <c r="R39" s="216"/>
      <c r="S39" s="216"/>
      <c r="T39" s="216"/>
      <c r="U39" s="216"/>
      <c r="V39" s="216"/>
      <c r="W39" s="216"/>
      <c r="X39" s="216"/>
      <c r="Y39" s="216"/>
      <c r="Z39" s="216"/>
      <c r="AA39" s="216"/>
      <c r="AB39" s="216"/>
      <c r="AC39" s="216"/>
      <c r="AD39" s="216"/>
      <c r="AE39" s="216"/>
      <c r="AF39" s="216"/>
      <c r="AG39" s="216"/>
      <c r="AH39" s="216"/>
      <c r="AI39" s="216"/>
      <c r="AJ39" s="216"/>
      <c r="AK39" s="216"/>
      <c r="AL39" s="216"/>
    </row>
    <row r="40" spans="1:38" x14ac:dyDescent="0.2">
      <c r="A40" s="216"/>
      <c r="B40" s="216"/>
      <c r="C40" s="216"/>
      <c r="D40" s="216"/>
      <c r="E40" s="216"/>
      <c r="F40" s="216"/>
      <c r="G40" s="216"/>
      <c r="H40" s="216"/>
      <c r="I40" s="216"/>
      <c r="J40" s="216"/>
      <c r="K40" s="216"/>
      <c r="L40" s="216"/>
      <c r="M40" s="216"/>
      <c r="N40" s="216"/>
      <c r="O40" s="216"/>
      <c r="P40" s="216"/>
      <c r="Q40" s="216"/>
      <c r="R40" s="216"/>
      <c r="S40" s="216"/>
      <c r="T40" s="216"/>
      <c r="U40" s="216"/>
      <c r="V40" s="216"/>
      <c r="W40" s="216"/>
      <c r="X40" s="216"/>
      <c r="Y40" s="216"/>
      <c r="Z40" s="216"/>
      <c r="AA40" s="216"/>
      <c r="AB40" s="216"/>
      <c r="AC40" s="216"/>
      <c r="AD40" s="216"/>
      <c r="AE40" s="216"/>
      <c r="AF40" s="216"/>
      <c r="AG40" s="216"/>
      <c r="AH40" s="216"/>
      <c r="AI40" s="216"/>
      <c r="AJ40" s="216"/>
      <c r="AK40" s="216"/>
      <c r="AL40" s="216"/>
    </row>
    <row r="41" spans="1:38" ht="5.25" customHeight="1" x14ac:dyDescent="0.2">
      <c r="A41" s="216"/>
      <c r="B41" s="216"/>
      <c r="C41" s="216"/>
      <c r="D41" s="216"/>
      <c r="E41" s="216"/>
      <c r="F41" s="216"/>
      <c r="G41" s="216"/>
      <c r="H41" s="216"/>
      <c r="I41" s="216"/>
      <c r="J41" s="216"/>
      <c r="K41" s="216"/>
      <c r="L41" s="216"/>
      <c r="M41" s="216"/>
      <c r="N41" s="216"/>
      <c r="O41" s="216"/>
      <c r="P41" s="216"/>
      <c r="Q41" s="216"/>
      <c r="R41" s="216"/>
      <c r="S41" s="216"/>
      <c r="T41" s="216"/>
      <c r="U41" s="216"/>
      <c r="V41" s="216"/>
      <c r="W41" s="216"/>
      <c r="X41" s="216"/>
      <c r="Y41" s="216"/>
      <c r="Z41" s="216"/>
      <c r="AA41" s="216"/>
      <c r="AB41" s="216"/>
      <c r="AC41" s="216"/>
      <c r="AD41" s="216"/>
      <c r="AE41" s="216"/>
      <c r="AF41" s="216"/>
      <c r="AG41" s="216"/>
      <c r="AH41" s="216"/>
      <c r="AI41" s="216"/>
      <c r="AJ41" s="216"/>
      <c r="AK41" s="216"/>
      <c r="AL41" s="216"/>
    </row>
    <row r="42" spans="1:38" x14ac:dyDescent="0.2">
      <c r="A42" s="216"/>
      <c r="B42" s="216"/>
      <c r="C42" s="216"/>
      <c r="D42" s="216"/>
      <c r="E42" s="216"/>
      <c r="F42" s="216"/>
      <c r="G42" s="216"/>
      <c r="H42" s="216"/>
      <c r="I42" s="216"/>
      <c r="J42" s="216"/>
      <c r="K42" s="216"/>
      <c r="L42" s="216"/>
      <c r="M42" s="216"/>
      <c r="N42" s="216"/>
      <c r="O42" s="216"/>
      <c r="P42" s="216"/>
      <c r="Q42" s="216"/>
      <c r="R42" s="216"/>
      <c r="S42" s="216"/>
      <c r="T42" s="216"/>
      <c r="U42" s="216"/>
      <c r="V42" s="216"/>
      <c r="W42" s="216"/>
      <c r="X42" s="216"/>
      <c r="Y42" s="216"/>
      <c r="Z42" s="216"/>
      <c r="AA42" s="216"/>
      <c r="AB42" s="216"/>
      <c r="AC42" s="216"/>
      <c r="AD42" s="216"/>
      <c r="AE42" s="216"/>
      <c r="AF42" s="216"/>
      <c r="AG42" s="216"/>
      <c r="AH42" s="216"/>
      <c r="AI42" s="216"/>
      <c r="AJ42" s="216"/>
      <c r="AK42" s="216"/>
      <c r="AL42" s="216"/>
    </row>
    <row r="43" spans="1:38" x14ac:dyDescent="0.2">
      <c r="A43" s="216"/>
      <c r="B43" s="216"/>
      <c r="C43" s="216"/>
      <c r="D43" s="216"/>
      <c r="E43" s="216"/>
      <c r="F43" s="216"/>
      <c r="G43" s="216"/>
      <c r="H43" s="216"/>
      <c r="I43" s="216"/>
      <c r="J43" s="216"/>
      <c r="K43" s="216"/>
      <c r="L43" s="216"/>
      <c r="M43" s="216"/>
      <c r="N43" s="216"/>
      <c r="O43" s="216"/>
      <c r="P43" s="216"/>
      <c r="Q43" s="216"/>
      <c r="R43" s="216"/>
      <c r="S43" s="216"/>
      <c r="T43" s="216"/>
      <c r="U43" s="216"/>
      <c r="V43" s="216"/>
      <c r="W43" s="216"/>
      <c r="X43" s="216"/>
      <c r="Y43" s="216"/>
      <c r="Z43" s="216"/>
      <c r="AA43" s="216"/>
      <c r="AB43" s="216"/>
      <c r="AC43" s="216"/>
      <c r="AD43" s="216"/>
      <c r="AE43" s="216"/>
      <c r="AF43" s="216"/>
      <c r="AG43" s="216"/>
      <c r="AH43" s="216"/>
      <c r="AI43" s="216"/>
      <c r="AJ43" s="216"/>
      <c r="AK43" s="216"/>
      <c r="AL43" s="216"/>
    </row>
    <row r="44" spans="1:38" x14ac:dyDescent="0.2">
      <c r="A44" s="216"/>
      <c r="B44" s="216"/>
      <c r="C44" s="216"/>
      <c r="D44" s="216"/>
      <c r="E44" s="216"/>
      <c r="F44" s="216"/>
      <c r="G44" s="216"/>
      <c r="H44" s="216"/>
      <c r="I44" s="216"/>
      <c r="J44" s="216"/>
      <c r="K44" s="216"/>
      <c r="L44" s="216"/>
      <c r="M44" s="216"/>
      <c r="N44" s="216"/>
      <c r="O44" s="216"/>
      <c r="P44" s="216"/>
      <c r="Q44" s="216"/>
      <c r="R44" s="216"/>
      <c r="S44" s="216"/>
      <c r="T44" s="216"/>
      <c r="U44" s="216"/>
      <c r="V44" s="216"/>
      <c r="W44" s="216"/>
      <c r="X44" s="216"/>
      <c r="Y44" s="216"/>
      <c r="Z44" s="216"/>
      <c r="AA44" s="216"/>
      <c r="AB44" s="216"/>
      <c r="AC44" s="216"/>
      <c r="AD44" s="216"/>
      <c r="AE44" s="216"/>
      <c r="AF44" s="216"/>
      <c r="AG44" s="216"/>
      <c r="AH44" s="216"/>
      <c r="AI44" s="216"/>
      <c r="AJ44" s="216"/>
      <c r="AK44" s="216"/>
      <c r="AL44" s="216"/>
    </row>
    <row r="45" spans="1:38" ht="9" customHeight="1" x14ac:dyDescent="0.2">
      <c r="A45" s="216"/>
      <c r="B45" s="216"/>
      <c r="C45" s="216"/>
      <c r="D45" s="216"/>
      <c r="E45" s="216"/>
      <c r="F45" s="216"/>
      <c r="G45" s="216"/>
      <c r="H45" s="216"/>
      <c r="I45" s="216"/>
      <c r="J45" s="216"/>
      <c r="K45" s="216"/>
      <c r="L45" s="216"/>
      <c r="M45" s="216"/>
      <c r="N45" s="216"/>
      <c r="O45" s="216"/>
      <c r="P45" s="216"/>
      <c r="Q45" s="216"/>
      <c r="R45" s="216"/>
      <c r="S45" s="216"/>
      <c r="T45" s="216"/>
      <c r="U45" s="216"/>
      <c r="V45" s="216"/>
      <c r="W45" s="216"/>
      <c r="X45" s="216"/>
      <c r="Y45" s="216"/>
      <c r="Z45" s="216"/>
      <c r="AA45" s="216"/>
      <c r="AB45" s="216"/>
      <c r="AC45" s="216"/>
      <c r="AD45" s="216"/>
      <c r="AE45" s="216"/>
      <c r="AF45" s="216"/>
      <c r="AG45" s="216"/>
      <c r="AH45" s="216"/>
      <c r="AI45" s="216"/>
      <c r="AJ45" s="216"/>
      <c r="AK45" s="216"/>
      <c r="AL45" s="216"/>
    </row>
    <row r="46" spans="1:38" x14ac:dyDescent="0.2">
      <c r="A46" s="216"/>
      <c r="B46" s="216"/>
      <c r="C46" s="216"/>
      <c r="D46" s="216"/>
      <c r="E46" s="216"/>
      <c r="F46" s="216"/>
      <c r="G46" s="216"/>
      <c r="H46" s="216"/>
      <c r="I46" s="216"/>
      <c r="J46" s="216"/>
      <c r="K46" s="216"/>
      <c r="L46" s="216"/>
      <c r="M46" s="216"/>
      <c r="N46" s="216"/>
      <c r="O46" s="216"/>
      <c r="P46" s="216"/>
      <c r="Q46" s="216"/>
      <c r="R46" s="216"/>
      <c r="S46" s="216"/>
      <c r="T46" s="216"/>
      <c r="U46" s="216"/>
      <c r="V46" s="216"/>
      <c r="W46" s="216"/>
      <c r="X46" s="216"/>
      <c r="Y46" s="216"/>
      <c r="Z46" s="216"/>
      <c r="AA46" s="216"/>
      <c r="AB46" s="216"/>
      <c r="AC46" s="216"/>
      <c r="AD46" s="216"/>
      <c r="AE46" s="216"/>
      <c r="AF46" s="216"/>
      <c r="AG46" s="216"/>
      <c r="AH46" s="216"/>
      <c r="AI46" s="216"/>
      <c r="AJ46" s="216"/>
      <c r="AK46" s="216"/>
      <c r="AL46" s="216"/>
    </row>
    <row r="47" spans="1:38" x14ac:dyDescent="0.2">
      <c r="A47" s="216"/>
      <c r="B47" s="216"/>
      <c r="C47" s="216"/>
      <c r="D47" s="216"/>
      <c r="E47" s="216"/>
      <c r="F47" s="216"/>
      <c r="G47" s="216"/>
      <c r="H47" s="216"/>
      <c r="I47" s="216"/>
      <c r="J47" s="216"/>
      <c r="K47" s="216"/>
      <c r="L47" s="216"/>
      <c r="M47" s="216"/>
      <c r="N47" s="216"/>
      <c r="O47" s="216"/>
      <c r="P47" s="216"/>
      <c r="Q47" s="216"/>
      <c r="R47" s="216"/>
      <c r="S47" s="216"/>
      <c r="T47" s="216"/>
      <c r="U47" s="216"/>
      <c r="V47" s="216"/>
      <c r="W47" s="216"/>
      <c r="X47" s="216"/>
      <c r="Y47" s="216"/>
      <c r="Z47" s="216"/>
      <c r="AA47" s="216"/>
      <c r="AB47" s="216"/>
      <c r="AC47" s="216"/>
      <c r="AD47" s="216"/>
      <c r="AE47" s="216"/>
      <c r="AF47" s="216"/>
      <c r="AG47" s="216"/>
      <c r="AH47" s="216"/>
      <c r="AI47" s="216"/>
      <c r="AJ47" s="216"/>
      <c r="AK47" s="216"/>
      <c r="AL47" s="216"/>
    </row>
    <row r="48" spans="1:38" x14ac:dyDescent="0.2">
      <c r="A48" s="216"/>
      <c r="B48" s="216"/>
      <c r="C48" s="216"/>
      <c r="D48" s="216"/>
      <c r="E48" s="216"/>
      <c r="F48" s="216"/>
      <c r="G48" s="216"/>
      <c r="H48" s="216"/>
      <c r="I48" s="216"/>
      <c r="J48" s="216"/>
      <c r="K48" s="216"/>
      <c r="L48" s="216"/>
      <c r="M48" s="216"/>
      <c r="N48" s="216"/>
      <c r="O48" s="216"/>
      <c r="P48" s="216"/>
      <c r="Q48" s="216"/>
      <c r="R48" s="216"/>
      <c r="S48" s="216"/>
      <c r="T48" s="216"/>
      <c r="U48" s="216"/>
      <c r="V48" s="216"/>
      <c r="W48" s="216"/>
      <c r="X48" s="216"/>
      <c r="Y48" s="216"/>
      <c r="Z48" s="216"/>
      <c r="AA48" s="216"/>
      <c r="AB48" s="216"/>
      <c r="AC48" s="216"/>
      <c r="AD48" s="216"/>
      <c r="AE48" s="216"/>
      <c r="AF48" s="216"/>
      <c r="AG48" s="216"/>
      <c r="AH48" s="216"/>
      <c r="AI48" s="216"/>
      <c r="AJ48" s="216"/>
      <c r="AK48" s="216"/>
      <c r="AL48" s="216"/>
    </row>
    <row r="49" spans="1:38" ht="6" customHeight="1" x14ac:dyDescent="0.2">
      <c r="A49" s="216"/>
      <c r="B49" s="216"/>
      <c r="C49" s="216"/>
      <c r="D49" s="216"/>
      <c r="E49" s="216"/>
      <c r="F49" s="216"/>
      <c r="G49" s="216"/>
      <c r="H49" s="216"/>
      <c r="I49" s="216"/>
      <c r="J49" s="216"/>
      <c r="K49" s="216"/>
      <c r="L49" s="216"/>
      <c r="M49" s="216"/>
      <c r="N49" s="216"/>
      <c r="O49" s="216"/>
      <c r="P49" s="216"/>
      <c r="Q49" s="216"/>
      <c r="R49" s="216"/>
      <c r="S49" s="216"/>
      <c r="T49" s="216"/>
      <c r="U49" s="216"/>
      <c r="V49" s="216"/>
      <c r="W49" s="216"/>
      <c r="X49" s="216"/>
      <c r="Y49" s="216"/>
      <c r="Z49" s="216"/>
      <c r="AA49" s="216"/>
      <c r="AB49" s="216"/>
      <c r="AC49" s="216"/>
      <c r="AD49" s="216"/>
      <c r="AE49" s="216"/>
      <c r="AF49" s="216"/>
      <c r="AG49" s="216"/>
      <c r="AH49" s="216"/>
      <c r="AI49" s="216"/>
      <c r="AJ49" s="216"/>
      <c r="AK49" s="216"/>
      <c r="AL49" s="216"/>
    </row>
    <row r="50" spans="1:38" x14ac:dyDescent="0.2">
      <c r="A50" s="216"/>
      <c r="B50" s="216"/>
      <c r="C50" s="216"/>
      <c r="D50" s="216"/>
      <c r="E50" s="216"/>
      <c r="F50" s="216"/>
      <c r="G50" s="216"/>
      <c r="H50" s="216"/>
      <c r="I50" s="216"/>
      <c r="J50" s="216"/>
      <c r="K50" s="216"/>
      <c r="L50" s="216"/>
      <c r="M50" s="216"/>
      <c r="N50" s="216"/>
      <c r="O50" s="216"/>
      <c r="P50" s="216"/>
      <c r="Q50" s="216"/>
      <c r="R50" s="216"/>
      <c r="S50" s="216"/>
      <c r="T50" s="216"/>
      <c r="U50" s="216"/>
      <c r="V50" s="216"/>
      <c r="W50" s="216"/>
      <c r="X50" s="216"/>
      <c r="Y50" s="216"/>
      <c r="Z50" s="216"/>
      <c r="AA50" s="216"/>
      <c r="AB50" s="216"/>
      <c r="AC50" s="216"/>
      <c r="AD50" s="216"/>
      <c r="AE50" s="216"/>
      <c r="AF50" s="216"/>
      <c r="AG50" s="216"/>
      <c r="AH50" s="216"/>
      <c r="AI50" s="216"/>
      <c r="AJ50" s="216"/>
      <c r="AK50" s="216"/>
      <c r="AL50" s="216"/>
    </row>
    <row r="51" spans="1:38" x14ac:dyDescent="0.2">
      <c r="A51" s="216"/>
      <c r="B51" s="216"/>
      <c r="C51" s="216"/>
      <c r="D51" s="216"/>
      <c r="E51" s="216"/>
      <c r="F51" s="216"/>
      <c r="G51" s="216"/>
      <c r="H51" s="216"/>
      <c r="I51" s="216"/>
      <c r="J51" s="216"/>
      <c r="K51" s="216"/>
      <c r="L51" s="216"/>
      <c r="M51" s="216"/>
      <c r="N51" s="216"/>
      <c r="O51" s="216"/>
      <c r="P51" s="216"/>
      <c r="Q51" s="216"/>
      <c r="R51" s="216"/>
      <c r="S51" s="216"/>
      <c r="T51" s="216"/>
      <c r="U51" s="216"/>
      <c r="V51" s="216"/>
      <c r="W51" s="216"/>
      <c r="X51" s="216"/>
      <c r="Y51" s="216"/>
      <c r="Z51" s="216"/>
      <c r="AA51" s="216"/>
      <c r="AB51" s="216"/>
      <c r="AC51" s="216"/>
      <c r="AD51" s="216"/>
      <c r="AE51" s="216"/>
      <c r="AF51" s="216"/>
      <c r="AG51" s="216"/>
      <c r="AH51" s="216"/>
      <c r="AI51" s="216"/>
      <c r="AJ51" s="216"/>
      <c r="AK51" s="216"/>
      <c r="AL51" s="216"/>
    </row>
    <row r="52" spans="1:38" ht="21" customHeight="1" x14ac:dyDescent="0.2"/>
    <row r="53" spans="1:38" x14ac:dyDescent="0.2">
      <c r="A53" t="s">
        <v>336</v>
      </c>
      <c r="F53" s="233" t="str">
        <f>_xlfn.CONCAT(Data!B2,", ",Data!B3," ",Data!B4)</f>
        <v xml:space="preserve">,  </v>
      </c>
      <c r="G53" s="233"/>
      <c r="H53" s="233"/>
      <c r="I53" s="233"/>
      <c r="J53" s="233"/>
      <c r="K53" s="233"/>
      <c r="L53" s="233"/>
      <c r="M53" s="233"/>
      <c r="N53" s="233"/>
      <c r="O53" s="233"/>
      <c r="P53" s="233"/>
      <c r="Q53" s="233"/>
      <c r="R53" s="233"/>
      <c r="S53" s="233"/>
      <c r="T53" s="233"/>
      <c r="U53" s="233"/>
      <c r="V53" s="233"/>
      <c r="W53" s="233"/>
      <c r="X53" s="233"/>
      <c r="Y53" s="233"/>
      <c r="Z53" s="233"/>
      <c r="AB53" t="s">
        <v>371</v>
      </c>
      <c r="AD53" s="218">
        <f>Data!B14</f>
        <v>0</v>
      </c>
      <c r="AE53" s="219"/>
      <c r="AF53" s="219"/>
      <c r="AG53" s="219"/>
      <c r="AH53" s="219"/>
      <c r="AI53" s="219"/>
      <c r="AJ53" s="219"/>
      <c r="AK53" s="7"/>
    </row>
    <row r="54" spans="1:38" x14ac:dyDescent="0.2">
      <c r="A54" s="232" t="s">
        <v>1299</v>
      </c>
      <c r="B54" s="232"/>
      <c r="C54" s="232"/>
      <c r="D54" s="232"/>
      <c r="E54" s="232"/>
      <c r="F54" s="232"/>
      <c r="G54" s="232"/>
      <c r="H54" s="232"/>
      <c r="I54" s="232"/>
      <c r="J54" s="232"/>
      <c r="K54" s="232"/>
      <c r="L54" s="232"/>
      <c r="M54" s="232"/>
      <c r="N54" s="232"/>
      <c r="O54" s="232"/>
      <c r="P54" s="232"/>
      <c r="Q54" s="232"/>
      <c r="R54" s="232"/>
      <c r="S54" s="232"/>
      <c r="T54" s="232"/>
      <c r="U54" s="232"/>
      <c r="V54" s="232"/>
      <c r="W54" s="232"/>
      <c r="X54" s="232"/>
      <c r="Y54" s="232"/>
      <c r="Z54" s="232"/>
      <c r="AA54" s="232"/>
      <c r="AB54" s="232"/>
      <c r="AC54" s="232"/>
      <c r="AD54" s="232"/>
      <c r="AE54" s="232"/>
      <c r="AF54" s="232"/>
      <c r="AG54" s="232"/>
      <c r="AH54" s="232"/>
      <c r="AI54" s="232"/>
      <c r="AJ54" s="232"/>
      <c r="AK54" s="232"/>
    </row>
    <row r="55" spans="1:38" x14ac:dyDescent="0.2">
      <c r="A55" t="s">
        <v>2884</v>
      </c>
    </row>
    <row r="56" spans="1:38" x14ac:dyDescent="0.2">
      <c r="A56" s="254" t="s">
        <v>1300</v>
      </c>
      <c r="B56" s="254"/>
      <c r="C56" s="254"/>
      <c r="D56" s="254"/>
      <c r="E56" s="254"/>
      <c r="F56" s="254"/>
      <c r="G56" s="254"/>
      <c r="H56" s="254" t="s">
        <v>1301</v>
      </c>
      <c r="I56" s="254"/>
      <c r="J56" s="254"/>
      <c r="K56" s="254"/>
      <c r="L56" s="254" t="s">
        <v>1302</v>
      </c>
      <c r="M56" s="254"/>
      <c r="N56" s="254"/>
      <c r="O56" s="254"/>
      <c r="P56" s="254"/>
      <c r="Q56" s="254"/>
      <c r="R56" s="254"/>
      <c r="S56" s="254"/>
      <c r="T56" s="254"/>
      <c r="U56" s="254"/>
      <c r="V56" s="254"/>
      <c r="W56" s="254"/>
      <c r="X56" s="254"/>
      <c r="Y56" s="254"/>
      <c r="Z56" s="254"/>
      <c r="AA56" s="254"/>
      <c r="AB56" s="254"/>
      <c r="AC56" s="254"/>
      <c r="AD56" s="254"/>
      <c r="AE56" s="254"/>
      <c r="AF56" s="254"/>
      <c r="AG56" s="254"/>
      <c r="AH56" s="254"/>
      <c r="AI56" s="254"/>
      <c r="AJ56" s="254"/>
      <c r="AK56" s="254"/>
    </row>
    <row r="57" spans="1:38" x14ac:dyDescent="0.2">
      <c r="A57" s="220" t="s">
        <v>306</v>
      </c>
      <c r="B57" s="221"/>
      <c r="C57" s="221"/>
      <c r="D57" s="221"/>
      <c r="E57" s="221"/>
      <c r="F57" s="221"/>
      <c r="G57" s="222"/>
      <c r="H57" s="226">
        <f>Data!B1065</f>
        <v>0</v>
      </c>
      <c r="I57" s="227"/>
      <c r="J57" s="227"/>
      <c r="K57" s="228"/>
      <c r="L57" s="242" t="str">
        <f>IF(Data!B1066&lt;&gt;"",Data!B1066,"N/A")</f>
        <v>N/A</v>
      </c>
      <c r="M57" s="243"/>
      <c r="N57" s="243"/>
      <c r="O57" s="243"/>
      <c r="P57" s="243"/>
      <c r="Q57" s="243"/>
      <c r="R57" s="243"/>
      <c r="S57" s="243"/>
      <c r="T57" s="243"/>
      <c r="U57" s="243"/>
      <c r="V57" s="243"/>
      <c r="W57" s="243"/>
      <c r="X57" s="243"/>
      <c r="Y57" s="243"/>
      <c r="Z57" s="243"/>
      <c r="AA57" s="243"/>
      <c r="AB57" s="243"/>
      <c r="AC57" s="243"/>
      <c r="AD57" s="243"/>
      <c r="AE57" s="243"/>
      <c r="AF57" s="243"/>
      <c r="AG57" s="243"/>
      <c r="AH57" s="243"/>
      <c r="AI57" s="243"/>
      <c r="AJ57" s="243"/>
      <c r="AK57" s="244"/>
    </row>
    <row r="58" spans="1:38" ht="12.95" customHeight="1" x14ac:dyDescent="0.2">
      <c r="A58" s="223"/>
      <c r="B58" s="224"/>
      <c r="C58" s="224"/>
      <c r="D58" s="224"/>
      <c r="E58" s="224"/>
      <c r="F58" s="224"/>
      <c r="G58" s="225"/>
      <c r="H58" s="229"/>
      <c r="I58" s="230"/>
      <c r="J58" s="230"/>
      <c r="K58" s="231"/>
      <c r="L58" s="245"/>
      <c r="M58" s="246"/>
      <c r="N58" s="246"/>
      <c r="O58" s="246"/>
      <c r="P58" s="246"/>
      <c r="Q58" s="246"/>
      <c r="R58" s="246"/>
      <c r="S58" s="246"/>
      <c r="T58" s="246"/>
      <c r="U58" s="246"/>
      <c r="V58" s="246"/>
      <c r="W58" s="246"/>
      <c r="X58" s="246"/>
      <c r="Y58" s="246"/>
      <c r="Z58" s="246"/>
      <c r="AA58" s="246"/>
      <c r="AB58" s="246"/>
      <c r="AC58" s="246"/>
      <c r="AD58" s="246"/>
      <c r="AE58" s="246"/>
      <c r="AF58" s="246"/>
      <c r="AG58" s="246"/>
      <c r="AH58" s="246"/>
      <c r="AI58" s="246"/>
      <c r="AJ58" s="246"/>
      <c r="AK58" s="247"/>
    </row>
    <row r="59" spans="1:38" x14ac:dyDescent="0.2">
      <c r="A59" s="220" t="s">
        <v>291</v>
      </c>
      <c r="B59" s="221"/>
      <c r="C59" s="221"/>
      <c r="D59" s="221"/>
      <c r="E59" s="221"/>
      <c r="F59" s="221"/>
      <c r="G59" s="222"/>
      <c r="H59" s="226">
        <f>Data!B1067</f>
        <v>0</v>
      </c>
      <c r="I59" s="227"/>
      <c r="J59" s="227"/>
      <c r="K59" s="228"/>
      <c r="L59" s="248" t="str">
        <f>IF(Data!B1068&lt;&gt;"",Data!B1068,"N/A")</f>
        <v>N/A</v>
      </c>
      <c r="M59" s="249"/>
      <c r="N59" s="249"/>
      <c r="O59" s="249"/>
      <c r="P59" s="249"/>
      <c r="Q59" s="249"/>
      <c r="R59" s="249"/>
      <c r="S59" s="249"/>
      <c r="T59" s="249"/>
      <c r="U59" s="249"/>
      <c r="V59" s="249"/>
      <c r="W59" s="249"/>
      <c r="X59" s="249"/>
      <c r="Y59" s="249"/>
      <c r="Z59" s="249"/>
      <c r="AA59" s="249"/>
      <c r="AB59" s="249"/>
      <c r="AC59" s="249"/>
      <c r="AD59" s="249"/>
      <c r="AE59" s="249"/>
      <c r="AF59" s="249"/>
      <c r="AG59" s="249"/>
      <c r="AH59" s="249"/>
      <c r="AI59" s="249"/>
      <c r="AJ59" s="249"/>
      <c r="AK59" s="250"/>
    </row>
    <row r="60" spans="1:38" ht="12.95" customHeight="1" x14ac:dyDescent="0.2">
      <c r="A60" s="223"/>
      <c r="B60" s="224"/>
      <c r="C60" s="224"/>
      <c r="D60" s="224"/>
      <c r="E60" s="224"/>
      <c r="F60" s="224"/>
      <c r="G60" s="225"/>
      <c r="H60" s="229"/>
      <c r="I60" s="230"/>
      <c r="J60" s="230"/>
      <c r="K60" s="231"/>
      <c r="L60" s="251"/>
      <c r="M60" s="252"/>
      <c r="N60" s="252"/>
      <c r="O60" s="252"/>
      <c r="P60" s="252"/>
      <c r="Q60" s="252"/>
      <c r="R60" s="252"/>
      <c r="S60" s="252"/>
      <c r="T60" s="252"/>
      <c r="U60" s="252"/>
      <c r="V60" s="252"/>
      <c r="W60" s="252"/>
      <c r="X60" s="252"/>
      <c r="Y60" s="252"/>
      <c r="Z60" s="252"/>
      <c r="AA60" s="252"/>
      <c r="AB60" s="252"/>
      <c r="AC60" s="252"/>
      <c r="AD60" s="252"/>
      <c r="AE60" s="252"/>
      <c r="AF60" s="252"/>
      <c r="AG60" s="252"/>
      <c r="AH60" s="252"/>
      <c r="AI60" s="252"/>
      <c r="AJ60" s="252"/>
      <c r="AK60" s="253"/>
    </row>
    <row r="61" spans="1:38" x14ac:dyDescent="0.2">
      <c r="A61" s="220" t="s">
        <v>844</v>
      </c>
      <c r="B61" s="221"/>
      <c r="C61" s="221"/>
      <c r="D61" s="221"/>
      <c r="E61" s="221"/>
      <c r="F61" s="221"/>
      <c r="G61" s="222"/>
      <c r="H61" s="226">
        <f>Data!B1069</f>
        <v>0</v>
      </c>
      <c r="I61" s="227"/>
      <c r="J61" s="227"/>
      <c r="K61" s="228"/>
      <c r="L61" s="248" t="str">
        <f>IF(Data!B1070&lt;&gt;"",Data!B1070,"N/A")</f>
        <v>N/A</v>
      </c>
      <c r="M61" s="249"/>
      <c r="N61" s="249"/>
      <c r="O61" s="249"/>
      <c r="P61" s="249"/>
      <c r="Q61" s="249"/>
      <c r="R61" s="249"/>
      <c r="S61" s="249"/>
      <c r="T61" s="249"/>
      <c r="U61" s="249"/>
      <c r="V61" s="249"/>
      <c r="W61" s="249"/>
      <c r="X61" s="249"/>
      <c r="Y61" s="249"/>
      <c r="Z61" s="249"/>
      <c r="AA61" s="249"/>
      <c r="AB61" s="249"/>
      <c r="AC61" s="249"/>
      <c r="AD61" s="249"/>
      <c r="AE61" s="249"/>
      <c r="AF61" s="249"/>
      <c r="AG61" s="249"/>
      <c r="AH61" s="249"/>
      <c r="AI61" s="249"/>
      <c r="AJ61" s="249"/>
      <c r="AK61" s="250"/>
    </row>
    <row r="62" spans="1:38" ht="12.95" customHeight="1" x14ac:dyDescent="0.2">
      <c r="A62" s="223"/>
      <c r="B62" s="224"/>
      <c r="C62" s="224"/>
      <c r="D62" s="224"/>
      <c r="E62" s="224"/>
      <c r="F62" s="224"/>
      <c r="G62" s="225"/>
      <c r="H62" s="229"/>
      <c r="I62" s="230"/>
      <c r="J62" s="230"/>
      <c r="K62" s="231"/>
      <c r="L62" s="251"/>
      <c r="M62" s="252"/>
      <c r="N62" s="252"/>
      <c r="O62" s="252"/>
      <c r="P62" s="252"/>
      <c r="Q62" s="252"/>
      <c r="R62" s="252"/>
      <c r="S62" s="252"/>
      <c r="T62" s="252"/>
      <c r="U62" s="252"/>
      <c r="V62" s="252"/>
      <c r="W62" s="252"/>
      <c r="X62" s="252"/>
      <c r="Y62" s="252"/>
      <c r="Z62" s="252"/>
      <c r="AA62" s="252"/>
      <c r="AB62" s="252"/>
      <c r="AC62" s="252"/>
      <c r="AD62" s="252"/>
      <c r="AE62" s="252"/>
      <c r="AF62" s="252"/>
      <c r="AG62" s="252"/>
      <c r="AH62" s="252"/>
      <c r="AI62" s="252"/>
      <c r="AJ62" s="252"/>
      <c r="AK62" s="253"/>
    </row>
    <row r="63" spans="1:38" x14ac:dyDescent="0.2">
      <c r="A63" s="220" t="s">
        <v>257</v>
      </c>
      <c r="B63" s="221"/>
      <c r="C63" s="221"/>
      <c r="D63" s="221"/>
      <c r="E63" s="221"/>
      <c r="F63" s="221"/>
      <c r="G63" s="222"/>
      <c r="H63" s="226">
        <f>Data!B1071</f>
        <v>0</v>
      </c>
      <c r="I63" s="227"/>
      <c r="J63" s="227"/>
      <c r="K63" s="228"/>
      <c r="L63" s="248" t="str">
        <f>IF(Data!B1072&lt;&gt;"",Data!B1072,"N/A")</f>
        <v>N/A</v>
      </c>
      <c r="M63" s="249"/>
      <c r="N63" s="249"/>
      <c r="O63" s="249"/>
      <c r="P63" s="249"/>
      <c r="Q63" s="249"/>
      <c r="R63" s="249"/>
      <c r="S63" s="249"/>
      <c r="T63" s="249"/>
      <c r="U63" s="249"/>
      <c r="V63" s="249"/>
      <c r="W63" s="249"/>
      <c r="X63" s="249"/>
      <c r="Y63" s="249"/>
      <c r="Z63" s="249"/>
      <c r="AA63" s="249"/>
      <c r="AB63" s="249"/>
      <c r="AC63" s="249"/>
      <c r="AD63" s="249"/>
      <c r="AE63" s="249"/>
      <c r="AF63" s="249"/>
      <c r="AG63" s="249"/>
      <c r="AH63" s="249"/>
      <c r="AI63" s="249"/>
      <c r="AJ63" s="249"/>
      <c r="AK63" s="250"/>
    </row>
    <row r="64" spans="1:38" ht="12.95" customHeight="1" x14ac:dyDescent="0.2">
      <c r="A64" s="223"/>
      <c r="B64" s="224"/>
      <c r="C64" s="224"/>
      <c r="D64" s="224"/>
      <c r="E64" s="224"/>
      <c r="F64" s="224"/>
      <c r="G64" s="225"/>
      <c r="H64" s="229"/>
      <c r="I64" s="230"/>
      <c r="J64" s="230"/>
      <c r="K64" s="231"/>
      <c r="L64" s="251"/>
      <c r="M64" s="252"/>
      <c r="N64" s="252"/>
      <c r="O64" s="252"/>
      <c r="P64" s="252"/>
      <c r="Q64" s="252"/>
      <c r="R64" s="252"/>
      <c r="S64" s="252"/>
      <c r="T64" s="252"/>
      <c r="U64" s="252"/>
      <c r="V64" s="252"/>
      <c r="W64" s="252"/>
      <c r="X64" s="252"/>
      <c r="Y64" s="252"/>
      <c r="Z64" s="252"/>
      <c r="AA64" s="252"/>
      <c r="AB64" s="252"/>
      <c r="AC64" s="252"/>
      <c r="AD64" s="252"/>
      <c r="AE64" s="252"/>
      <c r="AF64" s="252"/>
      <c r="AG64" s="252"/>
      <c r="AH64" s="252"/>
      <c r="AI64" s="252"/>
      <c r="AJ64" s="252"/>
      <c r="AK64" s="253"/>
    </row>
    <row r="65" spans="1:37" x14ac:dyDescent="0.2">
      <c r="A65" s="220" t="s">
        <v>1303</v>
      </c>
      <c r="B65" s="221"/>
      <c r="C65" s="221"/>
      <c r="D65" s="221"/>
      <c r="E65" s="221"/>
      <c r="F65" s="221"/>
      <c r="G65" s="222"/>
      <c r="H65" s="226">
        <f>Data!B1073</f>
        <v>0</v>
      </c>
      <c r="I65" s="227"/>
      <c r="J65" s="227"/>
      <c r="K65" s="228"/>
      <c r="L65" s="248" t="str">
        <f>IF(Data!B1074&lt;&gt;"",Data!B1074,"N/A")</f>
        <v>N/A</v>
      </c>
      <c r="M65" s="249"/>
      <c r="N65" s="249"/>
      <c r="O65" s="249"/>
      <c r="P65" s="249"/>
      <c r="Q65" s="249"/>
      <c r="R65" s="249"/>
      <c r="S65" s="249"/>
      <c r="T65" s="249"/>
      <c r="U65" s="249"/>
      <c r="V65" s="249"/>
      <c r="W65" s="249"/>
      <c r="X65" s="249"/>
      <c r="Y65" s="249"/>
      <c r="Z65" s="249"/>
      <c r="AA65" s="249"/>
      <c r="AB65" s="249"/>
      <c r="AC65" s="249"/>
      <c r="AD65" s="249"/>
      <c r="AE65" s="249"/>
      <c r="AF65" s="249"/>
      <c r="AG65" s="249"/>
      <c r="AH65" s="249"/>
      <c r="AI65" s="249"/>
      <c r="AJ65" s="249"/>
      <c r="AK65" s="250"/>
    </row>
    <row r="66" spans="1:37" ht="12.95" customHeight="1" x14ac:dyDescent="0.2">
      <c r="A66" s="223"/>
      <c r="B66" s="224"/>
      <c r="C66" s="224"/>
      <c r="D66" s="224"/>
      <c r="E66" s="224"/>
      <c r="F66" s="224"/>
      <c r="G66" s="225"/>
      <c r="H66" s="229"/>
      <c r="I66" s="230"/>
      <c r="J66" s="230"/>
      <c r="K66" s="231"/>
      <c r="L66" s="251"/>
      <c r="M66" s="252"/>
      <c r="N66" s="252"/>
      <c r="O66" s="252"/>
      <c r="P66" s="252"/>
      <c r="Q66" s="252"/>
      <c r="R66" s="252"/>
      <c r="S66" s="252"/>
      <c r="T66" s="252"/>
      <c r="U66" s="252"/>
      <c r="V66" s="252"/>
      <c r="W66" s="252"/>
      <c r="X66" s="252"/>
      <c r="Y66" s="252"/>
      <c r="Z66" s="252"/>
      <c r="AA66" s="252"/>
      <c r="AB66" s="252"/>
      <c r="AC66" s="252"/>
      <c r="AD66" s="252"/>
      <c r="AE66" s="252"/>
      <c r="AF66" s="252"/>
      <c r="AG66" s="252"/>
      <c r="AH66" s="252"/>
      <c r="AI66" s="252"/>
      <c r="AJ66" s="252"/>
      <c r="AK66" s="253"/>
    </row>
    <row r="67" spans="1:37" x14ac:dyDescent="0.2">
      <c r="A67" s="220" t="s">
        <v>277</v>
      </c>
      <c r="B67" s="221"/>
      <c r="C67" s="221"/>
      <c r="D67" s="221"/>
      <c r="E67" s="221"/>
      <c r="F67" s="221"/>
      <c r="G67" s="222"/>
      <c r="H67" s="226">
        <f>Data!B1075</f>
        <v>0</v>
      </c>
      <c r="I67" s="227"/>
      <c r="J67" s="227"/>
      <c r="K67" s="228"/>
      <c r="L67" s="248" t="str">
        <f>IF(Data!B1076&lt;&gt;"",Data!B1076,"N/A")</f>
        <v>N/A</v>
      </c>
      <c r="M67" s="249"/>
      <c r="N67" s="249"/>
      <c r="O67" s="249"/>
      <c r="P67" s="249"/>
      <c r="Q67" s="249"/>
      <c r="R67" s="249"/>
      <c r="S67" s="249"/>
      <c r="T67" s="249"/>
      <c r="U67" s="249"/>
      <c r="V67" s="249"/>
      <c r="W67" s="249"/>
      <c r="X67" s="249"/>
      <c r="Y67" s="249"/>
      <c r="Z67" s="249"/>
      <c r="AA67" s="249"/>
      <c r="AB67" s="249"/>
      <c r="AC67" s="249"/>
      <c r="AD67" s="249"/>
      <c r="AE67" s="249"/>
      <c r="AF67" s="249"/>
      <c r="AG67" s="249"/>
      <c r="AH67" s="249"/>
      <c r="AI67" s="249"/>
      <c r="AJ67" s="249"/>
      <c r="AK67" s="250"/>
    </row>
    <row r="68" spans="1:37" ht="12.95" customHeight="1" x14ac:dyDescent="0.2">
      <c r="A68" s="223"/>
      <c r="B68" s="224"/>
      <c r="C68" s="224"/>
      <c r="D68" s="224"/>
      <c r="E68" s="224"/>
      <c r="F68" s="224"/>
      <c r="G68" s="225"/>
      <c r="H68" s="229"/>
      <c r="I68" s="230"/>
      <c r="J68" s="230"/>
      <c r="K68" s="231"/>
      <c r="L68" s="251"/>
      <c r="M68" s="252"/>
      <c r="N68" s="252"/>
      <c r="O68" s="252"/>
      <c r="P68" s="252"/>
      <c r="Q68" s="252"/>
      <c r="R68" s="252"/>
      <c r="S68" s="252"/>
      <c r="T68" s="252"/>
      <c r="U68" s="252"/>
      <c r="V68" s="252"/>
      <c r="W68" s="252"/>
      <c r="X68" s="252"/>
      <c r="Y68" s="252"/>
      <c r="Z68" s="252"/>
      <c r="AA68" s="252"/>
      <c r="AB68" s="252"/>
      <c r="AC68" s="252"/>
      <c r="AD68" s="252"/>
      <c r="AE68" s="252"/>
      <c r="AF68" s="252"/>
      <c r="AG68" s="252"/>
      <c r="AH68" s="252"/>
      <c r="AI68" s="252"/>
      <c r="AJ68" s="252"/>
      <c r="AK68" s="253"/>
    </row>
    <row r="69" spans="1:37" x14ac:dyDescent="0.2">
      <c r="A69" s="220" t="s">
        <v>880</v>
      </c>
      <c r="B69" s="221"/>
      <c r="C69" s="221"/>
      <c r="D69" s="221"/>
      <c r="E69" s="221"/>
      <c r="F69" s="221"/>
      <c r="G69" s="222"/>
      <c r="H69" s="226">
        <f>Data!B1077</f>
        <v>0</v>
      </c>
      <c r="I69" s="227"/>
      <c r="J69" s="227"/>
      <c r="K69" s="228"/>
      <c r="L69" s="248" t="str">
        <f>IF(Data!B1078&lt;&gt;"",Data!B1078,"N/A")</f>
        <v>N/A</v>
      </c>
      <c r="M69" s="249"/>
      <c r="N69" s="249"/>
      <c r="O69" s="249"/>
      <c r="P69" s="249"/>
      <c r="Q69" s="249"/>
      <c r="R69" s="249"/>
      <c r="S69" s="249"/>
      <c r="T69" s="249"/>
      <c r="U69" s="249"/>
      <c r="V69" s="249"/>
      <c r="W69" s="249"/>
      <c r="X69" s="249"/>
      <c r="Y69" s="249"/>
      <c r="Z69" s="249"/>
      <c r="AA69" s="249"/>
      <c r="AB69" s="249"/>
      <c r="AC69" s="249"/>
      <c r="AD69" s="249"/>
      <c r="AE69" s="249"/>
      <c r="AF69" s="249"/>
      <c r="AG69" s="249"/>
      <c r="AH69" s="249"/>
      <c r="AI69" s="249"/>
      <c r="AJ69" s="249"/>
      <c r="AK69" s="250"/>
    </row>
    <row r="70" spans="1:37" ht="12.95" customHeight="1" x14ac:dyDescent="0.2">
      <c r="A70" s="223"/>
      <c r="B70" s="224"/>
      <c r="C70" s="224"/>
      <c r="D70" s="224"/>
      <c r="E70" s="224"/>
      <c r="F70" s="224"/>
      <c r="G70" s="225"/>
      <c r="H70" s="229"/>
      <c r="I70" s="230"/>
      <c r="J70" s="230"/>
      <c r="K70" s="231"/>
      <c r="L70" s="251"/>
      <c r="M70" s="252"/>
      <c r="N70" s="252"/>
      <c r="O70" s="252"/>
      <c r="P70" s="252"/>
      <c r="Q70" s="252"/>
      <c r="R70" s="252"/>
      <c r="S70" s="252"/>
      <c r="T70" s="252"/>
      <c r="U70" s="252"/>
      <c r="V70" s="252"/>
      <c r="W70" s="252"/>
      <c r="X70" s="252"/>
      <c r="Y70" s="252"/>
      <c r="Z70" s="252"/>
      <c r="AA70" s="252"/>
      <c r="AB70" s="252"/>
      <c r="AC70" s="252"/>
      <c r="AD70" s="252"/>
      <c r="AE70" s="252"/>
      <c r="AF70" s="252"/>
      <c r="AG70" s="252"/>
      <c r="AH70" s="252"/>
      <c r="AI70" s="252"/>
      <c r="AJ70" s="252"/>
      <c r="AK70" s="253"/>
    </row>
    <row r="71" spans="1:37" x14ac:dyDescent="0.2">
      <c r="A71" s="220" t="s">
        <v>203</v>
      </c>
      <c r="B71" s="221"/>
      <c r="C71" s="221"/>
      <c r="D71" s="221"/>
      <c r="E71" s="221"/>
      <c r="F71" s="221"/>
      <c r="G71" s="222"/>
      <c r="H71" s="226">
        <f>Data!B1079</f>
        <v>0</v>
      </c>
      <c r="I71" s="227"/>
      <c r="J71" s="227"/>
      <c r="K71" s="228"/>
      <c r="L71" s="248" t="str">
        <f>IF(Data!B1080&lt;&gt;"",Data!B1080,"N/A")</f>
        <v>N/A</v>
      </c>
      <c r="M71" s="249"/>
      <c r="N71" s="249"/>
      <c r="O71" s="249"/>
      <c r="P71" s="249"/>
      <c r="Q71" s="249"/>
      <c r="R71" s="249"/>
      <c r="S71" s="249"/>
      <c r="T71" s="249"/>
      <c r="U71" s="249"/>
      <c r="V71" s="249"/>
      <c r="W71" s="249"/>
      <c r="X71" s="249"/>
      <c r="Y71" s="249"/>
      <c r="Z71" s="249"/>
      <c r="AA71" s="249"/>
      <c r="AB71" s="249"/>
      <c r="AC71" s="249"/>
      <c r="AD71" s="249"/>
      <c r="AE71" s="249"/>
      <c r="AF71" s="249"/>
      <c r="AG71" s="249"/>
      <c r="AH71" s="249"/>
      <c r="AI71" s="249"/>
      <c r="AJ71" s="249"/>
      <c r="AK71" s="250"/>
    </row>
    <row r="72" spans="1:37" ht="12.95" customHeight="1" x14ac:dyDescent="0.2">
      <c r="A72" s="223"/>
      <c r="B72" s="224"/>
      <c r="C72" s="224"/>
      <c r="D72" s="224"/>
      <c r="E72" s="224"/>
      <c r="F72" s="224"/>
      <c r="G72" s="225"/>
      <c r="H72" s="229"/>
      <c r="I72" s="230"/>
      <c r="J72" s="230"/>
      <c r="K72" s="231"/>
      <c r="L72" s="251"/>
      <c r="M72" s="252"/>
      <c r="N72" s="252"/>
      <c r="O72" s="252"/>
      <c r="P72" s="252"/>
      <c r="Q72" s="252"/>
      <c r="R72" s="252"/>
      <c r="S72" s="252"/>
      <c r="T72" s="252"/>
      <c r="U72" s="252"/>
      <c r="V72" s="252"/>
      <c r="W72" s="252"/>
      <c r="X72" s="252"/>
      <c r="Y72" s="252"/>
      <c r="Z72" s="252"/>
      <c r="AA72" s="252"/>
      <c r="AB72" s="252"/>
      <c r="AC72" s="252"/>
      <c r="AD72" s="252"/>
      <c r="AE72" s="252"/>
      <c r="AF72" s="252"/>
      <c r="AG72" s="252"/>
      <c r="AH72" s="252"/>
      <c r="AI72" s="252"/>
      <c r="AJ72" s="252"/>
      <c r="AK72" s="253"/>
    </row>
    <row r="73" spans="1:37" x14ac:dyDescent="0.2">
      <c r="A73" s="235" t="s">
        <v>1304</v>
      </c>
      <c r="B73" s="235"/>
      <c r="C73" s="235"/>
      <c r="D73" s="235"/>
      <c r="E73" s="235"/>
      <c r="F73" s="235"/>
      <c r="G73" s="235"/>
      <c r="H73" s="236">
        <f>Data!B1081</f>
        <v>0</v>
      </c>
      <c r="I73" s="236"/>
      <c r="J73" s="236"/>
      <c r="K73" s="236"/>
      <c r="L73" s="237" t="str">
        <f>IF(Data!B1082&lt;&gt;"",Data!B1082,"N/A")</f>
        <v>N/A</v>
      </c>
      <c r="M73" s="237"/>
      <c r="N73" s="237"/>
      <c r="O73" s="237"/>
      <c r="P73" s="237"/>
      <c r="Q73" s="237"/>
      <c r="R73" s="237"/>
      <c r="S73" s="237"/>
      <c r="T73" s="237"/>
      <c r="U73" s="237"/>
      <c r="V73" s="237"/>
      <c r="W73" s="237"/>
      <c r="X73" s="237"/>
      <c r="Y73" s="237"/>
      <c r="Z73" s="237"/>
      <c r="AA73" s="237"/>
      <c r="AB73" s="237"/>
      <c r="AC73" s="237"/>
      <c r="AD73" s="237"/>
      <c r="AE73" s="237"/>
      <c r="AF73" s="237"/>
      <c r="AG73" s="237"/>
      <c r="AH73" s="237"/>
      <c r="AI73" s="237"/>
      <c r="AJ73" s="237"/>
      <c r="AK73" s="237"/>
    </row>
    <row r="74" spans="1:37" x14ac:dyDescent="0.2">
      <c r="A74" s="235"/>
      <c r="B74" s="235"/>
      <c r="C74" s="235"/>
      <c r="D74" s="235"/>
      <c r="E74" s="235"/>
      <c r="F74" s="235"/>
      <c r="G74" s="235"/>
      <c r="H74" s="236"/>
      <c r="I74" s="236"/>
      <c r="J74" s="236"/>
      <c r="K74" s="236"/>
      <c r="L74" s="237"/>
      <c r="M74" s="237"/>
      <c r="N74" s="237"/>
      <c r="O74" s="237"/>
      <c r="P74" s="237"/>
      <c r="Q74" s="237"/>
      <c r="R74" s="237"/>
      <c r="S74" s="237"/>
      <c r="T74" s="237"/>
      <c r="U74" s="237"/>
      <c r="V74" s="237"/>
      <c r="W74" s="237"/>
      <c r="X74" s="237"/>
      <c r="Y74" s="237"/>
      <c r="Z74" s="237"/>
      <c r="AA74" s="237"/>
      <c r="AB74" s="237"/>
      <c r="AC74" s="237"/>
      <c r="AD74" s="237"/>
      <c r="AE74" s="237"/>
      <c r="AF74" s="237"/>
      <c r="AG74" s="237"/>
      <c r="AH74" s="237"/>
      <c r="AI74" s="237"/>
      <c r="AJ74" s="237"/>
      <c r="AK74" s="237"/>
    </row>
    <row r="75" spans="1:37" x14ac:dyDescent="0.2">
      <c r="A75" t="s">
        <v>2918</v>
      </c>
      <c r="H75" s="4"/>
      <c r="I75" s="4"/>
      <c r="J75" s="4"/>
      <c r="K75" s="4"/>
      <c r="L75" s="238" t="str">
        <f>ppm.specific!G7</f>
        <v/>
      </c>
      <c r="M75" s="238"/>
      <c r="N75" s="238"/>
      <c r="O75" s="238"/>
      <c r="P75" s="238"/>
      <c r="Q75" s="238"/>
      <c r="R75" s="238"/>
      <c r="S75" s="238"/>
      <c r="T75" s="238"/>
      <c r="U75" s="238"/>
      <c r="V75" s="238"/>
      <c r="W75" s="238"/>
      <c r="X75" s="238"/>
      <c r="Y75" s="238"/>
      <c r="Z75" s="238"/>
      <c r="AA75" s="238"/>
      <c r="AB75" s="238"/>
      <c r="AC75" s="238"/>
      <c r="AD75" s="238"/>
      <c r="AE75" s="238"/>
      <c r="AF75" s="238"/>
      <c r="AG75" s="238"/>
      <c r="AH75" s="238"/>
      <c r="AI75" s="238"/>
      <c r="AJ75" s="238"/>
      <c r="AK75" s="238"/>
    </row>
    <row r="76" spans="1:37" x14ac:dyDescent="0.2">
      <c r="H76" s="4"/>
      <c r="I76" s="4"/>
      <c r="J76" s="4"/>
      <c r="K76" s="4"/>
      <c r="L76" s="238"/>
      <c r="M76" s="238"/>
      <c r="N76" s="238"/>
      <c r="O76" s="238"/>
      <c r="P76" s="238"/>
      <c r="Q76" s="238"/>
      <c r="R76" s="238"/>
      <c r="S76" s="238"/>
      <c r="T76" s="238"/>
      <c r="U76" s="238"/>
      <c r="V76" s="238"/>
      <c r="W76" s="238"/>
      <c r="X76" s="238"/>
      <c r="Y76" s="238"/>
      <c r="Z76" s="238"/>
      <c r="AA76" s="238"/>
      <c r="AB76" s="238"/>
      <c r="AC76" s="238"/>
      <c r="AD76" s="238"/>
      <c r="AE76" s="238"/>
      <c r="AF76" s="238"/>
      <c r="AG76" s="238"/>
      <c r="AH76" s="238"/>
      <c r="AI76" s="238"/>
      <c r="AJ76" s="238"/>
      <c r="AK76" s="238"/>
    </row>
    <row r="77" spans="1:37" x14ac:dyDescent="0.2">
      <c r="H77" s="4"/>
      <c r="I77" s="4"/>
      <c r="J77" s="4"/>
      <c r="K77" s="4"/>
      <c r="L77" s="238"/>
      <c r="M77" s="238"/>
      <c r="N77" s="238"/>
      <c r="O77" s="238"/>
      <c r="P77" s="238"/>
      <c r="Q77" s="238"/>
      <c r="R77" s="238"/>
      <c r="S77" s="238"/>
      <c r="T77" s="238"/>
      <c r="U77" s="238"/>
      <c r="V77" s="238"/>
      <c r="W77" s="238"/>
      <c r="X77" s="238"/>
      <c r="Y77" s="238"/>
      <c r="Z77" s="238"/>
      <c r="AA77" s="238"/>
      <c r="AB77" s="238"/>
      <c r="AC77" s="238"/>
      <c r="AD77" s="238"/>
      <c r="AE77" s="238"/>
      <c r="AF77" s="238"/>
      <c r="AG77" s="238"/>
      <c r="AH77" s="238"/>
      <c r="AI77" s="238"/>
      <c r="AJ77" s="238"/>
      <c r="AK77" s="238"/>
    </row>
    <row r="78" spans="1:37" x14ac:dyDescent="0.2">
      <c r="H78" s="4"/>
      <c r="I78" s="4"/>
      <c r="J78" s="4"/>
      <c r="K78" s="4"/>
      <c r="L78" s="238"/>
      <c r="M78" s="238"/>
      <c r="N78" s="238"/>
      <c r="O78" s="238"/>
      <c r="P78" s="238"/>
      <c r="Q78" s="238"/>
      <c r="R78" s="238"/>
      <c r="S78" s="238"/>
      <c r="T78" s="238"/>
      <c r="U78" s="238"/>
      <c r="V78" s="238"/>
      <c r="W78" s="238"/>
      <c r="X78" s="238"/>
      <c r="Y78" s="238"/>
      <c r="Z78" s="238"/>
      <c r="AA78" s="238"/>
      <c r="AB78" s="238"/>
      <c r="AC78" s="238"/>
      <c r="AD78" s="238"/>
      <c r="AE78" s="238"/>
      <c r="AF78" s="238"/>
      <c r="AG78" s="238"/>
      <c r="AH78" s="238"/>
      <c r="AI78" s="238"/>
      <c r="AJ78" s="238"/>
      <c r="AK78" s="238"/>
    </row>
    <row r="79" spans="1:37" x14ac:dyDescent="0.2">
      <c r="A79" t="s">
        <v>2917</v>
      </c>
      <c r="F79" s="233" t="str">
        <f>_xlfn.CONCAT(IF(AND(Data!B708=TRUE,Data!B735=TRUE),"Client continues to have bladder and bowel incontinence.",""),IF(AND(Data!B708=TRUE,Data!B735=FALSE),"Client continues to have bowel incontinence.",""),IF(AND(Data!B708=FALSE,Data!B735=TRUE),"Client continues to have bladder incontinence.",""),IF(AND(Data!B708=FALSE,Data!B735=FALSE),"Client currently denies any incontinence problems. Aide should continue to monitor.",""))</f>
        <v>Client currently denies any incontinence problems. Aide should continue to monitor.</v>
      </c>
      <c r="G79" s="233"/>
      <c r="H79" s="233"/>
      <c r="I79" s="233"/>
      <c r="J79" s="233"/>
      <c r="K79" s="233"/>
      <c r="L79" s="233"/>
      <c r="M79" s="233"/>
      <c r="N79" s="233"/>
      <c r="O79" s="233"/>
      <c r="P79" s="233"/>
      <c r="Q79" s="233"/>
      <c r="R79" s="233"/>
      <c r="S79" s="233"/>
      <c r="T79" s="233"/>
      <c r="U79" s="233"/>
      <c r="V79" s="233"/>
      <c r="W79" s="233"/>
      <c r="X79" s="233"/>
      <c r="Y79" s="233"/>
      <c r="Z79" s="233"/>
      <c r="AA79" s="233"/>
      <c r="AB79" s="233"/>
      <c r="AC79" s="233"/>
      <c r="AD79" s="233"/>
      <c r="AE79" s="233"/>
      <c r="AF79" s="233"/>
      <c r="AG79" s="233"/>
      <c r="AH79" s="233"/>
      <c r="AI79" s="233"/>
      <c r="AJ79" s="233"/>
      <c r="AK79" s="233"/>
    </row>
    <row r="80" spans="1:37" x14ac:dyDescent="0.2">
      <c r="A80" t="s">
        <v>2922</v>
      </c>
      <c r="H80" s="4"/>
      <c r="I80" s="239" t="str">
        <f>_xlfn.CONCAT(IF(Data!B741="No","No catheter.",""),IF(Data!B741="Yes","Client has a "&amp;Data!B742&amp;" catheter.",""),IF(Data!D741="No","  Catheter is not functioning properly.  "&amp;Data!D742,""),IF(Data!B719="No","  No bowel program required.",""),IF(Data!D719="Yes","  Bowel program complications reported are "&amp;Data!D720,""))</f>
        <v/>
      </c>
      <c r="J80" s="239"/>
      <c r="K80" s="239"/>
      <c r="L80" s="239"/>
      <c r="M80" s="239"/>
      <c r="N80" s="239"/>
      <c r="O80" s="239"/>
      <c r="P80" s="239"/>
      <c r="Q80" s="239"/>
      <c r="R80" s="239"/>
      <c r="S80" s="239"/>
      <c r="T80" s="239"/>
      <c r="U80" s="239"/>
      <c r="V80" s="239"/>
      <c r="W80" s="239"/>
      <c r="X80" s="239"/>
      <c r="Y80" s="239"/>
      <c r="Z80" s="239"/>
      <c r="AA80" s="239"/>
      <c r="AB80" s="239"/>
      <c r="AC80" s="239"/>
      <c r="AD80" s="239"/>
      <c r="AE80" s="239"/>
      <c r="AF80" s="239"/>
      <c r="AG80" s="239"/>
      <c r="AH80" s="239"/>
      <c r="AI80" s="239"/>
      <c r="AJ80" s="239"/>
      <c r="AK80" s="239"/>
    </row>
    <row r="81" spans="1:37" x14ac:dyDescent="0.2">
      <c r="H81" s="4"/>
      <c r="I81" s="239"/>
      <c r="J81" s="239"/>
      <c r="K81" s="239"/>
      <c r="L81" s="239"/>
      <c r="M81" s="239"/>
      <c r="N81" s="239"/>
      <c r="O81" s="239"/>
      <c r="P81" s="239"/>
      <c r="Q81" s="239"/>
      <c r="R81" s="239"/>
      <c r="S81" s="239"/>
      <c r="T81" s="239"/>
      <c r="U81" s="239"/>
      <c r="V81" s="239"/>
      <c r="W81" s="239"/>
      <c r="X81" s="239"/>
      <c r="Y81" s="239"/>
      <c r="Z81" s="239"/>
      <c r="AA81" s="239"/>
      <c r="AB81" s="239"/>
      <c r="AC81" s="239"/>
      <c r="AD81" s="239"/>
      <c r="AE81" s="239"/>
      <c r="AF81" s="239"/>
      <c r="AG81" s="239"/>
      <c r="AH81" s="239"/>
      <c r="AI81" s="239"/>
      <c r="AJ81" s="239"/>
      <c r="AK81" s="239"/>
    </row>
    <row r="82" spans="1:37" ht="5.25" customHeight="1" x14ac:dyDescent="0.2">
      <c r="H82" s="4"/>
      <c r="I82" s="125"/>
      <c r="J82" s="125"/>
      <c r="K82" s="125"/>
      <c r="L82" s="125"/>
      <c r="M82" s="125"/>
      <c r="N82" s="125"/>
      <c r="O82" s="125"/>
      <c r="P82" s="125"/>
      <c r="Q82" s="125"/>
      <c r="R82" s="125"/>
      <c r="S82" s="125"/>
      <c r="T82" s="125"/>
      <c r="U82" s="125"/>
      <c r="V82" s="125"/>
      <c r="W82" s="125"/>
      <c r="X82" s="125"/>
      <c r="Y82" s="125"/>
      <c r="Z82" s="125"/>
      <c r="AA82" s="125"/>
      <c r="AB82" s="125"/>
      <c r="AC82" s="125"/>
      <c r="AD82" s="125"/>
      <c r="AE82" s="125"/>
      <c r="AF82" s="125"/>
      <c r="AG82" s="125"/>
      <c r="AH82" s="125"/>
      <c r="AI82" s="125"/>
      <c r="AJ82" s="125"/>
      <c r="AK82" s="125"/>
    </row>
    <row r="83" spans="1:37" x14ac:dyDescent="0.2">
      <c r="A83" s="232" t="s">
        <v>1306</v>
      </c>
      <c r="B83" s="232"/>
      <c r="C83" s="232"/>
      <c r="D83" s="232"/>
      <c r="E83" s="232"/>
      <c r="F83" s="232"/>
      <c r="G83" s="232"/>
      <c r="H83" s="232"/>
      <c r="I83" s="232"/>
      <c r="J83" s="232"/>
      <c r="K83" s="232"/>
      <c r="L83" s="232"/>
      <c r="M83" s="232"/>
      <c r="N83" s="232"/>
      <c r="O83" s="232"/>
      <c r="P83" s="232"/>
      <c r="Q83" s="232"/>
      <c r="R83" s="232"/>
      <c r="S83" s="232"/>
      <c r="T83" s="232"/>
      <c r="U83" s="232"/>
      <c r="V83" s="232"/>
      <c r="W83" s="232"/>
      <c r="X83" s="232"/>
      <c r="Y83" s="232"/>
      <c r="Z83" s="232"/>
      <c r="AA83" s="232"/>
      <c r="AB83" s="232"/>
      <c r="AC83" s="232"/>
      <c r="AD83" s="232"/>
      <c r="AE83" s="232"/>
      <c r="AF83" s="232"/>
      <c r="AG83" s="232"/>
      <c r="AH83" s="232"/>
      <c r="AI83" s="232"/>
      <c r="AJ83" s="232"/>
      <c r="AK83" s="232"/>
    </row>
    <row r="84" spans="1:37" x14ac:dyDescent="0.2">
      <c r="A84" t="s">
        <v>1307</v>
      </c>
      <c r="J84" s="218">
        <f>Data!B1117</f>
        <v>43523</v>
      </c>
      <c r="K84" s="218"/>
      <c r="L84" s="218"/>
      <c r="M84" s="218"/>
      <c r="N84" s="218"/>
      <c r="O84" s="218"/>
      <c r="Q84" t="s">
        <v>571</v>
      </c>
      <c r="W84" s="219" t="str">
        <f>Data!B1118</f>
        <v>Dr Wilson</v>
      </c>
      <c r="X84" s="219"/>
      <c r="Y84" s="219"/>
      <c r="Z84" s="219"/>
      <c r="AA84" s="219"/>
      <c r="AB84" s="219"/>
      <c r="AC84" s="219"/>
      <c r="AD84" s="219"/>
      <c r="AE84" s="219"/>
      <c r="AF84" s="219"/>
      <c r="AG84" s="219"/>
    </row>
    <row r="85" spans="1:37" x14ac:dyDescent="0.2">
      <c r="A85" t="s">
        <v>1308</v>
      </c>
      <c r="G85" s="219" t="str">
        <f>Data!B1119</f>
        <v>Check Up</v>
      </c>
      <c r="H85" s="219"/>
      <c r="I85" s="219"/>
      <c r="J85" s="219"/>
      <c r="K85" s="219"/>
      <c r="L85" s="219"/>
      <c r="M85" s="219"/>
      <c r="N85" s="219"/>
      <c r="O85" s="219"/>
      <c r="P85" s="219"/>
      <c r="Q85" s="219"/>
      <c r="R85" s="219"/>
      <c r="S85" s="219"/>
      <c r="T85" s="219"/>
      <c r="U85" s="219"/>
      <c r="V85" s="219"/>
      <c r="W85" s="219"/>
      <c r="Y85" t="s">
        <v>842</v>
      </c>
      <c r="AC85" s="219" t="str">
        <f>Data!B1122</f>
        <v>PCP</v>
      </c>
      <c r="AD85" s="219"/>
      <c r="AE85" s="219"/>
      <c r="AF85" s="219"/>
      <c r="AG85" s="219"/>
      <c r="AH85" s="219"/>
      <c r="AI85" s="219"/>
      <c r="AJ85" s="219"/>
      <c r="AK85" s="219"/>
    </row>
    <row r="86" spans="1:37" x14ac:dyDescent="0.2">
      <c r="A86" t="s">
        <v>843</v>
      </c>
      <c r="F86" s="219" t="str">
        <f>Data!B1120</f>
        <v>No</v>
      </c>
      <c r="G86" s="219"/>
      <c r="H86" s="219"/>
      <c r="J86" t="s">
        <v>1305</v>
      </c>
      <c r="M86" s="239" t="str">
        <f>IF(Data!B1120="Yes",Data!B1123,"N/A")</f>
        <v>N/A</v>
      </c>
      <c r="N86" s="239"/>
      <c r="O86" s="239"/>
      <c r="P86" s="239"/>
      <c r="Q86" s="239"/>
      <c r="R86" s="239"/>
      <c r="S86" s="239"/>
      <c r="T86" s="239"/>
      <c r="U86" s="239"/>
      <c r="V86" s="239"/>
      <c r="W86" s="239"/>
      <c r="X86" s="239"/>
      <c r="Y86" s="239"/>
      <c r="Z86" s="239"/>
      <c r="AA86" s="239"/>
      <c r="AB86" s="239"/>
      <c r="AC86" s="239"/>
      <c r="AD86" s="239"/>
      <c r="AE86" s="239"/>
      <c r="AF86" s="239"/>
      <c r="AG86" s="239"/>
      <c r="AH86" s="239"/>
      <c r="AI86" s="239"/>
      <c r="AJ86" s="239"/>
      <c r="AK86" s="239"/>
    </row>
    <row r="87" spans="1:37" x14ac:dyDescent="0.2">
      <c r="F87" s="7"/>
      <c r="G87" s="7"/>
      <c r="H87" s="7"/>
      <c r="M87" s="239"/>
      <c r="N87" s="239"/>
      <c r="O87" s="239"/>
      <c r="P87" s="239"/>
      <c r="Q87" s="239"/>
      <c r="R87" s="239"/>
      <c r="S87" s="239"/>
      <c r="T87" s="239"/>
      <c r="U87" s="239"/>
      <c r="V87" s="239"/>
      <c r="W87" s="239"/>
      <c r="X87" s="239"/>
      <c r="Y87" s="239"/>
      <c r="Z87" s="239"/>
      <c r="AA87" s="239"/>
      <c r="AB87" s="239"/>
      <c r="AC87" s="239"/>
      <c r="AD87" s="239"/>
      <c r="AE87" s="239"/>
      <c r="AF87" s="239"/>
      <c r="AG87" s="239"/>
      <c r="AH87" s="239"/>
      <c r="AI87" s="239"/>
      <c r="AJ87" s="239"/>
      <c r="AK87" s="239"/>
    </row>
    <row r="88" spans="1:37" x14ac:dyDescent="0.2">
      <c r="A88" s="232" t="s">
        <v>1309</v>
      </c>
      <c r="B88" s="232"/>
      <c r="C88" s="232"/>
      <c r="D88" s="232"/>
      <c r="E88" s="232"/>
      <c r="F88" s="232"/>
      <c r="G88" s="232"/>
      <c r="H88" s="232"/>
      <c r="I88" s="232"/>
      <c r="J88" s="232"/>
      <c r="K88" s="232"/>
      <c r="L88" s="232"/>
      <c r="M88" s="232"/>
      <c r="N88" s="232"/>
      <c r="O88" s="232"/>
      <c r="P88" s="232"/>
      <c r="Q88" s="232"/>
      <c r="R88" s="232"/>
      <c r="S88" s="232"/>
      <c r="T88" s="232"/>
      <c r="U88" s="232"/>
      <c r="V88" s="232"/>
      <c r="W88" s="232"/>
      <c r="X88" s="232"/>
      <c r="Y88" s="232"/>
      <c r="Z88" s="232"/>
      <c r="AA88" s="232"/>
      <c r="AB88" s="232"/>
      <c r="AC88" s="232"/>
      <c r="AD88" s="232"/>
      <c r="AE88" s="232"/>
      <c r="AF88" s="232"/>
      <c r="AG88" s="232"/>
      <c r="AH88" s="232"/>
      <c r="AI88" s="232"/>
      <c r="AJ88" s="232"/>
      <c r="AK88" s="232"/>
    </row>
    <row r="89" spans="1:37" x14ac:dyDescent="0.2">
      <c r="A89" t="s">
        <v>1310</v>
      </c>
      <c r="L89" s="219">
        <f>Data!F121</f>
        <v>0</v>
      </c>
      <c r="M89" s="219"/>
      <c r="N89" s="219"/>
      <c r="P89" s="240" t="s">
        <v>2919</v>
      </c>
      <c r="Q89" s="240"/>
      <c r="R89" s="240"/>
      <c r="S89" s="240"/>
      <c r="T89" s="240"/>
      <c r="U89" s="240"/>
      <c r="V89" s="240"/>
      <c r="W89" s="240"/>
      <c r="X89" s="240"/>
      <c r="Y89" s="240"/>
      <c r="Z89" s="240"/>
      <c r="AA89" s="240"/>
      <c r="AB89" s="240"/>
      <c r="AC89" s="240"/>
      <c r="AD89" s="240"/>
      <c r="AE89" s="240"/>
      <c r="AF89" s="240"/>
      <c r="AG89" s="240"/>
      <c r="AH89" s="240"/>
      <c r="AI89" s="240"/>
      <c r="AJ89" s="240"/>
      <c r="AK89" s="240"/>
    </row>
    <row r="90" spans="1:37" x14ac:dyDescent="0.2">
      <c r="A90" t="s">
        <v>1311</v>
      </c>
      <c r="L90" s="219">
        <f>Data!D409</f>
        <v>0</v>
      </c>
      <c r="M90" s="219"/>
      <c r="N90" s="219"/>
      <c r="P90" t="s">
        <v>1312</v>
      </c>
    </row>
    <row r="91" spans="1:37" x14ac:dyDescent="0.2">
      <c r="A91" s="232" t="s">
        <v>1326</v>
      </c>
      <c r="B91" s="232"/>
      <c r="C91" s="232"/>
      <c r="D91" s="232"/>
      <c r="E91" s="232"/>
      <c r="F91" s="232"/>
      <c r="G91" s="232"/>
      <c r="H91" s="232"/>
      <c r="I91" s="232"/>
      <c r="J91" s="232"/>
      <c r="K91" s="232"/>
      <c r="L91" s="232"/>
      <c r="M91" s="232"/>
      <c r="N91" s="232"/>
      <c r="O91" s="232"/>
      <c r="P91" s="232"/>
      <c r="Q91" s="232"/>
      <c r="R91" s="232"/>
      <c r="S91" s="232"/>
      <c r="T91" s="232"/>
      <c r="U91" s="232"/>
      <c r="V91" s="232"/>
      <c r="W91" s="232"/>
      <c r="X91" s="232"/>
      <c r="Y91" s="232"/>
      <c r="Z91" s="232"/>
      <c r="AA91" s="232"/>
      <c r="AB91" s="232"/>
      <c r="AC91" s="232"/>
      <c r="AD91" s="232"/>
      <c r="AE91" s="232"/>
      <c r="AF91" s="232"/>
      <c r="AG91" s="232"/>
      <c r="AH91" s="232"/>
      <c r="AI91" s="232"/>
      <c r="AJ91" s="232"/>
      <c r="AK91" s="232"/>
    </row>
    <row r="92" spans="1:37" x14ac:dyDescent="0.2">
      <c r="A92" s="120" t="s">
        <v>1327</v>
      </c>
      <c r="B92" s="120"/>
      <c r="C92" s="120"/>
      <c r="D92" s="120"/>
      <c r="E92" s="120"/>
      <c r="F92" s="120"/>
      <c r="G92" s="234">
        <f>Data!B1695</f>
        <v>0</v>
      </c>
      <c r="H92" s="234"/>
      <c r="I92" s="234"/>
      <c r="J92" s="234"/>
      <c r="K92" s="234"/>
      <c r="L92" s="234"/>
      <c r="M92" s="234"/>
      <c r="N92" s="234"/>
      <c r="O92" s="234"/>
      <c r="P92" s="234"/>
      <c r="Q92" s="234"/>
      <c r="R92" s="234"/>
      <c r="S92" s="234"/>
      <c r="T92" s="234"/>
      <c r="U92" s="234"/>
      <c r="V92" s="234"/>
      <c r="W92" s="234"/>
      <c r="X92" s="234"/>
      <c r="Y92" s="234"/>
      <c r="Z92" s="234"/>
      <c r="AA92" s="234"/>
      <c r="AB92" s="234"/>
      <c r="AC92" s="234"/>
      <c r="AD92" s="234"/>
      <c r="AE92" s="234"/>
      <c r="AF92" s="234"/>
      <c r="AG92" s="234"/>
      <c r="AH92" s="234"/>
      <c r="AI92" s="234"/>
      <c r="AJ92" s="234"/>
      <c r="AK92" s="234"/>
    </row>
    <row r="93" spans="1:37" x14ac:dyDescent="0.2">
      <c r="A93" s="120"/>
      <c r="B93" s="120"/>
      <c r="C93" s="120"/>
      <c r="D93" s="120"/>
      <c r="E93" s="120"/>
      <c r="F93" s="120"/>
      <c r="G93" s="234"/>
      <c r="H93" s="234"/>
      <c r="I93" s="234"/>
      <c r="J93" s="234"/>
      <c r="K93" s="234"/>
      <c r="L93" s="234"/>
      <c r="M93" s="234"/>
      <c r="N93" s="234"/>
      <c r="O93" s="234"/>
      <c r="P93" s="234"/>
      <c r="Q93" s="234"/>
      <c r="R93" s="234"/>
      <c r="S93" s="234"/>
      <c r="T93" s="234"/>
      <c r="U93" s="234"/>
      <c r="V93" s="234"/>
      <c r="W93" s="234"/>
      <c r="X93" s="234"/>
      <c r="Y93" s="234"/>
      <c r="Z93" s="234"/>
      <c r="AA93" s="234"/>
      <c r="AB93" s="234"/>
      <c r="AC93" s="234"/>
      <c r="AD93" s="234"/>
      <c r="AE93" s="234"/>
      <c r="AF93" s="234"/>
      <c r="AG93" s="234"/>
      <c r="AH93" s="234"/>
      <c r="AI93" s="234"/>
      <c r="AJ93" s="234"/>
      <c r="AK93" s="234"/>
    </row>
    <row r="94" spans="1:37" x14ac:dyDescent="0.2">
      <c r="A94" s="120"/>
      <c r="B94" s="120"/>
      <c r="C94" s="120"/>
      <c r="D94" s="120"/>
      <c r="E94" s="120"/>
      <c r="F94" s="120"/>
      <c r="G94" s="234"/>
      <c r="H94" s="234"/>
      <c r="I94" s="234"/>
      <c r="J94" s="234"/>
      <c r="K94" s="234"/>
      <c r="L94" s="234"/>
      <c r="M94" s="234"/>
      <c r="N94" s="234"/>
      <c r="O94" s="234"/>
      <c r="P94" s="234"/>
      <c r="Q94" s="234"/>
      <c r="R94" s="234"/>
      <c r="S94" s="234"/>
      <c r="T94" s="234"/>
      <c r="U94" s="234"/>
      <c r="V94" s="234"/>
      <c r="W94" s="234"/>
      <c r="X94" s="234"/>
      <c r="Y94" s="234"/>
      <c r="Z94" s="234"/>
      <c r="AA94" s="234"/>
      <c r="AB94" s="234"/>
      <c r="AC94" s="234"/>
      <c r="AD94" s="234"/>
      <c r="AE94" s="234"/>
      <c r="AF94" s="234"/>
      <c r="AG94" s="234"/>
      <c r="AH94" s="234"/>
      <c r="AI94" s="234"/>
      <c r="AJ94" s="234"/>
      <c r="AK94" s="234"/>
    </row>
    <row r="95" spans="1:37" ht="7.5" customHeight="1" x14ac:dyDescent="0.2">
      <c r="A95" s="120"/>
      <c r="B95" s="120"/>
      <c r="C95" s="120"/>
      <c r="D95" s="120"/>
      <c r="E95" s="120"/>
      <c r="F95" s="120"/>
      <c r="G95" s="234"/>
      <c r="H95" s="234"/>
      <c r="I95" s="234"/>
      <c r="J95" s="234"/>
      <c r="K95" s="234"/>
      <c r="L95" s="234"/>
      <c r="M95" s="234"/>
      <c r="N95" s="234"/>
      <c r="O95" s="234"/>
      <c r="P95" s="234"/>
      <c r="Q95" s="234"/>
      <c r="R95" s="234"/>
      <c r="S95" s="234"/>
      <c r="T95" s="234"/>
      <c r="U95" s="234"/>
      <c r="V95" s="234"/>
      <c r="W95" s="234"/>
      <c r="X95" s="234"/>
      <c r="Y95" s="234"/>
      <c r="Z95" s="234"/>
      <c r="AA95" s="234"/>
      <c r="AB95" s="234"/>
      <c r="AC95" s="234"/>
      <c r="AD95" s="234"/>
      <c r="AE95" s="234"/>
      <c r="AF95" s="234"/>
      <c r="AG95" s="234"/>
      <c r="AH95" s="234"/>
      <c r="AI95" s="234"/>
      <c r="AJ95" s="234"/>
      <c r="AK95" s="234"/>
    </row>
    <row r="96" spans="1:37" x14ac:dyDescent="0.2">
      <c r="A96" s="120" t="s">
        <v>1328</v>
      </c>
      <c r="B96" s="120"/>
      <c r="C96" s="120"/>
      <c r="D96" s="120"/>
      <c r="E96" s="120"/>
      <c r="F96" s="120"/>
      <c r="G96" s="120"/>
      <c r="H96" s="120"/>
      <c r="I96" s="120"/>
      <c r="J96" s="122"/>
      <c r="K96" s="234" t="str">
        <f>_xlfn.CONCAT(IF(Data!B1104=TRUE,"Goals remain within reach.",""),IF(Data!B1105=TRUE," Goals are being met.",""),IF(Data!B1106=TRUE," Goals are unlikely to be met within this episode of care.",""))</f>
        <v/>
      </c>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row>
    <row r="97" spans="1:37" x14ac:dyDescent="0.2">
      <c r="A97" s="120"/>
      <c r="B97" s="120"/>
      <c r="C97" s="120"/>
      <c r="D97" s="120"/>
      <c r="E97" s="120"/>
      <c r="F97" s="120"/>
      <c r="G97" s="120"/>
      <c r="H97" s="120"/>
      <c r="I97" s="120"/>
      <c r="J97" s="122"/>
      <c r="K97" s="234"/>
      <c r="L97" s="234"/>
      <c r="M97" s="234"/>
      <c r="N97" s="234"/>
      <c r="O97" s="234"/>
      <c r="P97" s="234"/>
      <c r="Q97" s="234"/>
      <c r="R97" s="234"/>
      <c r="S97" s="234"/>
      <c r="T97" s="234"/>
      <c r="U97" s="234"/>
      <c r="V97" s="234"/>
      <c r="W97" s="234"/>
      <c r="X97" s="234"/>
      <c r="Y97" s="234"/>
      <c r="Z97" s="234"/>
      <c r="AA97" s="234"/>
      <c r="AB97" s="234"/>
      <c r="AC97" s="234"/>
      <c r="AD97" s="234"/>
      <c r="AE97" s="234"/>
      <c r="AF97" s="234"/>
      <c r="AG97" s="234"/>
      <c r="AH97" s="234"/>
      <c r="AI97" s="234"/>
      <c r="AJ97" s="234"/>
      <c r="AK97" s="234"/>
    </row>
    <row r="98" spans="1:37" x14ac:dyDescent="0.2">
      <c r="A98" s="120" t="s">
        <v>1329</v>
      </c>
      <c r="B98" s="120"/>
      <c r="C98" s="120"/>
      <c r="D98" s="120"/>
      <c r="E98" s="120"/>
      <c r="F98" s="120"/>
      <c r="G98" s="120"/>
      <c r="H98" s="120"/>
      <c r="I98" s="120"/>
      <c r="J98" s="123"/>
      <c r="K98" s="234">
        <f>Data!B1107</f>
        <v>0</v>
      </c>
      <c r="L98" s="234"/>
      <c r="M98" s="234"/>
      <c r="N98" s="234"/>
      <c r="O98" s="234"/>
      <c r="P98" s="234"/>
      <c r="Q98" s="234"/>
      <c r="R98" s="234"/>
      <c r="S98" s="234"/>
      <c r="T98" s="234"/>
      <c r="U98" s="234"/>
      <c r="V98" s="234"/>
      <c r="W98" s="234"/>
      <c r="X98" s="234"/>
      <c r="Y98" s="234"/>
      <c r="Z98" s="234"/>
      <c r="AA98" s="234"/>
      <c r="AB98" s="234"/>
      <c r="AC98" s="234"/>
      <c r="AD98" s="234"/>
      <c r="AE98" s="234"/>
      <c r="AF98" s="234"/>
      <c r="AG98" s="234"/>
      <c r="AH98" s="234"/>
      <c r="AI98" s="234"/>
      <c r="AJ98" s="234"/>
      <c r="AK98" s="234"/>
    </row>
    <row r="99" spans="1:37" x14ac:dyDescent="0.2">
      <c r="A99" s="120"/>
      <c r="B99" s="120"/>
      <c r="C99" s="120"/>
      <c r="D99" s="120"/>
      <c r="E99" s="120"/>
      <c r="F99" s="120"/>
      <c r="G99" s="120"/>
      <c r="H99" s="120"/>
      <c r="I99" s="120"/>
      <c r="J99" s="123"/>
      <c r="K99" s="234"/>
      <c r="L99" s="234"/>
      <c r="M99" s="234"/>
      <c r="N99" s="234"/>
      <c r="O99" s="234"/>
      <c r="P99" s="234"/>
      <c r="Q99" s="234"/>
      <c r="R99" s="234"/>
      <c r="S99" s="234"/>
      <c r="T99" s="234"/>
      <c r="U99" s="234"/>
      <c r="V99" s="234"/>
      <c r="W99" s="234"/>
      <c r="X99" s="234"/>
      <c r="Y99" s="234"/>
      <c r="Z99" s="234"/>
      <c r="AA99" s="234"/>
      <c r="AB99" s="234"/>
      <c r="AC99" s="234"/>
      <c r="AD99" s="234"/>
      <c r="AE99" s="234"/>
      <c r="AF99" s="234"/>
      <c r="AG99" s="234"/>
      <c r="AH99" s="234"/>
      <c r="AI99" s="234"/>
      <c r="AJ99" s="234"/>
      <c r="AK99" s="234"/>
    </row>
    <row r="100" spans="1:37" x14ac:dyDescent="0.2">
      <c r="A100" s="120"/>
      <c r="B100" s="120"/>
      <c r="C100" s="120"/>
      <c r="D100" s="120"/>
      <c r="E100" s="120"/>
      <c r="F100" s="120"/>
      <c r="G100" s="120"/>
      <c r="H100" s="120"/>
      <c r="I100" s="120"/>
      <c r="J100" s="123"/>
      <c r="K100" s="234"/>
      <c r="L100" s="234"/>
      <c r="M100" s="234"/>
      <c r="N100" s="234"/>
      <c r="O100" s="234"/>
      <c r="P100" s="234"/>
      <c r="Q100" s="234"/>
      <c r="R100" s="234"/>
      <c r="S100" s="234"/>
      <c r="T100" s="234"/>
      <c r="U100" s="234"/>
      <c r="V100" s="234"/>
      <c r="W100" s="234"/>
      <c r="X100" s="234"/>
      <c r="Y100" s="234"/>
      <c r="Z100" s="234"/>
      <c r="AA100" s="234"/>
      <c r="AB100" s="234"/>
      <c r="AC100" s="234"/>
      <c r="AD100" s="234"/>
      <c r="AE100" s="234"/>
      <c r="AF100" s="234"/>
      <c r="AG100" s="234"/>
      <c r="AH100" s="234"/>
      <c r="AI100" s="234"/>
      <c r="AJ100" s="234"/>
      <c r="AK100" s="234"/>
    </row>
    <row r="101" spans="1:37" x14ac:dyDescent="0.2">
      <c r="A101" s="120" t="s">
        <v>1323</v>
      </c>
      <c r="B101" s="120"/>
      <c r="C101" s="120"/>
      <c r="D101" s="120"/>
      <c r="E101" s="120"/>
      <c r="F101" s="120"/>
      <c r="G101" s="120"/>
      <c r="H101" s="120"/>
      <c r="I101" s="120"/>
      <c r="J101" s="123"/>
      <c r="K101" s="124"/>
      <c r="L101" s="124"/>
      <c r="M101" s="124"/>
      <c r="N101" s="124"/>
      <c r="O101" s="124"/>
      <c r="P101" s="124"/>
      <c r="Q101" s="124"/>
      <c r="R101" s="124"/>
      <c r="S101" s="124"/>
      <c r="T101" s="124"/>
      <c r="U101" s="124"/>
      <c r="V101" s="234">
        <f>Data!B1108</f>
        <v>0</v>
      </c>
      <c r="W101" s="234"/>
      <c r="X101" s="234"/>
      <c r="Y101" s="124"/>
      <c r="Z101" s="124"/>
      <c r="AA101" s="124"/>
      <c r="AB101" s="124"/>
      <c r="AC101" s="124"/>
      <c r="AD101" s="124"/>
      <c r="AE101" s="124"/>
      <c r="AF101" s="124"/>
      <c r="AG101" s="124"/>
      <c r="AH101" s="124"/>
      <c r="AI101" s="124"/>
      <c r="AJ101" s="124"/>
      <c r="AK101" s="124"/>
    </row>
    <row r="102" spans="1:37" x14ac:dyDescent="0.2">
      <c r="A102" s="120" t="s">
        <v>1324</v>
      </c>
      <c r="B102" s="120"/>
      <c r="C102" s="120"/>
      <c r="D102" s="120"/>
      <c r="E102" s="120"/>
      <c r="F102" s="120"/>
      <c r="G102" s="120"/>
      <c r="H102" s="120"/>
      <c r="I102" s="120"/>
      <c r="J102" s="123"/>
      <c r="K102" s="124"/>
      <c r="L102" s="124"/>
      <c r="M102" s="124"/>
      <c r="N102" s="124"/>
      <c r="O102" s="124"/>
      <c r="P102" s="124"/>
      <c r="Q102" s="124"/>
      <c r="R102" s="124"/>
      <c r="S102" s="124"/>
      <c r="T102" s="124"/>
      <c r="U102" s="124"/>
      <c r="V102" s="234">
        <f>Data!B1109</f>
        <v>0</v>
      </c>
      <c r="W102" s="234"/>
      <c r="X102" s="234"/>
      <c r="Y102" s="124"/>
      <c r="Z102" s="124"/>
      <c r="AA102" s="124"/>
      <c r="AB102" s="124"/>
      <c r="AC102" s="124"/>
      <c r="AD102" s="124"/>
      <c r="AE102" s="124"/>
      <c r="AF102" s="124"/>
      <c r="AG102" s="124"/>
      <c r="AH102" s="124"/>
      <c r="AI102" s="124"/>
      <c r="AJ102" s="124"/>
      <c r="AK102" s="124"/>
    </row>
    <row r="103" spans="1:37" x14ac:dyDescent="0.2">
      <c r="A103" s="120" t="s">
        <v>1325</v>
      </c>
      <c r="B103" s="120"/>
      <c r="C103" s="120"/>
      <c r="D103" s="120"/>
      <c r="E103" s="120"/>
      <c r="F103" s="120"/>
      <c r="G103" s="120"/>
      <c r="H103" s="120"/>
      <c r="I103" s="120"/>
      <c r="J103" s="123"/>
      <c r="K103" s="124"/>
      <c r="L103" s="124"/>
      <c r="M103" s="124"/>
      <c r="N103" s="124"/>
      <c r="O103" s="124"/>
      <c r="P103" s="124"/>
      <c r="Q103" s="124"/>
      <c r="R103" s="124"/>
      <c r="S103" s="124"/>
      <c r="T103" s="124"/>
      <c r="U103" s="124"/>
      <c r="V103" s="234">
        <f>Data!B1110</f>
        <v>0</v>
      </c>
      <c r="W103" s="234"/>
      <c r="X103" s="234"/>
      <c r="Y103" s="124"/>
      <c r="Z103" s="124"/>
      <c r="AA103" s="124"/>
      <c r="AB103" s="124"/>
      <c r="AC103" s="124"/>
      <c r="AD103" s="124"/>
      <c r="AE103" s="124"/>
      <c r="AF103" s="124"/>
      <c r="AG103" s="124"/>
      <c r="AH103" s="124"/>
      <c r="AI103" s="124"/>
      <c r="AJ103" s="124"/>
      <c r="AK103" s="124"/>
    </row>
    <row r="104" spans="1:37" x14ac:dyDescent="0.2">
      <c r="A104" s="241"/>
      <c r="B104" s="241"/>
      <c r="C104" s="241"/>
      <c r="D104" s="241"/>
      <c r="E104" s="241"/>
      <c r="F104" s="241"/>
      <c r="G104" s="241"/>
      <c r="H104" s="241"/>
      <c r="I104" s="241"/>
      <c r="J104" s="241"/>
      <c r="K104" s="241"/>
      <c r="L104" s="241"/>
      <c r="M104" s="241"/>
      <c r="N104" s="241"/>
      <c r="O104" s="241"/>
      <c r="P104" s="241"/>
      <c r="Q104" s="241"/>
      <c r="R104" s="241"/>
      <c r="S104" s="241"/>
      <c r="T104" s="241"/>
      <c r="U104" s="241"/>
      <c r="V104" s="241"/>
      <c r="W104" s="241"/>
      <c r="X104" s="241"/>
      <c r="Y104" s="241"/>
      <c r="Z104" s="241"/>
      <c r="AA104" s="241"/>
      <c r="AB104" s="241"/>
      <c r="AC104" s="241"/>
      <c r="AD104" s="241"/>
      <c r="AE104" s="241"/>
      <c r="AF104" s="241"/>
      <c r="AG104" s="241"/>
      <c r="AH104" s="241"/>
      <c r="AI104" s="241"/>
      <c r="AJ104" s="241"/>
      <c r="AK104" s="241"/>
    </row>
    <row r="105" spans="1:37" x14ac:dyDescent="0.2">
      <c r="A105" t="s">
        <v>336</v>
      </c>
      <c r="F105" s="233" t="str">
        <f>_xlfn.CONCAT(Data!B2,", ",Data!B3," ",Data!B4)</f>
        <v xml:space="preserve">,  </v>
      </c>
      <c r="G105" s="233"/>
      <c r="H105" s="233"/>
      <c r="I105" s="233"/>
      <c r="J105" s="233"/>
      <c r="K105" s="233"/>
      <c r="L105" s="233"/>
      <c r="M105" s="233"/>
      <c r="N105" s="233"/>
      <c r="O105" s="233"/>
      <c r="P105" s="233"/>
      <c r="Q105" s="233"/>
      <c r="R105" s="233"/>
      <c r="S105" s="233"/>
      <c r="T105" s="233"/>
      <c r="U105" s="233"/>
      <c r="V105" s="233"/>
      <c r="W105" s="233"/>
      <c r="X105" s="233"/>
      <c r="Y105" s="233"/>
      <c r="Z105" s="233"/>
      <c r="AB105" t="s">
        <v>371</v>
      </c>
      <c r="AD105" s="218">
        <f>Data!B14</f>
        <v>0</v>
      </c>
      <c r="AE105" s="219"/>
      <c r="AF105" s="219"/>
      <c r="AG105" s="219"/>
      <c r="AH105" s="219"/>
      <c r="AI105" s="219"/>
      <c r="AJ105" s="219"/>
      <c r="AK105" s="125"/>
    </row>
    <row r="106" spans="1:37" x14ac:dyDescent="0.2">
      <c r="A106" s="232" t="s">
        <v>1313</v>
      </c>
      <c r="B106" s="232"/>
      <c r="C106" s="232"/>
      <c r="D106" s="232"/>
      <c r="E106" s="232"/>
      <c r="F106" s="232"/>
      <c r="G106" s="232"/>
      <c r="H106" s="232"/>
      <c r="I106" s="232"/>
      <c r="J106" s="232"/>
      <c r="K106" s="232"/>
      <c r="L106" s="232"/>
      <c r="M106" s="232"/>
      <c r="N106" s="232"/>
      <c r="O106" s="232"/>
      <c r="P106" s="232"/>
      <c r="Q106" s="232"/>
      <c r="R106" s="232"/>
      <c r="S106" s="232"/>
      <c r="T106" s="232"/>
      <c r="U106" s="232"/>
      <c r="V106" s="232"/>
      <c r="W106" s="232"/>
      <c r="X106" s="232"/>
      <c r="Y106" s="232"/>
      <c r="Z106" s="232"/>
      <c r="AA106" s="232"/>
      <c r="AB106" s="232"/>
      <c r="AC106" s="232"/>
      <c r="AD106" s="232"/>
      <c r="AE106" s="232"/>
      <c r="AF106" s="232"/>
      <c r="AG106" s="232"/>
      <c r="AH106" s="232"/>
      <c r="AI106" s="232"/>
      <c r="AJ106" s="232"/>
      <c r="AK106" s="232"/>
    </row>
    <row r="107" spans="1:37" x14ac:dyDescent="0.2">
      <c r="A107" s="120" t="s">
        <v>1314</v>
      </c>
      <c r="B107" s="120"/>
      <c r="C107" s="120"/>
      <c r="D107" s="120"/>
      <c r="E107" s="120"/>
      <c r="F107" s="120"/>
      <c r="G107" s="120"/>
      <c r="H107" s="120"/>
      <c r="I107" s="120"/>
      <c r="J107" s="120"/>
      <c r="K107" s="120"/>
      <c r="L107" s="120"/>
      <c r="M107" s="120"/>
      <c r="N107" s="120"/>
      <c r="O107" s="120"/>
      <c r="P107" s="120"/>
      <c r="Q107" s="278">
        <f>Data!B1083</f>
        <v>0</v>
      </c>
      <c r="R107" s="278"/>
      <c r="S107" s="278"/>
      <c r="T107" s="120"/>
      <c r="U107" s="120"/>
      <c r="V107" s="120"/>
      <c r="W107" s="120"/>
      <c r="X107" s="120"/>
      <c r="Y107" s="120"/>
      <c r="Z107" s="120"/>
      <c r="AA107" s="120"/>
      <c r="AB107" s="120"/>
      <c r="AC107" s="120"/>
      <c r="AD107" s="120"/>
      <c r="AE107" s="120"/>
      <c r="AF107" s="120"/>
      <c r="AG107" s="120"/>
      <c r="AH107" s="120"/>
      <c r="AI107" s="120"/>
      <c r="AJ107" s="120"/>
      <c r="AK107" s="120"/>
    </row>
    <row r="108" spans="1:37" x14ac:dyDescent="0.2">
      <c r="A108" s="120"/>
      <c r="B108" s="120" t="s">
        <v>1315</v>
      </c>
      <c r="C108" s="120"/>
      <c r="D108" s="120"/>
      <c r="E108" s="120"/>
      <c r="F108" s="283" t="str">
        <f>IF(Data!B1084="","N/A",Data!B1084)</f>
        <v>N/A</v>
      </c>
      <c r="G108" s="283"/>
      <c r="H108" s="283"/>
      <c r="I108" s="283"/>
      <c r="J108" s="283"/>
      <c r="K108" s="283"/>
      <c r="L108" s="283"/>
      <c r="M108" s="283"/>
      <c r="N108" s="283"/>
      <c r="O108" s="283"/>
      <c r="P108" s="283"/>
      <c r="Q108" s="283"/>
      <c r="R108" s="283"/>
      <c r="S108" s="283"/>
      <c r="T108" s="283"/>
      <c r="U108" s="283"/>
      <c r="V108" s="283"/>
      <c r="W108" s="283"/>
      <c r="X108" s="283"/>
      <c r="Y108" s="283"/>
      <c r="Z108" s="283"/>
      <c r="AA108" s="283"/>
      <c r="AB108" s="283"/>
      <c r="AC108" s="283"/>
      <c r="AD108" s="283"/>
      <c r="AE108" s="283"/>
      <c r="AF108" s="283"/>
      <c r="AG108" s="283"/>
      <c r="AH108" s="283"/>
      <c r="AI108" s="283"/>
      <c r="AJ108" s="283"/>
      <c r="AK108" s="283"/>
    </row>
    <row r="109" spans="1:37" x14ac:dyDescent="0.2">
      <c r="A109" s="120"/>
      <c r="B109" s="120"/>
      <c r="C109" s="120"/>
      <c r="D109" s="120"/>
      <c r="E109" s="120"/>
      <c r="F109" s="283"/>
      <c r="G109" s="283"/>
      <c r="H109" s="283"/>
      <c r="I109" s="283"/>
      <c r="J109" s="283"/>
      <c r="K109" s="283"/>
      <c r="L109" s="283"/>
      <c r="M109" s="283"/>
      <c r="N109" s="283"/>
      <c r="O109" s="283"/>
      <c r="P109" s="283"/>
      <c r="Q109" s="283"/>
      <c r="R109" s="283"/>
      <c r="S109" s="283"/>
      <c r="T109" s="283"/>
      <c r="U109" s="283"/>
      <c r="V109" s="283"/>
      <c r="W109" s="283"/>
      <c r="X109" s="283"/>
      <c r="Y109" s="283"/>
      <c r="Z109" s="283"/>
      <c r="AA109" s="283"/>
      <c r="AB109" s="283"/>
      <c r="AC109" s="283"/>
      <c r="AD109" s="283"/>
      <c r="AE109" s="283"/>
      <c r="AF109" s="283"/>
      <c r="AG109" s="283"/>
      <c r="AH109" s="283"/>
      <c r="AI109" s="283"/>
      <c r="AJ109" s="283"/>
      <c r="AK109" s="283"/>
    </row>
    <row r="110" spans="1:37" x14ac:dyDescent="0.2">
      <c r="A110" s="120" t="s">
        <v>1316</v>
      </c>
      <c r="B110" s="120"/>
      <c r="C110" s="120"/>
      <c r="D110" s="120"/>
      <c r="E110" s="120"/>
      <c r="F110" s="120"/>
      <c r="G110" s="120"/>
      <c r="H110" s="120"/>
      <c r="I110" s="120"/>
      <c r="J110" s="120"/>
      <c r="K110" s="120"/>
      <c r="L110" s="120"/>
      <c r="M110" s="120"/>
      <c r="N110" s="120"/>
      <c r="O110" s="120"/>
      <c r="P110" s="120"/>
      <c r="Q110" s="120"/>
      <c r="R110" s="120"/>
      <c r="S110" s="120"/>
      <c r="T110" s="278">
        <f>Data!B1085</f>
        <v>0</v>
      </c>
      <c r="U110" s="278"/>
      <c r="V110" s="278"/>
      <c r="W110" s="120"/>
      <c r="X110" s="120"/>
      <c r="Y110" s="120"/>
      <c r="Z110" s="120"/>
      <c r="AA110" s="120"/>
      <c r="AB110" s="120"/>
      <c r="AC110" s="120"/>
      <c r="AD110" s="120"/>
      <c r="AE110" s="120"/>
      <c r="AF110" s="120"/>
      <c r="AG110" s="120"/>
      <c r="AH110" s="120"/>
      <c r="AI110" s="120"/>
      <c r="AJ110" s="120"/>
      <c r="AK110" s="120"/>
    </row>
    <row r="111" spans="1:37" x14ac:dyDescent="0.2">
      <c r="A111" s="120"/>
      <c r="B111" s="120" t="s">
        <v>1315</v>
      </c>
      <c r="C111" s="120"/>
      <c r="D111" s="120"/>
      <c r="E111" s="120"/>
      <c r="F111" s="283" t="str">
        <f>IF(Data!B1086="","N/A",Data!B1086)</f>
        <v>N/A</v>
      </c>
      <c r="G111" s="283"/>
      <c r="H111" s="283"/>
      <c r="I111" s="283"/>
      <c r="J111" s="283"/>
      <c r="K111" s="283"/>
      <c r="L111" s="283"/>
      <c r="M111" s="283"/>
      <c r="N111" s="283"/>
      <c r="O111" s="283"/>
      <c r="P111" s="283"/>
      <c r="Q111" s="283"/>
      <c r="R111" s="283"/>
      <c r="S111" s="283"/>
      <c r="T111" s="283"/>
      <c r="U111" s="283"/>
      <c r="V111" s="283"/>
      <c r="W111" s="283"/>
      <c r="X111" s="283"/>
      <c r="Y111" s="283"/>
      <c r="Z111" s="283"/>
      <c r="AA111" s="283"/>
      <c r="AB111" s="283"/>
      <c r="AC111" s="283"/>
      <c r="AD111" s="283"/>
      <c r="AE111" s="283"/>
      <c r="AF111" s="283"/>
      <c r="AG111" s="283"/>
      <c r="AH111" s="283"/>
      <c r="AI111" s="283"/>
      <c r="AJ111" s="283"/>
      <c r="AK111" s="283"/>
    </row>
    <row r="112" spans="1:37" x14ac:dyDescent="0.2">
      <c r="A112" s="120"/>
      <c r="B112" s="120"/>
      <c r="C112" s="120"/>
      <c r="D112" s="120"/>
      <c r="E112" s="120"/>
      <c r="F112" s="283"/>
      <c r="G112" s="283"/>
      <c r="H112" s="283"/>
      <c r="I112" s="283"/>
      <c r="J112" s="283"/>
      <c r="K112" s="283"/>
      <c r="L112" s="283"/>
      <c r="M112" s="283"/>
      <c r="N112" s="283"/>
      <c r="O112" s="283"/>
      <c r="P112" s="283"/>
      <c r="Q112" s="283"/>
      <c r="R112" s="283"/>
      <c r="S112" s="283"/>
      <c r="T112" s="283"/>
      <c r="U112" s="283"/>
      <c r="V112" s="283"/>
      <c r="W112" s="283"/>
      <c r="X112" s="283"/>
      <c r="Y112" s="283"/>
      <c r="Z112" s="283"/>
      <c r="AA112" s="283"/>
      <c r="AB112" s="283"/>
      <c r="AC112" s="283"/>
      <c r="AD112" s="283"/>
      <c r="AE112" s="283"/>
      <c r="AF112" s="283"/>
      <c r="AG112" s="283"/>
      <c r="AH112" s="283"/>
      <c r="AI112" s="283"/>
      <c r="AJ112" s="283"/>
      <c r="AK112" s="283"/>
    </row>
    <row r="113" spans="1:37" x14ac:dyDescent="0.2">
      <c r="A113" s="120" t="s">
        <v>1317</v>
      </c>
      <c r="B113" s="120"/>
      <c r="C113" s="120"/>
      <c r="D113" s="120"/>
      <c r="E113" s="120"/>
      <c r="F113" s="120"/>
      <c r="G113" s="120"/>
      <c r="H113" s="120"/>
      <c r="I113" s="120"/>
      <c r="J113" s="278">
        <f>Data!B1087</f>
        <v>0</v>
      </c>
      <c r="K113" s="278"/>
      <c r="L113" s="278"/>
      <c r="M113" s="120"/>
      <c r="N113" s="120"/>
      <c r="O113" s="120"/>
      <c r="P113" s="120"/>
      <c r="Q113" s="120"/>
      <c r="R113" s="120"/>
      <c r="S113" s="120"/>
      <c r="T113" s="120"/>
      <c r="U113" s="120"/>
      <c r="V113" s="120"/>
      <c r="W113" s="120"/>
      <c r="X113" s="120"/>
      <c r="Y113" s="120"/>
      <c r="Z113" s="120"/>
      <c r="AA113" s="120"/>
      <c r="AB113" s="120"/>
      <c r="AC113" s="120"/>
      <c r="AD113" s="120"/>
      <c r="AE113" s="120"/>
      <c r="AF113" s="120"/>
      <c r="AG113" s="120"/>
      <c r="AH113" s="120"/>
      <c r="AI113" s="120"/>
      <c r="AJ113" s="120"/>
      <c r="AK113" s="120"/>
    </row>
    <row r="114" spans="1:37" x14ac:dyDescent="0.2">
      <c r="A114" s="120"/>
      <c r="B114" s="120" t="s">
        <v>1315</v>
      </c>
      <c r="C114" s="120"/>
      <c r="D114" s="120"/>
      <c r="E114" s="120"/>
      <c r="F114" s="283" t="str">
        <f>IF(Data!B1088="","N/A",Data!B1088)</f>
        <v>N/A</v>
      </c>
      <c r="G114" s="283"/>
      <c r="H114" s="283"/>
      <c r="I114" s="283"/>
      <c r="J114" s="283"/>
      <c r="K114" s="283"/>
      <c r="L114" s="283"/>
      <c r="M114" s="283"/>
      <c r="N114" s="283"/>
      <c r="O114" s="283"/>
      <c r="P114" s="283"/>
      <c r="Q114" s="283"/>
      <c r="R114" s="283"/>
      <c r="S114" s="283"/>
      <c r="T114" s="283"/>
      <c r="U114" s="283"/>
      <c r="V114" s="283"/>
      <c r="W114" s="283"/>
      <c r="X114" s="283"/>
      <c r="Y114" s="283"/>
      <c r="Z114" s="283"/>
      <c r="AA114" s="283"/>
      <c r="AB114" s="283"/>
      <c r="AC114" s="283"/>
      <c r="AD114" s="283"/>
      <c r="AE114" s="283"/>
      <c r="AF114" s="283"/>
      <c r="AG114" s="283"/>
      <c r="AH114" s="283"/>
      <c r="AI114" s="283"/>
      <c r="AJ114" s="283"/>
      <c r="AK114" s="283"/>
    </row>
    <row r="115" spans="1:37" x14ac:dyDescent="0.2">
      <c r="A115" s="120"/>
      <c r="B115" s="120"/>
      <c r="C115" s="120"/>
      <c r="D115" s="120"/>
      <c r="E115" s="120"/>
      <c r="F115" s="283"/>
      <c r="G115" s="283"/>
      <c r="H115" s="283"/>
      <c r="I115" s="283"/>
      <c r="J115" s="283"/>
      <c r="K115" s="283"/>
      <c r="L115" s="283"/>
      <c r="M115" s="283"/>
      <c r="N115" s="283"/>
      <c r="O115" s="283"/>
      <c r="P115" s="283"/>
      <c r="Q115" s="283"/>
      <c r="R115" s="283"/>
      <c r="S115" s="283"/>
      <c r="T115" s="283"/>
      <c r="U115" s="283"/>
      <c r="V115" s="283"/>
      <c r="W115" s="283"/>
      <c r="X115" s="283"/>
      <c r="Y115" s="283"/>
      <c r="Z115" s="283"/>
      <c r="AA115" s="283"/>
      <c r="AB115" s="283"/>
      <c r="AC115" s="283"/>
      <c r="AD115" s="283"/>
      <c r="AE115" s="283"/>
      <c r="AF115" s="283"/>
      <c r="AG115" s="283"/>
      <c r="AH115" s="283"/>
      <c r="AI115" s="283"/>
      <c r="AJ115" s="283"/>
      <c r="AK115" s="283"/>
    </row>
    <row r="116" spans="1:37" x14ac:dyDescent="0.2">
      <c r="A116" s="120" t="s">
        <v>1318</v>
      </c>
      <c r="B116" s="120"/>
      <c r="C116" s="120"/>
      <c r="D116" s="120"/>
      <c r="E116" s="120"/>
      <c r="F116" s="120"/>
      <c r="G116" s="120"/>
      <c r="H116" s="120"/>
      <c r="I116" s="120"/>
      <c r="J116" s="120"/>
      <c r="K116" s="278">
        <f>Data!B1089</f>
        <v>0</v>
      </c>
      <c r="L116" s="278"/>
      <c r="M116" s="278"/>
      <c r="N116" s="120"/>
      <c r="O116" s="120"/>
      <c r="P116" s="120"/>
      <c r="Q116" s="120"/>
      <c r="R116" s="120"/>
      <c r="S116" s="120"/>
      <c r="T116" s="120"/>
      <c r="U116" s="120"/>
      <c r="V116" s="120"/>
      <c r="W116" s="120"/>
      <c r="X116" s="120"/>
      <c r="Y116" s="120"/>
      <c r="Z116" s="120"/>
      <c r="AA116" s="120"/>
      <c r="AB116" s="120"/>
      <c r="AC116" s="120"/>
      <c r="AD116" s="120"/>
      <c r="AE116" s="120"/>
      <c r="AF116" s="120"/>
      <c r="AG116" s="120"/>
      <c r="AH116" s="120"/>
      <c r="AI116" s="120"/>
      <c r="AJ116" s="120"/>
      <c r="AK116" s="120"/>
    </row>
    <row r="117" spans="1:37" x14ac:dyDescent="0.2">
      <c r="A117" s="120"/>
      <c r="B117" s="120" t="s">
        <v>1315</v>
      </c>
      <c r="C117" s="120"/>
      <c r="D117" s="120"/>
      <c r="E117" s="120"/>
      <c r="F117" s="283" t="str">
        <f>IF(Data!B1090="","N/A",Data!B1090)</f>
        <v>N/A</v>
      </c>
      <c r="G117" s="283"/>
      <c r="H117" s="283"/>
      <c r="I117" s="283"/>
      <c r="J117" s="283"/>
      <c r="K117" s="283"/>
      <c r="L117" s="283"/>
      <c r="M117" s="283"/>
      <c r="N117" s="283"/>
      <c r="O117" s="283"/>
      <c r="P117" s="283"/>
      <c r="Q117" s="283"/>
      <c r="R117" s="283"/>
      <c r="S117" s="283"/>
      <c r="T117" s="283"/>
      <c r="U117" s="283"/>
      <c r="V117" s="283"/>
      <c r="W117" s="283"/>
      <c r="X117" s="283"/>
      <c r="Y117" s="283"/>
      <c r="Z117" s="283"/>
      <c r="AA117" s="283"/>
      <c r="AB117" s="283"/>
      <c r="AC117" s="283"/>
      <c r="AD117" s="283"/>
      <c r="AE117" s="283"/>
      <c r="AF117" s="283"/>
      <c r="AG117" s="283"/>
      <c r="AH117" s="283"/>
      <c r="AI117" s="283"/>
      <c r="AJ117" s="283"/>
      <c r="AK117" s="283"/>
    </row>
    <row r="118" spans="1:37" x14ac:dyDescent="0.2">
      <c r="A118" s="120"/>
      <c r="B118" s="120"/>
      <c r="C118" s="120"/>
      <c r="D118" s="120"/>
      <c r="E118" s="120"/>
      <c r="F118" s="283"/>
      <c r="G118" s="283"/>
      <c r="H118" s="283"/>
      <c r="I118" s="283"/>
      <c r="J118" s="283"/>
      <c r="K118" s="283"/>
      <c r="L118" s="283"/>
      <c r="M118" s="283"/>
      <c r="N118" s="283"/>
      <c r="O118" s="283"/>
      <c r="P118" s="283"/>
      <c r="Q118" s="283"/>
      <c r="R118" s="283"/>
      <c r="S118" s="283"/>
      <c r="T118" s="283"/>
      <c r="U118" s="283"/>
      <c r="V118" s="283"/>
      <c r="W118" s="283"/>
      <c r="X118" s="283"/>
      <c r="Y118" s="283"/>
      <c r="Z118" s="283"/>
      <c r="AA118" s="283"/>
      <c r="AB118" s="283"/>
      <c r="AC118" s="283"/>
      <c r="AD118" s="283"/>
      <c r="AE118" s="283"/>
      <c r="AF118" s="283"/>
      <c r="AG118" s="283"/>
      <c r="AH118" s="283"/>
      <c r="AI118" s="283"/>
      <c r="AJ118" s="283"/>
      <c r="AK118" s="283"/>
    </row>
    <row r="119" spans="1:37" x14ac:dyDescent="0.2">
      <c r="A119" s="120" t="s">
        <v>1319</v>
      </c>
      <c r="B119" s="120"/>
      <c r="C119" s="120"/>
      <c r="D119" s="120"/>
      <c r="E119" s="120"/>
      <c r="F119" s="120"/>
      <c r="G119" s="120"/>
      <c r="H119" s="120"/>
      <c r="I119" s="120"/>
      <c r="J119" s="120"/>
      <c r="K119" s="120"/>
      <c r="L119" s="120"/>
      <c r="M119" s="120"/>
      <c r="N119" s="120"/>
      <c r="O119" s="120"/>
      <c r="P119" s="120"/>
      <c r="Q119" s="278">
        <f>Data!B1091</f>
        <v>0</v>
      </c>
      <c r="R119" s="278"/>
      <c r="S119" s="278"/>
      <c r="T119" s="120"/>
      <c r="U119" s="120"/>
      <c r="V119" s="120"/>
      <c r="W119" s="120"/>
      <c r="X119" s="120"/>
      <c r="Y119" s="120"/>
      <c r="Z119" s="120"/>
      <c r="AA119" s="120"/>
      <c r="AB119" s="120"/>
      <c r="AC119" s="120"/>
      <c r="AD119" s="120"/>
      <c r="AE119" s="120"/>
      <c r="AF119" s="120"/>
      <c r="AG119" s="120"/>
      <c r="AH119" s="120"/>
      <c r="AI119" s="120"/>
      <c r="AJ119" s="120"/>
      <c r="AK119" s="120"/>
    </row>
    <row r="120" spans="1:37" x14ac:dyDescent="0.2">
      <c r="A120" s="120"/>
      <c r="B120" s="120" t="s">
        <v>1315</v>
      </c>
      <c r="C120" s="120"/>
      <c r="D120" s="120"/>
      <c r="E120" s="120"/>
      <c r="F120" s="283" t="str">
        <f>IF(Data!B1092="","N/A",Data!B1092)</f>
        <v>N/A</v>
      </c>
      <c r="G120" s="283"/>
      <c r="H120" s="283"/>
      <c r="I120" s="283"/>
      <c r="J120" s="283"/>
      <c r="K120" s="283"/>
      <c r="L120" s="283"/>
      <c r="M120" s="283"/>
      <c r="N120" s="283"/>
      <c r="O120" s="283"/>
      <c r="P120" s="283"/>
      <c r="Q120" s="283"/>
      <c r="R120" s="283"/>
      <c r="S120" s="283"/>
      <c r="T120" s="283"/>
      <c r="U120" s="283"/>
      <c r="V120" s="283"/>
      <c r="W120" s="283"/>
      <c r="X120" s="283"/>
      <c r="Y120" s="283"/>
      <c r="Z120" s="283"/>
      <c r="AA120" s="283"/>
      <c r="AB120" s="283"/>
      <c r="AC120" s="283"/>
      <c r="AD120" s="283"/>
      <c r="AE120" s="283"/>
      <c r="AF120" s="283"/>
      <c r="AG120" s="283"/>
      <c r="AH120" s="283"/>
      <c r="AI120" s="283"/>
      <c r="AJ120" s="283"/>
      <c r="AK120" s="283"/>
    </row>
    <row r="121" spans="1:37" x14ac:dyDescent="0.2">
      <c r="A121" s="120"/>
      <c r="B121" s="120"/>
      <c r="C121" s="120"/>
      <c r="D121" s="120"/>
      <c r="E121" s="120"/>
      <c r="F121" s="283"/>
      <c r="G121" s="283"/>
      <c r="H121" s="283"/>
      <c r="I121" s="283"/>
      <c r="J121" s="283"/>
      <c r="K121" s="283"/>
      <c r="L121" s="283"/>
      <c r="M121" s="283"/>
      <c r="N121" s="283"/>
      <c r="O121" s="283"/>
      <c r="P121" s="283"/>
      <c r="Q121" s="283"/>
      <c r="R121" s="283"/>
      <c r="S121" s="283"/>
      <c r="T121" s="283"/>
      <c r="U121" s="283"/>
      <c r="V121" s="283"/>
      <c r="W121" s="283"/>
      <c r="X121" s="283"/>
      <c r="Y121" s="283"/>
      <c r="Z121" s="283"/>
      <c r="AA121" s="283"/>
      <c r="AB121" s="283"/>
      <c r="AC121" s="283"/>
      <c r="AD121" s="283"/>
      <c r="AE121" s="283"/>
      <c r="AF121" s="283"/>
      <c r="AG121" s="283"/>
      <c r="AH121" s="283"/>
      <c r="AI121" s="283"/>
      <c r="AJ121" s="283"/>
      <c r="AK121" s="283"/>
    </row>
    <row r="122" spans="1:37" x14ac:dyDescent="0.2">
      <c r="A122" s="120" t="s">
        <v>1320</v>
      </c>
      <c r="B122" s="120"/>
      <c r="C122" s="120"/>
      <c r="D122" s="120"/>
      <c r="E122" s="120"/>
      <c r="F122" s="120"/>
      <c r="G122" s="120"/>
      <c r="H122" s="120"/>
      <c r="I122" s="120"/>
      <c r="J122" s="120"/>
      <c r="K122" s="120"/>
      <c r="L122" s="120"/>
      <c r="M122" s="120"/>
      <c r="N122" s="120"/>
      <c r="O122" s="120"/>
      <c r="P122" s="120"/>
      <c r="Q122" s="278">
        <f>Data!B1093</f>
        <v>0</v>
      </c>
      <c r="R122" s="278"/>
      <c r="S122" s="278"/>
      <c r="T122" s="120"/>
      <c r="U122" s="120"/>
      <c r="V122" s="120"/>
      <c r="W122" s="120"/>
      <c r="X122" s="120"/>
      <c r="Y122" s="120"/>
      <c r="Z122" s="120"/>
      <c r="AA122" s="120"/>
      <c r="AB122" s="120"/>
      <c r="AC122" s="120"/>
      <c r="AD122" s="120"/>
      <c r="AE122" s="120"/>
      <c r="AF122" s="120"/>
      <c r="AG122" s="120"/>
      <c r="AH122" s="120"/>
      <c r="AI122" s="120"/>
      <c r="AJ122" s="120"/>
      <c r="AK122" s="120"/>
    </row>
    <row r="123" spans="1:37" x14ac:dyDescent="0.2">
      <c r="A123" s="120"/>
      <c r="B123" s="120" t="s">
        <v>1315</v>
      </c>
      <c r="C123" s="120"/>
      <c r="D123" s="120"/>
      <c r="E123" s="120"/>
      <c r="F123" s="283" t="str">
        <f>IF(Data!B1094="","N/A",Data!B1094)</f>
        <v>N/A</v>
      </c>
      <c r="G123" s="283"/>
      <c r="H123" s="283"/>
      <c r="I123" s="283"/>
      <c r="J123" s="283"/>
      <c r="K123" s="283"/>
      <c r="L123" s="283"/>
      <c r="M123" s="283"/>
      <c r="N123" s="283"/>
      <c r="O123" s="283"/>
      <c r="P123" s="283"/>
      <c r="Q123" s="283"/>
      <c r="R123" s="283"/>
      <c r="S123" s="283"/>
      <c r="T123" s="283"/>
      <c r="U123" s="283"/>
      <c r="V123" s="283"/>
      <c r="W123" s="283"/>
      <c r="X123" s="283"/>
      <c r="Y123" s="283"/>
      <c r="Z123" s="283"/>
      <c r="AA123" s="283"/>
      <c r="AB123" s="283"/>
      <c r="AC123" s="283"/>
      <c r="AD123" s="283"/>
      <c r="AE123" s="283"/>
      <c r="AF123" s="283"/>
      <c r="AG123" s="283"/>
      <c r="AH123" s="283"/>
      <c r="AI123" s="283"/>
      <c r="AJ123" s="283"/>
      <c r="AK123" s="283"/>
    </row>
    <row r="124" spans="1:37" x14ac:dyDescent="0.2">
      <c r="A124" s="120"/>
      <c r="B124" s="120"/>
      <c r="C124" s="120"/>
      <c r="D124" s="120"/>
      <c r="E124" s="120"/>
      <c r="F124" s="283"/>
      <c r="G124" s="283"/>
      <c r="H124" s="283"/>
      <c r="I124" s="283"/>
      <c r="J124" s="283"/>
      <c r="K124" s="283"/>
      <c r="L124" s="283"/>
      <c r="M124" s="283"/>
      <c r="N124" s="283"/>
      <c r="O124" s="283"/>
      <c r="P124" s="283"/>
      <c r="Q124" s="283"/>
      <c r="R124" s="283"/>
      <c r="S124" s="283"/>
      <c r="T124" s="283"/>
      <c r="U124" s="283"/>
      <c r="V124" s="283"/>
      <c r="W124" s="283"/>
      <c r="X124" s="283"/>
      <c r="Y124" s="283"/>
      <c r="Z124" s="283"/>
      <c r="AA124" s="283"/>
      <c r="AB124" s="283"/>
      <c r="AC124" s="283"/>
      <c r="AD124" s="283"/>
      <c r="AE124" s="283"/>
      <c r="AF124" s="283"/>
      <c r="AG124" s="283"/>
      <c r="AH124" s="283"/>
      <c r="AI124" s="283"/>
      <c r="AJ124" s="283"/>
      <c r="AK124" s="283"/>
    </row>
    <row r="125" spans="1:37" x14ac:dyDescent="0.2">
      <c r="A125" s="120" t="s">
        <v>1321</v>
      </c>
      <c r="B125" s="120"/>
      <c r="C125" s="120"/>
      <c r="D125" s="120"/>
      <c r="E125" s="120"/>
      <c r="F125" s="120"/>
      <c r="G125" s="120"/>
      <c r="H125" s="120"/>
      <c r="I125" s="120"/>
      <c r="J125" s="120"/>
      <c r="K125" s="120"/>
      <c r="L125" s="120"/>
      <c r="M125" s="120"/>
      <c r="N125" s="120"/>
      <c r="O125" s="120"/>
      <c r="P125" s="120"/>
      <c r="Q125" s="120"/>
      <c r="R125" s="120"/>
      <c r="S125" s="120"/>
      <c r="T125" s="120"/>
      <c r="U125" s="120"/>
      <c r="V125" s="120"/>
      <c r="W125" s="120"/>
      <c r="X125" s="120"/>
      <c r="Y125" s="120"/>
      <c r="Z125" s="120"/>
      <c r="AA125" s="120"/>
      <c r="AB125" s="120"/>
      <c r="AC125" s="120"/>
      <c r="AD125" s="120"/>
      <c r="AE125" s="120"/>
      <c r="AF125" s="120"/>
      <c r="AG125" s="120"/>
      <c r="AH125" s="120"/>
      <c r="AI125" s="120"/>
      <c r="AJ125" s="120"/>
      <c r="AK125" s="120"/>
    </row>
    <row r="126" spans="1:37" x14ac:dyDescent="0.2">
      <c r="A126" s="120"/>
      <c r="B126" s="234" t="str">
        <f>_xlfn.CONCAT(IF(Data!B1095=TRUE,"Remain stable in their environment",""),IF(Data!B1096=TRUE,", avoid higher level of care setting",""),IF(Data!B1097=TRUE,", avoid hospitalizations",""),IF(Data!B1098,", avoid injury",""),IF(Data!B1099=TRUE,", have hygiene, nutrition and environmental care needs met.",""))</f>
        <v/>
      </c>
      <c r="C126" s="234"/>
      <c r="D126" s="234"/>
      <c r="E126" s="234"/>
      <c r="F126" s="234"/>
      <c r="G126" s="234"/>
      <c r="H126" s="234"/>
      <c r="I126" s="234"/>
      <c r="J126" s="234"/>
      <c r="K126" s="234"/>
      <c r="L126" s="234"/>
      <c r="M126" s="234"/>
      <c r="N126" s="234"/>
      <c r="O126" s="234"/>
      <c r="P126" s="234"/>
      <c r="Q126" s="234"/>
      <c r="R126" s="234"/>
      <c r="S126" s="234"/>
      <c r="T126" s="234"/>
      <c r="U126" s="234"/>
      <c r="V126" s="234"/>
      <c r="W126" s="234"/>
      <c r="X126" s="234"/>
      <c r="Y126" s="234"/>
      <c r="Z126" s="234"/>
      <c r="AA126" s="234"/>
      <c r="AB126" s="234"/>
      <c r="AC126" s="234"/>
      <c r="AD126" s="234"/>
      <c r="AE126" s="234"/>
      <c r="AF126" s="234"/>
      <c r="AG126" s="234"/>
      <c r="AH126" s="234"/>
      <c r="AI126" s="234"/>
      <c r="AJ126" s="234"/>
      <c r="AK126" s="234"/>
    </row>
    <row r="127" spans="1:37" x14ac:dyDescent="0.2">
      <c r="A127" s="120"/>
      <c r="B127" s="234"/>
      <c r="C127" s="234"/>
      <c r="D127" s="234"/>
      <c r="E127" s="234"/>
      <c r="F127" s="234"/>
      <c r="G127" s="234"/>
      <c r="H127" s="234"/>
      <c r="I127" s="234"/>
      <c r="J127" s="234"/>
      <c r="K127" s="234"/>
      <c r="L127" s="234"/>
      <c r="M127" s="234"/>
      <c r="N127" s="234"/>
      <c r="O127" s="234"/>
      <c r="P127" s="234"/>
      <c r="Q127" s="234"/>
      <c r="R127" s="234"/>
      <c r="S127" s="234"/>
      <c r="T127" s="234"/>
      <c r="U127" s="234"/>
      <c r="V127" s="234"/>
      <c r="W127" s="234"/>
      <c r="X127" s="234"/>
      <c r="Y127" s="234"/>
      <c r="Z127" s="234"/>
      <c r="AA127" s="234"/>
      <c r="AB127" s="234"/>
      <c r="AC127" s="234"/>
      <c r="AD127" s="234"/>
      <c r="AE127" s="234"/>
      <c r="AF127" s="234"/>
      <c r="AG127" s="234"/>
      <c r="AH127" s="234"/>
      <c r="AI127" s="234"/>
      <c r="AJ127" s="234"/>
      <c r="AK127" s="234"/>
    </row>
    <row r="128" spans="1:37" x14ac:dyDescent="0.2">
      <c r="A128" s="120"/>
      <c r="B128" s="234"/>
      <c r="C128" s="234"/>
      <c r="D128" s="234"/>
      <c r="E128" s="234"/>
      <c r="F128" s="234"/>
      <c r="G128" s="234"/>
      <c r="H128" s="234"/>
      <c r="I128" s="234"/>
      <c r="J128" s="234"/>
      <c r="K128" s="234"/>
      <c r="L128" s="234"/>
      <c r="M128" s="234"/>
      <c r="N128" s="234"/>
      <c r="O128" s="234"/>
      <c r="P128" s="234"/>
      <c r="Q128" s="234"/>
      <c r="R128" s="234"/>
      <c r="S128" s="234"/>
      <c r="T128" s="234"/>
      <c r="U128" s="234"/>
      <c r="V128" s="234"/>
      <c r="W128" s="234"/>
      <c r="X128" s="234"/>
      <c r="Y128" s="234"/>
      <c r="Z128" s="234"/>
      <c r="AA128" s="234"/>
      <c r="AB128" s="234"/>
      <c r="AC128" s="234"/>
      <c r="AD128" s="234"/>
      <c r="AE128" s="234"/>
      <c r="AF128" s="234"/>
      <c r="AG128" s="234"/>
      <c r="AH128" s="234"/>
      <c r="AI128" s="234"/>
      <c r="AJ128" s="234"/>
      <c r="AK128" s="234"/>
    </row>
    <row r="129" spans="1:37" x14ac:dyDescent="0.2">
      <c r="A129" s="120" t="s">
        <v>1322</v>
      </c>
      <c r="B129" s="120"/>
      <c r="C129" s="120"/>
      <c r="D129" s="120"/>
      <c r="E129" s="120"/>
      <c r="F129" s="120"/>
      <c r="G129" s="120"/>
      <c r="H129" s="120"/>
      <c r="I129" s="120"/>
      <c r="J129" s="120"/>
      <c r="K129" s="120"/>
      <c r="L129" s="120"/>
      <c r="M129" s="120"/>
      <c r="N129" s="120"/>
      <c r="O129" s="120"/>
      <c r="P129" s="120"/>
      <c r="Q129" s="120"/>
      <c r="R129" s="120"/>
      <c r="S129" s="120"/>
      <c r="T129" s="120"/>
      <c r="U129" s="120"/>
      <c r="V129" s="120"/>
      <c r="W129" s="120"/>
      <c r="X129" s="120"/>
      <c r="Y129" s="120"/>
      <c r="Z129" s="120"/>
      <c r="AA129" s="120"/>
      <c r="AB129" s="120"/>
      <c r="AC129" s="120"/>
      <c r="AD129" s="120"/>
      <c r="AE129" s="120"/>
      <c r="AF129" s="120"/>
      <c r="AG129" s="120"/>
      <c r="AH129" s="120"/>
      <c r="AI129" s="120"/>
      <c r="AJ129" s="120"/>
      <c r="AK129" s="120"/>
    </row>
    <row r="130" spans="1:37" x14ac:dyDescent="0.2">
      <c r="A130" s="120"/>
      <c r="B130" s="234" t="str">
        <f>_xlfn.CONCAT(IF(Data!B1100=TRUE,"Remain in this condition.  ",""),IF(Data!B1101=TRUE,"Stabilize.  ",""),IF(Data!B1102=TRUE,"Slowly deteriorate over time.  ",""),IF(Data!B1103=TRUE,"Rapidly deteriorate.",""))</f>
        <v/>
      </c>
      <c r="C130" s="234"/>
      <c r="D130" s="234"/>
      <c r="E130" s="234"/>
      <c r="F130" s="234"/>
      <c r="G130" s="234"/>
      <c r="H130" s="234"/>
      <c r="I130" s="234"/>
      <c r="J130" s="234"/>
      <c r="K130" s="234"/>
      <c r="L130" s="234"/>
      <c r="M130" s="234"/>
      <c r="N130" s="234"/>
      <c r="O130" s="234"/>
      <c r="P130" s="234"/>
      <c r="Q130" s="234"/>
      <c r="R130" s="234"/>
      <c r="S130" s="234"/>
      <c r="T130" s="234"/>
      <c r="U130" s="234"/>
      <c r="V130" s="234"/>
      <c r="W130" s="234"/>
      <c r="X130" s="234"/>
      <c r="Y130" s="234"/>
      <c r="Z130" s="234"/>
      <c r="AA130" s="234"/>
      <c r="AB130" s="234"/>
      <c r="AC130" s="234"/>
      <c r="AD130" s="234"/>
      <c r="AE130" s="234"/>
      <c r="AF130" s="234"/>
      <c r="AG130" s="234"/>
      <c r="AH130" s="234"/>
      <c r="AI130" s="234"/>
      <c r="AJ130" s="234"/>
      <c r="AK130" s="120"/>
    </row>
    <row r="131" spans="1:37" x14ac:dyDescent="0.2">
      <c r="A131" s="120"/>
      <c r="B131" s="234"/>
      <c r="C131" s="234"/>
      <c r="D131" s="234"/>
      <c r="E131" s="234"/>
      <c r="F131" s="234"/>
      <c r="G131" s="234"/>
      <c r="H131" s="234"/>
      <c r="I131" s="234"/>
      <c r="J131" s="234"/>
      <c r="K131" s="234"/>
      <c r="L131" s="234"/>
      <c r="M131" s="234"/>
      <c r="N131" s="234"/>
      <c r="O131" s="234"/>
      <c r="P131" s="234"/>
      <c r="Q131" s="234"/>
      <c r="R131" s="234"/>
      <c r="S131" s="234"/>
      <c r="T131" s="234"/>
      <c r="U131" s="234"/>
      <c r="V131" s="234"/>
      <c r="W131" s="234"/>
      <c r="X131" s="234"/>
      <c r="Y131" s="234"/>
      <c r="Z131" s="234"/>
      <c r="AA131" s="234"/>
      <c r="AB131" s="234"/>
      <c r="AC131" s="234"/>
      <c r="AD131" s="234"/>
      <c r="AE131" s="234"/>
      <c r="AF131" s="234"/>
      <c r="AG131" s="234"/>
      <c r="AH131" s="234"/>
      <c r="AI131" s="234"/>
      <c r="AJ131" s="234"/>
      <c r="AK131" s="120"/>
    </row>
    <row r="132" spans="1:37" x14ac:dyDescent="0.2">
      <c r="A132" s="120"/>
      <c r="B132" s="234"/>
      <c r="C132" s="234"/>
      <c r="D132" s="234"/>
      <c r="E132" s="234"/>
      <c r="F132" s="234"/>
      <c r="G132" s="234"/>
      <c r="H132" s="234"/>
      <c r="I132" s="234"/>
      <c r="J132" s="234"/>
      <c r="K132" s="234"/>
      <c r="L132" s="234"/>
      <c r="M132" s="234"/>
      <c r="N132" s="234"/>
      <c r="O132" s="234"/>
      <c r="P132" s="234"/>
      <c r="Q132" s="234"/>
      <c r="R132" s="234"/>
      <c r="S132" s="234"/>
      <c r="T132" s="234"/>
      <c r="U132" s="234"/>
      <c r="V132" s="234"/>
      <c r="W132" s="234"/>
      <c r="X132" s="234"/>
      <c r="Y132" s="234"/>
      <c r="Z132" s="234"/>
      <c r="AA132" s="234"/>
      <c r="AB132" s="234"/>
      <c r="AC132" s="234"/>
      <c r="AD132" s="234"/>
      <c r="AE132" s="234"/>
      <c r="AF132" s="234"/>
      <c r="AG132" s="234"/>
      <c r="AH132" s="234"/>
      <c r="AI132" s="234"/>
      <c r="AJ132" s="234"/>
      <c r="AK132" s="120"/>
    </row>
    <row r="133" spans="1:37" ht="12.95" customHeight="1" x14ac:dyDescent="0.2">
      <c r="A133" s="232" t="s">
        <v>1330</v>
      </c>
      <c r="B133" s="232"/>
      <c r="C133" s="232"/>
      <c r="D133" s="232"/>
      <c r="E133" s="232"/>
      <c r="F133" s="232"/>
      <c r="G133" s="232"/>
      <c r="H133" s="232"/>
      <c r="I133" s="232"/>
      <c r="J133" s="232"/>
      <c r="K133" s="232"/>
      <c r="L133" s="232"/>
      <c r="M133" s="232"/>
      <c r="N133" s="232"/>
      <c r="O133" s="232"/>
      <c r="P133" s="232"/>
      <c r="Q133" s="232"/>
      <c r="R133" s="232"/>
      <c r="S133" s="232"/>
      <c r="T133" s="232"/>
      <c r="U133" s="232"/>
      <c r="V133" s="232"/>
      <c r="W133" s="232"/>
      <c r="X133" s="232"/>
      <c r="Y133" s="232"/>
      <c r="Z133" s="232"/>
      <c r="AA133" s="232"/>
      <c r="AB133" s="232"/>
      <c r="AC133" s="232"/>
      <c r="AD133" s="232"/>
      <c r="AE133" s="232"/>
      <c r="AF133" s="232"/>
      <c r="AG133" s="232"/>
      <c r="AH133" s="232"/>
      <c r="AI133" s="232"/>
      <c r="AJ133" s="232"/>
      <c r="AK133" s="232"/>
    </row>
    <row r="134" spans="1:37" ht="12.95" customHeight="1" x14ac:dyDescent="0.2">
      <c r="A134" s="259">
        <f>Data!B1111</f>
        <v>0</v>
      </c>
      <c r="B134" s="259"/>
      <c r="C134" s="259"/>
      <c r="D134" s="259"/>
      <c r="E134" s="259"/>
      <c r="F134" s="259"/>
      <c r="G134" s="259"/>
      <c r="H134" s="259"/>
      <c r="I134" s="259"/>
      <c r="J134" s="259"/>
      <c r="K134" s="259"/>
      <c r="L134" s="259"/>
      <c r="M134" s="259"/>
      <c r="N134" s="259"/>
      <c r="O134" s="259"/>
      <c r="P134" s="259"/>
      <c r="Q134" s="259"/>
      <c r="R134" s="259"/>
      <c r="S134" s="259"/>
      <c r="T134" s="259"/>
      <c r="U134" s="259"/>
      <c r="V134" s="259"/>
      <c r="W134" s="259"/>
      <c r="X134" s="259"/>
      <c r="Y134" s="259"/>
      <c r="Z134" s="259"/>
      <c r="AA134" s="259"/>
      <c r="AB134" s="259"/>
      <c r="AC134" s="259"/>
      <c r="AD134" s="259"/>
      <c r="AE134" s="259"/>
      <c r="AF134" s="259"/>
      <c r="AG134" s="259"/>
      <c r="AH134" s="259"/>
      <c r="AI134" s="259"/>
      <c r="AJ134" s="259"/>
      <c r="AK134" s="259"/>
    </row>
    <row r="135" spans="1:37" ht="12.95" customHeight="1" x14ac:dyDescent="0.2">
      <c r="A135" s="259"/>
      <c r="B135" s="259"/>
      <c r="C135" s="259"/>
      <c r="D135" s="259"/>
      <c r="E135" s="259"/>
      <c r="F135" s="259"/>
      <c r="G135" s="259"/>
      <c r="H135" s="259"/>
      <c r="I135" s="259"/>
      <c r="J135" s="259"/>
      <c r="K135" s="259"/>
      <c r="L135" s="259"/>
      <c r="M135" s="259"/>
      <c r="N135" s="259"/>
      <c r="O135" s="259"/>
      <c r="P135" s="259"/>
      <c r="Q135" s="259"/>
      <c r="R135" s="259"/>
      <c r="S135" s="259"/>
      <c r="T135" s="259"/>
      <c r="U135" s="259"/>
      <c r="V135" s="259"/>
      <c r="W135" s="259"/>
      <c r="X135" s="259"/>
      <c r="Y135" s="259"/>
      <c r="Z135" s="259"/>
      <c r="AA135" s="259"/>
      <c r="AB135" s="259"/>
      <c r="AC135" s="259"/>
      <c r="AD135" s="259"/>
      <c r="AE135" s="259"/>
      <c r="AF135" s="259"/>
      <c r="AG135" s="259"/>
      <c r="AH135" s="259"/>
      <c r="AI135" s="259"/>
      <c r="AJ135" s="259"/>
      <c r="AK135" s="259"/>
    </row>
    <row r="136" spans="1:37" ht="12.95" customHeight="1" x14ac:dyDescent="0.2">
      <c r="A136" s="259"/>
      <c r="B136" s="259"/>
      <c r="C136" s="259"/>
      <c r="D136" s="259"/>
      <c r="E136" s="259"/>
      <c r="F136" s="259"/>
      <c r="G136" s="259"/>
      <c r="H136" s="259"/>
      <c r="I136" s="259"/>
      <c r="J136" s="259"/>
      <c r="K136" s="259"/>
      <c r="L136" s="259"/>
      <c r="M136" s="259"/>
      <c r="N136" s="259"/>
      <c r="O136" s="259"/>
      <c r="P136" s="259"/>
      <c r="Q136" s="259"/>
      <c r="R136" s="259"/>
      <c r="S136" s="259"/>
      <c r="T136" s="259"/>
      <c r="U136" s="259"/>
      <c r="V136" s="259"/>
      <c r="W136" s="259"/>
      <c r="X136" s="259"/>
      <c r="Y136" s="259"/>
      <c r="Z136" s="259"/>
      <c r="AA136" s="259"/>
      <c r="AB136" s="259"/>
      <c r="AC136" s="259"/>
      <c r="AD136" s="259"/>
      <c r="AE136" s="259"/>
      <c r="AF136" s="259"/>
      <c r="AG136" s="259"/>
      <c r="AH136" s="259"/>
      <c r="AI136" s="259"/>
      <c r="AJ136" s="259"/>
      <c r="AK136" s="259"/>
    </row>
    <row r="137" spans="1:37" ht="12.95" customHeight="1" x14ac:dyDescent="0.2">
      <c r="A137" s="259"/>
      <c r="B137" s="259"/>
      <c r="C137" s="259"/>
      <c r="D137" s="259"/>
      <c r="E137" s="259"/>
      <c r="F137" s="259"/>
      <c r="G137" s="259"/>
      <c r="H137" s="259"/>
      <c r="I137" s="259"/>
      <c r="J137" s="259"/>
      <c r="K137" s="259"/>
      <c r="L137" s="259"/>
      <c r="M137" s="259"/>
      <c r="N137" s="259"/>
      <c r="O137" s="259"/>
      <c r="P137" s="259"/>
      <c r="Q137" s="259"/>
      <c r="R137" s="259"/>
      <c r="S137" s="259"/>
      <c r="T137" s="259"/>
      <c r="U137" s="259"/>
      <c r="V137" s="259"/>
      <c r="W137" s="259"/>
      <c r="X137" s="259"/>
      <c r="Y137" s="259"/>
      <c r="Z137" s="259"/>
      <c r="AA137" s="259"/>
      <c r="AB137" s="259"/>
      <c r="AC137" s="259"/>
      <c r="AD137" s="259"/>
      <c r="AE137" s="259"/>
      <c r="AF137" s="259"/>
      <c r="AG137" s="259"/>
      <c r="AH137" s="259"/>
      <c r="AI137" s="259"/>
      <c r="AJ137" s="259"/>
      <c r="AK137" s="259"/>
    </row>
    <row r="138" spans="1:37" ht="12.95" customHeight="1" x14ac:dyDescent="0.2">
      <c r="A138" s="259"/>
      <c r="B138" s="259"/>
      <c r="C138" s="259"/>
      <c r="D138" s="259"/>
      <c r="E138" s="259"/>
      <c r="F138" s="259"/>
      <c r="G138" s="259"/>
      <c r="H138" s="259"/>
      <c r="I138" s="259"/>
      <c r="J138" s="259"/>
      <c r="K138" s="259"/>
      <c r="L138" s="259"/>
      <c r="M138" s="259"/>
      <c r="N138" s="259"/>
      <c r="O138" s="259"/>
      <c r="P138" s="259"/>
      <c r="Q138" s="259"/>
      <c r="R138" s="259"/>
      <c r="S138" s="259"/>
      <c r="T138" s="259"/>
      <c r="U138" s="259"/>
      <c r="V138" s="259"/>
      <c r="W138" s="259"/>
      <c r="X138" s="259"/>
      <c r="Y138" s="259"/>
      <c r="Z138" s="259"/>
      <c r="AA138" s="259"/>
      <c r="AB138" s="259"/>
      <c r="AC138" s="259"/>
      <c r="AD138" s="259"/>
      <c r="AE138" s="259"/>
      <c r="AF138" s="259"/>
      <c r="AG138" s="259"/>
      <c r="AH138" s="259"/>
      <c r="AI138" s="259"/>
      <c r="AJ138" s="259"/>
      <c r="AK138" s="259"/>
    </row>
    <row r="139" spans="1:37" ht="12.95" customHeight="1" x14ac:dyDescent="0.2">
      <c r="A139" s="259"/>
      <c r="B139" s="259"/>
      <c r="C139" s="259"/>
      <c r="D139" s="259"/>
      <c r="E139" s="259"/>
      <c r="F139" s="259"/>
      <c r="G139" s="259"/>
      <c r="H139" s="259"/>
      <c r="I139" s="259"/>
      <c r="J139" s="259"/>
      <c r="K139" s="259"/>
      <c r="L139" s="259"/>
      <c r="M139" s="259"/>
      <c r="N139" s="259"/>
      <c r="O139" s="259"/>
      <c r="P139" s="259"/>
      <c r="Q139" s="259"/>
      <c r="R139" s="259"/>
      <c r="S139" s="259"/>
      <c r="T139" s="259"/>
      <c r="U139" s="259"/>
      <c r="V139" s="259"/>
      <c r="W139" s="259"/>
      <c r="X139" s="259"/>
      <c r="Y139" s="259"/>
      <c r="Z139" s="259"/>
      <c r="AA139" s="259"/>
      <c r="AB139" s="259"/>
      <c r="AC139" s="259"/>
      <c r="AD139" s="259"/>
      <c r="AE139" s="259"/>
      <c r="AF139" s="259"/>
      <c r="AG139" s="259"/>
      <c r="AH139" s="259"/>
      <c r="AI139" s="259"/>
      <c r="AJ139" s="259"/>
      <c r="AK139" s="259"/>
    </row>
    <row r="140" spans="1:37" ht="12.95" customHeight="1" x14ac:dyDescent="0.2">
      <c r="A140" s="259"/>
      <c r="B140" s="259"/>
      <c r="C140" s="259"/>
      <c r="D140" s="259"/>
      <c r="E140" s="259"/>
      <c r="F140" s="259"/>
      <c r="G140" s="259"/>
      <c r="H140" s="259"/>
      <c r="I140" s="259"/>
      <c r="J140" s="259"/>
      <c r="K140" s="259"/>
      <c r="L140" s="259"/>
      <c r="M140" s="259"/>
      <c r="N140" s="259"/>
      <c r="O140" s="259"/>
      <c r="P140" s="259"/>
      <c r="Q140" s="259"/>
      <c r="R140" s="259"/>
      <c r="S140" s="259"/>
      <c r="T140" s="259"/>
      <c r="U140" s="259"/>
      <c r="V140" s="259"/>
      <c r="W140" s="259"/>
      <c r="X140" s="259"/>
      <c r="Y140" s="259"/>
      <c r="Z140" s="259"/>
      <c r="AA140" s="259"/>
      <c r="AB140" s="259"/>
      <c r="AC140" s="259"/>
      <c r="AD140" s="259"/>
      <c r="AE140" s="259"/>
      <c r="AF140" s="259"/>
      <c r="AG140" s="259"/>
      <c r="AH140" s="259"/>
      <c r="AI140" s="259"/>
      <c r="AJ140" s="259"/>
      <c r="AK140" s="259"/>
    </row>
    <row r="141" spans="1:37" x14ac:dyDescent="0.2">
      <c r="A141" t="s">
        <v>1331</v>
      </c>
      <c r="K141" s="219" t="str">
        <f>_xlfn.CONCAT(IF(Data!B1112=TRUE,"Family Representative.  ",""),IF(Data!B1113=TRUE,"Aides providing care.  ",""),IF(Data!B1114=TRUE,"Client's physician.  ",""),IF(Data!B1115=TRUE,"Case Manager.  ",""),IF(Data!B1116=TRUE,"Director of Nursing.",""))</f>
        <v>Aides providing care.  Director of Nursing.</v>
      </c>
      <c r="L141" s="219"/>
      <c r="M141" s="219"/>
      <c r="N141" s="219"/>
      <c r="O141" s="219"/>
      <c r="P141" s="219"/>
      <c r="Q141" s="219"/>
      <c r="R141" s="219"/>
      <c r="S141" s="219"/>
      <c r="T141" s="219"/>
      <c r="U141" s="219"/>
      <c r="V141" s="219"/>
      <c r="W141" s="219"/>
      <c r="X141" s="219"/>
      <c r="Y141" s="219"/>
      <c r="Z141" s="219"/>
      <c r="AA141" s="219"/>
      <c r="AB141" s="219"/>
      <c r="AC141" s="219"/>
      <c r="AD141" s="219"/>
      <c r="AE141" s="219"/>
      <c r="AF141" s="219"/>
      <c r="AG141" s="219"/>
      <c r="AH141" s="219"/>
      <c r="AI141" s="219"/>
      <c r="AJ141" s="219"/>
      <c r="AK141" s="219"/>
    </row>
    <row r="142" spans="1:37" x14ac:dyDescent="0.2">
      <c r="A142" s="240"/>
      <c r="B142" s="240"/>
      <c r="C142" s="240"/>
      <c r="D142" s="240"/>
      <c r="E142" s="240"/>
      <c r="F142" s="240"/>
      <c r="G142" s="240"/>
      <c r="H142" s="240"/>
      <c r="I142" s="240"/>
      <c r="J142" s="240"/>
      <c r="K142" s="240"/>
      <c r="L142" s="240"/>
      <c r="M142" s="240"/>
      <c r="N142" s="240"/>
      <c r="O142" s="240"/>
      <c r="Q142" s="274" t="str">
        <f>IF(Data!B1746=TRUE,"Client unable to sign electronically due to technical difficulty and/or physical deficit. Confirmation page signed.","")</f>
        <v/>
      </c>
      <c r="R142" s="274"/>
      <c r="S142" s="274"/>
      <c r="T142" s="274"/>
      <c r="U142" s="274"/>
      <c r="V142" s="274"/>
      <c r="W142" s="274"/>
      <c r="X142" s="274"/>
      <c r="Y142" s="274"/>
      <c r="Z142" s="274"/>
      <c r="AA142" s="274"/>
      <c r="AB142" s="274"/>
      <c r="AC142" s="274"/>
      <c r="AD142" s="274"/>
      <c r="AE142" s="274"/>
      <c r="AF142" s="274"/>
      <c r="AG142" s="274"/>
      <c r="AH142" s="274"/>
      <c r="AI142" s="274"/>
      <c r="AJ142" s="274"/>
      <c r="AK142" s="274"/>
    </row>
    <row r="143" spans="1:37" x14ac:dyDescent="0.2">
      <c r="A143" s="240"/>
      <c r="B143" s="240"/>
      <c r="C143" s="240"/>
      <c r="D143" s="240"/>
      <c r="E143" s="240"/>
      <c r="F143" s="240"/>
      <c r="G143" s="240"/>
      <c r="H143" s="240"/>
      <c r="I143" s="240"/>
      <c r="J143" s="240"/>
      <c r="K143" s="240"/>
      <c r="L143" s="240"/>
      <c r="M143" s="240"/>
      <c r="N143" s="240"/>
      <c r="O143" s="240"/>
      <c r="Q143" s="274"/>
      <c r="R143" s="274"/>
      <c r="S143" s="274"/>
      <c r="T143" s="274"/>
      <c r="U143" s="274"/>
      <c r="V143" s="274"/>
      <c r="W143" s="274"/>
      <c r="X143" s="274"/>
      <c r="Y143" s="274"/>
      <c r="Z143" s="274"/>
      <c r="AA143" s="274"/>
      <c r="AB143" s="274"/>
      <c r="AC143" s="274"/>
      <c r="AD143" s="274"/>
      <c r="AE143" s="274"/>
      <c r="AF143" s="274"/>
      <c r="AG143" s="274"/>
      <c r="AH143" s="274"/>
      <c r="AI143" s="274"/>
      <c r="AJ143" s="274"/>
      <c r="AK143" s="274"/>
    </row>
    <row r="144" spans="1:37" x14ac:dyDescent="0.2">
      <c r="A144" s="266"/>
      <c r="B144" s="266"/>
      <c r="C144" s="266"/>
      <c r="D144" s="266"/>
      <c r="E144" s="266"/>
      <c r="F144" s="266"/>
      <c r="G144" s="266"/>
      <c r="H144" s="266"/>
      <c r="I144" s="266"/>
      <c r="J144" s="266"/>
      <c r="K144" s="266"/>
      <c r="L144" s="266"/>
      <c r="M144" s="266"/>
      <c r="N144" s="266"/>
      <c r="O144" s="266"/>
      <c r="Q144" s="272">
        <f>Data!B34</f>
        <v>0</v>
      </c>
      <c r="R144" s="273"/>
      <c r="S144" s="273"/>
      <c r="T144" s="273"/>
      <c r="U144" s="273"/>
      <c r="V144" s="273"/>
      <c r="W144" s="273"/>
      <c r="X144" s="273"/>
      <c r="Y144" s="273"/>
      <c r="Z144" s="273"/>
      <c r="AA144" s="273"/>
      <c r="AB144" s="273"/>
      <c r="AC144" s="273"/>
      <c r="AD144" s="14"/>
      <c r="AE144" s="14"/>
      <c r="AF144" s="14"/>
      <c r="AG144" s="14"/>
      <c r="AH144" s="14"/>
      <c r="AI144" s="14"/>
      <c r="AJ144" s="14"/>
      <c r="AK144" s="14"/>
    </row>
    <row r="145" spans="1:38" x14ac:dyDescent="0.2">
      <c r="A145" t="s">
        <v>1332</v>
      </c>
      <c r="Q145" s="99" t="s">
        <v>1179</v>
      </c>
      <c r="U145" s="218"/>
      <c r="V145" s="219"/>
      <c r="W145" s="219"/>
      <c r="X145" s="219"/>
      <c r="Y145" s="219"/>
      <c r="Z145" s="219"/>
      <c r="AA145" s="219"/>
      <c r="AB145" s="219"/>
      <c r="AC145" s="219"/>
    </row>
    <row r="146" spans="1:38" x14ac:dyDescent="0.2">
      <c r="E146" s="277"/>
      <c r="F146" s="240"/>
      <c r="G146" s="240"/>
      <c r="H146" s="240"/>
      <c r="I146" s="240"/>
      <c r="J146" s="240"/>
      <c r="K146" s="240"/>
      <c r="R146" s="275" t="str">
        <f>IF(Data!B1806="Yes","Home care services continue to be appropriate for this client's level of need.","Home care services are no longer appropriate for this client.  Follow up with family and/or case manager will be documented.")</f>
        <v>Home care services are no longer appropriate for this client.  Follow up with family and/or case manager will be documented.</v>
      </c>
      <c r="S146" s="275"/>
      <c r="T146" s="275"/>
      <c r="U146" s="275"/>
      <c r="V146" s="275"/>
      <c r="W146" s="275"/>
      <c r="X146" s="275"/>
      <c r="Y146" s="275"/>
      <c r="Z146" s="275"/>
      <c r="AA146" s="275"/>
      <c r="AB146" s="275"/>
      <c r="AC146" s="275"/>
      <c r="AD146" s="275"/>
      <c r="AE146" s="275"/>
      <c r="AF146" s="275"/>
      <c r="AG146" s="275"/>
      <c r="AH146" s="275"/>
      <c r="AI146" s="275"/>
      <c r="AJ146" s="275"/>
      <c r="AK146" s="275"/>
      <c r="AL146" s="275"/>
    </row>
    <row r="147" spans="1:38" x14ac:dyDescent="0.2">
      <c r="A147" s="240"/>
      <c r="B147" s="240"/>
      <c r="C147" s="240"/>
      <c r="D147" s="240"/>
      <c r="E147" s="240"/>
      <c r="F147" s="240"/>
      <c r="G147" s="240"/>
      <c r="H147" s="240"/>
      <c r="I147" s="240"/>
      <c r="J147" s="240"/>
      <c r="K147" s="240"/>
      <c r="L147" s="240"/>
      <c r="M147" s="240"/>
      <c r="N147" s="240"/>
      <c r="O147" s="240"/>
      <c r="R147" s="275"/>
      <c r="S147" s="275"/>
      <c r="T147" s="275"/>
      <c r="U147" s="275"/>
      <c r="V147" s="275"/>
      <c r="W147" s="275"/>
      <c r="X147" s="275"/>
      <c r="Y147" s="275"/>
      <c r="Z147" s="275"/>
      <c r="AA147" s="275"/>
      <c r="AB147" s="275"/>
      <c r="AC147" s="275"/>
      <c r="AD147" s="275"/>
      <c r="AE147" s="275"/>
      <c r="AF147" s="275"/>
      <c r="AG147" s="275"/>
      <c r="AH147" s="275"/>
      <c r="AI147" s="275"/>
      <c r="AJ147" s="275"/>
      <c r="AK147" s="275"/>
      <c r="AL147" s="275"/>
    </row>
    <row r="148" spans="1:38" x14ac:dyDescent="0.2">
      <c r="A148" s="240"/>
      <c r="B148" s="240"/>
      <c r="C148" s="240"/>
      <c r="D148" s="240"/>
      <c r="E148" s="240"/>
      <c r="F148" s="240"/>
      <c r="G148" s="240"/>
      <c r="H148" s="240"/>
      <c r="I148" s="240"/>
      <c r="J148" s="240"/>
      <c r="K148" s="240"/>
      <c r="L148" s="240"/>
      <c r="M148" s="240"/>
      <c r="N148" s="240"/>
      <c r="O148" s="240"/>
      <c r="R148" s="275"/>
      <c r="S148" s="275"/>
      <c r="T148" s="275"/>
      <c r="U148" s="275"/>
      <c r="V148" s="275"/>
      <c r="W148" s="275"/>
      <c r="X148" s="275"/>
      <c r="Y148" s="275"/>
      <c r="Z148" s="275"/>
      <c r="AA148" s="275"/>
      <c r="AB148" s="275"/>
      <c r="AC148" s="275"/>
      <c r="AD148" s="275"/>
      <c r="AE148" s="275"/>
      <c r="AF148" s="275"/>
      <c r="AG148" s="275"/>
      <c r="AH148" s="275"/>
      <c r="AI148" s="275"/>
      <c r="AJ148" s="275"/>
      <c r="AK148" s="275"/>
      <c r="AL148" s="275"/>
    </row>
    <row r="149" spans="1:38" x14ac:dyDescent="0.2">
      <c r="A149" s="266"/>
      <c r="B149" s="266"/>
      <c r="C149" s="266"/>
      <c r="D149" s="266"/>
      <c r="E149" s="266"/>
      <c r="F149" s="266"/>
      <c r="G149" s="266"/>
      <c r="H149" s="266"/>
      <c r="I149" s="266"/>
      <c r="J149" s="266"/>
      <c r="K149" s="266"/>
      <c r="L149" s="266"/>
      <c r="M149" s="266"/>
      <c r="N149" s="266"/>
      <c r="O149" s="266"/>
      <c r="Q149" s="276">
        <f>Data!B175</f>
        <v>0</v>
      </c>
      <c r="R149" s="276"/>
      <c r="S149" s="276"/>
      <c r="T149" s="276"/>
      <c r="U149" s="276"/>
      <c r="V149" s="276"/>
      <c r="W149" s="276"/>
      <c r="X149" s="276"/>
      <c r="Y149" s="276"/>
      <c r="Z149" s="276"/>
      <c r="AA149" s="276"/>
      <c r="AB149" s="276"/>
      <c r="AC149" s="276"/>
      <c r="AD149" s="7"/>
      <c r="AE149" s="269">
        <f>Data!B34</f>
        <v>0</v>
      </c>
      <c r="AF149" s="267"/>
      <c r="AG149" s="267"/>
      <c r="AH149" s="267"/>
      <c r="AI149" s="267"/>
      <c r="AJ149" s="267"/>
      <c r="AK149" s="267"/>
      <c r="AL149" s="267"/>
    </row>
    <row r="150" spans="1:38" x14ac:dyDescent="0.2">
      <c r="A150" t="s">
        <v>2881</v>
      </c>
      <c r="E150" s="2"/>
      <c r="Q150" t="s">
        <v>1465</v>
      </c>
      <c r="T150" s="117"/>
      <c r="U150" s="7"/>
      <c r="V150" s="7"/>
      <c r="W150" s="7"/>
      <c r="X150" s="7"/>
      <c r="Y150" s="7"/>
      <c r="Z150" s="7"/>
      <c r="AA150" s="7"/>
      <c r="AB150" s="7"/>
      <c r="AC150" s="7"/>
      <c r="AD150" s="7"/>
      <c r="AE150" s="16" t="s">
        <v>1179</v>
      </c>
      <c r="AF150" s="7"/>
      <c r="AG150" s="7"/>
      <c r="AH150" s="7"/>
      <c r="AI150" s="7"/>
      <c r="AJ150" s="7"/>
    </row>
    <row r="151" spans="1:38" x14ac:dyDescent="0.2">
      <c r="A151" t="s">
        <v>3296</v>
      </c>
      <c r="E151" s="2"/>
      <c r="T151" s="117"/>
      <c r="U151" s="7"/>
      <c r="V151" s="7"/>
      <c r="W151" s="7"/>
      <c r="X151" s="7"/>
      <c r="Y151" s="7"/>
      <c r="Z151" s="7"/>
      <c r="AA151" s="7"/>
      <c r="AB151" s="7"/>
      <c r="AC151" s="7"/>
      <c r="AD151" s="7"/>
      <c r="AE151" s="7"/>
      <c r="AF151" s="7"/>
      <c r="AG151" s="7"/>
      <c r="AH151" s="7"/>
      <c r="AI151" s="7"/>
      <c r="AJ151" s="7"/>
    </row>
    <row r="152" spans="1:38" ht="6.75" customHeight="1" x14ac:dyDescent="0.2">
      <c r="E152" s="2"/>
      <c r="T152" s="117"/>
      <c r="U152" s="7"/>
      <c r="V152" s="7"/>
      <c r="W152" s="7"/>
      <c r="X152" s="7"/>
      <c r="Y152" s="7"/>
      <c r="Z152" s="7"/>
      <c r="AA152" s="7"/>
      <c r="AB152" s="7"/>
      <c r="AC152" s="7"/>
      <c r="AD152" s="7"/>
      <c r="AE152" s="7"/>
      <c r="AF152" s="7"/>
      <c r="AG152" s="7"/>
      <c r="AH152" s="7"/>
      <c r="AI152" s="7"/>
      <c r="AJ152" s="7"/>
    </row>
    <row r="153" spans="1:38" ht="12.75" customHeight="1" x14ac:dyDescent="0.2">
      <c r="A153" s="270"/>
      <c r="B153" s="270"/>
      <c r="C153" s="270"/>
      <c r="D153" s="270"/>
      <c r="E153" s="270"/>
      <c r="F153" s="270"/>
      <c r="G153" s="270"/>
      <c r="H153" s="270"/>
      <c r="I153" s="270"/>
      <c r="J153" s="270"/>
      <c r="K153" s="270"/>
      <c r="L153" s="270"/>
      <c r="M153" s="270"/>
      <c r="N153" s="270"/>
      <c r="O153" s="270"/>
      <c r="P153" s="270"/>
      <c r="Q153" s="270"/>
      <c r="R153" s="270"/>
      <c r="S153" s="270"/>
      <c r="T153" s="270"/>
    </row>
    <row r="154" spans="1:38" x14ac:dyDescent="0.2">
      <c r="A154" s="270"/>
      <c r="B154" s="270"/>
      <c r="C154" s="270"/>
      <c r="D154" s="270"/>
      <c r="E154" s="270"/>
      <c r="F154" s="270"/>
      <c r="G154" s="270"/>
      <c r="H154" s="270"/>
      <c r="I154" s="270"/>
      <c r="J154" s="270"/>
      <c r="K154" s="270"/>
      <c r="L154" s="270"/>
      <c r="M154" s="270"/>
      <c r="N154" s="270"/>
      <c r="O154" s="270"/>
      <c r="P154" s="270"/>
      <c r="Q154" s="270"/>
      <c r="R154" s="270"/>
      <c r="S154" s="270"/>
      <c r="T154" s="270"/>
    </row>
    <row r="155" spans="1:38" x14ac:dyDescent="0.2">
      <c r="A155" s="271"/>
      <c r="B155" s="271"/>
      <c r="C155" s="271"/>
      <c r="D155" s="271"/>
      <c r="E155" s="271"/>
      <c r="F155" s="271"/>
      <c r="G155" s="271"/>
      <c r="H155" s="271"/>
      <c r="I155" s="271"/>
      <c r="J155" s="271"/>
      <c r="K155" s="271"/>
      <c r="L155" s="271"/>
      <c r="M155" s="271"/>
      <c r="N155" s="271"/>
      <c r="O155" s="271"/>
      <c r="P155" s="271"/>
      <c r="Q155" s="271"/>
      <c r="R155" s="271"/>
      <c r="S155" s="271"/>
      <c r="T155" s="271"/>
      <c r="V155" s="34"/>
      <c r="W155" s="34"/>
      <c r="X155" s="34"/>
      <c r="Y155" s="34"/>
      <c r="Z155" s="34"/>
      <c r="AA155" s="34"/>
      <c r="AB155" s="34"/>
      <c r="AC155" s="34"/>
      <c r="AD155" s="34"/>
      <c r="AE155" s="34"/>
      <c r="AF155" s="34"/>
      <c r="AG155" s="34"/>
    </row>
    <row r="156" spans="1:38" ht="12.95" customHeight="1" x14ac:dyDescent="0.2">
      <c r="A156" s="260" t="s">
        <v>2920</v>
      </c>
      <c r="B156" s="260"/>
      <c r="C156" s="260"/>
      <c r="D156" s="260"/>
      <c r="E156" s="260"/>
      <c r="F156" s="260"/>
      <c r="G156" s="260"/>
      <c r="H156" s="260"/>
      <c r="I156" s="260"/>
      <c r="J156" s="260"/>
      <c r="K156" s="260"/>
      <c r="L156" s="260"/>
      <c r="M156" s="260"/>
      <c r="N156" s="260"/>
      <c r="O156" s="260"/>
      <c r="P156" s="260"/>
      <c r="Q156" s="260"/>
      <c r="R156" s="260"/>
      <c r="S156" s="260"/>
      <c r="T156" s="260"/>
      <c r="V156" t="s">
        <v>2921</v>
      </c>
    </row>
    <row r="157" spans="1:38" ht="12.95" customHeight="1" x14ac:dyDescent="0.2">
      <c r="A157" s="261" t="s">
        <v>2895</v>
      </c>
      <c r="B157" s="261"/>
      <c r="C157" s="261"/>
      <c r="D157" s="261"/>
      <c r="E157" s="261"/>
      <c r="F157" s="261"/>
      <c r="G157" s="261"/>
      <c r="H157" s="261"/>
      <c r="I157" s="261"/>
      <c r="J157" s="261"/>
      <c r="K157" s="261"/>
      <c r="L157" s="261"/>
      <c r="M157" s="261"/>
      <c r="N157" s="261"/>
      <c r="O157" s="261"/>
      <c r="P157" s="261"/>
      <c r="Q157" s="261"/>
      <c r="R157" s="261"/>
      <c r="S157" s="261"/>
      <c r="T157" s="261"/>
      <c r="U157" s="261"/>
      <c r="V157" s="261"/>
      <c r="W157" s="261"/>
      <c r="X157" s="261"/>
      <c r="Y157" s="261"/>
      <c r="Z157" s="261"/>
      <c r="AA157" s="261"/>
      <c r="AB157" s="261"/>
      <c r="AC157" s="261"/>
      <c r="AD157" s="261"/>
      <c r="AE157" s="261"/>
      <c r="AF157" s="261"/>
      <c r="AG157" s="261"/>
      <c r="AH157" s="261"/>
      <c r="AI157" s="261"/>
      <c r="AJ157" s="261"/>
      <c r="AK157" s="261"/>
      <c r="AL157" s="261"/>
    </row>
    <row r="158" spans="1:38" x14ac:dyDescent="0.2">
      <c r="A158" t="s">
        <v>336</v>
      </c>
      <c r="E158" s="267" t="str">
        <f>_xlfn.CONCAT(Data!B2,", ",Data!B3," ",Data!B4)</f>
        <v xml:space="preserve">,  </v>
      </c>
      <c r="F158" s="267"/>
      <c r="G158" s="267"/>
      <c r="H158" s="267"/>
      <c r="I158" s="267"/>
      <c r="J158" s="267"/>
      <c r="K158" s="267"/>
      <c r="L158" s="267"/>
      <c r="M158" s="267"/>
      <c r="N158" s="267"/>
      <c r="O158" s="267"/>
      <c r="P158" s="267"/>
      <c r="Q158" s="267"/>
      <c r="R158" s="267"/>
      <c r="S158" s="267"/>
      <c r="T158" s="267"/>
      <c r="U158" s="267"/>
      <c r="V158" s="267"/>
      <c r="W158" s="267"/>
      <c r="Y158" t="s">
        <v>371</v>
      </c>
      <c r="AA158" s="269">
        <f>Data!B14</f>
        <v>0</v>
      </c>
      <c r="AB158" s="267"/>
      <c r="AC158" s="267"/>
      <c r="AD158" s="267"/>
      <c r="AE158" s="267"/>
      <c r="AF158" s="267"/>
      <c r="AG158" s="267"/>
      <c r="AH158" s="267"/>
    </row>
    <row r="160" spans="1:38" x14ac:dyDescent="0.2">
      <c r="A160" s="217" t="s">
        <v>435</v>
      </c>
      <c r="B160" s="217"/>
      <c r="C160" s="217"/>
      <c r="D160" s="217"/>
      <c r="E160" s="217"/>
      <c r="F160" s="217"/>
      <c r="G160" s="217"/>
      <c r="H160" s="217"/>
      <c r="I160" s="217"/>
      <c r="J160" s="217"/>
      <c r="K160" s="217"/>
      <c r="L160" s="217"/>
      <c r="M160" s="217"/>
      <c r="N160" s="217"/>
      <c r="O160" s="217"/>
      <c r="P160" s="217"/>
      <c r="Q160" s="217"/>
      <c r="R160" s="217"/>
      <c r="S160" s="217"/>
      <c r="T160" s="217"/>
      <c r="U160" s="217"/>
      <c r="V160" s="217"/>
      <c r="W160" s="217"/>
      <c r="X160" s="217"/>
      <c r="Y160" s="217"/>
      <c r="Z160" s="217"/>
      <c r="AA160" s="217"/>
      <c r="AB160" s="217"/>
      <c r="AC160" s="217"/>
      <c r="AD160" s="217"/>
      <c r="AE160" s="217"/>
      <c r="AF160" s="217"/>
      <c r="AG160" s="217"/>
      <c r="AH160" s="217"/>
      <c r="AI160" s="217"/>
      <c r="AJ160" s="217"/>
      <c r="AK160" s="217"/>
      <c r="AL160" s="217"/>
    </row>
    <row r="161" spans="1:38" x14ac:dyDescent="0.2">
      <c r="A161" s="217"/>
      <c r="B161" s="217"/>
      <c r="C161" s="217"/>
      <c r="D161" s="217"/>
      <c r="E161" s="217"/>
      <c r="F161" s="217"/>
      <c r="G161" s="217"/>
      <c r="H161" s="217"/>
      <c r="I161" s="217"/>
      <c r="J161" s="217"/>
      <c r="K161" s="217"/>
      <c r="L161" s="217"/>
      <c r="M161" s="217"/>
      <c r="N161" s="217"/>
      <c r="O161" s="217"/>
      <c r="P161" s="217"/>
      <c r="Q161" s="217"/>
      <c r="R161" s="217"/>
      <c r="S161" s="217"/>
      <c r="T161" s="217"/>
      <c r="U161" s="217"/>
      <c r="V161" s="217"/>
      <c r="W161" s="217"/>
      <c r="X161" s="217"/>
      <c r="Y161" s="217"/>
      <c r="Z161" s="217"/>
      <c r="AA161" s="217"/>
      <c r="AB161" s="217"/>
      <c r="AC161" s="217"/>
      <c r="AD161" s="217"/>
      <c r="AE161" s="217"/>
      <c r="AF161" s="217"/>
      <c r="AG161" s="217"/>
      <c r="AH161" s="217"/>
      <c r="AI161" s="217"/>
      <c r="AJ161" s="217"/>
      <c r="AK161" s="217"/>
      <c r="AL161" s="217"/>
    </row>
    <row r="162" spans="1:38" x14ac:dyDescent="0.2">
      <c r="A162" s="217"/>
      <c r="B162" s="217"/>
      <c r="C162" s="217"/>
      <c r="D162" s="217"/>
      <c r="E162" s="217"/>
      <c r="F162" s="217"/>
      <c r="G162" s="217"/>
      <c r="H162" s="217"/>
      <c r="I162" s="217"/>
      <c r="J162" s="217"/>
      <c r="K162" s="217"/>
      <c r="L162" s="217"/>
      <c r="M162" s="217"/>
      <c r="N162" s="217"/>
      <c r="O162" s="217"/>
      <c r="P162" s="217"/>
      <c r="Q162" s="217"/>
      <c r="R162" s="217"/>
      <c r="S162" s="217"/>
      <c r="T162" s="217"/>
      <c r="U162" s="217"/>
      <c r="V162" s="217"/>
      <c r="W162" s="217"/>
      <c r="X162" s="217"/>
      <c r="Y162" s="217"/>
      <c r="Z162" s="217"/>
      <c r="AA162" s="217"/>
      <c r="AB162" s="217"/>
      <c r="AC162" s="217"/>
      <c r="AD162" s="217"/>
      <c r="AE162" s="217"/>
      <c r="AF162" s="217"/>
      <c r="AG162" s="217"/>
      <c r="AH162" s="217"/>
      <c r="AI162" s="217"/>
      <c r="AJ162" s="217"/>
      <c r="AK162" s="217"/>
      <c r="AL162" s="217"/>
    </row>
    <row r="164" spans="1:38" x14ac:dyDescent="0.2">
      <c r="A164" s="4" t="s">
        <v>436</v>
      </c>
      <c r="AB164" s="6"/>
      <c r="AC164" s="6"/>
      <c r="AD164" s="6"/>
      <c r="AE164" s="6"/>
      <c r="AF164" s="6"/>
      <c r="AG164" s="6"/>
      <c r="AH164" s="6"/>
      <c r="AI164" s="6"/>
      <c r="AJ164" s="6"/>
      <c r="AK164" s="6"/>
    </row>
    <row r="165" spans="1:38" x14ac:dyDescent="0.2">
      <c r="A165" s="217" t="s">
        <v>437</v>
      </c>
      <c r="B165" s="217"/>
      <c r="C165" s="217"/>
      <c r="D165" s="217"/>
      <c r="E165" s="217"/>
      <c r="F165" s="217"/>
      <c r="G165" s="217"/>
      <c r="H165" s="217"/>
      <c r="I165" s="217"/>
      <c r="J165" s="217"/>
      <c r="K165" s="217"/>
      <c r="L165" s="217"/>
      <c r="M165" s="217"/>
      <c r="N165" s="217"/>
      <c r="O165" s="217"/>
      <c r="P165" s="217"/>
      <c r="Q165" s="217"/>
      <c r="R165" s="217"/>
      <c r="S165" s="217"/>
      <c r="T165" s="217"/>
      <c r="U165" s="217"/>
      <c r="V165" s="217"/>
      <c r="W165" s="217"/>
      <c r="X165" s="217"/>
      <c r="Y165" s="217"/>
      <c r="Z165" s="217"/>
      <c r="AA165" s="217"/>
      <c r="AB165" s="217"/>
      <c r="AC165" s="217"/>
      <c r="AD165" s="217"/>
      <c r="AE165" s="217"/>
      <c r="AF165" s="217"/>
      <c r="AG165" s="217"/>
      <c r="AH165" s="217"/>
      <c r="AI165" s="217"/>
      <c r="AJ165" s="217"/>
      <c r="AK165" s="217"/>
      <c r="AL165" s="5"/>
    </row>
    <row r="166" spans="1:38" x14ac:dyDescent="0.2">
      <c r="A166" s="217"/>
      <c r="B166" s="217"/>
      <c r="C166" s="217"/>
      <c r="D166" s="217"/>
      <c r="E166" s="217"/>
      <c r="F166" s="217"/>
      <c r="G166" s="217"/>
      <c r="H166" s="217"/>
      <c r="I166" s="217"/>
      <c r="J166" s="217"/>
      <c r="K166" s="217"/>
      <c r="L166" s="217"/>
      <c r="M166" s="217"/>
      <c r="N166" s="217"/>
      <c r="O166" s="217"/>
      <c r="P166" s="217"/>
      <c r="Q166" s="217"/>
      <c r="R166" s="217"/>
      <c r="S166" s="217"/>
      <c r="T166" s="217"/>
      <c r="U166" s="217"/>
      <c r="V166" s="217"/>
      <c r="W166" s="217"/>
      <c r="X166" s="217"/>
      <c r="Y166" s="217"/>
      <c r="Z166" s="217"/>
      <c r="AA166" s="217"/>
      <c r="AB166" s="217"/>
      <c r="AC166" s="217"/>
      <c r="AD166" s="217"/>
      <c r="AE166" s="217"/>
      <c r="AF166" s="217"/>
      <c r="AG166" s="217"/>
      <c r="AH166" s="217"/>
      <c r="AI166" s="217"/>
      <c r="AJ166" s="217"/>
      <c r="AK166" s="217"/>
      <c r="AL166" s="5"/>
    </row>
    <row r="167" spans="1:38" x14ac:dyDescent="0.2">
      <c r="A167" s="217"/>
      <c r="B167" s="217"/>
      <c r="C167" s="217"/>
      <c r="D167" s="217"/>
      <c r="E167" s="217"/>
      <c r="F167" s="217"/>
      <c r="G167" s="217"/>
      <c r="H167" s="217"/>
      <c r="I167" s="217"/>
      <c r="J167" s="217"/>
      <c r="K167" s="217"/>
      <c r="L167" s="217"/>
      <c r="M167" s="217"/>
      <c r="N167" s="217"/>
      <c r="O167" s="217"/>
      <c r="P167" s="217"/>
      <c r="Q167" s="217"/>
      <c r="R167" s="217"/>
      <c r="S167" s="217"/>
      <c r="T167" s="217"/>
      <c r="U167" s="217"/>
      <c r="V167" s="217"/>
      <c r="W167" s="217"/>
      <c r="X167" s="217"/>
      <c r="Y167" s="217"/>
      <c r="Z167" s="217"/>
      <c r="AA167" s="217"/>
      <c r="AB167" s="217"/>
      <c r="AC167" s="217"/>
      <c r="AD167" s="217"/>
      <c r="AE167" s="217"/>
      <c r="AF167" s="217"/>
      <c r="AG167" s="217"/>
      <c r="AH167" s="217"/>
      <c r="AI167" s="217"/>
      <c r="AJ167" s="217"/>
      <c r="AK167" s="217"/>
      <c r="AL167" s="5"/>
    </row>
    <row r="168" spans="1:38" x14ac:dyDescent="0.2">
      <c r="A168" s="217"/>
      <c r="B168" s="217"/>
      <c r="C168" s="217"/>
      <c r="D168" s="217"/>
      <c r="E168" s="217"/>
      <c r="F168" s="217"/>
      <c r="G168" s="217"/>
      <c r="H168" s="217"/>
      <c r="I168" s="217"/>
      <c r="J168" s="217"/>
      <c r="K168" s="217"/>
      <c r="L168" s="217"/>
      <c r="M168" s="217"/>
      <c r="N168" s="217"/>
      <c r="O168" s="217"/>
      <c r="P168" s="217"/>
      <c r="Q168" s="217"/>
      <c r="R168" s="217"/>
      <c r="S168" s="217"/>
      <c r="T168" s="217"/>
      <c r="U168" s="217"/>
      <c r="V168" s="217"/>
      <c r="W168" s="217"/>
      <c r="X168" s="217"/>
      <c r="Y168" s="217"/>
      <c r="Z168" s="217"/>
      <c r="AA168" s="217"/>
      <c r="AB168" s="217"/>
      <c r="AC168" s="217"/>
      <c r="AD168" s="217"/>
      <c r="AE168" s="217"/>
      <c r="AF168" s="217"/>
      <c r="AG168" s="217"/>
      <c r="AH168" s="217"/>
      <c r="AI168" s="217"/>
      <c r="AJ168" s="217"/>
      <c r="AK168" s="217"/>
      <c r="AL168" s="5"/>
    </row>
    <row r="170" spans="1:38" x14ac:dyDescent="0.2">
      <c r="A170" s="254" t="s">
        <v>438</v>
      </c>
      <c r="B170" s="254"/>
      <c r="C170" s="254"/>
      <c r="D170" s="254"/>
      <c r="E170" s="254"/>
      <c r="F170" s="254"/>
      <c r="G170" s="254"/>
      <c r="H170" s="254"/>
      <c r="I170" s="254"/>
      <c r="J170" s="254"/>
      <c r="K170" s="254"/>
      <c r="L170" s="254" t="s">
        <v>456</v>
      </c>
      <c r="M170" s="254"/>
      <c r="N170" s="254"/>
      <c r="O170" s="254"/>
      <c r="P170" s="254"/>
      <c r="Q170" s="254"/>
      <c r="R170" s="254"/>
      <c r="S170" s="254" t="s">
        <v>439</v>
      </c>
      <c r="T170" s="254"/>
      <c r="U170" s="254"/>
      <c r="V170" s="254"/>
      <c r="W170" s="254"/>
      <c r="X170" s="287" t="s">
        <v>440</v>
      </c>
      <c r="Y170" s="288"/>
      <c r="Z170" s="288"/>
      <c r="AA170" s="288"/>
      <c r="AB170" s="288"/>
      <c r="AC170" s="288"/>
      <c r="AD170" s="288"/>
      <c r="AE170" s="288"/>
      <c r="AF170" s="288"/>
      <c r="AG170" s="288"/>
      <c r="AH170" s="288"/>
      <c r="AI170" s="288"/>
      <c r="AJ170" s="288"/>
      <c r="AK170" s="288"/>
      <c r="AL170" s="289"/>
    </row>
    <row r="171" spans="1:38" x14ac:dyDescent="0.2">
      <c r="A171" s="254" t="s">
        <v>441</v>
      </c>
      <c r="B171" s="254"/>
      <c r="C171" s="254"/>
      <c r="D171" s="254"/>
      <c r="E171" s="254"/>
      <c r="F171" s="254"/>
      <c r="G171" s="254"/>
      <c r="H171" s="254"/>
      <c r="I171" s="254"/>
      <c r="J171" s="254"/>
      <c r="K171" s="254"/>
      <c r="L171" s="262">
        <f>Data!B481</f>
        <v>0</v>
      </c>
      <c r="M171" s="262"/>
      <c r="N171" s="262"/>
      <c r="O171" s="262"/>
      <c r="P171" s="262"/>
      <c r="Q171" s="262"/>
      <c r="R171" s="262"/>
      <c r="S171" s="262">
        <f>Data!B482</f>
        <v>0</v>
      </c>
      <c r="T171" s="262"/>
      <c r="U171" s="262"/>
      <c r="V171" s="262"/>
      <c r="W171" s="262"/>
      <c r="X171" s="263" t="str">
        <f>_xlfn.CONCAT(Data!B483,IF(Data!B484="","",", "&amp;Data!B484))</f>
        <v/>
      </c>
      <c r="Y171" s="264"/>
      <c r="Z171" s="264"/>
      <c r="AA171" s="264"/>
      <c r="AB171" s="264"/>
      <c r="AC171" s="264"/>
      <c r="AD171" s="264"/>
      <c r="AE171" s="264"/>
      <c r="AF171" s="264"/>
      <c r="AG171" s="264"/>
      <c r="AH171" s="264"/>
      <c r="AI171" s="264"/>
      <c r="AJ171" s="264"/>
      <c r="AK171" s="264"/>
      <c r="AL171" s="265"/>
    </row>
    <row r="172" spans="1:38" x14ac:dyDescent="0.2">
      <c r="A172" s="254" t="s">
        <v>442</v>
      </c>
      <c r="B172" s="254"/>
      <c r="C172" s="254"/>
      <c r="D172" s="254"/>
      <c r="E172" s="254"/>
      <c r="F172" s="254"/>
      <c r="G172" s="254"/>
      <c r="H172" s="254"/>
      <c r="I172" s="254"/>
      <c r="J172" s="254"/>
      <c r="K172" s="254"/>
      <c r="L172" s="262">
        <f>Data!B495</f>
        <v>0</v>
      </c>
      <c r="M172" s="262"/>
      <c r="N172" s="262"/>
      <c r="O172" s="262"/>
      <c r="P172" s="262"/>
      <c r="Q172" s="262"/>
      <c r="R172" s="262"/>
      <c r="S172" s="262">
        <f>Data!B496</f>
        <v>0</v>
      </c>
      <c r="T172" s="262"/>
      <c r="U172" s="262"/>
      <c r="V172" s="262"/>
      <c r="W172" s="262"/>
      <c r="X172" s="263"/>
      <c r="Y172" s="264"/>
      <c r="Z172" s="264"/>
      <c r="AA172" s="264"/>
      <c r="AB172" s="264"/>
      <c r="AC172" s="264"/>
      <c r="AD172" s="264"/>
      <c r="AE172" s="264"/>
      <c r="AF172" s="264"/>
      <c r="AG172" s="264"/>
      <c r="AH172" s="264"/>
      <c r="AI172" s="264"/>
      <c r="AJ172" s="264"/>
      <c r="AK172" s="264"/>
      <c r="AL172" s="265"/>
    </row>
    <row r="173" spans="1:38" x14ac:dyDescent="0.2">
      <c r="A173" s="254" t="s">
        <v>443</v>
      </c>
      <c r="B173" s="254"/>
      <c r="C173" s="254"/>
      <c r="D173" s="254"/>
      <c r="E173" s="254"/>
      <c r="F173" s="254"/>
      <c r="G173" s="254"/>
      <c r="H173" s="254"/>
      <c r="I173" s="254"/>
      <c r="J173" s="254"/>
      <c r="K173" s="254"/>
      <c r="L173" s="262">
        <f>Data!B506</f>
        <v>0</v>
      </c>
      <c r="M173" s="262"/>
      <c r="N173" s="262"/>
      <c r="O173" s="262"/>
      <c r="P173" s="262"/>
      <c r="Q173" s="262"/>
      <c r="R173" s="262"/>
      <c r="S173" s="262">
        <f>Data!B507</f>
        <v>0</v>
      </c>
      <c r="T173" s="262"/>
      <c r="U173" s="262"/>
      <c r="V173" s="262"/>
      <c r="W173" s="262"/>
      <c r="X173" s="263" t="str">
        <f>_xlfn.CONCAT(Data!B508,IF(Data!B509="","",", "&amp;Data!B509))</f>
        <v/>
      </c>
      <c r="Y173" s="264"/>
      <c r="Z173" s="264"/>
      <c r="AA173" s="264"/>
      <c r="AB173" s="264"/>
      <c r="AC173" s="264"/>
      <c r="AD173" s="264"/>
      <c r="AE173" s="264"/>
      <c r="AF173" s="264"/>
      <c r="AG173" s="264"/>
      <c r="AH173" s="264"/>
      <c r="AI173" s="264"/>
      <c r="AJ173" s="264"/>
      <c r="AK173" s="264"/>
      <c r="AL173" s="265"/>
    </row>
    <row r="174" spans="1:38" x14ac:dyDescent="0.2">
      <c r="A174" s="254" t="s">
        <v>444</v>
      </c>
      <c r="B174" s="254"/>
      <c r="C174" s="254"/>
      <c r="D174" s="254"/>
      <c r="E174" s="254"/>
      <c r="F174" s="254"/>
      <c r="G174" s="254"/>
      <c r="H174" s="254"/>
      <c r="I174" s="254"/>
      <c r="J174" s="254"/>
      <c r="K174" s="254"/>
      <c r="L174" s="262">
        <f>Data!B518</f>
        <v>0</v>
      </c>
      <c r="M174" s="262"/>
      <c r="N174" s="262"/>
      <c r="O174" s="262"/>
      <c r="P174" s="262"/>
      <c r="Q174" s="262"/>
      <c r="R174" s="262"/>
      <c r="S174" s="262">
        <f>Data!B519</f>
        <v>0</v>
      </c>
      <c r="T174" s="262"/>
      <c r="U174" s="262"/>
      <c r="V174" s="262"/>
      <c r="W174" s="262"/>
      <c r="X174" s="263" t="str">
        <f>_xlfn.CONCAT(Data!B520,IF(Data!B521="","",", "&amp;Data!B521))</f>
        <v/>
      </c>
      <c r="Y174" s="264"/>
      <c r="Z174" s="264"/>
      <c r="AA174" s="264"/>
      <c r="AB174" s="264"/>
      <c r="AC174" s="264"/>
      <c r="AD174" s="264"/>
      <c r="AE174" s="264"/>
      <c r="AF174" s="264"/>
      <c r="AG174" s="264"/>
      <c r="AH174" s="264"/>
      <c r="AI174" s="264"/>
      <c r="AJ174" s="264"/>
      <c r="AK174" s="264"/>
      <c r="AL174" s="265"/>
    </row>
    <row r="175" spans="1:38" x14ac:dyDescent="0.2">
      <c r="A175" s="254" t="s">
        <v>445</v>
      </c>
      <c r="B175" s="254"/>
      <c r="C175" s="254"/>
      <c r="D175" s="254"/>
      <c r="E175" s="254"/>
      <c r="F175" s="254"/>
      <c r="G175" s="254"/>
      <c r="H175" s="254"/>
      <c r="I175" s="254"/>
      <c r="J175" s="254"/>
      <c r="K175" s="254"/>
      <c r="L175" s="262">
        <f>Data!B541</f>
        <v>0</v>
      </c>
      <c r="M175" s="262"/>
      <c r="N175" s="262"/>
      <c r="O175" s="262"/>
      <c r="P175" s="262"/>
      <c r="Q175" s="262"/>
      <c r="R175" s="262"/>
      <c r="S175" s="262">
        <f>Data!B542</f>
        <v>0</v>
      </c>
      <c r="T175" s="262"/>
      <c r="U175" s="262"/>
      <c r="V175" s="262"/>
      <c r="W175" s="262"/>
      <c r="X175" s="263">
        <f>Data!B536</f>
        <v>0</v>
      </c>
      <c r="Y175" s="264"/>
      <c r="Z175" s="264"/>
      <c r="AA175" s="264"/>
      <c r="AB175" s="264"/>
      <c r="AC175" s="264"/>
      <c r="AD175" s="264"/>
      <c r="AE175" s="264"/>
      <c r="AF175" s="264"/>
      <c r="AG175" s="264"/>
      <c r="AH175" s="264"/>
      <c r="AI175" s="264"/>
      <c r="AJ175" s="264"/>
      <c r="AK175" s="264"/>
      <c r="AL175" s="265"/>
    </row>
    <row r="176" spans="1:38" x14ac:dyDescent="0.2">
      <c r="A176" s="254" t="s">
        <v>446</v>
      </c>
      <c r="B176" s="254"/>
      <c r="C176" s="254"/>
      <c r="D176" s="254"/>
      <c r="E176" s="254"/>
      <c r="F176" s="254"/>
      <c r="G176" s="254"/>
      <c r="H176" s="254"/>
      <c r="I176" s="254"/>
      <c r="J176" s="254"/>
      <c r="K176" s="254"/>
      <c r="L176" s="262">
        <f>Data!B468</f>
        <v>0</v>
      </c>
      <c r="M176" s="262"/>
      <c r="N176" s="262"/>
      <c r="O176" s="262"/>
      <c r="P176" s="262"/>
      <c r="Q176" s="262"/>
      <c r="R176" s="262"/>
      <c r="S176" s="262">
        <f>Data!B469</f>
        <v>0</v>
      </c>
      <c r="T176" s="262"/>
      <c r="U176" s="262"/>
      <c r="V176" s="262"/>
      <c r="W176" s="262"/>
      <c r="X176" s="263" t="str">
        <f>_xlfn.CONCAT(Data!B470,IF(Data!B471="","",", "&amp;Data!B471))</f>
        <v/>
      </c>
      <c r="Y176" s="264"/>
      <c r="Z176" s="264"/>
      <c r="AA176" s="264"/>
      <c r="AB176" s="264"/>
      <c r="AC176" s="264"/>
      <c r="AD176" s="264"/>
      <c r="AE176" s="264"/>
      <c r="AF176" s="264"/>
      <c r="AG176" s="264"/>
      <c r="AH176" s="264"/>
      <c r="AI176" s="264"/>
      <c r="AJ176" s="264"/>
      <c r="AK176" s="264"/>
      <c r="AL176" s="265"/>
    </row>
    <row r="178" spans="1:38" x14ac:dyDescent="0.2">
      <c r="A178" s="4" t="s">
        <v>447</v>
      </c>
    </row>
    <row r="179" spans="1:38" x14ac:dyDescent="0.2">
      <c r="A179" s="217" t="s">
        <v>448</v>
      </c>
      <c r="B179" s="217"/>
      <c r="C179" s="217"/>
      <c r="D179" s="217"/>
      <c r="E179" s="217"/>
      <c r="F179" s="217"/>
      <c r="G179" s="217"/>
      <c r="H179" s="217"/>
      <c r="I179" s="217"/>
      <c r="J179" s="217"/>
      <c r="K179" s="217"/>
      <c r="L179" s="217"/>
      <c r="M179" s="217"/>
      <c r="N179" s="217"/>
      <c r="O179" s="217"/>
      <c r="P179" s="217"/>
      <c r="Q179" s="217"/>
      <c r="R179" s="217"/>
      <c r="S179" s="217"/>
      <c r="T179" s="217"/>
      <c r="U179" s="217"/>
      <c r="V179" s="217"/>
      <c r="W179" s="217"/>
      <c r="X179" s="217"/>
      <c r="Y179" s="217"/>
      <c r="Z179" s="217"/>
      <c r="AA179" s="217"/>
      <c r="AB179" s="217"/>
      <c r="AC179" s="217"/>
      <c r="AD179" s="217"/>
      <c r="AE179" s="217"/>
      <c r="AF179" s="217"/>
      <c r="AG179" s="217"/>
      <c r="AH179" s="217"/>
      <c r="AI179" s="217"/>
      <c r="AJ179" s="217"/>
      <c r="AK179" s="217"/>
      <c r="AL179" s="5"/>
    </row>
    <row r="180" spans="1:38" x14ac:dyDescent="0.2">
      <c r="A180" s="217"/>
      <c r="B180" s="217"/>
      <c r="C180" s="217"/>
      <c r="D180" s="217"/>
      <c r="E180" s="217"/>
      <c r="F180" s="217"/>
      <c r="G180" s="217"/>
      <c r="H180" s="217"/>
      <c r="I180" s="217"/>
      <c r="J180" s="217"/>
      <c r="K180" s="217"/>
      <c r="L180" s="217"/>
      <c r="M180" s="217"/>
      <c r="N180" s="217"/>
      <c r="O180" s="217"/>
      <c r="P180" s="217"/>
      <c r="Q180" s="217"/>
      <c r="R180" s="217"/>
      <c r="S180" s="217"/>
      <c r="T180" s="217"/>
      <c r="U180" s="217"/>
      <c r="V180" s="217"/>
      <c r="W180" s="217"/>
      <c r="X180" s="217"/>
      <c r="Y180" s="217"/>
      <c r="Z180" s="217"/>
      <c r="AA180" s="217"/>
      <c r="AB180" s="217"/>
      <c r="AC180" s="217"/>
      <c r="AD180" s="217"/>
      <c r="AE180" s="217"/>
      <c r="AF180" s="217"/>
      <c r="AG180" s="217"/>
      <c r="AH180" s="217"/>
      <c r="AI180" s="217"/>
      <c r="AJ180" s="217"/>
      <c r="AK180" s="217"/>
      <c r="AL180" s="5"/>
    </row>
    <row r="181" spans="1:38" x14ac:dyDescent="0.2">
      <c r="A181" s="7" t="s">
        <v>449</v>
      </c>
    </row>
    <row r="182" spans="1:38" x14ac:dyDescent="0.2">
      <c r="A182" s="219" t="s">
        <v>2906</v>
      </c>
      <c r="B182" s="219"/>
      <c r="C182" s="219"/>
      <c r="D182" s="219"/>
      <c r="E182" s="219"/>
      <c r="F182" s="219"/>
      <c r="G182" s="219"/>
      <c r="H182" s="219"/>
      <c r="I182" s="219"/>
      <c r="J182" s="219"/>
      <c r="K182" s="219"/>
      <c r="L182" s="219"/>
      <c r="M182" s="219"/>
      <c r="N182" s="219"/>
      <c r="O182" s="219"/>
      <c r="P182" s="219"/>
      <c r="Q182" s="219"/>
      <c r="R182" s="219"/>
      <c r="S182" s="219"/>
      <c r="T182" s="219"/>
      <c r="U182" s="219"/>
      <c r="V182" s="219"/>
      <c r="W182" s="219"/>
      <c r="X182" s="219"/>
      <c r="Y182" s="219"/>
      <c r="Z182" s="219"/>
      <c r="AA182" s="219"/>
      <c r="AB182" s="219"/>
      <c r="AC182" s="219"/>
      <c r="AD182" s="219"/>
      <c r="AE182" s="219"/>
      <c r="AF182" s="219"/>
      <c r="AG182" s="219"/>
      <c r="AH182" s="219"/>
      <c r="AI182" s="219"/>
      <c r="AJ182" s="219"/>
      <c r="AK182" s="219"/>
      <c r="AL182" s="115"/>
    </row>
    <row r="183" spans="1:38" x14ac:dyDescent="0.2">
      <c r="A183" s="271" t="str">
        <f>IF(Data!B1016=TRUE,"Yes","No")</f>
        <v>No</v>
      </c>
      <c r="B183" s="271"/>
      <c r="C183" s="271"/>
      <c r="D183" s="271"/>
      <c r="E183" t="s">
        <v>451</v>
      </c>
      <c r="AI183" s="5"/>
      <c r="AJ183" s="5"/>
      <c r="AK183" s="5"/>
    </row>
    <row r="184" spans="1:38" x14ac:dyDescent="0.2">
      <c r="A184" s="271" t="str">
        <f>IF(Data!B1017=TRUE,"Yes","No")</f>
        <v>No</v>
      </c>
      <c r="B184" s="271"/>
      <c r="C184" s="271"/>
      <c r="D184" s="271"/>
      <c r="E184" t="s">
        <v>452</v>
      </c>
      <c r="AI184" s="5"/>
      <c r="AJ184" s="5"/>
      <c r="AK184" s="5"/>
    </row>
    <row r="185" spans="1:38" x14ac:dyDescent="0.2">
      <c r="A185" s="271" t="str">
        <f>IF(Data!B1018=TRUE,"Yes","No")</f>
        <v>No</v>
      </c>
      <c r="B185" s="271"/>
      <c r="C185" s="271"/>
      <c r="D185" s="271"/>
      <c r="E185" t="s">
        <v>453</v>
      </c>
      <c r="N185" s="9"/>
      <c r="O185" s="9"/>
      <c r="P185" s="286" t="s">
        <v>3003</v>
      </c>
      <c r="Q185" s="286"/>
      <c r="R185" s="286"/>
      <c r="S185" s="286"/>
      <c r="T185" s="286"/>
      <c r="U185" s="286"/>
      <c r="V185" s="286"/>
      <c r="W185" s="286"/>
      <c r="X185" s="286"/>
      <c r="Y185" s="286"/>
      <c r="Z185" s="286"/>
      <c r="AA185" s="286"/>
      <c r="AB185" s="286"/>
      <c r="AC185" s="286"/>
    </row>
    <row r="187" spans="1:38" x14ac:dyDescent="0.2">
      <c r="A187" t="s">
        <v>454</v>
      </c>
    </row>
    <row r="189" spans="1:38" x14ac:dyDescent="0.2">
      <c r="A189" s="217" t="s">
        <v>455</v>
      </c>
      <c r="B189" s="217"/>
      <c r="C189" s="217"/>
      <c r="D189" s="217"/>
      <c r="E189" s="217"/>
      <c r="F189" s="217"/>
      <c r="G189" s="217"/>
      <c r="H189" s="217"/>
      <c r="I189" s="217"/>
      <c r="J189" s="217"/>
      <c r="K189" s="217"/>
      <c r="L189" s="217"/>
      <c r="M189" s="217"/>
      <c r="N189" s="217"/>
      <c r="O189" s="217"/>
      <c r="P189" s="217"/>
      <c r="Q189" s="217"/>
      <c r="R189" s="217"/>
      <c r="S189" s="217"/>
      <c r="T189" s="217"/>
      <c r="U189" s="217"/>
      <c r="V189" s="217"/>
      <c r="W189" s="217"/>
      <c r="X189" s="217"/>
      <c r="Y189" s="217"/>
      <c r="Z189" s="217"/>
      <c r="AA189" s="217"/>
      <c r="AB189" s="217"/>
      <c r="AC189" s="217"/>
      <c r="AD189" s="217"/>
      <c r="AE189" s="217"/>
      <c r="AF189" s="217"/>
      <c r="AG189" s="217"/>
      <c r="AH189" s="217"/>
      <c r="AI189" s="217"/>
      <c r="AJ189" s="217"/>
      <c r="AK189" s="217"/>
      <c r="AL189" s="217"/>
    </row>
    <row r="190" spans="1:38" x14ac:dyDescent="0.2">
      <c r="A190" s="217"/>
      <c r="B190" s="217"/>
      <c r="C190" s="217"/>
      <c r="D190" s="217"/>
      <c r="E190" s="217"/>
      <c r="F190" s="217"/>
      <c r="G190" s="217"/>
      <c r="H190" s="217"/>
      <c r="I190" s="217"/>
      <c r="J190" s="217"/>
      <c r="K190" s="217"/>
      <c r="L190" s="217"/>
      <c r="M190" s="217"/>
      <c r="N190" s="217"/>
      <c r="O190" s="217"/>
      <c r="P190" s="217"/>
      <c r="Q190" s="217"/>
      <c r="R190" s="217"/>
      <c r="S190" s="217"/>
      <c r="T190" s="217"/>
      <c r="U190" s="217"/>
      <c r="V190" s="217"/>
      <c r="W190" s="217"/>
      <c r="X190" s="217"/>
      <c r="Y190" s="217"/>
      <c r="Z190" s="217"/>
      <c r="AA190" s="217"/>
      <c r="AB190" s="217"/>
      <c r="AC190" s="217"/>
      <c r="AD190" s="217"/>
      <c r="AE190" s="217"/>
      <c r="AF190" s="217"/>
      <c r="AG190" s="217"/>
      <c r="AH190" s="217"/>
      <c r="AI190" s="217"/>
      <c r="AJ190" s="217"/>
      <c r="AK190" s="217"/>
      <c r="AL190" s="217"/>
    </row>
    <row r="191" spans="1:38" x14ac:dyDescent="0.2">
      <c r="A191" s="217"/>
      <c r="B191" s="217"/>
      <c r="C191" s="217"/>
      <c r="D191" s="217"/>
      <c r="E191" s="217"/>
      <c r="F191" s="217"/>
      <c r="G191" s="217"/>
      <c r="H191" s="217"/>
      <c r="I191" s="217"/>
      <c r="J191" s="217"/>
      <c r="K191" s="217"/>
      <c r="L191" s="217"/>
      <c r="M191" s="217"/>
      <c r="N191" s="217"/>
      <c r="O191" s="217"/>
      <c r="P191" s="217"/>
      <c r="Q191" s="217"/>
      <c r="R191" s="217"/>
      <c r="S191" s="217"/>
      <c r="T191" s="217"/>
      <c r="U191" s="217"/>
      <c r="V191" s="217"/>
      <c r="W191" s="217"/>
      <c r="X191" s="217"/>
      <c r="Y191" s="217"/>
      <c r="Z191" s="217"/>
      <c r="AA191" s="217"/>
      <c r="AB191" s="217"/>
      <c r="AC191" s="217"/>
      <c r="AD191" s="217"/>
      <c r="AE191" s="217"/>
      <c r="AF191" s="217"/>
      <c r="AG191" s="217"/>
      <c r="AH191" s="217"/>
      <c r="AI191" s="217"/>
      <c r="AJ191" s="217"/>
      <c r="AK191" s="217"/>
      <c r="AL191" s="217"/>
    </row>
    <row r="192" spans="1:38" x14ac:dyDescent="0.2">
      <c r="A192" s="217"/>
      <c r="B192" s="217"/>
      <c r="C192" s="217"/>
      <c r="D192" s="217"/>
      <c r="E192" s="217"/>
      <c r="F192" s="217"/>
      <c r="G192" s="217"/>
      <c r="H192" s="217"/>
      <c r="I192" s="217"/>
      <c r="J192" s="217"/>
      <c r="K192" s="217"/>
      <c r="L192" s="217"/>
      <c r="M192" s="217"/>
      <c r="N192" s="217"/>
      <c r="O192" s="217"/>
      <c r="P192" s="217"/>
      <c r="Q192" s="217"/>
      <c r="R192" s="217"/>
      <c r="S192" s="217"/>
      <c r="T192" s="217"/>
      <c r="U192" s="217"/>
      <c r="V192" s="217"/>
      <c r="W192" s="217"/>
      <c r="X192" s="217"/>
      <c r="Y192" s="217"/>
      <c r="Z192" s="217"/>
      <c r="AA192" s="217"/>
      <c r="AB192" s="217"/>
      <c r="AC192" s="217"/>
      <c r="AD192" s="217"/>
      <c r="AE192" s="217"/>
      <c r="AF192" s="217"/>
      <c r="AG192" s="217"/>
      <c r="AH192" s="217"/>
      <c r="AI192" s="217"/>
      <c r="AJ192" s="217"/>
      <c r="AK192" s="217"/>
      <c r="AL192" s="217"/>
    </row>
    <row r="196" spans="1:38" ht="9" customHeight="1" x14ac:dyDescent="0.2"/>
    <row r="197" spans="1:38" x14ac:dyDescent="0.2">
      <c r="A197" s="268" t="str">
        <f>IF(Data!B1746=TRUE,"Client unable to sign electronically due to technical difficulty and/or physical deficit. Confirmation page signed.","")</f>
        <v/>
      </c>
      <c r="B197" s="268"/>
      <c r="C197" s="268"/>
      <c r="D197" s="268"/>
      <c r="E197" s="268"/>
      <c r="F197" s="268"/>
      <c r="G197" s="268"/>
      <c r="H197" s="268"/>
      <c r="I197" s="268"/>
      <c r="J197" s="268"/>
      <c r="K197" s="268"/>
      <c r="L197" s="268"/>
      <c r="M197" s="268"/>
      <c r="N197" s="268"/>
      <c r="O197" s="268"/>
      <c r="P197" s="268"/>
      <c r="Q197" s="268"/>
      <c r="R197" s="268"/>
      <c r="S197" s="268"/>
      <c r="T197" s="268"/>
      <c r="U197" s="268"/>
      <c r="V197" s="268"/>
      <c r="W197" s="268"/>
      <c r="X197" s="268"/>
      <c r="Y197" s="268"/>
      <c r="Z197" s="268"/>
      <c r="AA197" s="268"/>
      <c r="AB197" s="268"/>
      <c r="AC197" s="268"/>
      <c r="AD197" s="268"/>
      <c r="AE197" s="268"/>
      <c r="AF197" s="268"/>
      <c r="AG197" s="268"/>
      <c r="AH197" s="268"/>
      <c r="AI197" s="268"/>
      <c r="AJ197" s="268"/>
      <c r="AK197" s="268"/>
      <c r="AL197" s="268"/>
    </row>
    <row r="199" spans="1:38" x14ac:dyDescent="0.2">
      <c r="A199" s="240"/>
      <c r="B199" s="240"/>
      <c r="C199" s="240"/>
      <c r="D199" s="240"/>
      <c r="E199" s="240"/>
      <c r="F199" s="240"/>
      <c r="G199" s="240"/>
      <c r="H199" s="240"/>
      <c r="I199" s="240"/>
      <c r="J199" s="240"/>
      <c r="K199" s="240"/>
      <c r="L199" s="240"/>
      <c r="M199" s="240"/>
      <c r="N199" s="240"/>
      <c r="O199" s="240"/>
      <c r="P199" s="240"/>
    </row>
    <row r="200" spans="1:38" x14ac:dyDescent="0.2">
      <c r="A200" s="240"/>
      <c r="B200" s="240"/>
      <c r="C200" s="240"/>
      <c r="D200" s="240"/>
      <c r="E200" s="240"/>
      <c r="F200" s="240"/>
      <c r="G200" s="240"/>
      <c r="H200" s="240"/>
      <c r="I200" s="240"/>
      <c r="J200" s="240"/>
      <c r="K200" s="240"/>
      <c r="L200" s="240"/>
      <c r="M200" s="240"/>
      <c r="N200" s="240"/>
      <c r="O200" s="240"/>
      <c r="P200" s="240"/>
    </row>
    <row r="201" spans="1:38" x14ac:dyDescent="0.2">
      <c r="A201" s="266"/>
      <c r="B201" s="266"/>
      <c r="C201" s="266"/>
      <c r="D201" s="266"/>
      <c r="E201" s="266"/>
      <c r="F201" s="266"/>
      <c r="G201" s="266"/>
      <c r="H201" s="266"/>
      <c r="I201" s="266"/>
      <c r="J201" s="266"/>
      <c r="K201" s="266"/>
      <c r="L201" s="266"/>
      <c r="M201" s="266"/>
      <c r="N201" s="266"/>
      <c r="O201" s="266"/>
      <c r="P201" s="266"/>
      <c r="R201" s="269">
        <f>Data!B34</f>
        <v>0</v>
      </c>
      <c r="S201" s="267"/>
      <c r="T201" s="267"/>
      <c r="U201" s="267"/>
      <c r="V201" s="267"/>
      <c r="W201" s="267"/>
      <c r="X201" s="267"/>
      <c r="Y201" s="267"/>
    </row>
    <row r="202" spans="1:38" x14ac:dyDescent="0.2">
      <c r="A202" t="s">
        <v>367</v>
      </c>
      <c r="R202" t="s">
        <v>368</v>
      </c>
    </row>
    <row r="203" spans="1:38" x14ac:dyDescent="0.2">
      <c r="A203" s="240"/>
      <c r="B203" s="240"/>
      <c r="C203" s="240"/>
      <c r="D203" s="240"/>
      <c r="E203" s="240"/>
      <c r="F203" s="240"/>
      <c r="G203" s="240"/>
      <c r="H203" s="240"/>
      <c r="I203" s="240"/>
      <c r="J203" s="240"/>
      <c r="K203" s="240"/>
      <c r="L203" s="240"/>
      <c r="M203" s="240"/>
      <c r="N203" s="240"/>
      <c r="O203" s="240"/>
      <c r="P203" s="240"/>
    </row>
    <row r="204" spans="1:38" x14ac:dyDescent="0.2">
      <c r="A204" s="240"/>
      <c r="B204" s="240"/>
      <c r="C204" s="240"/>
      <c r="D204" s="240"/>
      <c r="E204" s="240"/>
      <c r="F204" s="240"/>
      <c r="G204" s="240"/>
      <c r="H204" s="240"/>
      <c r="I204" s="240"/>
      <c r="J204" s="240"/>
      <c r="K204" s="240"/>
      <c r="L204" s="240"/>
      <c r="M204" s="240"/>
      <c r="N204" s="240"/>
      <c r="O204" s="240"/>
      <c r="P204" s="240"/>
    </row>
    <row r="205" spans="1:38" x14ac:dyDescent="0.2">
      <c r="A205" s="266"/>
      <c r="B205" s="266"/>
      <c r="C205" s="266"/>
      <c r="D205" s="266"/>
      <c r="E205" s="266"/>
      <c r="F205" s="266"/>
      <c r="G205" s="266"/>
      <c r="H205" s="266"/>
      <c r="I205" s="266"/>
      <c r="J205" s="266"/>
      <c r="K205" s="266"/>
      <c r="L205" s="266"/>
      <c r="M205" s="266"/>
      <c r="N205" s="266"/>
      <c r="O205" s="266"/>
      <c r="P205" s="266"/>
      <c r="R205" s="267">
        <f>Data!B175</f>
        <v>0</v>
      </c>
      <c r="S205" s="267"/>
      <c r="T205" s="267"/>
      <c r="U205" s="267"/>
      <c r="V205" s="267"/>
      <c r="W205" s="267"/>
      <c r="X205" s="267"/>
      <c r="Y205" s="267"/>
      <c r="Z205" s="267"/>
      <c r="AA205" s="267"/>
      <c r="AB205" s="267"/>
      <c r="AC205" s="267"/>
      <c r="AD205" s="267"/>
      <c r="AE205" s="267"/>
    </row>
    <row r="206" spans="1:38" ht="37.5" customHeight="1" x14ac:dyDescent="0.2">
      <c r="A206" s="114" t="s">
        <v>2881</v>
      </c>
      <c r="R206" s="114" t="s">
        <v>1465</v>
      </c>
    </row>
    <row r="207" spans="1:38" x14ac:dyDescent="0.2">
      <c r="A207" s="261" t="s">
        <v>1462</v>
      </c>
      <c r="B207" s="261"/>
      <c r="C207" s="261"/>
      <c r="D207" s="261"/>
      <c r="E207" s="261"/>
      <c r="F207" s="261"/>
      <c r="G207" s="261"/>
      <c r="H207" s="261"/>
      <c r="I207" s="261"/>
      <c r="J207" s="261"/>
      <c r="K207" s="261"/>
      <c r="L207" s="261"/>
      <c r="M207" s="261"/>
      <c r="N207" s="261"/>
      <c r="O207" s="261"/>
      <c r="P207" s="261"/>
      <c r="Q207" s="261"/>
      <c r="R207" s="261"/>
      <c r="S207" s="261"/>
      <c r="T207" s="261"/>
      <c r="U207" s="261"/>
      <c r="V207" s="261"/>
      <c r="W207" s="261"/>
      <c r="X207" s="261"/>
      <c r="Y207" s="261"/>
      <c r="Z207" s="261"/>
      <c r="AA207" s="261"/>
      <c r="AB207" s="261"/>
      <c r="AC207" s="261"/>
      <c r="AD207" s="261"/>
      <c r="AE207" s="261"/>
      <c r="AF207" s="261"/>
      <c r="AG207" s="261"/>
      <c r="AH207" s="261"/>
      <c r="AI207" s="261"/>
      <c r="AJ207" s="261"/>
      <c r="AK207" s="261"/>
      <c r="AL207" s="261"/>
    </row>
    <row r="208" spans="1:38" x14ac:dyDescent="0.2">
      <c r="A208" t="s">
        <v>336</v>
      </c>
      <c r="F208" s="267" t="str">
        <f>_xlfn.CONCAT(Data!B2,", ",Data!B3," ",Data!B4)</f>
        <v xml:space="preserve">,  </v>
      </c>
      <c r="G208" s="267"/>
      <c r="H208" s="267"/>
      <c r="I208" s="267"/>
      <c r="J208" s="267"/>
      <c r="K208" s="267"/>
      <c r="L208" s="267"/>
      <c r="M208" s="267"/>
      <c r="N208" s="267"/>
      <c r="O208" s="267"/>
      <c r="P208" s="267"/>
      <c r="Q208" s="267"/>
      <c r="R208" s="267"/>
      <c r="S208" s="267"/>
      <c r="T208" s="267"/>
      <c r="U208" s="267"/>
      <c r="W208" t="s">
        <v>580</v>
      </c>
      <c r="Y208" s="269">
        <f>Data!B14</f>
        <v>0</v>
      </c>
      <c r="Z208" s="267"/>
      <c r="AA208" s="267"/>
      <c r="AB208" s="267"/>
      <c r="AC208" s="267"/>
      <c r="AD208" s="267"/>
      <c r="AE208" s="267"/>
    </row>
    <row r="210" spans="1:38" x14ac:dyDescent="0.2">
      <c r="A210" t="s">
        <v>581</v>
      </c>
      <c r="I210" s="267">
        <f>Data!B326</f>
        <v>0</v>
      </c>
      <c r="J210" s="267"/>
      <c r="K210" s="267"/>
      <c r="L210" s="267"/>
      <c r="N210" t="s">
        <v>582</v>
      </c>
      <c r="S210" s="269">
        <f>Data!B33</f>
        <v>0</v>
      </c>
      <c r="T210" s="267"/>
      <c r="U210" s="267"/>
      <c r="V210" s="267"/>
      <c r="W210" s="267"/>
      <c r="X210" s="267"/>
      <c r="Y210" s="267"/>
      <c r="AA210" t="s">
        <v>583</v>
      </c>
      <c r="AF210" s="267">
        <f>Data!B185</f>
        <v>0</v>
      </c>
      <c r="AG210" s="267"/>
      <c r="AH210" s="267"/>
      <c r="AI210" s="267"/>
      <c r="AJ210" s="267"/>
      <c r="AK210" s="267"/>
      <c r="AL210" s="267"/>
    </row>
    <row r="212" spans="1:38" x14ac:dyDescent="0.2">
      <c r="A212" t="s">
        <v>584</v>
      </c>
      <c r="S212" s="233">
        <f>Data!B317</f>
        <v>0</v>
      </c>
      <c r="T212" s="233"/>
      <c r="U212" s="233"/>
      <c r="V212" s="233"/>
    </row>
    <row r="213" spans="1:38" x14ac:dyDescent="0.2">
      <c r="A213" t="s">
        <v>585</v>
      </c>
      <c r="E213" s="233" t="str">
        <f>IF(Data!B318="","N/A",Data!B318)</f>
        <v>N/A</v>
      </c>
      <c r="F213" s="233"/>
      <c r="G213" s="233"/>
      <c r="H213" s="233"/>
      <c r="I213" s="233"/>
      <c r="J213" s="233"/>
      <c r="K213" s="233"/>
      <c r="L213" s="233"/>
      <c r="M213" s="233"/>
      <c r="N213" s="233"/>
      <c r="O213" s="233"/>
      <c r="P213" s="233"/>
      <c r="Q213" s="233"/>
      <c r="R213" s="233"/>
      <c r="S213" s="233"/>
      <c r="T213" s="233"/>
      <c r="U213" s="233"/>
      <c r="V213" s="233"/>
      <c r="W213" s="233"/>
      <c r="X213" s="233"/>
      <c r="Y213" s="233"/>
      <c r="Z213" s="233"/>
      <c r="AA213" s="233"/>
      <c r="AB213" s="233"/>
      <c r="AC213" s="233"/>
      <c r="AD213" s="233"/>
      <c r="AE213" s="233"/>
      <c r="AF213" s="233"/>
      <c r="AG213" s="233"/>
      <c r="AH213" s="233"/>
      <c r="AI213" s="233"/>
      <c r="AJ213" s="233"/>
      <c r="AK213" s="233"/>
    </row>
    <row r="215" spans="1:38" x14ac:dyDescent="0.2">
      <c r="A215" t="s">
        <v>586</v>
      </c>
      <c r="V215" s="233">
        <f>Data!B319</f>
        <v>0</v>
      </c>
      <c r="W215" s="233"/>
      <c r="X215" s="233"/>
      <c r="Y215" s="233"/>
    </row>
    <row r="216" spans="1:38" x14ac:dyDescent="0.2">
      <c r="A216" t="s">
        <v>587</v>
      </c>
      <c r="E216" s="233" t="str">
        <f>_xlfn.CONCAT(Data!B320,IF(Data!B321="","",", "&amp;Data!B321),IF(Data!B319="No","N/A",""))</f>
        <v/>
      </c>
      <c r="F216" s="233"/>
      <c r="G216" s="233"/>
      <c r="H216" s="233"/>
      <c r="I216" s="233"/>
      <c r="J216" s="233"/>
      <c r="K216" s="233"/>
      <c r="L216" s="233"/>
      <c r="M216" s="233"/>
      <c r="N216" s="233"/>
      <c r="O216" s="233"/>
      <c r="P216" s="233"/>
      <c r="Q216" s="233"/>
      <c r="R216" s="233"/>
      <c r="S216" s="233"/>
      <c r="T216" s="233"/>
      <c r="U216" s="233"/>
      <c r="V216" s="233"/>
      <c r="W216" s="233"/>
      <c r="X216" s="233"/>
      <c r="Y216" s="233"/>
      <c r="Z216" s="233"/>
      <c r="AA216" s="233"/>
      <c r="AB216" s="233"/>
      <c r="AC216" s="233"/>
      <c r="AD216" s="233"/>
      <c r="AE216" s="233"/>
      <c r="AF216" s="233"/>
      <c r="AG216" s="233"/>
      <c r="AH216" s="233"/>
      <c r="AI216" s="233"/>
      <c r="AJ216" s="233"/>
      <c r="AK216" s="233"/>
    </row>
    <row r="218" spans="1:38" x14ac:dyDescent="0.2">
      <c r="A218" t="s">
        <v>588</v>
      </c>
    </row>
    <row r="219" spans="1:38" x14ac:dyDescent="0.2">
      <c r="A219" t="s">
        <v>597</v>
      </c>
    </row>
    <row r="220" spans="1:38" x14ac:dyDescent="0.2">
      <c r="A220" t="s">
        <v>589</v>
      </c>
    </row>
    <row r="221" spans="1:38" x14ac:dyDescent="0.2">
      <c r="A221" t="s">
        <v>590</v>
      </c>
    </row>
    <row r="222" spans="1:38" x14ac:dyDescent="0.2">
      <c r="A222" t="s">
        <v>591</v>
      </c>
    </row>
    <row r="223" spans="1:38" x14ac:dyDescent="0.2">
      <c r="A223" t="s">
        <v>592</v>
      </c>
    </row>
    <row r="225" spans="1:35" x14ac:dyDescent="0.2">
      <c r="A225" s="291" t="s">
        <v>593</v>
      </c>
      <c r="B225" s="291"/>
      <c r="C225" s="291"/>
      <c r="D225" s="291"/>
      <c r="E225" s="291"/>
      <c r="F225" s="291"/>
      <c r="G225" s="291"/>
      <c r="H225" s="291"/>
      <c r="I225" s="291"/>
      <c r="J225" s="291"/>
      <c r="K225" s="291"/>
      <c r="L225" s="291"/>
      <c r="M225" s="291"/>
      <c r="N225" s="291"/>
      <c r="O225" s="291"/>
      <c r="U225" s="291" t="s">
        <v>596</v>
      </c>
      <c r="V225" s="291"/>
      <c r="W225" s="291"/>
      <c r="X225" s="291"/>
      <c r="Y225" s="291"/>
      <c r="Z225" s="291"/>
      <c r="AA225" s="291"/>
      <c r="AB225" s="291"/>
      <c r="AC225" s="291"/>
      <c r="AD225" s="291"/>
      <c r="AE225" s="291"/>
      <c r="AF225" s="291"/>
      <c r="AG225" s="291"/>
      <c r="AH225" s="291"/>
      <c r="AI225" s="291"/>
    </row>
    <row r="226" spans="1:35" x14ac:dyDescent="0.2">
      <c r="A226" t="s">
        <v>594</v>
      </c>
      <c r="E226" s="233">
        <f>Data!B322</f>
        <v>0</v>
      </c>
      <c r="F226" s="233"/>
      <c r="G226" s="233"/>
      <c r="H226" s="233"/>
      <c r="I226" s="233"/>
      <c r="J226" s="233"/>
      <c r="K226" s="233"/>
      <c r="L226" s="233"/>
      <c r="M226" s="233"/>
      <c r="N226" s="233"/>
      <c r="O226" s="233"/>
      <c r="U226" t="s">
        <v>594</v>
      </c>
      <c r="Y226" s="233">
        <f>Data!B324</f>
        <v>0</v>
      </c>
      <c r="Z226" s="233"/>
      <c r="AA226" s="233"/>
      <c r="AB226" s="233"/>
      <c r="AC226" s="233"/>
      <c r="AD226" s="233"/>
      <c r="AE226" s="233"/>
      <c r="AF226" s="233"/>
      <c r="AG226" s="233"/>
      <c r="AH226" s="233"/>
      <c r="AI226" s="233"/>
    </row>
    <row r="228" spans="1:35" x14ac:dyDescent="0.2">
      <c r="A228" t="s">
        <v>595</v>
      </c>
      <c r="D228" s="255" t="str">
        <f>_xlfn.CONCAT(Data!B323,IF(Data!B322="PCP Determination",Data!B87&amp;" "&amp;Data!B93,""))</f>
        <v/>
      </c>
      <c r="E228" s="255"/>
      <c r="F228" s="255"/>
      <c r="G228" s="255"/>
      <c r="H228" s="255"/>
      <c r="I228" s="255"/>
      <c r="J228" s="255"/>
      <c r="K228" s="255"/>
      <c r="L228" s="255"/>
      <c r="M228" s="255"/>
      <c r="N228" s="255"/>
      <c r="O228" s="255"/>
      <c r="U228" t="s">
        <v>595</v>
      </c>
      <c r="X228" s="255" t="str">
        <f>_xlfn.CONCAT(Data!B325,IF(Data!B322="PCP Determination"," "&amp;Data!B87&amp;" "&amp;Data!B93,""))</f>
        <v/>
      </c>
      <c r="Y228" s="255"/>
      <c r="Z228" s="255"/>
      <c r="AA228" s="255"/>
      <c r="AB228" s="255"/>
      <c r="AC228" s="255"/>
      <c r="AD228" s="255"/>
      <c r="AE228" s="255"/>
      <c r="AF228" s="255"/>
      <c r="AG228" s="255"/>
      <c r="AH228" s="255"/>
      <c r="AI228" s="255"/>
    </row>
    <row r="229" spans="1:35" x14ac:dyDescent="0.2">
      <c r="D229" s="255"/>
      <c r="E229" s="255"/>
      <c r="F229" s="255"/>
      <c r="G229" s="255"/>
      <c r="H229" s="255"/>
      <c r="I229" s="255"/>
      <c r="J229" s="255"/>
      <c r="K229" s="255"/>
      <c r="L229" s="255"/>
      <c r="M229" s="255"/>
      <c r="N229" s="255"/>
      <c r="O229" s="255"/>
      <c r="X229" s="255"/>
      <c r="Y229" s="255"/>
      <c r="Z229" s="255"/>
      <c r="AA229" s="255"/>
      <c r="AB229" s="255"/>
      <c r="AC229" s="255"/>
      <c r="AD229" s="255"/>
      <c r="AE229" s="255"/>
      <c r="AF229" s="255"/>
      <c r="AG229" s="255"/>
      <c r="AH229" s="255"/>
      <c r="AI229" s="255"/>
    </row>
    <row r="230" spans="1:35" x14ac:dyDescent="0.2">
      <c r="D230" s="255"/>
      <c r="E230" s="255"/>
      <c r="F230" s="255"/>
      <c r="G230" s="255"/>
      <c r="H230" s="255"/>
      <c r="I230" s="255"/>
      <c r="J230" s="255"/>
      <c r="K230" s="255"/>
      <c r="L230" s="255"/>
      <c r="M230" s="255"/>
      <c r="N230" s="255"/>
      <c r="O230" s="255"/>
      <c r="X230" s="255"/>
      <c r="Y230" s="255"/>
      <c r="Z230" s="255"/>
      <c r="AA230" s="255"/>
      <c r="AB230" s="255"/>
      <c r="AC230" s="255"/>
      <c r="AD230" s="255"/>
      <c r="AE230" s="255"/>
      <c r="AF230" s="255"/>
      <c r="AG230" s="255"/>
      <c r="AH230" s="255"/>
      <c r="AI230" s="255"/>
    </row>
    <row r="231" spans="1:35" x14ac:dyDescent="0.2">
      <c r="D231" s="255"/>
      <c r="E231" s="255"/>
      <c r="F231" s="255"/>
      <c r="G231" s="255"/>
      <c r="H231" s="255"/>
      <c r="I231" s="255"/>
      <c r="J231" s="255"/>
      <c r="K231" s="255"/>
      <c r="L231" s="255"/>
      <c r="M231" s="255"/>
      <c r="N231" s="255"/>
      <c r="O231" s="255"/>
      <c r="X231" s="255"/>
      <c r="Y231" s="255"/>
      <c r="Z231" s="255"/>
      <c r="AA231" s="255"/>
      <c r="AB231" s="255"/>
      <c r="AC231" s="255"/>
      <c r="AD231" s="255"/>
      <c r="AE231" s="255"/>
      <c r="AF231" s="255"/>
      <c r="AG231" s="255"/>
      <c r="AH231" s="255"/>
      <c r="AI231" s="255"/>
    </row>
    <row r="244" spans="1:37" ht="9" customHeight="1" x14ac:dyDescent="0.2"/>
    <row r="245" spans="1:37" ht="7.5" customHeight="1" x14ac:dyDescent="0.2"/>
    <row r="248" spans="1:37" x14ac:dyDescent="0.2">
      <c r="A248" s="268" t="str">
        <f>IF(Data!B1746=TRUE,"Client unable to sign electronically due to technical difficulty and/or physical deficit. Confirmation page signed.","")</f>
        <v/>
      </c>
      <c r="B248" s="268"/>
      <c r="C248" s="268"/>
      <c r="D248" s="268"/>
      <c r="E248" s="268"/>
      <c r="F248" s="268"/>
      <c r="G248" s="268"/>
      <c r="H248" s="268"/>
      <c r="I248" s="268"/>
      <c r="J248" s="268"/>
      <c r="K248" s="268"/>
      <c r="L248" s="268"/>
      <c r="M248" s="268"/>
      <c r="N248" s="268"/>
      <c r="O248" s="268"/>
      <c r="P248" s="268"/>
      <c r="Q248" s="268"/>
      <c r="R248" s="268"/>
      <c r="S248" s="268"/>
      <c r="T248" s="268"/>
      <c r="U248" s="268"/>
      <c r="V248" s="268"/>
      <c r="W248" s="268"/>
      <c r="X248" s="268"/>
      <c r="Y248" s="268"/>
      <c r="Z248" s="268"/>
      <c r="AA248" s="268"/>
      <c r="AB248" s="268"/>
      <c r="AC248" s="268"/>
      <c r="AD248" s="268"/>
      <c r="AE248" s="268"/>
      <c r="AF248" s="268"/>
      <c r="AG248" s="268"/>
      <c r="AH248" s="268"/>
      <c r="AI248" s="268"/>
      <c r="AJ248" s="268"/>
      <c r="AK248" s="268"/>
    </row>
    <row r="250" spans="1:37" x14ac:dyDescent="0.2">
      <c r="A250" s="240"/>
      <c r="B250" s="240"/>
      <c r="C250" s="240"/>
      <c r="D250" s="240"/>
      <c r="E250" s="240"/>
      <c r="F250" s="240"/>
      <c r="G250" s="240"/>
      <c r="H250" s="240"/>
      <c r="I250" s="240"/>
      <c r="J250" s="240"/>
      <c r="K250" s="240"/>
      <c r="L250" s="240"/>
      <c r="M250" s="240"/>
      <c r="N250" s="240"/>
      <c r="O250" s="240"/>
      <c r="P250" s="240"/>
    </row>
    <row r="251" spans="1:37" x14ac:dyDescent="0.2">
      <c r="A251" s="240"/>
      <c r="B251" s="240"/>
      <c r="C251" s="240"/>
      <c r="D251" s="240"/>
      <c r="E251" s="240"/>
      <c r="F251" s="240"/>
      <c r="G251" s="240"/>
      <c r="H251" s="240"/>
      <c r="I251" s="240"/>
      <c r="J251" s="240"/>
      <c r="K251" s="240"/>
      <c r="L251" s="240"/>
      <c r="M251" s="240"/>
      <c r="N251" s="240"/>
      <c r="O251" s="240"/>
      <c r="P251" s="240"/>
    </row>
    <row r="252" spans="1:37" x14ac:dyDescent="0.2">
      <c r="A252" s="266"/>
      <c r="B252" s="266"/>
      <c r="C252" s="266"/>
      <c r="D252" s="266"/>
      <c r="E252" s="266"/>
      <c r="F252" s="266"/>
      <c r="G252" s="266"/>
      <c r="H252" s="266"/>
      <c r="I252" s="266"/>
      <c r="J252" s="266"/>
      <c r="K252" s="266"/>
      <c r="L252" s="266"/>
      <c r="M252" s="266"/>
      <c r="N252" s="266"/>
      <c r="O252" s="266"/>
      <c r="P252" s="266"/>
      <c r="R252" s="269">
        <f>Data!B34</f>
        <v>0</v>
      </c>
      <c r="S252" s="267"/>
      <c r="T252" s="267"/>
      <c r="U252" s="267"/>
      <c r="V252" s="267"/>
      <c r="W252" s="267"/>
      <c r="X252" s="267"/>
      <c r="Y252" s="267"/>
    </row>
    <row r="253" spans="1:37" x14ac:dyDescent="0.2">
      <c r="A253" t="s">
        <v>367</v>
      </c>
      <c r="R253" t="s">
        <v>368</v>
      </c>
    </row>
    <row r="254" spans="1:37" x14ac:dyDescent="0.2">
      <c r="A254" s="240"/>
      <c r="B254" s="240"/>
      <c r="C254" s="240"/>
      <c r="D254" s="240"/>
      <c r="E254" s="240"/>
      <c r="F254" s="240"/>
      <c r="G254" s="240"/>
      <c r="H254" s="240"/>
      <c r="I254" s="240"/>
      <c r="J254" s="240"/>
      <c r="K254" s="240"/>
      <c r="L254" s="240"/>
      <c r="M254" s="240"/>
      <c r="N254" s="240"/>
      <c r="O254" s="240"/>
      <c r="P254" s="240"/>
    </row>
    <row r="255" spans="1:37" x14ac:dyDescent="0.2">
      <c r="A255" s="240"/>
      <c r="B255" s="240"/>
      <c r="C255" s="240"/>
      <c r="D255" s="240"/>
      <c r="E255" s="240"/>
      <c r="F255" s="240"/>
      <c r="G255" s="240"/>
      <c r="H255" s="240"/>
      <c r="I255" s="240"/>
      <c r="J255" s="240"/>
      <c r="K255" s="240"/>
      <c r="L255" s="240"/>
      <c r="M255" s="240"/>
      <c r="N255" s="240"/>
      <c r="O255" s="240"/>
      <c r="P255" s="240"/>
    </row>
    <row r="256" spans="1:37" x14ac:dyDescent="0.2">
      <c r="A256" s="266"/>
      <c r="B256" s="266"/>
      <c r="C256" s="266"/>
      <c r="D256" s="266"/>
      <c r="E256" s="266"/>
      <c r="F256" s="266"/>
      <c r="G256" s="266"/>
      <c r="H256" s="266"/>
      <c r="I256" s="266"/>
      <c r="J256" s="266"/>
      <c r="K256" s="266"/>
      <c r="L256" s="266"/>
      <c r="M256" s="266"/>
      <c r="N256" s="266"/>
      <c r="O256" s="266"/>
      <c r="P256" s="266"/>
      <c r="R256" s="267">
        <f>Data!B175</f>
        <v>0</v>
      </c>
      <c r="S256" s="267"/>
      <c r="T256" s="267"/>
      <c r="U256" s="267"/>
      <c r="V256" s="267"/>
      <c r="W256" s="267"/>
      <c r="X256" s="267"/>
      <c r="Y256" s="267"/>
      <c r="Z256" s="267"/>
      <c r="AA256" s="267"/>
      <c r="AB256" s="267"/>
      <c r="AC256" s="267"/>
      <c r="AD256" s="267"/>
      <c r="AE256" s="267"/>
    </row>
    <row r="257" spans="1:38" x14ac:dyDescent="0.2">
      <c r="A257" t="s">
        <v>2881</v>
      </c>
      <c r="R257" t="s">
        <v>1465</v>
      </c>
    </row>
    <row r="259" spans="1:38" ht="5.25" customHeight="1" x14ac:dyDescent="0.2"/>
    <row r="260" spans="1:38" x14ac:dyDescent="0.2">
      <c r="A260" s="261" t="s">
        <v>2900</v>
      </c>
      <c r="B260" s="261"/>
      <c r="C260" s="261"/>
      <c r="D260" s="261"/>
      <c r="E260" s="261"/>
      <c r="F260" s="261"/>
      <c r="G260" s="261"/>
      <c r="H260" s="261"/>
      <c r="I260" s="261"/>
      <c r="J260" s="261"/>
      <c r="K260" s="261"/>
      <c r="L260" s="261"/>
      <c r="M260" s="261"/>
      <c r="N260" s="261"/>
      <c r="O260" s="261"/>
      <c r="P260" s="261"/>
      <c r="Q260" s="261"/>
      <c r="R260" s="261"/>
      <c r="S260" s="261"/>
      <c r="T260" s="261"/>
      <c r="U260" s="261"/>
      <c r="V260" s="261"/>
      <c r="W260" s="261"/>
      <c r="X260" s="261"/>
      <c r="Y260" s="261"/>
      <c r="Z260" s="261"/>
      <c r="AA260" s="261"/>
      <c r="AB260" s="261"/>
      <c r="AC260" s="261"/>
      <c r="AD260" s="261"/>
      <c r="AE260" s="261"/>
      <c r="AF260" s="261"/>
      <c r="AG260" s="261"/>
      <c r="AH260" s="261"/>
      <c r="AI260" s="261"/>
      <c r="AJ260" s="261"/>
      <c r="AK260" s="261"/>
      <c r="AL260" s="261"/>
    </row>
    <row r="261" spans="1:38" x14ac:dyDescent="0.2">
      <c r="A261" s="8"/>
      <c r="B261" s="8"/>
      <c r="C261" s="8"/>
      <c r="D261" s="8"/>
      <c r="E261" s="8"/>
      <c r="F261" s="8"/>
      <c r="G261" s="8"/>
      <c r="H261" s="8"/>
      <c r="I261" s="8"/>
      <c r="J261" s="8"/>
      <c r="K261" s="8"/>
      <c r="L261" s="8"/>
      <c r="M261" s="8"/>
      <c r="N261" s="8"/>
      <c r="O261" s="8"/>
      <c r="P261" s="8"/>
      <c r="Q261" s="8"/>
      <c r="R261" s="8"/>
      <c r="S261" s="8"/>
      <c r="T261" s="8"/>
      <c r="U261" s="8"/>
      <c r="V261" s="8"/>
      <c r="W261" s="8"/>
      <c r="X261" s="8"/>
      <c r="Y261" s="8"/>
      <c r="Z261" s="8"/>
      <c r="AA261" s="8"/>
      <c r="AB261" s="8"/>
      <c r="AC261" s="8"/>
      <c r="AD261" s="8"/>
      <c r="AE261" s="8"/>
      <c r="AF261" s="8"/>
      <c r="AG261" s="8"/>
      <c r="AH261" s="8"/>
      <c r="AI261" s="8"/>
      <c r="AJ261" s="8"/>
      <c r="AK261" s="8"/>
      <c r="AL261" s="8"/>
    </row>
    <row r="262" spans="1:38" x14ac:dyDescent="0.2">
      <c r="A262" t="s">
        <v>336</v>
      </c>
      <c r="F262" s="267" t="str">
        <f>_xlfn.CONCAT(Data!B2,", ",Data!B3," ",Data!B4)</f>
        <v xml:space="preserve">,  </v>
      </c>
      <c r="G262" s="267"/>
      <c r="H262" s="267"/>
      <c r="I262" s="267"/>
      <c r="J262" s="267"/>
      <c r="K262" s="267"/>
      <c r="L262" s="267"/>
      <c r="M262" s="267"/>
      <c r="N262" s="267"/>
      <c r="O262" s="267"/>
      <c r="P262" s="267"/>
      <c r="Q262" s="267"/>
      <c r="R262" s="267"/>
      <c r="S262" s="267"/>
      <c r="T262" s="267"/>
      <c r="U262" s="267"/>
      <c r="V262" s="267"/>
      <c r="W262" s="267"/>
      <c r="Y262" t="s">
        <v>371</v>
      </c>
      <c r="AA262" s="269">
        <f>Data!B14</f>
        <v>0</v>
      </c>
      <c r="AB262" s="267"/>
      <c r="AC262" s="267"/>
      <c r="AD262" s="267"/>
      <c r="AE262" s="267"/>
      <c r="AF262" s="267"/>
      <c r="AG262" s="267"/>
    </row>
    <row r="264" spans="1:38" x14ac:dyDescent="0.2">
      <c r="A264" s="260" t="s">
        <v>598</v>
      </c>
      <c r="B264" s="260"/>
      <c r="C264" s="260"/>
      <c r="D264" s="260"/>
      <c r="E264" s="260"/>
      <c r="F264" s="260"/>
      <c r="G264" s="260"/>
      <c r="H264" s="260"/>
      <c r="I264" s="260"/>
      <c r="J264" s="260"/>
      <c r="K264" s="260"/>
      <c r="L264" s="260"/>
      <c r="M264" s="260"/>
      <c r="N264" s="260"/>
      <c r="O264" s="260"/>
      <c r="P264" s="260"/>
      <c r="Q264" s="260"/>
      <c r="R264" s="260"/>
      <c r="S264" s="260"/>
      <c r="T264" s="260"/>
      <c r="U264" s="260"/>
      <c r="V264" s="260"/>
      <c r="W264" s="260"/>
      <c r="X264" s="260"/>
      <c r="Y264" s="260"/>
      <c r="Z264" s="260"/>
      <c r="AA264" s="260"/>
      <c r="AB264" s="260"/>
      <c r="AC264" s="260"/>
      <c r="AD264" s="260"/>
      <c r="AE264" s="260"/>
      <c r="AF264" s="260"/>
      <c r="AG264" s="260"/>
      <c r="AH264" s="260"/>
      <c r="AI264" s="260"/>
      <c r="AJ264" s="260"/>
      <c r="AK264" s="260"/>
      <c r="AL264" s="260"/>
    </row>
    <row r="265" spans="1:38" x14ac:dyDescent="0.2">
      <c r="A265" s="260"/>
      <c r="B265" s="260"/>
      <c r="C265" s="260"/>
      <c r="D265" s="260"/>
      <c r="E265" s="260"/>
      <c r="F265" s="260"/>
      <c r="G265" s="260"/>
      <c r="H265" s="260"/>
      <c r="I265" s="260"/>
      <c r="J265" s="260"/>
      <c r="K265" s="260"/>
      <c r="L265" s="260"/>
      <c r="M265" s="260"/>
      <c r="N265" s="260"/>
      <c r="O265" s="260"/>
      <c r="P265" s="260"/>
      <c r="Q265" s="260"/>
      <c r="R265" s="260"/>
      <c r="S265" s="260"/>
      <c r="T265" s="260"/>
      <c r="U265" s="260"/>
      <c r="V265" s="260"/>
      <c r="W265" s="260"/>
      <c r="X265" s="260"/>
      <c r="Y265" s="260"/>
      <c r="Z265" s="260"/>
      <c r="AA265" s="260"/>
      <c r="AB265" s="260"/>
      <c r="AC265" s="260"/>
      <c r="AD265" s="260"/>
      <c r="AE265" s="260"/>
      <c r="AF265" s="260"/>
      <c r="AG265" s="260"/>
      <c r="AH265" s="260"/>
      <c r="AI265" s="260"/>
      <c r="AJ265" s="260"/>
      <c r="AK265" s="260"/>
      <c r="AL265" s="260"/>
    </row>
    <row r="266" spans="1:38" x14ac:dyDescent="0.2">
      <c r="A266" s="260"/>
      <c r="B266" s="260"/>
      <c r="C266" s="260"/>
      <c r="D266" s="260"/>
      <c r="E266" s="260"/>
      <c r="F266" s="260"/>
      <c r="G266" s="260"/>
      <c r="H266" s="260"/>
      <c r="I266" s="260"/>
      <c r="J266" s="260"/>
      <c r="K266" s="260"/>
      <c r="L266" s="260"/>
      <c r="M266" s="260"/>
      <c r="N266" s="260"/>
      <c r="O266" s="260"/>
      <c r="P266" s="260"/>
      <c r="Q266" s="260"/>
      <c r="R266" s="260"/>
      <c r="S266" s="260"/>
      <c r="T266" s="260"/>
      <c r="U266" s="260"/>
      <c r="V266" s="260"/>
      <c r="W266" s="260"/>
      <c r="X266" s="260"/>
      <c r="Y266" s="260"/>
      <c r="Z266" s="260"/>
      <c r="AA266" s="260"/>
      <c r="AB266" s="260"/>
      <c r="AC266" s="260"/>
      <c r="AD266" s="260"/>
      <c r="AE266" s="260"/>
      <c r="AF266" s="260"/>
      <c r="AG266" s="260"/>
      <c r="AH266" s="260"/>
      <c r="AI266" s="260"/>
      <c r="AJ266" s="260"/>
      <c r="AK266" s="260"/>
      <c r="AL266" s="260"/>
    </row>
    <row r="267" spans="1:38" x14ac:dyDescent="0.2">
      <c r="A267" s="260"/>
      <c r="B267" s="260"/>
      <c r="C267" s="260"/>
      <c r="D267" s="260"/>
      <c r="E267" s="260"/>
      <c r="F267" s="260"/>
      <c r="G267" s="260"/>
      <c r="H267" s="260"/>
      <c r="I267" s="260"/>
      <c r="J267" s="260"/>
      <c r="K267" s="260"/>
      <c r="L267" s="260"/>
      <c r="M267" s="260"/>
      <c r="N267" s="260"/>
      <c r="O267" s="260"/>
      <c r="P267" s="260"/>
      <c r="Q267" s="260"/>
      <c r="R267" s="260"/>
      <c r="S267" s="260"/>
      <c r="T267" s="260"/>
      <c r="U267" s="260"/>
      <c r="V267" s="260"/>
      <c r="W267" s="260"/>
      <c r="X267" s="260"/>
      <c r="Y267" s="260"/>
      <c r="Z267" s="260"/>
      <c r="AA267" s="260"/>
      <c r="AB267" s="260"/>
      <c r="AC267" s="260"/>
      <c r="AD267" s="260"/>
      <c r="AE267" s="260"/>
      <c r="AF267" s="260"/>
      <c r="AG267" s="260"/>
      <c r="AH267" s="260"/>
      <c r="AI267" s="260"/>
      <c r="AJ267" s="260"/>
      <c r="AK267" s="260"/>
      <c r="AL267" s="260"/>
    </row>
    <row r="268" spans="1:38" x14ac:dyDescent="0.2">
      <c r="A268" s="260"/>
      <c r="B268" s="260"/>
      <c r="C268" s="260"/>
      <c r="D268" s="260"/>
      <c r="E268" s="260"/>
      <c r="F268" s="260"/>
      <c r="G268" s="260"/>
      <c r="H268" s="260"/>
      <c r="I268" s="260"/>
      <c r="J268" s="260"/>
      <c r="K268" s="260"/>
      <c r="L268" s="260"/>
      <c r="M268" s="260"/>
      <c r="N268" s="260"/>
      <c r="O268" s="260"/>
      <c r="P268" s="260"/>
      <c r="Q268" s="260"/>
      <c r="R268" s="260"/>
      <c r="S268" s="260"/>
      <c r="T268" s="260"/>
      <c r="U268" s="260"/>
      <c r="V268" s="260"/>
      <c r="W268" s="260"/>
      <c r="X268" s="260"/>
      <c r="Y268" s="260"/>
      <c r="Z268" s="260"/>
      <c r="AA268" s="260"/>
      <c r="AB268" s="260"/>
      <c r="AC268" s="260"/>
      <c r="AD268" s="260"/>
      <c r="AE268" s="260"/>
      <c r="AF268" s="260"/>
      <c r="AG268" s="260"/>
      <c r="AH268" s="260"/>
      <c r="AI268" s="260"/>
      <c r="AJ268" s="260"/>
      <c r="AK268" s="260"/>
      <c r="AL268" s="260"/>
    </row>
    <row r="269" spans="1:38" x14ac:dyDescent="0.2">
      <c r="A269" s="260"/>
      <c r="B269" s="260"/>
      <c r="C269" s="260"/>
      <c r="D269" s="260"/>
      <c r="E269" s="260"/>
      <c r="F269" s="260"/>
      <c r="G269" s="260"/>
      <c r="H269" s="260"/>
      <c r="I269" s="260"/>
      <c r="J269" s="260"/>
      <c r="K269" s="260"/>
      <c r="L269" s="260"/>
      <c r="M269" s="260"/>
      <c r="N269" s="260"/>
      <c r="O269" s="260"/>
      <c r="P269" s="260"/>
      <c r="Q269" s="260"/>
      <c r="R269" s="260"/>
      <c r="S269" s="260"/>
      <c r="T269" s="260"/>
      <c r="U269" s="260"/>
      <c r="V269" s="260"/>
      <c r="W269" s="260"/>
      <c r="X269" s="260"/>
      <c r="Y269" s="260"/>
      <c r="Z269" s="260"/>
      <c r="AA269" s="260"/>
      <c r="AB269" s="260"/>
      <c r="AC269" s="260"/>
      <c r="AD269" s="260"/>
      <c r="AE269" s="260"/>
      <c r="AF269" s="260"/>
      <c r="AG269" s="260"/>
      <c r="AH269" s="260"/>
      <c r="AI269" s="260"/>
      <c r="AJ269" s="260"/>
      <c r="AK269" s="260"/>
      <c r="AL269" s="260"/>
    </row>
    <row r="270" spans="1:38" x14ac:dyDescent="0.2">
      <c r="A270" t="s">
        <v>599</v>
      </c>
      <c r="H270" s="219" t="str">
        <f>_xlfn.CONCAT(IF(Data!B222=TRUE,"Lives Alone",""),IF(Data!B223=TRUE,"Lives with family",""),IF(Data!B224=TRUE,"Lives with others",""),IF(Data!B225=TRUE,"Lives in a staffed facility",""))</f>
        <v/>
      </c>
      <c r="I270" s="219"/>
      <c r="J270" s="219"/>
      <c r="K270" s="219"/>
      <c r="L270" s="219"/>
      <c r="M270" s="219"/>
      <c r="N270" s="219"/>
      <c r="O270" s="219"/>
      <c r="P270" s="219"/>
      <c r="Q270" s="219"/>
      <c r="S270" t="s">
        <v>600</v>
      </c>
      <c r="X270" s="233" t="str">
        <f>_xlfn.CONCAT(IF(Data!B218=TRUE,"House",""),IF(Data!B219=TRUE,"Apartment",""),IF(Data!B220=TRUE,"Trailer",""),IF(Data!B221=TRUE,"Staffed Facility",""))</f>
        <v/>
      </c>
      <c r="Y270" s="233"/>
      <c r="Z270" s="233"/>
      <c r="AA270" s="233"/>
      <c r="AB270" s="233"/>
      <c r="AC270" s="233"/>
      <c r="AD270" s="233"/>
      <c r="AE270" s="233"/>
      <c r="AF270" s="233"/>
    </row>
    <row r="271" spans="1:38" x14ac:dyDescent="0.2">
      <c r="A271" t="s">
        <v>601</v>
      </c>
      <c r="H271" s="219">
        <f>Data!B232</f>
        <v>0</v>
      </c>
      <c r="I271" s="219"/>
      <c r="J271" s="219"/>
      <c r="K271" s="219"/>
      <c r="L271" s="16"/>
      <c r="M271" s="16"/>
      <c r="N271" s="16"/>
      <c r="O271" s="16"/>
      <c r="P271" s="16"/>
      <c r="Q271" s="16"/>
      <c r="S271" t="s">
        <v>602</v>
      </c>
      <c r="Z271" s="290">
        <f>Data!B172</f>
        <v>0</v>
      </c>
      <c r="AA271" s="290"/>
      <c r="AB271" s="290"/>
      <c r="AC271" s="290"/>
      <c r="AD271" s="290"/>
      <c r="AE271" s="290"/>
      <c r="AF271" s="290"/>
      <c r="AG271" s="290"/>
      <c r="AH271" s="290"/>
      <c r="AI271" s="290"/>
      <c r="AJ271" s="290"/>
      <c r="AK271" s="290"/>
      <c r="AL271" s="290"/>
    </row>
    <row r="273" spans="1:38" x14ac:dyDescent="0.2">
      <c r="A273" s="261" t="s">
        <v>603</v>
      </c>
      <c r="B273" s="261"/>
      <c r="C273" s="261"/>
      <c r="D273" s="261"/>
      <c r="E273" s="261"/>
      <c r="F273" s="261"/>
      <c r="G273" s="261"/>
      <c r="H273" s="261"/>
      <c r="I273" s="261"/>
      <c r="J273" s="261"/>
      <c r="K273" s="261"/>
      <c r="L273" s="261"/>
      <c r="M273" s="261"/>
      <c r="N273" s="261"/>
      <c r="O273" s="261"/>
      <c r="P273" s="261"/>
      <c r="Q273" s="261"/>
      <c r="R273" s="261"/>
      <c r="S273" s="261"/>
      <c r="T273" s="261"/>
      <c r="U273" s="261"/>
      <c r="V273" s="261"/>
      <c r="W273" s="261"/>
      <c r="X273" s="261"/>
      <c r="Y273" s="261"/>
      <c r="Z273" s="261"/>
      <c r="AA273" s="261"/>
      <c r="AB273" s="261"/>
      <c r="AC273" s="261"/>
      <c r="AD273" s="261"/>
      <c r="AE273" s="261"/>
      <c r="AF273" s="261"/>
      <c r="AG273" s="261"/>
      <c r="AH273" s="261"/>
      <c r="AI273" s="261"/>
      <c r="AJ273" s="261"/>
      <c r="AK273" s="261"/>
      <c r="AL273" s="261"/>
    </row>
    <row r="274" spans="1:38" x14ac:dyDescent="0.2">
      <c r="A274" s="260" t="s">
        <v>604</v>
      </c>
      <c r="B274" s="260"/>
      <c r="C274" s="260"/>
      <c r="D274" s="260"/>
      <c r="E274" s="260"/>
      <c r="F274" s="260"/>
      <c r="G274" s="260"/>
      <c r="H274" s="260"/>
      <c r="I274" s="260"/>
      <c r="J274" s="260"/>
      <c r="K274" s="260"/>
      <c r="L274" s="260"/>
      <c r="M274" s="260"/>
      <c r="N274" s="260"/>
      <c r="O274" s="260"/>
      <c r="P274" s="260"/>
      <c r="Q274" s="260"/>
      <c r="R274" s="260"/>
      <c r="S274" s="260"/>
      <c r="T274" s="260"/>
      <c r="U274" s="260"/>
      <c r="V274" s="260"/>
      <c r="W274" s="260"/>
      <c r="X274" s="260"/>
      <c r="Y274" s="260"/>
      <c r="Z274" s="260"/>
      <c r="AA274" s="260"/>
      <c r="AB274" s="260"/>
      <c r="AC274" s="260"/>
      <c r="AD274" s="260"/>
      <c r="AE274" s="260"/>
      <c r="AF274" s="260"/>
      <c r="AG274" s="260"/>
      <c r="AH274" s="260"/>
      <c r="AI274" s="260"/>
      <c r="AJ274" s="260"/>
      <c r="AK274" s="260"/>
      <c r="AL274" s="260"/>
    </row>
    <row r="275" spans="1:38" x14ac:dyDescent="0.2">
      <c r="A275" s="260"/>
      <c r="B275" s="260"/>
      <c r="C275" s="260"/>
      <c r="D275" s="260"/>
      <c r="E275" s="260"/>
      <c r="F275" s="260"/>
      <c r="G275" s="260"/>
      <c r="H275" s="260"/>
      <c r="I275" s="260"/>
      <c r="J275" s="260"/>
      <c r="K275" s="260"/>
      <c r="L275" s="260"/>
      <c r="M275" s="260"/>
      <c r="N275" s="260"/>
      <c r="O275" s="260"/>
      <c r="P275" s="260"/>
      <c r="Q275" s="260"/>
      <c r="R275" s="260"/>
      <c r="S275" s="260"/>
      <c r="T275" s="260"/>
      <c r="U275" s="260"/>
      <c r="V275" s="260"/>
      <c r="W275" s="260"/>
      <c r="X275" s="260"/>
      <c r="Y275" s="260"/>
      <c r="Z275" s="260"/>
      <c r="AA275" s="260"/>
      <c r="AB275" s="260"/>
      <c r="AC275" s="260"/>
      <c r="AD275" s="260"/>
      <c r="AE275" s="260"/>
      <c r="AF275" s="260"/>
      <c r="AG275" s="260"/>
      <c r="AH275" s="260"/>
      <c r="AI275" s="260"/>
      <c r="AJ275" s="260"/>
      <c r="AK275" s="260"/>
      <c r="AL275" s="260"/>
    </row>
    <row r="276" spans="1:38" x14ac:dyDescent="0.2">
      <c r="A276" s="260"/>
      <c r="B276" s="260"/>
      <c r="C276" s="260"/>
      <c r="D276" s="260"/>
      <c r="E276" s="260"/>
      <c r="F276" s="260"/>
      <c r="G276" s="260"/>
      <c r="H276" s="260"/>
      <c r="I276" s="260"/>
      <c r="J276" s="260"/>
      <c r="K276" s="260"/>
      <c r="L276" s="260"/>
      <c r="M276" s="260"/>
      <c r="N276" s="260"/>
      <c r="O276" s="260"/>
      <c r="P276" s="260"/>
      <c r="Q276" s="260"/>
      <c r="R276" s="260"/>
      <c r="S276" s="260"/>
      <c r="T276" s="260"/>
      <c r="U276" s="260"/>
      <c r="V276" s="260"/>
      <c r="W276" s="260"/>
      <c r="X276" s="260"/>
      <c r="Y276" s="260"/>
      <c r="Z276" s="260"/>
      <c r="AA276" s="260"/>
      <c r="AB276" s="260"/>
      <c r="AC276" s="260"/>
      <c r="AD276" s="260"/>
      <c r="AE276" s="260"/>
      <c r="AF276" s="260"/>
      <c r="AG276" s="260"/>
      <c r="AH276" s="260"/>
      <c r="AI276" s="260"/>
      <c r="AJ276" s="260"/>
      <c r="AK276" s="260"/>
      <c r="AL276" s="260"/>
    </row>
    <row r="277" spans="1:38" x14ac:dyDescent="0.2">
      <c r="A277" s="260"/>
      <c r="B277" s="260"/>
      <c r="C277" s="260"/>
      <c r="D277" s="260"/>
      <c r="E277" s="260"/>
      <c r="F277" s="260"/>
      <c r="G277" s="260"/>
      <c r="H277" s="260"/>
      <c r="I277" s="260"/>
      <c r="J277" s="260"/>
      <c r="K277" s="260"/>
      <c r="L277" s="260"/>
      <c r="M277" s="260"/>
      <c r="N277" s="260"/>
      <c r="O277" s="260"/>
      <c r="P277" s="260"/>
      <c r="Q277" s="260"/>
      <c r="R277" s="260"/>
      <c r="S277" s="260"/>
      <c r="T277" s="260"/>
      <c r="U277" s="260"/>
      <c r="V277" s="260"/>
      <c r="W277" s="260"/>
      <c r="X277" s="260"/>
      <c r="Y277" s="260"/>
      <c r="Z277" s="260"/>
      <c r="AA277" s="260"/>
      <c r="AB277" s="260"/>
      <c r="AC277" s="260"/>
      <c r="AD277" s="260"/>
      <c r="AE277" s="260"/>
      <c r="AF277" s="260"/>
      <c r="AG277" s="260"/>
      <c r="AH277" s="260"/>
      <c r="AI277" s="260"/>
      <c r="AJ277" s="260"/>
      <c r="AK277" s="260"/>
      <c r="AL277" s="260"/>
    </row>
    <row r="279" spans="1:38" x14ac:dyDescent="0.2">
      <c r="A279" s="217" t="s">
        <v>605</v>
      </c>
      <c r="B279" s="217"/>
      <c r="C279" s="217"/>
      <c r="D279" s="217"/>
      <c r="E279" s="217"/>
      <c r="F279" s="217"/>
      <c r="G279" s="217"/>
      <c r="H279" s="217"/>
      <c r="I279" s="217"/>
      <c r="J279" s="217"/>
      <c r="K279" s="217"/>
      <c r="L279" s="217"/>
      <c r="M279" s="217"/>
      <c r="N279" s="217"/>
      <c r="O279" s="217"/>
      <c r="P279" s="217"/>
      <c r="Q279" s="217"/>
      <c r="R279" s="217"/>
      <c r="S279" s="217"/>
      <c r="T279" s="217"/>
      <c r="U279" s="217"/>
      <c r="V279" s="217"/>
      <c r="W279" s="217"/>
      <c r="X279" s="217"/>
      <c r="Y279" s="217"/>
      <c r="Z279" s="217"/>
      <c r="AA279" s="217"/>
      <c r="AB279" s="217"/>
      <c r="AC279" s="217"/>
      <c r="AD279" s="217"/>
      <c r="AE279" s="217"/>
      <c r="AF279" s="217"/>
      <c r="AG279" s="217"/>
      <c r="AH279" s="217"/>
      <c r="AI279" s="217"/>
      <c r="AJ279" s="217"/>
      <c r="AK279" s="217"/>
      <c r="AL279" s="217"/>
    </row>
    <row r="280" spans="1:38" x14ac:dyDescent="0.2">
      <c r="A280" s="217"/>
      <c r="B280" s="217"/>
      <c r="C280" s="217"/>
      <c r="D280" s="217"/>
      <c r="E280" s="217"/>
      <c r="F280" s="217"/>
      <c r="G280" s="217"/>
      <c r="H280" s="217"/>
      <c r="I280" s="217"/>
      <c r="J280" s="217"/>
      <c r="K280" s="217"/>
      <c r="L280" s="217"/>
      <c r="M280" s="217"/>
      <c r="N280" s="217"/>
      <c r="O280" s="217"/>
      <c r="P280" s="217"/>
      <c r="Q280" s="217"/>
      <c r="R280" s="217"/>
      <c r="S280" s="217"/>
      <c r="T280" s="217"/>
      <c r="U280" s="217"/>
      <c r="V280" s="217"/>
      <c r="W280" s="217"/>
      <c r="X280" s="217"/>
      <c r="Y280" s="217"/>
      <c r="Z280" s="217"/>
      <c r="AA280" s="217"/>
      <c r="AB280" s="217"/>
      <c r="AC280" s="217"/>
      <c r="AD280" s="217"/>
      <c r="AE280" s="217"/>
      <c r="AF280" s="217"/>
      <c r="AG280" s="217"/>
      <c r="AH280" s="217"/>
      <c r="AI280" s="217"/>
      <c r="AJ280" s="217"/>
      <c r="AK280" s="217"/>
      <c r="AL280" s="217"/>
    </row>
    <row r="281" spans="1:38" x14ac:dyDescent="0.2">
      <c r="A281" s="217"/>
      <c r="B281" s="217"/>
      <c r="C281" s="217"/>
      <c r="D281" s="217"/>
      <c r="E281" s="217"/>
      <c r="F281" s="217"/>
      <c r="G281" s="217"/>
      <c r="H281" s="217"/>
      <c r="I281" s="217"/>
      <c r="J281" s="217"/>
      <c r="K281" s="217"/>
      <c r="L281" s="217"/>
      <c r="M281" s="217"/>
      <c r="N281" s="217"/>
      <c r="O281" s="217"/>
      <c r="P281" s="217"/>
      <c r="Q281" s="217"/>
      <c r="R281" s="217"/>
      <c r="S281" s="217"/>
      <c r="T281" s="217"/>
      <c r="U281" s="217"/>
      <c r="V281" s="217"/>
      <c r="W281" s="217"/>
      <c r="X281" s="217"/>
      <c r="Y281" s="217"/>
      <c r="Z281" s="217"/>
      <c r="AA281" s="217"/>
      <c r="AB281" s="217"/>
      <c r="AC281" s="217"/>
      <c r="AD281" s="217"/>
      <c r="AE281" s="217"/>
      <c r="AF281" s="217"/>
      <c r="AG281" s="217"/>
      <c r="AH281" s="217"/>
      <c r="AI281" s="217"/>
      <c r="AJ281" s="217"/>
      <c r="AK281" s="217"/>
      <c r="AL281" s="217"/>
    </row>
    <row r="283" spans="1:38" x14ac:dyDescent="0.2">
      <c r="A283" s="217" t="s">
        <v>606</v>
      </c>
      <c r="B283" s="217"/>
      <c r="C283" s="217"/>
      <c r="D283" s="217"/>
      <c r="E283" s="217"/>
      <c r="F283" s="217"/>
      <c r="G283" s="217"/>
      <c r="H283" s="217"/>
      <c r="I283" s="217"/>
      <c r="J283" s="217"/>
      <c r="K283" s="217"/>
      <c r="L283" s="217"/>
      <c r="M283" s="217"/>
      <c r="N283" s="217"/>
      <c r="O283" s="217"/>
      <c r="P283" s="217"/>
      <c r="Q283" s="217"/>
      <c r="R283" s="217"/>
      <c r="S283" s="217"/>
      <c r="T283" s="217"/>
      <c r="U283" s="217"/>
      <c r="V283" s="217"/>
      <c r="W283" s="217"/>
      <c r="X283" s="217"/>
      <c r="Y283" s="217"/>
      <c r="Z283" s="217"/>
      <c r="AA283" s="217"/>
      <c r="AB283" s="217"/>
      <c r="AC283" s="217"/>
      <c r="AD283" s="217"/>
      <c r="AE283" s="217"/>
      <c r="AF283" s="217"/>
      <c r="AG283" s="217"/>
      <c r="AH283" s="217"/>
      <c r="AI283" s="217"/>
      <c r="AJ283" s="217"/>
      <c r="AK283" s="217"/>
      <c r="AL283" s="217"/>
    </row>
    <row r="284" spans="1:38" x14ac:dyDescent="0.2">
      <c r="A284" s="217"/>
      <c r="B284" s="217"/>
      <c r="C284" s="217"/>
      <c r="D284" s="217"/>
      <c r="E284" s="217"/>
      <c r="F284" s="217"/>
      <c r="G284" s="217"/>
      <c r="H284" s="217"/>
      <c r="I284" s="217"/>
      <c r="J284" s="217"/>
      <c r="K284" s="217"/>
      <c r="L284" s="217"/>
      <c r="M284" s="217"/>
      <c r="N284" s="217"/>
      <c r="O284" s="217"/>
      <c r="P284" s="217"/>
      <c r="Q284" s="217"/>
      <c r="R284" s="217"/>
      <c r="S284" s="217"/>
      <c r="T284" s="217"/>
      <c r="U284" s="217"/>
      <c r="V284" s="217"/>
      <c r="W284" s="217"/>
      <c r="X284" s="217"/>
      <c r="Y284" s="217"/>
      <c r="Z284" s="217"/>
      <c r="AA284" s="217"/>
      <c r="AB284" s="217"/>
      <c r="AC284" s="217"/>
      <c r="AD284" s="217"/>
      <c r="AE284" s="217"/>
      <c r="AF284" s="217"/>
      <c r="AG284" s="217"/>
      <c r="AH284" s="217"/>
      <c r="AI284" s="217"/>
      <c r="AJ284" s="217"/>
      <c r="AK284" s="217"/>
      <c r="AL284" s="217"/>
    </row>
    <row r="286" spans="1:38" x14ac:dyDescent="0.2">
      <c r="A286" s="217" t="s">
        <v>607</v>
      </c>
      <c r="B286" s="217"/>
      <c r="C286" s="217"/>
      <c r="D286" s="217"/>
      <c r="E286" s="217"/>
      <c r="F286" s="217"/>
      <c r="G286" s="217"/>
      <c r="H286" s="217"/>
      <c r="I286" s="217"/>
      <c r="J286" s="217"/>
      <c r="K286" s="217"/>
      <c r="L286" s="217"/>
      <c r="M286" s="217"/>
      <c r="N286" s="217"/>
      <c r="O286" s="217"/>
      <c r="P286" s="217"/>
      <c r="Q286" s="217"/>
      <c r="R286" s="217"/>
      <c r="S286" s="217"/>
      <c r="T286" s="217"/>
      <c r="U286" s="217"/>
      <c r="V286" s="217"/>
      <c r="W286" s="217"/>
      <c r="X286" s="217"/>
      <c r="Y286" s="217"/>
      <c r="Z286" s="217"/>
      <c r="AA286" s="217"/>
      <c r="AB286" s="217"/>
      <c r="AC286" s="217"/>
      <c r="AD286" s="217"/>
      <c r="AE286" s="217"/>
      <c r="AF286" s="217"/>
      <c r="AG286" s="217"/>
      <c r="AH286" s="217"/>
      <c r="AI286" s="217"/>
      <c r="AJ286" s="217"/>
      <c r="AK286" s="217"/>
      <c r="AL286" s="217"/>
    </row>
    <row r="287" spans="1:38" x14ac:dyDescent="0.2">
      <c r="A287" s="217"/>
      <c r="B287" s="217"/>
      <c r="C287" s="217"/>
      <c r="D287" s="217"/>
      <c r="E287" s="217"/>
      <c r="F287" s="217"/>
      <c r="G287" s="217"/>
      <c r="H287" s="217"/>
      <c r="I287" s="217"/>
      <c r="J287" s="217"/>
      <c r="K287" s="217"/>
      <c r="L287" s="217"/>
      <c r="M287" s="217"/>
      <c r="N287" s="217"/>
      <c r="O287" s="217"/>
      <c r="P287" s="217"/>
      <c r="Q287" s="217"/>
      <c r="R287" s="217"/>
      <c r="S287" s="217"/>
      <c r="T287" s="217"/>
      <c r="U287" s="217"/>
      <c r="V287" s="217"/>
      <c r="W287" s="217"/>
      <c r="X287" s="217"/>
      <c r="Y287" s="217"/>
      <c r="Z287" s="217"/>
      <c r="AA287" s="217"/>
      <c r="AB287" s="217"/>
      <c r="AC287" s="217"/>
      <c r="AD287" s="217"/>
      <c r="AE287" s="217"/>
      <c r="AF287" s="217"/>
      <c r="AG287" s="217"/>
      <c r="AH287" s="217"/>
      <c r="AI287" s="217"/>
      <c r="AJ287" s="217"/>
      <c r="AK287" s="217"/>
      <c r="AL287" s="217"/>
    </row>
    <row r="288" spans="1:38" x14ac:dyDescent="0.2">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row>
    <row r="289" spans="1:38" ht="18" x14ac:dyDescent="0.25">
      <c r="D289" t="s">
        <v>609</v>
      </c>
      <c r="W289" s="284" t="str">
        <f>_xlfn.CONCAT(IF(Data!B310=TRUE,"Level 1",""),IF(Data!B311=TRUE,"Level 2",""),IF(Data!B312=TRUE,"Level 3",""),IF(Data!B313=TRUE,"Level 4",""),,"")</f>
        <v/>
      </c>
      <c r="X289" s="284"/>
      <c r="Y289" s="284"/>
      <c r="Z289" s="284"/>
      <c r="AA289" s="284"/>
      <c r="AB289" s="284"/>
      <c r="AC289" s="284"/>
      <c r="AD289" s="284"/>
      <c r="AE289" s="284"/>
      <c r="AF289" s="284"/>
    </row>
    <row r="292" spans="1:38" x14ac:dyDescent="0.2">
      <c r="A292" s="285" t="s">
        <v>608</v>
      </c>
      <c r="B292" s="285"/>
      <c r="C292" s="285"/>
      <c r="D292" s="285"/>
      <c r="E292" s="285"/>
      <c r="F292" s="285"/>
      <c r="G292" s="285"/>
      <c r="H292" s="285"/>
      <c r="I292" s="285"/>
      <c r="J292" s="285"/>
      <c r="K292" s="285"/>
      <c r="L292" s="285"/>
      <c r="M292" s="285"/>
      <c r="N292" s="285"/>
      <c r="O292" s="285"/>
      <c r="P292" s="285"/>
      <c r="Q292" s="285"/>
      <c r="R292" s="285"/>
      <c r="S292" s="285"/>
      <c r="T292" s="285"/>
      <c r="U292" s="285"/>
      <c r="V292" s="285"/>
      <c r="W292" s="285"/>
      <c r="X292" s="285"/>
      <c r="Y292" s="285"/>
      <c r="Z292" s="285"/>
      <c r="AA292" s="285"/>
      <c r="AB292" s="285"/>
      <c r="AC292" s="285"/>
      <c r="AD292" s="285"/>
      <c r="AE292" s="285"/>
      <c r="AF292" s="285"/>
      <c r="AG292" s="285"/>
      <c r="AH292" s="285"/>
      <c r="AI292" s="285"/>
      <c r="AJ292" s="285"/>
      <c r="AK292" s="285"/>
      <c r="AL292" s="10"/>
    </row>
    <row r="293" spans="1:38" x14ac:dyDescent="0.2">
      <c r="A293" s="285"/>
      <c r="B293" s="285"/>
      <c r="C293" s="285"/>
      <c r="D293" s="285"/>
      <c r="E293" s="285"/>
      <c r="F293" s="285"/>
      <c r="G293" s="285"/>
      <c r="H293" s="285"/>
      <c r="I293" s="285"/>
      <c r="J293" s="285"/>
      <c r="K293" s="285"/>
      <c r="L293" s="285"/>
      <c r="M293" s="285"/>
      <c r="N293" s="285"/>
      <c r="O293" s="285"/>
      <c r="P293" s="285"/>
      <c r="Q293" s="285"/>
      <c r="R293" s="285"/>
      <c r="S293" s="285"/>
      <c r="T293" s="285"/>
      <c r="U293" s="285"/>
      <c r="V293" s="285"/>
      <c r="W293" s="285"/>
      <c r="X293" s="285"/>
      <c r="Y293" s="285"/>
      <c r="Z293" s="285"/>
      <c r="AA293" s="285"/>
      <c r="AB293" s="285"/>
      <c r="AC293" s="285"/>
      <c r="AD293" s="285"/>
      <c r="AE293" s="285"/>
      <c r="AF293" s="285"/>
      <c r="AG293" s="285"/>
      <c r="AH293" s="285"/>
      <c r="AI293" s="285"/>
      <c r="AJ293" s="285"/>
      <c r="AK293" s="285"/>
      <c r="AL293" s="10"/>
    </row>
    <row r="299" spans="1:38" x14ac:dyDescent="0.2">
      <c r="A299" s="268" t="str">
        <f>IF(Data!B1746=TRUE,"Client unable to sign electronically due to technical difficulty and/or physical deficit. Confirmation page signed.","")</f>
        <v/>
      </c>
      <c r="B299" s="268"/>
      <c r="C299" s="268"/>
      <c r="D299" s="268"/>
      <c r="E299" s="268"/>
      <c r="F299" s="268"/>
      <c r="G299" s="268"/>
      <c r="H299" s="268"/>
      <c r="I299" s="268"/>
      <c r="J299" s="268"/>
      <c r="K299" s="268"/>
      <c r="L299" s="268"/>
      <c r="M299" s="268"/>
      <c r="N299" s="268"/>
      <c r="O299" s="268"/>
      <c r="P299" s="268"/>
      <c r="Q299" s="268"/>
      <c r="R299" s="268"/>
      <c r="S299" s="268"/>
      <c r="T299" s="268"/>
      <c r="U299" s="268"/>
      <c r="V299" s="268"/>
      <c r="W299" s="268"/>
      <c r="X299" s="268"/>
      <c r="Y299" s="268"/>
      <c r="Z299" s="268"/>
      <c r="AA299" s="268"/>
      <c r="AB299" s="268"/>
      <c r="AC299" s="268"/>
      <c r="AD299" s="268"/>
      <c r="AE299" s="268"/>
      <c r="AF299" s="268"/>
      <c r="AG299" s="268"/>
      <c r="AH299" s="268"/>
      <c r="AI299" s="268"/>
      <c r="AJ299" s="268"/>
      <c r="AK299" s="268"/>
    </row>
    <row r="301" spans="1:38" x14ac:dyDescent="0.2">
      <c r="A301" s="240"/>
      <c r="B301" s="240"/>
      <c r="C301" s="240"/>
      <c r="D301" s="240"/>
      <c r="E301" s="240"/>
      <c r="F301" s="240"/>
      <c r="G301" s="240"/>
      <c r="H301" s="240"/>
      <c r="I301" s="240"/>
      <c r="J301" s="240"/>
      <c r="K301" s="240"/>
      <c r="L301" s="240"/>
      <c r="M301" s="240"/>
      <c r="N301" s="240"/>
      <c r="O301" s="240"/>
      <c r="P301" s="240"/>
    </row>
    <row r="302" spans="1:38" x14ac:dyDescent="0.2">
      <c r="A302" s="240"/>
      <c r="B302" s="240"/>
      <c r="C302" s="240"/>
      <c r="D302" s="240"/>
      <c r="E302" s="240"/>
      <c r="F302" s="240"/>
      <c r="G302" s="240"/>
      <c r="H302" s="240"/>
      <c r="I302" s="240"/>
      <c r="J302" s="240"/>
      <c r="K302" s="240"/>
      <c r="L302" s="240"/>
      <c r="M302" s="240"/>
      <c r="N302" s="240"/>
      <c r="O302" s="240"/>
      <c r="P302" s="240"/>
    </row>
    <row r="303" spans="1:38" x14ac:dyDescent="0.2">
      <c r="A303" s="266"/>
      <c r="B303" s="266"/>
      <c r="C303" s="266"/>
      <c r="D303" s="266"/>
      <c r="E303" s="266"/>
      <c r="F303" s="266"/>
      <c r="G303" s="266"/>
      <c r="H303" s="266"/>
      <c r="I303" s="266"/>
      <c r="J303" s="266"/>
      <c r="K303" s="266"/>
      <c r="L303" s="266"/>
      <c r="M303" s="266"/>
      <c r="N303" s="266"/>
      <c r="O303" s="266"/>
      <c r="P303" s="266"/>
      <c r="R303" s="269">
        <f>Data!B34</f>
        <v>0</v>
      </c>
      <c r="S303" s="267"/>
      <c r="T303" s="267"/>
      <c r="U303" s="267"/>
      <c r="V303" s="267"/>
      <c r="W303" s="267"/>
      <c r="X303" s="267"/>
      <c r="Y303" s="267"/>
    </row>
    <row r="304" spans="1:38" x14ac:dyDescent="0.2">
      <c r="A304" t="s">
        <v>367</v>
      </c>
      <c r="R304" t="s">
        <v>368</v>
      </c>
    </row>
    <row r="305" spans="1:31" x14ac:dyDescent="0.2">
      <c r="A305" s="240"/>
      <c r="B305" s="240"/>
      <c r="C305" s="240"/>
      <c r="D305" s="240"/>
      <c r="E305" s="240"/>
      <c r="F305" s="240"/>
      <c r="G305" s="240"/>
      <c r="H305" s="240"/>
      <c r="I305" s="240"/>
      <c r="J305" s="240"/>
      <c r="K305" s="240"/>
      <c r="L305" s="240"/>
      <c r="M305" s="240"/>
      <c r="N305" s="240"/>
      <c r="O305" s="240"/>
      <c r="P305" s="240"/>
    </row>
    <row r="306" spans="1:31" x14ac:dyDescent="0.2">
      <c r="A306" s="240"/>
      <c r="B306" s="240"/>
      <c r="C306" s="240"/>
      <c r="D306" s="240"/>
      <c r="E306" s="240"/>
      <c r="F306" s="240"/>
      <c r="G306" s="240"/>
      <c r="H306" s="240"/>
      <c r="I306" s="240"/>
      <c r="J306" s="240"/>
      <c r="K306" s="240"/>
      <c r="L306" s="240"/>
      <c r="M306" s="240"/>
      <c r="N306" s="240"/>
      <c r="O306" s="240"/>
      <c r="P306" s="240"/>
    </row>
    <row r="307" spans="1:31" x14ac:dyDescent="0.2">
      <c r="A307" s="266"/>
      <c r="B307" s="266"/>
      <c r="C307" s="266"/>
      <c r="D307" s="266"/>
      <c r="E307" s="266"/>
      <c r="F307" s="266"/>
      <c r="G307" s="266"/>
      <c r="H307" s="266"/>
      <c r="I307" s="266"/>
      <c r="J307" s="266"/>
      <c r="K307" s="266"/>
      <c r="L307" s="266"/>
      <c r="M307" s="266"/>
      <c r="N307" s="266"/>
      <c r="O307" s="266"/>
      <c r="P307" s="266"/>
      <c r="R307" s="267">
        <f>Data!B175</f>
        <v>0</v>
      </c>
      <c r="S307" s="267"/>
      <c r="T307" s="267"/>
      <c r="U307" s="267"/>
      <c r="V307" s="267"/>
      <c r="W307" s="267"/>
      <c r="X307" s="267"/>
      <c r="Y307" s="267"/>
      <c r="Z307" s="267"/>
      <c r="AA307" s="267"/>
      <c r="AB307" s="267"/>
      <c r="AC307" s="267"/>
      <c r="AD307" s="267"/>
      <c r="AE307" s="267"/>
    </row>
    <row r="308" spans="1:31" x14ac:dyDescent="0.2">
      <c r="A308" t="s">
        <v>2881</v>
      </c>
      <c r="R308" t="s">
        <v>1465</v>
      </c>
    </row>
  </sheetData>
  <mergeCells count="227">
    <mergeCell ref="Y208:AE208"/>
    <mergeCell ref="I210:L210"/>
    <mergeCell ref="S210:Y210"/>
    <mergeCell ref="A254:P256"/>
    <mergeCell ref="R256:AE256"/>
    <mergeCell ref="S212:V212"/>
    <mergeCell ref="E213:AK213"/>
    <mergeCell ref="V215:Y215"/>
    <mergeCell ref="F208:U208"/>
    <mergeCell ref="AF210:AL210"/>
    <mergeCell ref="A250:P252"/>
    <mergeCell ref="R252:Y252"/>
    <mergeCell ref="E216:AK216"/>
    <mergeCell ref="A225:O225"/>
    <mergeCell ref="U225:AI225"/>
    <mergeCell ref="E226:O226"/>
    <mergeCell ref="Y226:AI226"/>
    <mergeCell ref="D228:O231"/>
    <mergeCell ref="X228:AI231"/>
    <mergeCell ref="A248:AK248"/>
    <mergeCell ref="A305:P307"/>
    <mergeCell ref="R307:AE307"/>
    <mergeCell ref="F262:W262"/>
    <mergeCell ref="AA262:AG262"/>
    <mergeCell ref="A264:AL269"/>
    <mergeCell ref="H270:Q270"/>
    <mergeCell ref="X270:AF270"/>
    <mergeCell ref="H271:K271"/>
    <mergeCell ref="A273:AL273"/>
    <mergeCell ref="A274:AL277"/>
    <mergeCell ref="Z271:AL271"/>
    <mergeCell ref="A299:AK299"/>
    <mergeCell ref="A260:AL260"/>
    <mergeCell ref="A279:AL281"/>
    <mergeCell ref="A283:AL284"/>
    <mergeCell ref="A286:AL287"/>
    <mergeCell ref="W289:AF289"/>
    <mergeCell ref="A292:AK293"/>
    <mergeCell ref="A301:P303"/>
    <mergeCell ref="R303:Y303"/>
    <mergeCell ref="A106:AK106"/>
    <mergeCell ref="Q107:S107"/>
    <mergeCell ref="AA158:AH158"/>
    <mergeCell ref="A183:D183"/>
    <mergeCell ref="A184:D184"/>
    <mergeCell ref="A185:D185"/>
    <mergeCell ref="A176:K176"/>
    <mergeCell ref="L176:R176"/>
    <mergeCell ref="P185:AC185"/>
    <mergeCell ref="A179:AK180"/>
    <mergeCell ref="S176:W176"/>
    <mergeCell ref="X176:AL176"/>
    <mergeCell ref="A160:AL162"/>
    <mergeCell ref="A157:AL157"/>
    <mergeCell ref="X170:AL170"/>
    <mergeCell ref="U145:AC145"/>
    <mergeCell ref="A171:K171"/>
    <mergeCell ref="L171:R171"/>
    <mergeCell ref="B126:AK128"/>
    <mergeCell ref="AB20:AK20"/>
    <mergeCell ref="F29:J29"/>
    <mergeCell ref="B20:H20"/>
    <mergeCell ref="B23:H23"/>
    <mergeCell ref="L24:AJ25"/>
    <mergeCell ref="S28:X28"/>
    <mergeCell ref="S29:X29"/>
    <mergeCell ref="F28:J28"/>
    <mergeCell ref="B21:H21"/>
    <mergeCell ref="B130:AJ132"/>
    <mergeCell ref="F111:AK112"/>
    <mergeCell ref="F108:AK109"/>
    <mergeCell ref="F114:AK115"/>
    <mergeCell ref="F117:AK118"/>
    <mergeCell ref="F120:AK121"/>
    <mergeCell ref="F123:AK124"/>
    <mergeCell ref="Q119:S119"/>
    <mergeCell ref="Q122:S122"/>
    <mergeCell ref="A133:AK133"/>
    <mergeCell ref="A142:O144"/>
    <mergeCell ref="A165:AK168"/>
    <mergeCell ref="S174:W174"/>
    <mergeCell ref="A182:AK182"/>
    <mergeCell ref="A54:AK54"/>
    <mergeCell ref="A56:G56"/>
    <mergeCell ref="AB21:AK21"/>
    <mergeCell ref="I23:Y23"/>
    <mergeCell ref="A26:AK26"/>
    <mergeCell ref="F27:H27"/>
    <mergeCell ref="J27:L27"/>
    <mergeCell ref="S27:X27"/>
    <mergeCell ref="F30:J30"/>
    <mergeCell ref="K141:AK141"/>
    <mergeCell ref="F86:H86"/>
    <mergeCell ref="A88:AK88"/>
    <mergeCell ref="L89:N89"/>
    <mergeCell ref="L90:N90"/>
    <mergeCell ref="G85:W85"/>
    <mergeCell ref="AC85:AK85"/>
    <mergeCell ref="T110:V110"/>
    <mergeCell ref="J113:L113"/>
    <mergeCell ref="K116:M116"/>
    <mergeCell ref="I21:Y21"/>
    <mergeCell ref="I22:Y22"/>
    <mergeCell ref="B22:H22"/>
    <mergeCell ref="F1:Z1"/>
    <mergeCell ref="AD1:AJ1"/>
    <mergeCell ref="F2:L2"/>
    <mergeCell ref="T2:AG2"/>
    <mergeCell ref="F4:S4"/>
    <mergeCell ref="Y4:AJ4"/>
    <mergeCell ref="AI5:AK5"/>
    <mergeCell ref="B18:H18"/>
    <mergeCell ref="A14:AK14"/>
    <mergeCell ref="J15:L15"/>
    <mergeCell ref="U15:AK15"/>
    <mergeCell ref="I17:Y17"/>
    <mergeCell ref="I18:Y18"/>
    <mergeCell ref="AB17:AK17"/>
    <mergeCell ref="AB18:AK18"/>
    <mergeCell ref="J3:Q3"/>
    <mergeCell ref="J9:AK11"/>
    <mergeCell ref="F12:AK13"/>
    <mergeCell ref="E6:P6"/>
    <mergeCell ref="X6:Z6"/>
    <mergeCell ref="A170:K170"/>
    <mergeCell ref="L170:R170"/>
    <mergeCell ref="S170:W170"/>
    <mergeCell ref="E158:W158"/>
    <mergeCell ref="A153:T155"/>
    <mergeCell ref="Q144:AC144"/>
    <mergeCell ref="AE149:AL149"/>
    <mergeCell ref="Q142:AK143"/>
    <mergeCell ref="R146:AL148"/>
    <mergeCell ref="A147:O149"/>
    <mergeCell ref="Q149:AC149"/>
    <mergeCell ref="E146:K146"/>
    <mergeCell ref="A134:AK140"/>
    <mergeCell ref="A156:T156"/>
    <mergeCell ref="A207:AL207"/>
    <mergeCell ref="S171:W171"/>
    <mergeCell ref="X171:AL171"/>
    <mergeCell ref="A203:P205"/>
    <mergeCell ref="R205:AE205"/>
    <mergeCell ref="A175:K175"/>
    <mergeCell ref="L175:R175"/>
    <mergeCell ref="S175:W175"/>
    <mergeCell ref="A189:AL192"/>
    <mergeCell ref="L174:R174"/>
    <mergeCell ref="X175:AL175"/>
    <mergeCell ref="A172:K172"/>
    <mergeCell ref="A197:AL197"/>
    <mergeCell ref="A199:P201"/>
    <mergeCell ref="R201:Y201"/>
    <mergeCell ref="L173:R173"/>
    <mergeCell ref="S173:W173"/>
    <mergeCell ref="X173:AL173"/>
    <mergeCell ref="L172:R172"/>
    <mergeCell ref="S172:W172"/>
    <mergeCell ref="X172:AL172"/>
    <mergeCell ref="X174:AL174"/>
    <mergeCell ref="A173:K173"/>
    <mergeCell ref="A174:K174"/>
    <mergeCell ref="E31:G31"/>
    <mergeCell ref="L31:R31"/>
    <mergeCell ref="Z28:AK31"/>
    <mergeCell ref="F32:AK32"/>
    <mergeCell ref="I7:L7"/>
    <mergeCell ref="J84:O84"/>
    <mergeCell ref="W84:AG84"/>
    <mergeCell ref="A83:AK83"/>
    <mergeCell ref="T30:Y30"/>
    <mergeCell ref="L56:AK56"/>
    <mergeCell ref="H56:K56"/>
    <mergeCell ref="I19:Y19"/>
    <mergeCell ref="B19:H19"/>
    <mergeCell ref="AB19:AK19"/>
    <mergeCell ref="I8:L8"/>
    <mergeCell ref="AB22:AK22"/>
    <mergeCell ref="AB23:AK23"/>
    <mergeCell ref="B17:H17"/>
    <mergeCell ref="I20:Y20"/>
    <mergeCell ref="A65:G66"/>
    <mergeCell ref="A67:G68"/>
    <mergeCell ref="A69:G70"/>
    <mergeCell ref="A71:G72"/>
    <mergeCell ref="H57:K58"/>
    <mergeCell ref="H65:K66"/>
    <mergeCell ref="H67:K68"/>
    <mergeCell ref="H69:K70"/>
    <mergeCell ref="H71:K72"/>
    <mergeCell ref="L57:AK58"/>
    <mergeCell ref="L59:AK60"/>
    <mergeCell ref="L61:AK62"/>
    <mergeCell ref="L63:AK64"/>
    <mergeCell ref="L65:AK66"/>
    <mergeCell ref="L67:AK68"/>
    <mergeCell ref="L69:AK70"/>
    <mergeCell ref="L71:AK72"/>
    <mergeCell ref="V103:X103"/>
    <mergeCell ref="F105:Z105"/>
    <mergeCell ref="A73:G74"/>
    <mergeCell ref="H73:K74"/>
    <mergeCell ref="L73:AK74"/>
    <mergeCell ref="A91:AK91"/>
    <mergeCell ref="G92:AK95"/>
    <mergeCell ref="K98:AK100"/>
    <mergeCell ref="V101:X101"/>
    <mergeCell ref="V102:X102"/>
    <mergeCell ref="K96:AK97"/>
    <mergeCell ref="L75:AK78"/>
    <mergeCell ref="M86:AK87"/>
    <mergeCell ref="AD105:AJ105"/>
    <mergeCell ref="F79:AK79"/>
    <mergeCell ref="P89:AK89"/>
    <mergeCell ref="I80:AK81"/>
    <mergeCell ref="A104:AK104"/>
    <mergeCell ref="AD53:AJ53"/>
    <mergeCell ref="A57:G58"/>
    <mergeCell ref="A59:G60"/>
    <mergeCell ref="A61:G62"/>
    <mergeCell ref="A63:G64"/>
    <mergeCell ref="H59:K60"/>
    <mergeCell ref="H61:K62"/>
    <mergeCell ref="H63:K64"/>
    <mergeCell ref="A33:AK33"/>
    <mergeCell ref="A34:AL51"/>
    <mergeCell ref="F53:Z53"/>
  </mergeCells>
  <pageMargins left="0.25" right="0.25" top="0.75" bottom="0.75" header="0.3" footer="0.3"/>
  <pageSetup orientation="portrait" verticalDpi="1200" r:id="rId1"/>
  <headerFooter>
    <oddHeader>&amp;L&amp;G&amp;RClient Supervisory Visit</oddHeader>
    <oddFooter>&amp;C3088 Mercer University Drive Suite 100 Atlanta, GA 30341
678-310-6305 Fax 404-935-6110</oddFooter>
  </headerFooter>
  <rowBreaks count="5" manualBreakCount="5">
    <brk id="52" max="16383" man="1"/>
    <brk id="104" max="16383" man="1"/>
    <brk id="156" max="16383" man="1"/>
    <brk id="206" max="16383" man="1"/>
    <brk id="259" max="16383" man="1"/>
  </rowBreaks>
  <legacyDrawingHF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9">
    <tabColor theme="5" tint="-0.249977111117893"/>
  </sheetPr>
  <dimension ref="A1:AM263"/>
  <sheetViews>
    <sheetView showZeros="0" view="pageLayout" topLeftCell="A213" zoomScaleNormal="100" workbookViewId="0">
      <selection activeCell="A234" sqref="A234:AL236"/>
    </sheetView>
  </sheetViews>
  <sheetFormatPr defaultColWidth="2.7109375" defaultRowHeight="12.75" x14ac:dyDescent="0.2"/>
  <sheetData>
    <row r="1" spans="1:39" x14ac:dyDescent="0.2">
      <c r="A1" t="s">
        <v>3216</v>
      </c>
      <c r="T1" t="s">
        <v>773</v>
      </c>
      <c r="AC1" s="233">
        <f>Data!B176</f>
        <v>0</v>
      </c>
      <c r="AD1" s="233"/>
      <c r="AE1" s="233"/>
      <c r="AF1" t="s">
        <v>774</v>
      </c>
      <c r="AJ1" s="34"/>
      <c r="AK1" s="34"/>
      <c r="AL1" s="34"/>
    </row>
    <row r="2" spans="1:39" x14ac:dyDescent="0.2">
      <c r="A2" t="s">
        <v>336</v>
      </c>
      <c r="E2" s="219" t="str">
        <f>_xlfn.CONCAT(Data!B2,", ",Data!B3," ",Data!B4)</f>
        <v xml:space="preserve">,  </v>
      </c>
      <c r="F2" s="219"/>
      <c r="G2" s="219"/>
      <c r="H2" s="219"/>
      <c r="I2" s="219"/>
      <c r="J2" s="219"/>
      <c r="K2" s="219"/>
      <c r="L2" s="219"/>
      <c r="M2" s="219"/>
      <c r="N2" s="219"/>
      <c r="O2" s="219"/>
      <c r="P2" s="219"/>
      <c r="Q2" s="219"/>
      <c r="R2" s="219"/>
      <c r="S2" t="s">
        <v>371</v>
      </c>
      <c r="U2" s="218">
        <f>Data!B14</f>
        <v>0</v>
      </c>
      <c r="V2" s="218"/>
      <c r="W2" s="218"/>
      <c r="X2" s="218"/>
      <c r="Y2" s="218"/>
      <c r="Z2" s="218"/>
      <c r="AA2" s="16" t="s">
        <v>772</v>
      </c>
      <c r="AG2" s="218">
        <f>Data!B34</f>
        <v>0</v>
      </c>
      <c r="AH2" s="218"/>
      <c r="AI2" s="218"/>
      <c r="AJ2" s="218"/>
      <c r="AK2" s="218"/>
      <c r="AL2" s="218"/>
    </row>
    <row r="3" spans="1:39" x14ac:dyDescent="0.2">
      <c r="A3" t="s">
        <v>582</v>
      </c>
      <c r="F3" s="218">
        <f>Data!B33</f>
        <v>0</v>
      </c>
      <c r="G3" s="218"/>
      <c r="H3" s="218"/>
      <c r="I3" s="218"/>
      <c r="J3" s="218"/>
      <c r="K3" s="218"/>
      <c r="T3" t="s">
        <v>775</v>
      </c>
      <c r="AB3" s="233">
        <f>Data!B174</f>
        <v>0</v>
      </c>
      <c r="AC3" s="233"/>
      <c r="AD3" s="233"/>
      <c r="AE3" s="233"/>
      <c r="AF3" s="233"/>
      <c r="AG3" s="233"/>
      <c r="AH3" s="233"/>
      <c r="AI3" s="233"/>
      <c r="AJ3" s="233"/>
    </row>
    <row r="4" spans="1:39" x14ac:dyDescent="0.2">
      <c r="A4" t="s">
        <v>776</v>
      </c>
      <c r="K4" s="233">
        <f>IF(Data!B199="Self",_xlfn.CONCAT(Data!B2,", ",Data!B3," ",Data!B4),Data!B198)</f>
        <v>0</v>
      </c>
      <c r="L4" s="233"/>
      <c r="M4" s="233"/>
      <c r="N4" s="233"/>
      <c r="O4" s="233"/>
      <c r="P4" s="233"/>
      <c r="Q4" s="233"/>
      <c r="R4" s="233"/>
      <c r="S4" s="233"/>
      <c r="T4" s="233"/>
      <c r="V4" t="s">
        <v>777</v>
      </c>
      <c r="Z4" s="233">
        <f>Data!B199</f>
        <v>0</v>
      </c>
      <c r="AA4" s="233"/>
      <c r="AB4" s="233"/>
      <c r="AC4" s="233"/>
      <c r="AD4" s="233"/>
      <c r="AE4" s="233"/>
      <c r="AF4" s="233"/>
    </row>
    <row r="5" spans="1:39" x14ac:dyDescent="0.2">
      <c r="A5" s="294" t="s">
        <v>778</v>
      </c>
      <c r="B5" s="294"/>
      <c r="C5" s="294"/>
      <c r="D5" s="294"/>
      <c r="E5" s="294"/>
      <c r="F5" s="294"/>
      <c r="G5" s="294"/>
      <c r="H5" s="294"/>
      <c r="I5" s="294"/>
      <c r="J5" s="294"/>
      <c r="K5" s="294"/>
      <c r="L5" s="294"/>
      <c r="M5" s="294"/>
      <c r="N5" s="294"/>
      <c r="O5" s="294"/>
      <c r="P5" s="294"/>
      <c r="Q5" s="294"/>
      <c r="R5" s="294"/>
      <c r="S5" s="294"/>
      <c r="T5" s="294"/>
      <c r="U5" s="294"/>
      <c r="V5" s="294"/>
      <c r="W5" s="294"/>
      <c r="X5" s="294"/>
      <c r="Y5" s="294"/>
      <c r="Z5" s="294"/>
      <c r="AA5" s="294"/>
      <c r="AB5" s="294"/>
      <c r="AC5" s="294"/>
      <c r="AD5" s="294"/>
      <c r="AE5" s="294"/>
      <c r="AF5" s="294"/>
      <c r="AG5" s="294"/>
      <c r="AH5" s="294"/>
      <c r="AI5" s="294"/>
      <c r="AJ5" s="294"/>
      <c r="AK5" s="294"/>
      <c r="AL5" s="294"/>
    </row>
    <row r="6" spans="1:39" x14ac:dyDescent="0.2">
      <c r="A6" t="s">
        <v>779</v>
      </c>
      <c r="F6" s="4"/>
      <c r="G6" s="233" t="str">
        <f>_xlfn.CONCAT(IF(Data!B210=TRUE,"Clean",""),IF(Data!B211=TRUE,"Unclean",""),IF(Data!B212=TRUE,", Cluttered",""),IF(Data!B213=TRUE,", Pest Problem",""))</f>
        <v/>
      </c>
      <c r="H6" s="233"/>
      <c r="I6" s="233"/>
      <c r="J6" s="233"/>
      <c r="K6" s="233"/>
      <c r="L6" s="233"/>
      <c r="M6" s="233"/>
      <c r="N6" s="233"/>
      <c r="O6" s="233"/>
      <c r="P6" s="233"/>
      <c r="Q6" s="233"/>
      <c r="R6" s="233"/>
      <c r="S6" s="233"/>
      <c r="U6" t="s">
        <v>780</v>
      </c>
      <c r="AC6" s="219">
        <f>Data!B232</f>
        <v>0</v>
      </c>
      <c r="AD6" s="219"/>
      <c r="AE6" s="219"/>
    </row>
    <row r="7" spans="1:39" x14ac:dyDescent="0.2">
      <c r="A7" t="s">
        <v>781</v>
      </c>
      <c r="C7" s="219" t="str">
        <f>_xlfn.CONCAT(IF(Data!B230=TRUE,"No Pets",""),IF(Data!B226=TRUE,"Dogs",""),IF(Data!B227=TRUE,"- Cats",""),IF(Data!B228=TRUE,"- Other type of pet",""),IF(Data!B231=TRUE,"- Aide responsbile for pet care.",""))</f>
        <v/>
      </c>
      <c r="D7" s="219"/>
      <c r="E7" s="219"/>
      <c r="F7" s="219"/>
      <c r="G7" s="219"/>
      <c r="H7" s="219"/>
      <c r="I7" s="219"/>
      <c r="J7" s="219"/>
      <c r="K7" s="219"/>
      <c r="L7" s="219"/>
      <c r="M7" s="219"/>
      <c r="N7" s="219"/>
      <c r="O7" s="219"/>
      <c r="P7" s="219"/>
      <c r="Q7" s="219"/>
      <c r="R7" s="219"/>
      <c r="S7" s="219"/>
      <c r="U7" t="s">
        <v>782</v>
      </c>
      <c r="Z7" s="4"/>
      <c r="AA7" s="233" t="str">
        <f>_xlfn.CONCAT(IF(Data!B218=TRUE,"House",""),IF(Data!B219=TRUE,"Apartment",""),IF(Data!B220=TRUE,"Trailer",""),IF(Data!B221=TRUE,"Staffed Facility",""))</f>
        <v/>
      </c>
      <c r="AB7" s="233"/>
      <c r="AC7" s="233"/>
      <c r="AD7" s="233"/>
      <c r="AE7" s="233"/>
      <c r="AF7" s="233"/>
      <c r="AG7" s="233"/>
      <c r="AH7" s="233"/>
      <c r="AI7" s="233"/>
      <c r="AJ7" s="233"/>
    </row>
    <row r="8" spans="1:39" x14ac:dyDescent="0.2">
      <c r="A8" t="s">
        <v>783</v>
      </c>
      <c r="J8" s="290" t="str">
        <f>_xlfn.CONCAT(IF(Data!B51=TRUE,Data!B43&amp;" - ",""),IF(Data!B63=TRUE,Data!B55&amp;" - ",""),IF(Data!B75=TRUE,Data!B67,""),IF(AND(Data!B51=FALSE,Data!B63=FALSE,Data!B75=FALSE),"N/A",""))</f>
        <v>N/A</v>
      </c>
      <c r="K8" s="290"/>
      <c r="L8" s="290"/>
      <c r="M8" s="290"/>
      <c r="N8" s="290"/>
      <c r="O8" s="290"/>
      <c r="P8" s="290"/>
      <c r="Q8" s="290"/>
      <c r="R8" s="290"/>
      <c r="S8" s="290"/>
      <c r="T8" s="290"/>
      <c r="U8" s="290"/>
      <c r="V8" s="290"/>
      <c r="W8" s="290"/>
      <c r="Y8" t="s">
        <v>784</v>
      </c>
      <c r="AD8" s="233" t="str">
        <f>_xlfn.CONCAT(IF(Data!B222=TRUE,"Lives Alone",""),IF(Data!B223=TRUE,"Lives with family",""),IF(Data!B224=TRUE,"Lives with roommate",""),IF(Data!B225=TRUE,"Lives in staffed facility",""))</f>
        <v/>
      </c>
      <c r="AE8" s="233"/>
      <c r="AF8" s="233"/>
      <c r="AG8" s="233"/>
      <c r="AH8" s="233"/>
      <c r="AI8" s="233"/>
      <c r="AJ8" s="233"/>
      <c r="AK8" s="233"/>
      <c r="AL8" s="233"/>
    </row>
    <row r="9" spans="1:39" x14ac:dyDescent="0.2">
      <c r="A9" s="294" t="s">
        <v>786</v>
      </c>
      <c r="B9" s="294"/>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row>
    <row r="10" spans="1:39" x14ac:dyDescent="0.2">
      <c r="A10" t="s">
        <v>787</v>
      </c>
      <c r="I10" s="233" t="str">
        <f>_xlfn.CONCAT(IF(Data!B214=TRUE,"Good",""),IF(Data!B215=TRUE,"Fair",""),IF(Data!B216=TRUE,"Poor",""),IF(Data!B217=TRUE,"Unihabitable",""))</f>
        <v/>
      </c>
      <c r="J10" s="233"/>
      <c r="K10" s="233"/>
      <c r="L10" s="233"/>
      <c r="M10" s="233"/>
      <c r="N10" s="233"/>
      <c r="O10" s="233"/>
      <c r="P10" s="233"/>
      <c r="Q10" s="233"/>
      <c r="S10" t="s">
        <v>788</v>
      </c>
      <c r="AG10" s="233">
        <f>Data!B233</f>
        <v>0</v>
      </c>
      <c r="AH10" s="233"/>
      <c r="AI10" s="233"/>
    </row>
    <row r="11" spans="1:39" x14ac:dyDescent="0.2">
      <c r="A11" t="s">
        <v>2901</v>
      </c>
      <c r="K11" s="4"/>
      <c r="L11" s="233">
        <f>Data!B235</f>
        <v>0</v>
      </c>
      <c r="M11" s="233"/>
      <c r="N11" s="233"/>
      <c r="P11" t="s">
        <v>789</v>
      </c>
      <c r="AD11" s="4"/>
      <c r="AE11" s="233">
        <f>Data!B234</f>
        <v>0</v>
      </c>
      <c r="AF11" s="233"/>
      <c r="AG11" s="233"/>
    </row>
    <row r="12" spans="1:39" x14ac:dyDescent="0.2">
      <c r="A12" s="4" t="str">
        <f>_xlfn.CONCAT("Due to health condition, client needs ",IF(OR(Data!B310=TRUE,Data!B311=TRUE,Data!B312=TRUE),"maximum ","minimal "),"assistance to exit in case of emergency.")</f>
        <v>Due to health condition, client needs minimal assistance to exit in case of emergency.</v>
      </c>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row>
    <row r="13" spans="1:39" x14ac:dyDescent="0.2">
      <c r="A13" s="294" t="s">
        <v>790</v>
      </c>
      <c r="B13" s="294"/>
      <c r="C13" s="294"/>
      <c r="D13" s="294"/>
      <c r="E13" s="294"/>
      <c r="F13" s="294"/>
      <c r="G13" s="294"/>
      <c r="H13" s="294"/>
      <c r="I13" s="294"/>
      <c r="J13" s="294"/>
      <c r="K13" s="294"/>
      <c r="L13" s="294"/>
      <c r="M13" s="294"/>
      <c r="N13" s="294"/>
      <c r="O13" s="294"/>
      <c r="P13" s="294"/>
      <c r="Q13" s="294"/>
      <c r="R13" s="294"/>
      <c r="S13" s="294"/>
      <c r="T13" s="294"/>
      <c r="U13" s="294"/>
      <c r="V13" s="294"/>
      <c r="W13" s="294"/>
      <c r="X13" s="294"/>
      <c r="Y13" s="294"/>
      <c r="Z13" s="294"/>
      <c r="AA13" s="294"/>
      <c r="AB13" s="294"/>
      <c r="AC13" s="294"/>
      <c r="AD13" s="294"/>
      <c r="AE13" s="294"/>
      <c r="AF13" s="294"/>
      <c r="AG13" s="294"/>
      <c r="AH13" s="294"/>
      <c r="AI13" s="294"/>
      <c r="AJ13" s="294"/>
      <c r="AK13" s="294"/>
      <c r="AL13" s="294"/>
    </row>
    <row r="14" spans="1:39" x14ac:dyDescent="0.2">
      <c r="A14" t="s">
        <v>791</v>
      </c>
      <c r="F14" s="300" t="str">
        <f>IF(Data!C474&lt;&gt;"",Data!B474&amp;"/"&amp;Data!C474,"Refused")</f>
        <v>Refused</v>
      </c>
      <c r="G14" s="300"/>
      <c r="H14" s="300"/>
      <c r="I14" s="300"/>
      <c r="J14" s="300"/>
      <c r="L14" t="s">
        <v>792</v>
      </c>
      <c r="N14" s="300" t="str">
        <f>IF(Data!B488="Ref","Refused",(Data!B488&amp;"°"&amp;Data!C488))</f>
        <v>°</v>
      </c>
      <c r="O14" s="300"/>
      <c r="P14" s="300"/>
      <c r="Q14" s="300"/>
      <c r="R14" s="300"/>
      <c r="S14" t="s">
        <v>793</v>
      </c>
      <c r="T14" s="4"/>
      <c r="U14" s="300">
        <f>IF(Data!B513="Ref","Refused",Data!B513)</f>
        <v>0</v>
      </c>
      <c r="V14" s="300"/>
      <c r="W14" s="300"/>
      <c r="X14" s="300"/>
      <c r="Y14" s="300"/>
      <c r="Z14" t="s">
        <v>794</v>
      </c>
      <c r="AA14" s="4"/>
      <c r="AB14" s="300">
        <f>IF(Data!B499="Ref","Refused",Data!B499)</f>
        <v>0</v>
      </c>
      <c r="AC14" s="300"/>
      <c r="AD14" s="300"/>
      <c r="AE14" s="300"/>
      <c r="AF14" s="300"/>
    </row>
    <row r="15" spans="1:39" x14ac:dyDescent="0.2">
      <c r="A15" t="s">
        <v>795</v>
      </c>
      <c r="F15" s="304" t="str">
        <f>IF(Data!B545="Ref","Refused",Data!B545&amp;"%")</f>
        <v>98%</v>
      </c>
      <c r="G15" s="304"/>
      <c r="H15" s="304"/>
      <c r="I15" s="304"/>
      <c r="J15" s="304"/>
      <c r="L15" t="s">
        <v>796</v>
      </c>
      <c r="O15" s="300" t="str">
        <f>IF(Data!B464="","Refused",Data!B464)</f>
        <v>Refused</v>
      </c>
      <c r="P15" s="300"/>
      <c r="Q15" s="300"/>
      <c r="R15" s="300"/>
      <c r="S15" s="300"/>
      <c r="U15" t="s">
        <v>3138</v>
      </c>
      <c r="X15" s="300">
        <f>IF(Data!B527="No","N/A",IF(Data!B1640=FALSE,Data!B529,"Refused"))</f>
        <v>0</v>
      </c>
      <c r="Y15" s="300"/>
      <c r="Z15" s="300"/>
      <c r="AA15" s="300"/>
      <c r="AB15" s="300"/>
      <c r="AG15" s="300"/>
      <c r="AH15" s="300"/>
      <c r="AI15" s="300"/>
      <c r="AJ15" s="300"/>
      <c r="AK15" s="300"/>
    </row>
    <row r="16" spans="1:39" x14ac:dyDescent="0.2">
      <c r="A16" t="s">
        <v>797</v>
      </c>
      <c r="J16" s="233">
        <f>Data!B458</f>
        <v>0</v>
      </c>
      <c r="K16" s="233"/>
      <c r="L16" s="233"/>
      <c r="M16" s="233"/>
      <c r="N16" s="233"/>
      <c r="O16" s="233"/>
      <c r="Q16" t="s">
        <v>3479</v>
      </c>
      <c r="W16" s="305" t="str">
        <f>_xlfn.CONCAT(IF(Data!B465="Ref","Client refused to be weighed but is able.",""),IF(Data!B465="Unk","Client cannot stand on scale and weight is unknown.",""),IF(AND(Data!B465&lt;&gt;"Ref",Data!B465&lt;&gt;"Unk"),Data!B465,""),IF(Data!B1320=TRUE," Per Client/Physician, not scale.",""))</f>
        <v/>
      </c>
      <c r="X16" s="305"/>
      <c r="Y16" s="305"/>
      <c r="Z16" s="305"/>
      <c r="AA16" s="305"/>
      <c r="AB16" s="305"/>
      <c r="AC16" s="305"/>
      <c r="AD16" s="305"/>
      <c r="AE16" s="305"/>
      <c r="AF16" s="305"/>
      <c r="AG16" s="305"/>
      <c r="AH16" s="305"/>
      <c r="AI16" s="305"/>
      <c r="AJ16" s="305"/>
      <c r="AK16" s="305"/>
      <c r="AL16" s="305"/>
      <c r="AM16" s="305"/>
    </row>
    <row r="17" spans="1:38" x14ac:dyDescent="0.2">
      <c r="A17" s="294" t="s">
        <v>798</v>
      </c>
      <c r="B17" s="294"/>
      <c r="C17" s="294"/>
      <c r="D17" s="294"/>
      <c r="E17" s="294"/>
      <c r="F17" s="294"/>
      <c r="G17" s="294"/>
      <c r="H17" s="294"/>
      <c r="I17" s="294"/>
      <c r="J17" s="294"/>
      <c r="K17" s="294"/>
      <c r="L17" s="294"/>
      <c r="M17" s="294"/>
      <c r="N17" s="294"/>
      <c r="O17" s="294"/>
      <c r="P17" s="294"/>
      <c r="Q17" s="294"/>
      <c r="R17" s="294"/>
      <c r="S17" s="294"/>
      <c r="T17" s="294"/>
      <c r="U17" s="294"/>
      <c r="V17" s="294"/>
      <c r="W17" s="294"/>
      <c r="X17" s="294"/>
      <c r="Y17" s="294"/>
      <c r="Z17" s="294"/>
      <c r="AA17" s="294"/>
      <c r="AB17" s="294"/>
      <c r="AC17" s="294"/>
      <c r="AD17" s="294"/>
      <c r="AE17" s="294"/>
      <c r="AF17" s="294"/>
      <c r="AG17" s="294"/>
      <c r="AH17" s="294"/>
      <c r="AI17" s="294"/>
      <c r="AJ17" s="294"/>
      <c r="AK17" s="294"/>
      <c r="AL17" s="294"/>
    </row>
    <row r="18" spans="1:38" x14ac:dyDescent="0.2">
      <c r="A18" s="301" t="s">
        <v>576</v>
      </c>
      <c r="B18" s="301"/>
      <c r="C18" s="301"/>
      <c r="D18" s="301"/>
      <c r="E18" s="301"/>
      <c r="F18" s="301"/>
      <c r="G18" s="15"/>
      <c r="H18" s="302" t="str">
        <f>_xlfn.CONCAT(Data!B414,IF(Data!B417=TRUE,"No Medication Allergies.",""))</f>
        <v/>
      </c>
      <c r="I18" s="302"/>
      <c r="J18" s="302"/>
      <c r="K18" s="302"/>
      <c r="L18" s="302"/>
      <c r="M18" s="302"/>
      <c r="N18" s="302"/>
      <c r="O18" s="302"/>
      <c r="P18" s="302"/>
      <c r="Q18" s="302"/>
      <c r="R18" s="302"/>
      <c r="S18" s="302"/>
      <c r="T18" s="302"/>
      <c r="U18" s="302"/>
      <c r="V18" s="302"/>
      <c r="W18" s="302"/>
      <c r="X18" s="302"/>
      <c r="Y18" s="302"/>
      <c r="Z18" s="302"/>
      <c r="AA18" s="302"/>
      <c r="AB18" s="302"/>
      <c r="AC18" s="302"/>
      <c r="AD18" s="302"/>
      <c r="AE18" s="302"/>
      <c r="AF18" s="302"/>
      <c r="AG18" s="302"/>
      <c r="AH18" s="302"/>
      <c r="AI18" s="302"/>
    </row>
    <row r="19" spans="1:38" x14ac:dyDescent="0.2">
      <c r="A19" s="301" t="s">
        <v>577</v>
      </c>
      <c r="B19" s="301"/>
      <c r="C19" s="301"/>
      <c r="D19" s="301"/>
      <c r="E19" s="301"/>
      <c r="F19" s="301"/>
      <c r="G19" s="15"/>
      <c r="H19" s="303" t="str">
        <f>_xlfn.CONCAT(Data!B415,IF(Data!B418=TRUE,"No Food Allergies.",""))</f>
        <v/>
      </c>
      <c r="I19" s="303"/>
      <c r="J19" s="303"/>
      <c r="K19" s="303"/>
      <c r="L19" s="303"/>
      <c r="M19" s="303"/>
      <c r="N19" s="303"/>
      <c r="O19" s="303"/>
      <c r="P19" s="303"/>
      <c r="Q19" s="303"/>
      <c r="R19" s="303"/>
      <c r="S19" s="303"/>
      <c r="T19" s="303"/>
      <c r="U19" s="303"/>
      <c r="V19" s="303"/>
      <c r="W19" s="303"/>
      <c r="X19" s="303"/>
      <c r="Y19" s="303"/>
      <c r="Z19" s="303"/>
      <c r="AA19" s="303"/>
      <c r="AB19" s="303"/>
      <c r="AC19" s="303"/>
      <c r="AD19" s="303"/>
      <c r="AE19" s="303"/>
      <c r="AF19" s="303"/>
      <c r="AG19" s="303"/>
      <c r="AH19" s="303"/>
      <c r="AI19" s="303"/>
    </row>
    <row r="20" spans="1:38" x14ac:dyDescent="0.2">
      <c r="A20" s="301" t="s">
        <v>578</v>
      </c>
      <c r="B20" s="301"/>
      <c r="C20" s="301"/>
      <c r="D20" s="301"/>
      <c r="E20" s="301"/>
      <c r="F20" s="301"/>
      <c r="G20" s="15"/>
      <c r="H20" s="264" t="str">
        <f>_xlfn.CONCAT(Data!B416,IF(Data!B419=TRUE,"No Environmental Allergies",""))</f>
        <v/>
      </c>
      <c r="I20" s="264"/>
      <c r="J20" s="264"/>
      <c r="K20" s="264"/>
      <c r="L20" s="264"/>
      <c r="M20" s="264"/>
      <c r="N20" s="264"/>
      <c r="O20" s="264"/>
      <c r="P20" s="264"/>
      <c r="Q20" s="264"/>
      <c r="R20" s="264"/>
      <c r="S20" s="264"/>
      <c r="T20" s="264"/>
      <c r="U20" s="264"/>
      <c r="V20" s="264"/>
      <c r="W20" s="264"/>
      <c r="X20" s="264"/>
      <c r="Y20" s="264"/>
      <c r="Z20" s="264"/>
      <c r="AA20" s="264"/>
      <c r="AB20" s="264"/>
      <c r="AC20" s="264"/>
      <c r="AD20" s="264"/>
      <c r="AE20" s="264"/>
      <c r="AF20" s="264"/>
      <c r="AG20" s="264"/>
      <c r="AH20" s="264"/>
      <c r="AI20" s="264"/>
    </row>
    <row r="21" spans="1:38" x14ac:dyDescent="0.2">
      <c r="A21" s="294" t="s">
        <v>799</v>
      </c>
      <c r="B21" s="294"/>
      <c r="C21" s="294"/>
      <c r="D21" s="294"/>
      <c r="E21" s="294"/>
      <c r="F21" s="294"/>
      <c r="G21" s="294"/>
      <c r="H21" s="294"/>
      <c r="I21" s="294"/>
      <c r="J21" s="294"/>
      <c r="K21" s="294"/>
      <c r="L21" s="294"/>
      <c r="M21" s="294"/>
      <c r="N21" s="294"/>
      <c r="O21" s="294"/>
      <c r="P21" s="294"/>
      <c r="Q21" s="294"/>
      <c r="R21" s="294"/>
      <c r="S21" s="294"/>
      <c r="T21" s="294"/>
      <c r="U21" s="294"/>
      <c r="V21" s="294"/>
      <c r="W21" s="294"/>
      <c r="X21" s="294"/>
      <c r="Y21" s="294"/>
      <c r="Z21" s="294"/>
      <c r="AA21" s="294"/>
      <c r="AB21" s="294"/>
      <c r="AC21" s="294"/>
      <c r="AD21" s="294"/>
      <c r="AE21" s="294"/>
      <c r="AF21" s="294"/>
      <c r="AG21" s="294"/>
      <c r="AH21" s="294"/>
      <c r="AI21" s="294"/>
      <c r="AJ21" s="294"/>
      <c r="AK21" s="294"/>
      <c r="AL21" s="294"/>
    </row>
    <row r="22" spans="1:38" x14ac:dyDescent="0.2">
      <c r="A22" s="299" t="s">
        <v>800</v>
      </c>
      <c r="B22" s="299"/>
      <c r="C22" s="299"/>
      <c r="D22" s="299"/>
      <c r="E22" s="299"/>
      <c r="F22" s="299"/>
      <c r="G22" s="300">
        <f>Data!B239</f>
        <v>0</v>
      </c>
      <c r="H22" s="300"/>
      <c r="I22" s="300"/>
      <c r="K22" s="240" t="s">
        <v>803</v>
      </c>
      <c r="L22" s="240"/>
      <c r="M22" s="290">
        <f>IF(Data!B239="No","N/A",Data!B240)</f>
        <v>0</v>
      </c>
      <c r="N22" s="290"/>
      <c r="O22" s="290"/>
      <c r="P22" s="290"/>
      <c r="Q22" s="290"/>
      <c r="R22" s="290"/>
      <c r="T22" s="240" t="s">
        <v>805</v>
      </c>
      <c r="U22" s="240"/>
      <c r="V22" s="240"/>
      <c r="W22" s="219">
        <f>IF(Data!B239="No","N/A",Data!B241)</f>
        <v>0</v>
      </c>
      <c r="X22" s="219"/>
      <c r="Y22" s="219"/>
      <c r="Z22" s="219"/>
      <c r="AA22" s="219"/>
      <c r="AB22" s="219"/>
      <c r="AD22" s="240" t="s">
        <v>804</v>
      </c>
      <c r="AE22" s="240"/>
      <c r="AF22" s="240"/>
      <c r="AG22" s="233">
        <f>IF(Data!B239="No","N/A",Data!B242)</f>
        <v>0</v>
      </c>
      <c r="AH22" s="233"/>
      <c r="AI22" s="233"/>
      <c r="AJ22" s="233"/>
      <c r="AK22" s="233"/>
      <c r="AL22" s="233"/>
    </row>
    <row r="23" spans="1:38" x14ac:dyDescent="0.2">
      <c r="A23" s="299" t="s">
        <v>801</v>
      </c>
      <c r="B23" s="299"/>
      <c r="C23" s="299"/>
      <c r="D23" s="299"/>
      <c r="E23" s="299"/>
      <c r="F23" s="299"/>
      <c r="G23" s="300">
        <f>Data!B243</f>
        <v>0</v>
      </c>
      <c r="H23" s="300"/>
      <c r="I23" s="300"/>
      <c r="K23" s="240" t="s">
        <v>803</v>
      </c>
      <c r="L23" s="240"/>
      <c r="M23" s="290">
        <f>IF(Data!B243="No","N/A",Data!B244)</f>
        <v>0</v>
      </c>
      <c r="N23" s="290"/>
      <c r="O23" s="290"/>
      <c r="P23" s="290"/>
      <c r="Q23" s="290"/>
      <c r="R23" s="290"/>
      <c r="T23" s="240" t="s">
        <v>805</v>
      </c>
      <c r="U23" s="240"/>
      <c r="V23" s="240"/>
      <c r="W23" s="219">
        <f>IF(Data!B243="No","N/A",Data!B245)</f>
        <v>0</v>
      </c>
      <c r="X23" s="219"/>
      <c r="Y23" s="219"/>
      <c r="Z23" s="219"/>
      <c r="AA23" s="219"/>
      <c r="AB23" s="219"/>
      <c r="AD23" s="240" t="s">
        <v>804</v>
      </c>
      <c r="AE23" s="240"/>
      <c r="AF23" s="240"/>
      <c r="AG23" s="233">
        <f>IF(Data!B243="No","N/A",Data!B246)</f>
        <v>0</v>
      </c>
      <c r="AH23" s="233"/>
      <c r="AI23" s="233"/>
      <c r="AJ23" s="233"/>
      <c r="AK23" s="233"/>
      <c r="AL23" s="233"/>
    </row>
    <row r="24" spans="1:38" x14ac:dyDescent="0.2">
      <c r="A24" s="299" t="s">
        <v>802</v>
      </c>
      <c r="B24" s="299"/>
      <c r="C24" s="299"/>
      <c r="D24" s="299"/>
      <c r="E24" s="299"/>
      <c r="F24" s="299"/>
      <c r="G24" s="300">
        <f>Data!B247</f>
        <v>0</v>
      </c>
      <c r="H24" s="300"/>
      <c r="I24" s="300"/>
      <c r="K24" s="240" t="s">
        <v>803</v>
      </c>
      <c r="L24" s="240"/>
      <c r="M24" s="290">
        <f>IF(Data!B247="No","N/A",Data!B248)</f>
        <v>0</v>
      </c>
      <c r="N24" s="290"/>
      <c r="O24" s="290"/>
      <c r="P24" s="290"/>
      <c r="Q24" s="290"/>
      <c r="R24" s="290"/>
      <c r="T24" s="240" t="s">
        <v>805</v>
      </c>
      <c r="U24" s="240"/>
      <c r="V24" s="240"/>
      <c r="W24" s="219">
        <f>IF(Data!B247="No","N/A",Data!B249)</f>
        <v>0</v>
      </c>
      <c r="X24" s="219"/>
      <c r="Y24" s="219"/>
      <c r="Z24" s="219"/>
      <c r="AA24" s="219"/>
      <c r="AB24" s="219"/>
      <c r="AD24" s="240" t="s">
        <v>804</v>
      </c>
      <c r="AE24" s="240"/>
      <c r="AF24" s="240"/>
      <c r="AG24" s="233">
        <f>IF(Data!B247="No","N/A",Data!B250)</f>
        <v>0</v>
      </c>
      <c r="AH24" s="233"/>
      <c r="AI24" s="233"/>
      <c r="AJ24" s="233"/>
      <c r="AK24" s="233"/>
      <c r="AL24" s="233"/>
    </row>
    <row r="25" spans="1:38" x14ac:dyDescent="0.2">
      <c r="A25" s="21" t="str">
        <f>IF(Data!B251=TRUE,"P","")</f>
        <v>P</v>
      </c>
      <c r="B25" t="s">
        <v>806</v>
      </c>
    </row>
    <row r="26" spans="1:38" x14ac:dyDescent="0.2">
      <c r="A26" s="21" t="str">
        <f>IF(Data!B252=TRUE,"P","")</f>
        <v>P</v>
      </c>
      <c r="B26" t="s">
        <v>807</v>
      </c>
    </row>
    <row r="27" spans="1:38" x14ac:dyDescent="0.2">
      <c r="A27" s="21" t="str">
        <f>IF(Data!B253=TRUE,"P","")</f>
        <v>P</v>
      </c>
      <c r="B27" t="s">
        <v>808</v>
      </c>
    </row>
    <row r="28" spans="1:38" x14ac:dyDescent="0.2">
      <c r="A28" t="s">
        <v>785</v>
      </c>
      <c r="D28" s="233" t="str">
        <f>IF(Data!B254="","N/A",Data!B254)</f>
        <v>N/A</v>
      </c>
      <c r="E28" s="233"/>
      <c r="F28" s="233"/>
      <c r="G28" s="233"/>
      <c r="H28" s="233"/>
      <c r="I28" s="233"/>
      <c r="J28" s="233"/>
      <c r="K28" s="233"/>
      <c r="L28" s="233"/>
      <c r="M28" s="233"/>
      <c r="N28" s="233"/>
      <c r="O28" s="233"/>
      <c r="P28" s="233"/>
      <c r="Q28" s="233"/>
      <c r="R28" s="233"/>
      <c r="S28" s="233"/>
      <c r="T28" s="233"/>
      <c r="U28" s="233"/>
      <c r="V28" s="233"/>
      <c r="W28" s="233"/>
      <c r="X28" s="233"/>
      <c r="Y28" s="233"/>
      <c r="Z28" s="233"/>
      <c r="AA28" s="233"/>
      <c r="AB28" s="233"/>
      <c r="AC28" s="233"/>
      <c r="AD28" s="233"/>
      <c r="AE28" s="233"/>
      <c r="AF28" s="233"/>
      <c r="AG28" s="233"/>
      <c r="AH28" s="233"/>
      <c r="AI28" s="233"/>
      <c r="AJ28" s="233"/>
      <c r="AK28" s="233"/>
      <c r="AL28" s="233"/>
    </row>
    <row r="29" spans="1:38" x14ac:dyDescent="0.2">
      <c r="A29" s="294" t="s">
        <v>809</v>
      </c>
      <c r="B29" s="294"/>
      <c r="C29" s="294"/>
      <c r="D29" s="294"/>
      <c r="E29" s="294"/>
      <c r="F29" s="294"/>
      <c r="G29" s="294"/>
      <c r="H29" s="294"/>
      <c r="I29" s="294"/>
      <c r="J29" s="294"/>
      <c r="K29" s="294"/>
      <c r="L29" s="294"/>
      <c r="M29" s="294"/>
      <c r="N29" s="294"/>
      <c r="O29" s="294"/>
      <c r="P29" s="294"/>
      <c r="Q29" s="294"/>
      <c r="R29" s="294"/>
      <c r="S29" s="294"/>
      <c r="T29" s="294"/>
      <c r="U29" s="294"/>
      <c r="V29" s="294"/>
      <c r="W29" s="294"/>
      <c r="X29" s="294"/>
      <c r="Y29" s="294"/>
      <c r="Z29" s="294"/>
      <c r="AA29" s="294"/>
      <c r="AB29" s="294"/>
      <c r="AC29" s="294"/>
      <c r="AD29" s="294"/>
      <c r="AE29" s="294"/>
      <c r="AF29" s="294"/>
      <c r="AG29" s="294"/>
      <c r="AH29" s="294"/>
      <c r="AI29" s="294"/>
      <c r="AJ29" s="294"/>
      <c r="AK29" s="294"/>
      <c r="AL29" s="294"/>
    </row>
    <row r="30" spans="1:38" x14ac:dyDescent="0.2">
      <c r="A30" s="299" t="s">
        <v>810</v>
      </c>
      <c r="B30" s="299"/>
      <c r="C30" s="299"/>
      <c r="D30" s="299"/>
      <c r="E30" s="299"/>
      <c r="F30" s="299"/>
      <c r="G30" s="299"/>
      <c r="H30" s="299"/>
      <c r="I30" s="299"/>
      <c r="J30" s="233" t="str">
        <f>IF(Data!B187="","N/A",Data!B187)</f>
        <v>N/A</v>
      </c>
      <c r="K30" s="233"/>
      <c r="L30" s="233"/>
      <c r="M30" s="233"/>
      <c r="N30" s="233"/>
      <c r="O30" s="233"/>
      <c r="P30" s="233"/>
      <c r="Q30" s="233"/>
      <c r="R30" s="233"/>
      <c r="S30" s="233"/>
      <c r="T30" s="233"/>
      <c r="U30" s="233"/>
      <c r="V30" s="233"/>
      <c r="W30" s="233"/>
      <c r="X30" s="233"/>
      <c r="Y30" s="233"/>
      <c r="Z30" s="233"/>
      <c r="AA30" s="233"/>
      <c r="AB30" s="233"/>
      <c r="AC30" s="233"/>
      <c r="AD30" s="21" t="str">
        <f>IF(Data!B188=TRUE,"P","")</f>
        <v/>
      </c>
      <c r="AE30" t="s">
        <v>811</v>
      </c>
    </row>
    <row r="31" spans="1:38" x14ac:dyDescent="0.2">
      <c r="A31" s="299" t="s">
        <v>3354</v>
      </c>
      <c r="B31" s="299"/>
      <c r="C31" s="299"/>
      <c r="D31" s="299"/>
      <c r="E31" s="299"/>
      <c r="F31" s="299"/>
      <c r="G31" s="299"/>
      <c r="H31" s="299"/>
      <c r="I31" s="299"/>
      <c r="J31" s="233" t="str">
        <f>IF(Data!B189="","N/A",Data!B189)</f>
        <v>N/A</v>
      </c>
      <c r="K31" s="233"/>
      <c r="L31" s="233"/>
      <c r="M31" s="233"/>
      <c r="N31" s="233"/>
      <c r="O31" s="233"/>
      <c r="P31" s="233"/>
      <c r="Q31" s="233"/>
      <c r="R31" s="233"/>
      <c r="S31" s="233"/>
      <c r="T31" s="233"/>
      <c r="U31" s="233"/>
      <c r="V31" s="233"/>
      <c r="W31" s="233"/>
      <c r="X31" s="233"/>
      <c r="Y31" s="233"/>
      <c r="Z31" s="233"/>
      <c r="AA31" s="233"/>
      <c r="AB31" s="233"/>
      <c r="AC31" s="233"/>
      <c r="AD31" s="21" t="str">
        <f>IF(Data!B190=TRUE,"P","")</f>
        <v/>
      </c>
      <c r="AE31" t="s">
        <v>811</v>
      </c>
    </row>
    <row r="32" spans="1:38" x14ac:dyDescent="0.2">
      <c r="A32" t="s">
        <v>812</v>
      </c>
      <c r="O32" s="233">
        <f>Data!B191</f>
        <v>0</v>
      </c>
      <c r="P32" s="233"/>
      <c r="Q32" s="233"/>
    </row>
    <row r="33" spans="1:38" x14ac:dyDescent="0.2">
      <c r="A33" t="s">
        <v>813</v>
      </c>
      <c r="F33" s="290" t="str">
        <f>IF(Data!B192="","N/A",Data!B192)</f>
        <v>N/A</v>
      </c>
      <c r="G33" s="290"/>
      <c r="H33" s="290"/>
      <c r="I33" s="290"/>
      <c r="J33" s="290"/>
      <c r="K33" s="290"/>
      <c r="L33" s="290"/>
      <c r="M33" s="290"/>
      <c r="N33" s="290"/>
      <c r="O33" s="290"/>
      <c r="P33" s="290"/>
      <c r="Q33" s="290"/>
      <c r="R33" s="290"/>
      <c r="S33" s="290"/>
      <c r="T33" s="290"/>
      <c r="U33" s="290"/>
      <c r="V33" s="290"/>
      <c r="W33" s="290"/>
      <c r="X33" s="290"/>
      <c r="Y33" s="290"/>
      <c r="Z33" s="290"/>
      <c r="AA33" s="290"/>
      <c r="AB33" s="290"/>
      <c r="AC33" s="290"/>
      <c r="AD33" s="290"/>
      <c r="AE33" s="290"/>
      <c r="AF33" s="290"/>
      <c r="AG33" s="290"/>
      <c r="AH33" s="290"/>
      <c r="AI33" s="290"/>
      <c r="AJ33" s="290"/>
      <c r="AK33" s="290"/>
      <c r="AL33" s="290"/>
    </row>
    <row r="34" spans="1:38" x14ac:dyDescent="0.2">
      <c r="A34" s="294" t="s">
        <v>814</v>
      </c>
      <c r="B34" s="294"/>
      <c r="C34" s="294"/>
      <c r="D34" s="294"/>
      <c r="E34" s="294"/>
      <c r="F34" s="294"/>
      <c r="G34" s="294"/>
      <c r="H34" s="294"/>
      <c r="I34" s="294"/>
      <c r="J34" s="294"/>
      <c r="K34" s="294"/>
      <c r="L34" s="294"/>
      <c r="M34" s="294"/>
      <c r="N34" s="294"/>
      <c r="O34" s="294"/>
      <c r="P34" s="294"/>
      <c r="Q34" s="294"/>
      <c r="R34" s="294"/>
      <c r="S34" s="294"/>
      <c r="T34" s="294"/>
      <c r="U34" s="294"/>
      <c r="V34" s="294"/>
      <c r="W34" s="294"/>
      <c r="X34" s="294"/>
      <c r="Y34" s="294"/>
      <c r="Z34" s="294"/>
      <c r="AA34" s="294"/>
      <c r="AB34" s="294"/>
      <c r="AC34" s="294"/>
      <c r="AD34" s="294"/>
      <c r="AE34" s="294"/>
      <c r="AF34" s="294"/>
      <c r="AG34" s="294"/>
      <c r="AH34" s="294"/>
      <c r="AI34" s="294"/>
      <c r="AJ34" s="294"/>
      <c r="AK34" s="294"/>
      <c r="AL34" s="294"/>
    </row>
    <row r="35" spans="1:38" x14ac:dyDescent="0.2">
      <c r="A35" t="s">
        <v>815</v>
      </c>
      <c r="G35" s="233">
        <f>Data!B193</f>
        <v>0</v>
      </c>
      <c r="H35" s="233"/>
      <c r="I35" s="233"/>
      <c r="J35" s="233"/>
      <c r="K35" s="233"/>
      <c r="L35" s="233"/>
      <c r="M35" s="233"/>
      <c r="N35" s="233"/>
      <c r="O35" s="233"/>
      <c r="P35" s="233"/>
      <c r="R35" t="s">
        <v>817</v>
      </c>
      <c r="W35" s="233">
        <f>Data!B196</f>
        <v>0</v>
      </c>
      <c r="X35" s="233"/>
      <c r="Y35" s="233"/>
      <c r="Z35" s="233"/>
      <c r="AA35" s="233"/>
      <c r="AB35" s="233"/>
      <c r="AC35" s="233"/>
      <c r="AD35" s="233"/>
    </row>
    <row r="36" spans="1:38" x14ac:dyDescent="0.2">
      <c r="A36" t="s">
        <v>816</v>
      </c>
      <c r="G36" s="233">
        <f>Data!B194</f>
        <v>0</v>
      </c>
      <c r="H36" s="233"/>
      <c r="I36" s="233"/>
      <c r="J36" s="233"/>
      <c r="K36" s="233"/>
      <c r="L36" s="233"/>
      <c r="M36" s="233"/>
      <c r="N36" s="233"/>
      <c r="O36" s="233"/>
      <c r="P36" s="233"/>
      <c r="R36" t="s">
        <v>818</v>
      </c>
      <c r="AB36" s="233">
        <f>Data!B195</f>
        <v>0</v>
      </c>
      <c r="AC36" s="233"/>
      <c r="AD36" s="233"/>
      <c r="AE36" s="233"/>
    </row>
    <row r="37" spans="1:38" x14ac:dyDescent="0.2">
      <c r="A37" s="294" t="s">
        <v>819</v>
      </c>
      <c r="B37" s="294"/>
      <c r="C37" s="294"/>
      <c r="D37" s="294"/>
      <c r="E37" s="294"/>
      <c r="F37" s="294"/>
      <c r="G37" s="294"/>
      <c r="H37" s="294"/>
      <c r="I37" s="294"/>
      <c r="J37" s="294"/>
      <c r="K37" s="294"/>
      <c r="L37" s="294"/>
      <c r="M37" s="294"/>
      <c r="N37" s="294"/>
      <c r="O37" s="294"/>
      <c r="P37" s="294"/>
      <c r="Q37" s="294"/>
      <c r="R37" s="294"/>
      <c r="S37" s="294"/>
      <c r="T37" s="294"/>
      <c r="U37" s="294"/>
      <c r="V37" s="294"/>
      <c r="W37" s="294"/>
      <c r="X37" s="294"/>
      <c r="Y37" s="294"/>
      <c r="Z37" s="294"/>
      <c r="AA37" s="294"/>
      <c r="AB37" s="294"/>
      <c r="AC37" s="294"/>
      <c r="AD37" s="294"/>
      <c r="AE37" s="294"/>
      <c r="AF37" s="294"/>
      <c r="AG37" s="294"/>
      <c r="AH37" s="294"/>
      <c r="AI37" s="294"/>
      <c r="AJ37" s="294"/>
      <c r="AK37" s="294"/>
      <c r="AL37" s="294"/>
    </row>
    <row r="38" spans="1:38" x14ac:dyDescent="0.2">
      <c r="A38" t="s">
        <v>820</v>
      </c>
      <c r="G38" s="296" t="str">
        <f>_xlfn.CONCAT("Client has a history of ",ppm.specific!G13)</f>
        <v xml:space="preserve">Client has a history of </v>
      </c>
      <c r="H38" s="296"/>
      <c r="I38" s="296"/>
      <c r="J38" s="296"/>
      <c r="K38" s="296"/>
      <c r="L38" s="296"/>
      <c r="M38" s="296"/>
      <c r="N38" s="296"/>
      <c r="O38" s="296"/>
      <c r="P38" s="296"/>
      <c r="Q38" s="296"/>
      <c r="R38" s="296"/>
      <c r="S38" s="296"/>
      <c r="T38" s="296"/>
      <c r="U38" s="296"/>
      <c r="V38" s="296"/>
      <c r="W38" s="296"/>
      <c r="X38" s="296"/>
      <c r="Y38" s="296"/>
      <c r="Z38" s="296"/>
      <c r="AA38" s="296"/>
      <c r="AB38" s="296"/>
      <c r="AC38" s="296"/>
      <c r="AD38" s="296"/>
      <c r="AE38" s="296"/>
      <c r="AF38" s="296"/>
      <c r="AG38" s="296"/>
      <c r="AH38" s="296"/>
      <c r="AI38" s="296"/>
      <c r="AJ38" s="296"/>
      <c r="AK38" s="296"/>
      <c r="AL38" s="296"/>
    </row>
    <row r="39" spans="1:38" ht="19.5" customHeight="1" x14ac:dyDescent="0.2">
      <c r="G39" s="296"/>
      <c r="H39" s="296"/>
      <c r="I39" s="296"/>
      <c r="J39" s="296"/>
      <c r="K39" s="296"/>
      <c r="L39" s="296"/>
      <c r="M39" s="296"/>
      <c r="N39" s="296"/>
      <c r="O39" s="296"/>
      <c r="P39" s="296"/>
      <c r="Q39" s="296"/>
      <c r="R39" s="296"/>
      <c r="S39" s="296"/>
      <c r="T39" s="296"/>
      <c r="U39" s="296"/>
      <c r="V39" s="296"/>
      <c r="W39" s="296"/>
      <c r="X39" s="296"/>
      <c r="Y39" s="296"/>
      <c r="Z39" s="296"/>
      <c r="AA39" s="296"/>
      <c r="AB39" s="296"/>
      <c r="AC39" s="296"/>
      <c r="AD39" s="296"/>
      <c r="AE39" s="296"/>
      <c r="AF39" s="296"/>
      <c r="AG39" s="296"/>
      <c r="AH39" s="296"/>
      <c r="AI39" s="296"/>
      <c r="AJ39" s="296"/>
      <c r="AK39" s="296"/>
      <c r="AL39" s="296"/>
    </row>
    <row r="40" spans="1:38" x14ac:dyDescent="0.2">
      <c r="A40" t="s">
        <v>821</v>
      </c>
      <c r="G40" s="233">
        <f>Data!B409</f>
        <v>0</v>
      </c>
      <c r="H40" s="233"/>
      <c r="I40" s="233"/>
      <c r="J40" s="233"/>
      <c r="K40" s="233"/>
      <c r="L40" s="233"/>
      <c r="M40" s="233"/>
      <c r="N40" s="233"/>
      <c r="O40" s="233"/>
      <c r="P40" s="233"/>
      <c r="S40" t="s">
        <v>574</v>
      </c>
      <c r="Y40" s="298">
        <f>Data!B410</f>
        <v>0</v>
      </c>
      <c r="Z40" s="298"/>
      <c r="AA40" s="298"/>
      <c r="AB40" s="298"/>
      <c r="AC40" s="298"/>
      <c r="AD40" s="298"/>
      <c r="AE40" s="298"/>
    </row>
    <row r="41" spans="1:38" x14ac:dyDescent="0.2">
      <c r="A41" t="s">
        <v>822</v>
      </c>
      <c r="V41" s="4"/>
      <c r="W41" s="4"/>
      <c r="X41" s="233">
        <f>Data!B412</f>
        <v>0</v>
      </c>
      <c r="Y41" s="233"/>
      <c r="Z41" s="233"/>
      <c r="AA41" s="233"/>
      <c r="AB41" s="233"/>
      <c r="AC41" s="233"/>
      <c r="AD41" s="233"/>
      <c r="AE41" s="233"/>
      <c r="AF41" s="233"/>
      <c r="AG41" s="233"/>
      <c r="AH41" s="233"/>
    </row>
    <row r="42" spans="1:38" x14ac:dyDescent="0.2">
      <c r="A42" s="294" t="s">
        <v>823</v>
      </c>
      <c r="B42" s="294"/>
      <c r="C42" s="294"/>
      <c r="D42" s="294"/>
      <c r="E42" s="294"/>
      <c r="F42" s="294"/>
      <c r="G42" s="294"/>
      <c r="H42" s="294"/>
      <c r="I42" s="294"/>
      <c r="J42" s="294"/>
      <c r="K42" s="294"/>
      <c r="L42" s="294"/>
      <c r="M42" s="294"/>
      <c r="N42" s="294"/>
      <c r="O42" s="294"/>
      <c r="P42" s="294"/>
      <c r="Q42" s="294"/>
      <c r="R42" s="294"/>
      <c r="S42" s="294"/>
      <c r="T42" s="294"/>
      <c r="U42" s="294"/>
      <c r="V42" s="294"/>
      <c r="W42" s="294"/>
      <c r="X42" s="294"/>
      <c r="Y42" s="294"/>
      <c r="Z42" s="294"/>
      <c r="AA42" s="294"/>
      <c r="AB42" s="294"/>
      <c r="AC42" s="294"/>
      <c r="AD42" s="294"/>
      <c r="AE42" s="294"/>
      <c r="AF42" s="294"/>
      <c r="AG42" s="294"/>
      <c r="AH42" s="294"/>
      <c r="AI42" s="294"/>
      <c r="AJ42" s="294"/>
      <c r="AK42" s="294"/>
      <c r="AL42" s="294"/>
    </row>
    <row r="43" spans="1:38" x14ac:dyDescent="0.2">
      <c r="A43" t="s">
        <v>824</v>
      </c>
      <c r="K43" s="4"/>
      <c r="L43" s="233">
        <f>Data!D198</f>
        <v>0</v>
      </c>
      <c r="M43" s="233"/>
      <c r="N43" s="233"/>
      <c r="O43" s="233"/>
      <c r="P43" s="233"/>
    </row>
    <row r="44" spans="1:38" x14ac:dyDescent="0.2">
      <c r="A44" s="240" t="s">
        <v>825</v>
      </c>
      <c r="B44" s="240"/>
      <c r="C44" s="240"/>
      <c r="D44" s="240"/>
      <c r="E44" s="290" t="str">
        <f>IF(Data!B201="","N/A",Data!B201)</f>
        <v>N/A</v>
      </c>
      <c r="F44" s="290"/>
      <c r="G44" s="290"/>
      <c r="H44" s="290"/>
      <c r="I44" s="290"/>
      <c r="J44" s="290"/>
      <c r="K44" s="290"/>
      <c r="L44" s="290"/>
      <c r="M44" s="290"/>
      <c r="N44" s="290"/>
      <c r="O44" s="290"/>
      <c r="P44" s="290"/>
      <c r="Q44" s="290"/>
      <c r="R44" s="290"/>
      <c r="S44" s="290"/>
      <c r="T44" s="290"/>
      <c r="U44" s="290"/>
      <c r="V44" s="290"/>
      <c r="W44" s="290"/>
      <c r="X44" s="290"/>
      <c r="Y44" s="290"/>
      <c r="Z44" s="290"/>
      <c r="AA44" s="290"/>
      <c r="AB44" s="240" t="s">
        <v>826</v>
      </c>
      <c r="AC44" s="240"/>
      <c r="AD44" s="240"/>
      <c r="AE44" s="240"/>
      <c r="AF44" s="293" t="str">
        <f>IF(Data!D201="","N/A",Data!D201)</f>
        <v>N/A</v>
      </c>
      <c r="AG44" s="293"/>
      <c r="AH44" s="293"/>
      <c r="AI44" s="293"/>
      <c r="AJ44" s="293"/>
      <c r="AK44" s="293"/>
      <c r="AL44" s="7"/>
    </row>
    <row r="45" spans="1:38" x14ac:dyDescent="0.2">
      <c r="A45" s="240" t="s">
        <v>825</v>
      </c>
      <c r="B45" s="240"/>
      <c r="C45" s="240"/>
      <c r="D45" s="240"/>
      <c r="E45" s="290" t="str">
        <f>IF(Data!B202="","N/A",Data!B202)</f>
        <v>N/A</v>
      </c>
      <c r="F45" s="290"/>
      <c r="G45" s="290"/>
      <c r="H45" s="290"/>
      <c r="I45" s="290"/>
      <c r="J45" s="290"/>
      <c r="K45" s="290"/>
      <c r="L45" s="290"/>
      <c r="M45" s="290"/>
      <c r="N45" s="290"/>
      <c r="O45" s="290"/>
      <c r="P45" s="290"/>
      <c r="Q45" s="290"/>
      <c r="R45" s="290"/>
      <c r="S45" s="290"/>
      <c r="T45" s="290"/>
      <c r="U45" s="290"/>
      <c r="V45" s="290"/>
      <c r="W45" s="290"/>
      <c r="X45" s="290"/>
      <c r="Y45" s="290"/>
      <c r="Z45" s="290"/>
      <c r="AA45" s="290"/>
      <c r="AB45" s="240" t="s">
        <v>826</v>
      </c>
      <c r="AC45" s="240"/>
      <c r="AD45" s="240"/>
      <c r="AE45" s="240"/>
      <c r="AF45" s="293" t="str">
        <f>IF(Data!D202="","N/A",Data!D202)</f>
        <v>N/A</v>
      </c>
      <c r="AG45" s="293"/>
      <c r="AH45" s="293"/>
      <c r="AI45" s="293"/>
      <c r="AJ45" s="293"/>
      <c r="AK45" s="293"/>
      <c r="AL45" s="7"/>
    </row>
    <row r="46" spans="1:38" x14ac:dyDescent="0.2">
      <c r="A46" s="240" t="s">
        <v>825</v>
      </c>
      <c r="B46" s="240"/>
      <c r="C46" s="240"/>
      <c r="D46" s="240"/>
      <c r="E46" s="290" t="str">
        <f>IF(Data!B203="","N/A",Data!B203)</f>
        <v>N/A</v>
      </c>
      <c r="F46" s="290"/>
      <c r="G46" s="290"/>
      <c r="H46" s="290"/>
      <c r="I46" s="290"/>
      <c r="J46" s="290"/>
      <c r="K46" s="290"/>
      <c r="L46" s="290"/>
      <c r="M46" s="290"/>
      <c r="N46" s="290"/>
      <c r="O46" s="290"/>
      <c r="P46" s="290"/>
      <c r="Q46" s="290"/>
      <c r="R46" s="290"/>
      <c r="S46" s="290"/>
      <c r="T46" s="290"/>
      <c r="U46" s="290"/>
      <c r="V46" s="290"/>
      <c r="W46" s="290"/>
      <c r="X46" s="290"/>
      <c r="Y46" s="290"/>
      <c r="Z46" s="290"/>
      <c r="AA46" s="290"/>
      <c r="AB46" s="240" t="s">
        <v>826</v>
      </c>
      <c r="AC46" s="240"/>
      <c r="AD46" s="240"/>
      <c r="AE46" s="240"/>
      <c r="AF46" s="293" t="str">
        <f>IF(Data!D203="","N/A",Data!D203)</f>
        <v>N/A</v>
      </c>
      <c r="AG46" s="293"/>
      <c r="AH46" s="293"/>
      <c r="AI46" s="293"/>
      <c r="AJ46" s="293"/>
      <c r="AK46" s="293"/>
      <c r="AL46" s="7"/>
    </row>
    <row r="47" spans="1:38" x14ac:dyDescent="0.2">
      <c r="A47" s="240" t="s">
        <v>825</v>
      </c>
      <c r="B47" s="240"/>
      <c r="C47" s="240"/>
      <c r="D47" s="240"/>
      <c r="E47" s="290" t="str">
        <f>IF(Data!B204="","N/A",Data!B204)</f>
        <v>N/A</v>
      </c>
      <c r="F47" s="290"/>
      <c r="G47" s="290"/>
      <c r="H47" s="290"/>
      <c r="I47" s="290"/>
      <c r="J47" s="290"/>
      <c r="K47" s="290"/>
      <c r="L47" s="290"/>
      <c r="M47" s="290"/>
      <c r="N47" s="290"/>
      <c r="O47" s="290"/>
      <c r="P47" s="290"/>
      <c r="Q47" s="290"/>
      <c r="R47" s="290"/>
      <c r="S47" s="290"/>
      <c r="T47" s="290"/>
      <c r="U47" s="290"/>
      <c r="V47" s="290"/>
      <c r="W47" s="290"/>
      <c r="X47" s="290"/>
      <c r="Y47" s="290"/>
      <c r="Z47" s="290"/>
      <c r="AA47" s="290"/>
      <c r="AB47" s="240" t="s">
        <v>826</v>
      </c>
      <c r="AC47" s="240"/>
      <c r="AD47" s="240"/>
      <c r="AE47" s="240"/>
      <c r="AF47" s="293" t="str">
        <f>IF(Data!D204="","N/A",Data!D204)</f>
        <v>N/A</v>
      </c>
      <c r="AG47" s="293"/>
      <c r="AH47" s="293"/>
      <c r="AI47" s="293"/>
      <c r="AJ47" s="293"/>
      <c r="AK47" s="293"/>
      <c r="AL47" s="7"/>
    </row>
    <row r="48" spans="1:38" x14ac:dyDescent="0.2">
      <c r="A48" s="240" t="s">
        <v>825</v>
      </c>
      <c r="B48" s="240"/>
      <c r="C48" s="240"/>
      <c r="D48" s="240"/>
      <c r="E48" s="290" t="str">
        <f>IF(Data!B205="","N/A",Data!B205)</f>
        <v>N/A</v>
      </c>
      <c r="F48" s="290"/>
      <c r="G48" s="290"/>
      <c r="H48" s="290"/>
      <c r="I48" s="290"/>
      <c r="J48" s="290"/>
      <c r="K48" s="290"/>
      <c r="L48" s="290"/>
      <c r="M48" s="290"/>
      <c r="N48" s="290"/>
      <c r="O48" s="290"/>
      <c r="P48" s="290"/>
      <c r="Q48" s="290"/>
      <c r="R48" s="290"/>
      <c r="S48" s="290"/>
      <c r="T48" s="290"/>
      <c r="U48" s="290"/>
      <c r="V48" s="290"/>
      <c r="W48" s="290"/>
      <c r="X48" s="290"/>
      <c r="Y48" s="290"/>
      <c r="Z48" s="290"/>
      <c r="AA48" s="290"/>
      <c r="AB48" s="240" t="s">
        <v>826</v>
      </c>
      <c r="AC48" s="240"/>
      <c r="AD48" s="240"/>
      <c r="AE48" s="240"/>
      <c r="AF48" s="293" t="str">
        <f>IF(Data!D205="","N/A",Data!D205)</f>
        <v>N/A</v>
      </c>
      <c r="AG48" s="293"/>
      <c r="AH48" s="293"/>
      <c r="AI48" s="293"/>
      <c r="AJ48" s="293"/>
      <c r="AK48" s="293"/>
      <c r="AL48" s="7"/>
    </row>
    <row r="49" spans="1:38" x14ac:dyDescent="0.2">
      <c r="A49" s="240" t="s">
        <v>825</v>
      </c>
      <c r="B49" s="240"/>
      <c r="C49" s="240"/>
      <c r="D49" s="240"/>
      <c r="E49" s="290" t="str">
        <f>IF(Data!B206="","N/A",Data!B206)</f>
        <v>N/A</v>
      </c>
      <c r="F49" s="290"/>
      <c r="G49" s="290"/>
      <c r="H49" s="290"/>
      <c r="I49" s="290"/>
      <c r="J49" s="290"/>
      <c r="K49" s="290"/>
      <c r="L49" s="290"/>
      <c r="M49" s="290"/>
      <c r="N49" s="290"/>
      <c r="O49" s="290"/>
      <c r="P49" s="290"/>
      <c r="Q49" s="290"/>
      <c r="R49" s="290"/>
      <c r="S49" s="290"/>
      <c r="T49" s="290"/>
      <c r="U49" s="290"/>
      <c r="V49" s="290"/>
      <c r="W49" s="290"/>
      <c r="X49" s="290"/>
      <c r="Y49" s="290"/>
      <c r="Z49" s="290"/>
      <c r="AA49" s="290"/>
      <c r="AB49" s="240" t="s">
        <v>826</v>
      </c>
      <c r="AC49" s="240"/>
      <c r="AD49" s="240"/>
      <c r="AE49" s="240"/>
      <c r="AF49" s="293" t="str">
        <f>IF(Data!D206="","N/A",Data!D206)</f>
        <v>N/A</v>
      </c>
      <c r="AG49" s="293"/>
      <c r="AH49" s="293"/>
      <c r="AI49" s="293"/>
      <c r="AJ49" s="293"/>
      <c r="AK49" s="293"/>
      <c r="AL49" s="7"/>
    </row>
    <row r="50" spans="1:38" x14ac:dyDescent="0.2">
      <c r="A50" s="240" t="s">
        <v>825</v>
      </c>
      <c r="B50" s="240"/>
      <c r="C50" s="240"/>
      <c r="D50" s="240"/>
      <c r="E50" s="290" t="str">
        <f>IF(Data!B207="","N/A",Data!B207)</f>
        <v>N/A</v>
      </c>
      <c r="F50" s="290"/>
      <c r="G50" s="290"/>
      <c r="H50" s="290"/>
      <c r="I50" s="290"/>
      <c r="J50" s="290"/>
      <c r="K50" s="290"/>
      <c r="L50" s="290"/>
      <c r="M50" s="290"/>
      <c r="N50" s="290"/>
      <c r="O50" s="290"/>
      <c r="P50" s="290"/>
      <c r="Q50" s="290"/>
      <c r="R50" s="290"/>
      <c r="S50" s="290"/>
      <c r="T50" s="290"/>
      <c r="U50" s="290"/>
      <c r="V50" s="290"/>
      <c r="W50" s="290"/>
      <c r="X50" s="290"/>
      <c r="Y50" s="290"/>
      <c r="Z50" s="290"/>
      <c r="AA50" s="290"/>
      <c r="AB50" s="240" t="s">
        <v>826</v>
      </c>
      <c r="AC50" s="240"/>
      <c r="AD50" s="240"/>
      <c r="AE50" s="240"/>
      <c r="AF50" s="293" t="str">
        <f>IF(Data!D207="","N/A",Data!D207)</f>
        <v>N/A</v>
      </c>
      <c r="AG50" s="293"/>
      <c r="AH50" s="293"/>
      <c r="AI50" s="293"/>
      <c r="AJ50" s="293"/>
      <c r="AK50" s="293"/>
      <c r="AL50" s="7"/>
    </row>
    <row r="51" spans="1:38" x14ac:dyDescent="0.2">
      <c r="A51" s="240" t="s">
        <v>825</v>
      </c>
      <c r="B51" s="240"/>
      <c r="C51" s="240"/>
      <c r="D51" s="240"/>
      <c r="E51" s="290" t="str">
        <f>IF(Data!B208="","N/A",Data!B208)</f>
        <v>N/A</v>
      </c>
      <c r="F51" s="290"/>
      <c r="G51" s="290"/>
      <c r="H51" s="290"/>
      <c r="I51" s="290"/>
      <c r="J51" s="290"/>
      <c r="K51" s="290"/>
      <c r="L51" s="290"/>
      <c r="M51" s="290"/>
      <c r="N51" s="290"/>
      <c r="O51" s="290"/>
      <c r="P51" s="290"/>
      <c r="Q51" s="290"/>
      <c r="R51" s="290"/>
      <c r="S51" s="290"/>
      <c r="T51" s="290"/>
      <c r="U51" s="290"/>
      <c r="V51" s="290"/>
      <c r="W51" s="290"/>
      <c r="X51" s="290"/>
      <c r="Y51" s="290"/>
      <c r="Z51" s="290"/>
      <c r="AA51" s="290"/>
      <c r="AB51" s="240" t="s">
        <v>826</v>
      </c>
      <c r="AC51" s="240"/>
      <c r="AD51" s="240"/>
      <c r="AE51" s="240"/>
      <c r="AF51" s="293" t="str">
        <f>IF(Data!D208="","N/A",Data!D208)</f>
        <v>N/A</v>
      </c>
      <c r="AG51" s="293"/>
      <c r="AH51" s="293"/>
      <c r="AI51" s="293"/>
      <c r="AJ51" s="293"/>
      <c r="AK51" s="293"/>
      <c r="AL51" s="7"/>
    </row>
    <row r="52" spans="1:38" x14ac:dyDescent="0.2">
      <c r="A52" t="s">
        <v>3217</v>
      </c>
      <c r="AC52" s="233"/>
      <c r="AD52" s="233"/>
      <c r="AE52" s="233"/>
      <c r="AF52" t="s">
        <v>774</v>
      </c>
      <c r="AJ52" s="34"/>
      <c r="AK52" s="34"/>
      <c r="AL52" s="34"/>
    </row>
    <row r="53" spans="1:38" x14ac:dyDescent="0.2">
      <c r="A53" t="s">
        <v>336</v>
      </c>
      <c r="E53" s="219" t="str">
        <f>_xlfn.CONCAT(Data!B2,", ",Data!B3," ",Data!B4)</f>
        <v xml:space="preserve">,  </v>
      </c>
      <c r="F53" s="219"/>
      <c r="G53" s="219"/>
      <c r="H53" s="219"/>
      <c r="I53" s="219"/>
      <c r="J53" s="219"/>
      <c r="K53" s="219"/>
      <c r="L53" s="219"/>
      <c r="M53" s="219"/>
      <c r="N53" s="219"/>
      <c r="O53" s="219"/>
      <c r="P53" s="219"/>
      <c r="Q53" s="219"/>
      <c r="R53" s="219"/>
      <c r="S53" t="s">
        <v>371</v>
      </c>
      <c r="U53" s="218">
        <f>Data!B14</f>
        <v>0</v>
      </c>
      <c r="V53" s="218"/>
      <c r="W53" s="218"/>
      <c r="X53" s="218"/>
      <c r="Y53" s="218"/>
      <c r="Z53" s="218"/>
      <c r="AA53" s="16" t="s">
        <v>772</v>
      </c>
      <c r="AG53" s="218">
        <f>Data!B34</f>
        <v>0</v>
      </c>
      <c r="AH53" s="218"/>
      <c r="AI53" s="218"/>
      <c r="AJ53" s="218"/>
      <c r="AK53" s="218"/>
      <c r="AL53" s="218"/>
    </row>
    <row r="54" spans="1:38" x14ac:dyDescent="0.2">
      <c r="A54" s="294" t="s">
        <v>827</v>
      </c>
      <c r="B54" s="294"/>
      <c r="C54" s="294"/>
      <c r="D54" s="294"/>
      <c r="E54" s="294"/>
      <c r="F54" s="294"/>
      <c r="G54" s="294"/>
      <c r="H54" s="294"/>
      <c r="I54" s="294"/>
      <c r="J54" s="294"/>
      <c r="K54" s="294"/>
      <c r="L54" s="294"/>
      <c r="M54" s="294"/>
      <c r="N54" s="294"/>
      <c r="O54" s="294"/>
      <c r="P54" s="294"/>
      <c r="Q54" s="294"/>
      <c r="R54" s="294"/>
      <c r="S54" s="294"/>
      <c r="T54" s="294"/>
      <c r="U54" s="294"/>
      <c r="V54" s="294"/>
      <c r="W54" s="294"/>
      <c r="X54" s="294"/>
      <c r="Y54" s="294"/>
      <c r="Z54" s="294"/>
      <c r="AA54" s="294"/>
      <c r="AB54" s="294"/>
      <c r="AC54" s="294"/>
      <c r="AD54" s="294"/>
      <c r="AE54" s="294"/>
      <c r="AF54" s="294"/>
      <c r="AG54" s="294"/>
      <c r="AH54" s="294"/>
      <c r="AI54" s="294"/>
      <c r="AJ54" s="294"/>
      <c r="AK54" s="294"/>
      <c r="AL54" s="294"/>
    </row>
    <row r="55" spans="1:38" x14ac:dyDescent="0.2">
      <c r="A55" s="255">
        <f>Data!B308</f>
        <v>0</v>
      </c>
      <c r="B55" s="255"/>
      <c r="C55" s="255"/>
      <c r="D55" s="255"/>
      <c r="E55" s="255"/>
      <c r="F55" s="255"/>
      <c r="G55" s="255"/>
      <c r="H55" s="255"/>
      <c r="I55" s="255"/>
      <c r="J55" s="255"/>
      <c r="K55" s="255"/>
      <c r="L55" s="255"/>
      <c r="M55" s="255"/>
      <c r="N55" s="255"/>
      <c r="O55" s="255"/>
      <c r="P55" s="255"/>
      <c r="Q55" s="255"/>
      <c r="R55" s="255"/>
      <c r="S55" s="255"/>
      <c r="T55" s="255"/>
      <c r="U55" s="255"/>
      <c r="V55" s="255"/>
      <c r="W55" s="255"/>
      <c r="X55" s="255"/>
      <c r="Y55" s="255"/>
      <c r="Z55" s="255"/>
      <c r="AA55" s="255"/>
      <c r="AB55" s="255"/>
      <c r="AC55" s="255"/>
      <c r="AD55" s="255"/>
      <c r="AE55" s="255"/>
      <c r="AF55" s="255"/>
      <c r="AG55" s="255"/>
      <c r="AH55" s="255"/>
      <c r="AI55" s="255"/>
      <c r="AJ55" s="255"/>
      <c r="AK55" s="255"/>
      <c r="AL55" s="255"/>
    </row>
    <row r="56" spans="1:38" x14ac:dyDescent="0.2">
      <c r="A56" s="255"/>
      <c r="B56" s="255"/>
      <c r="C56" s="255"/>
      <c r="D56" s="255"/>
      <c r="E56" s="255"/>
      <c r="F56" s="255"/>
      <c r="G56" s="255"/>
      <c r="H56" s="255"/>
      <c r="I56" s="255"/>
      <c r="J56" s="255"/>
      <c r="K56" s="255"/>
      <c r="L56" s="255"/>
      <c r="M56" s="255"/>
      <c r="N56" s="255"/>
      <c r="O56" s="255"/>
      <c r="P56" s="255"/>
      <c r="Q56" s="255"/>
      <c r="R56" s="255"/>
      <c r="S56" s="255"/>
      <c r="T56" s="255"/>
      <c r="U56" s="255"/>
      <c r="V56" s="255"/>
      <c r="W56" s="255"/>
      <c r="X56" s="255"/>
      <c r="Y56" s="255"/>
      <c r="Z56" s="255"/>
      <c r="AA56" s="255"/>
      <c r="AB56" s="255"/>
      <c r="AC56" s="255"/>
      <c r="AD56" s="255"/>
      <c r="AE56" s="255"/>
      <c r="AF56" s="255"/>
      <c r="AG56" s="255"/>
      <c r="AH56" s="255"/>
      <c r="AI56" s="255"/>
      <c r="AJ56" s="255"/>
      <c r="AK56" s="255"/>
      <c r="AL56" s="255"/>
    </row>
    <row r="57" spans="1:38" x14ac:dyDescent="0.2">
      <c r="A57" s="255"/>
      <c r="B57" s="255"/>
      <c r="C57" s="255"/>
      <c r="D57" s="255"/>
      <c r="E57" s="255"/>
      <c r="F57" s="255"/>
      <c r="G57" s="255"/>
      <c r="H57" s="255"/>
      <c r="I57" s="255"/>
      <c r="J57" s="255"/>
      <c r="K57" s="255"/>
      <c r="L57" s="255"/>
      <c r="M57" s="255"/>
      <c r="N57" s="255"/>
      <c r="O57" s="255"/>
      <c r="P57" s="255"/>
      <c r="Q57" s="255"/>
      <c r="R57" s="255"/>
      <c r="S57" s="255"/>
      <c r="T57" s="255"/>
      <c r="U57" s="255"/>
      <c r="V57" s="255"/>
      <c r="W57" s="255"/>
      <c r="X57" s="255"/>
      <c r="Y57" s="255"/>
      <c r="Z57" s="255"/>
      <c r="AA57" s="255"/>
      <c r="AB57" s="255"/>
      <c r="AC57" s="255"/>
      <c r="AD57" s="255"/>
      <c r="AE57" s="255"/>
      <c r="AF57" s="255"/>
      <c r="AG57" s="255"/>
      <c r="AH57" s="255"/>
      <c r="AI57" s="255"/>
      <c r="AJ57" s="255"/>
      <c r="AK57" s="255"/>
      <c r="AL57" s="255"/>
    </row>
    <row r="58" spans="1:38" x14ac:dyDescent="0.2">
      <c r="A58" s="255"/>
      <c r="B58" s="255"/>
      <c r="C58" s="255"/>
      <c r="D58" s="255"/>
      <c r="E58" s="255"/>
      <c r="F58" s="255"/>
      <c r="G58" s="255"/>
      <c r="H58" s="255"/>
      <c r="I58" s="255"/>
      <c r="J58" s="255"/>
      <c r="K58" s="255"/>
      <c r="L58" s="255"/>
      <c r="M58" s="255"/>
      <c r="N58" s="255"/>
      <c r="O58" s="255"/>
      <c r="P58" s="255"/>
      <c r="Q58" s="255"/>
      <c r="R58" s="255"/>
      <c r="S58" s="255"/>
      <c r="T58" s="255"/>
      <c r="U58" s="255"/>
      <c r="V58" s="255"/>
      <c r="W58" s="255"/>
      <c r="X58" s="255"/>
      <c r="Y58" s="255"/>
      <c r="Z58" s="255"/>
      <c r="AA58" s="255"/>
      <c r="AB58" s="255"/>
      <c r="AC58" s="255"/>
      <c r="AD58" s="255"/>
      <c r="AE58" s="255"/>
      <c r="AF58" s="255"/>
      <c r="AG58" s="255"/>
      <c r="AH58" s="255"/>
      <c r="AI58" s="255"/>
      <c r="AJ58" s="255"/>
      <c r="AK58" s="255"/>
      <c r="AL58" s="255"/>
    </row>
    <row r="59" spans="1:38" x14ac:dyDescent="0.2">
      <c r="A59" s="294" t="s">
        <v>203</v>
      </c>
      <c r="B59" s="294"/>
      <c r="C59" s="294"/>
      <c r="D59" s="294"/>
      <c r="E59" s="294"/>
      <c r="F59" s="294"/>
      <c r="G59" s="294"/>
      <c r="H59" s="294"/>
      <c r="I59" s="294"/>
      <c r="J59" s="294"/>
      <c r="K59" s="294"/>
      <c r="L59" s="294"/>
      <c r="M59" s="294"/>
      <c r="N59" s="294"/>
      <c r="O59" s="294"/>
      <c r="P59" s="294"/>
      <c r="Q59" s="294"/>
      <c r="R59" s="294"/>
      <c r="S59" s="294"/>
      <c r="T59" s="294"/>
      <c r="U59" s="294"/>
      <c r="V59" s="294"/>
      <c r="W59" s="294"/>
      <c r="X59" s="294"/>
      <c r="Y59" s="294"/>
      <c r="Z59" s="294"/>
      <c r="AA59" s="294"/>
      <c r="AB59" s="294"/>
      <c r="AC59" s="294"/>
      <c r="AD59" s="294"/>
      <c r="AE59" s="294"/>
      <c r="AF59" s="294"/>
      <c r="AG59" s="294"/>
      <c r="AH59" s="294"/>
      <c r="AI59" s="294"/>
      <c r="AJ59" s="294"/>
      <c r="AK59" s="294"/>
      <c r="AL59" s="294"/>
    </row>
    <row r="60" spans="1:38" x14ac:dyDescent="0.2">
      <c r="A60" s="21" t="str">
        <f>IF(Data!B625=TRUE,"P","")</f>
        <v/>
      </c>
      <c r="B60" t="s">
        <v>828</v>
      </c>
      <c r="H60" s="136" t="str">
        <f>IF(Data!B626=TRUE,"P","")</f>
        <v/>
      </c>
      <c r="I60" t="s">
        <v>204</v>
      </c>
      <c r="N60" t="s">
        <v>829</v>
      </c>
      <c r="O60" s="4"/>
      <c r="P60" s="4"/>
      <c r="Q60" s="4"/>
      <c r="R60" s="4"/>
      <c r="S60" s="233" t="str">
        <f>IF(Data!B629="","N/A",Data!B629)</f>
        <v>N/A</v>
      </c>
      <c r="T60" s="233"/>
      <c r="U60" s="233"/>
      <c r="V60" t="s">
        <v>830</v>
      </c>
      <c r="W60" s="4"/>
      <c r="X60" s="4"/>
      <c r="Y60" s="4"/>
      <c r="Z60" s="4"/>
      <c r="AA60" s="233" t="str">
        <f>IF(Data!B631="","N/A",Data!B631)</f>
        <v>N/A</v>
      </c>
      <c r="AB60" s="233"/>
      <c r="AC60" s="233"/>
      <c r="AE60" t="s">
        <v>833</v>
      </c>
      <c r="AF60" s="4"/>
      <c r="AG60" s="233" t="str">
        <f>IF(Data!B641="","N/A",Data!B641)</f>
        <v>N/A</v>
      </c>
      <c r="AH60" s="233"/>
      <c r="AI60" s="233"/>
      <c r="AJ60" s="233"/>
      <c r="AK60" s="233"/>
      <c r="AL60" s="233"/>
    </row>
    <row r="61" spans="1:38" x14ac:dyDescent="0.2">
      <c r="A61" s="21"/>
      <c r="G61" s="7"/>
      <c r="H61" s="7"/>
      <c r="I61" t="s">
        <v>831</v>
      </c>
      <c r="O61" s="233" t="str">
        <f>IF(Data!B635="","N/A",Data!B635)</f>
        <v>N/A</v>
      </c>
      <c r="P61" s="233"/>
      <c r="Q61" s="233"/>
      <c r="R61" s="233"/>
      <c r="S61" s="233"/>
      <c r="T61" s="233"/>
      <c r="U61" s="233"/>
      <c r="V61" s="233"/>
      <c r="W61" s="233"/>
      <c r="X61" s="233"/>
      <c r="Y61" s="233"/>
      <c r="Z61" s="233"/>
      <c r="AA61" s="233"/>
      <c r="AB61" s="233"/>
      <c r="AC61" s="233"/>
      <c r="AD61" s="233"/>
      <c r="AE61" s="233"/>
      <c r="AF61" s="233"/>
      <c r="AG61" s="233"/>
      <c r="AH61" s="233"/>
      <c r="AI61" s="233"/>
      <c r="AJ61" s="233"/>
      <c r="AK61" s="233"/>
      <c r="AL61" s="233"/>
    </row>
    <row r="62" spans="1:38" x14ac:dyDescent="0.2">
      <c r="A62" s="21" t="str">
        <f>IF(Data!B627=TRUE,"P","")</f>
        <v/>
      </c>
      <c r="B62" t="s">
        <v>205</v>
      </c>
      <c r="G62" t="s">
        <v>832</v>
      </c>
      <c r="O62" s="233" t="str">
        <f>IF(Data!B628="","N/A",Data!B628)</f>
        <v>N/A</v>
      </c>
      <c r="P62" s="233"/>
      <c r="Q62" s="233"/>
      <c r="R62" s="233"/>
      <c r="S62" s="233"/>
      <c r="T62" s="233"/>
      <c r="U62" s="233"/>
      <c r="V62" s="233"/>
      <c r="W62" s="233"/>
      <c r="X62" s="233"/>
      <c r="Y62" s="233"/>
      <c r="Z62" s="233"/>
      <c r="AA62" s="233"/>
      <c r="AB62" s="233"/>
      <c r="AC62" t="s">
        <v>833</v>
      </c>
      <c r="AE62" s="233" t="str">
        <f>IF(Data!B642="","N/A",Data!B642)</f>
        <v>N/A</v>
      </c>
      <c r="AF62" s="233"/>
      <c r="AG62" s="233"/>
      <c r="AH62" s="233"/>
      <c r="AI62" s="233"/>
      <c r="AJ62" s="233"/>
      <c r="AK62" s="233"/>
      <c r="AL62" s="233"/>
    </row>
    <row r="63" spans="1:38" x14ac:dyDescent="0.2">
      <c r="B63" t="s">
        <v>829</v>
      </c>
      <c r="G63" s="219" t="str">
        <f>IF(Data!B630="","N/A",Data!B630)</f>
        <v>N/A</v>
      </c>
      <c r="H63" s="219"/>
      <c r="I63" s="219"/>
      <c r="K63" t="s">
        <v>830</v>
      </c>
      <c r="P63" s="233" t="str">
        <f>IF(Data!B632="","N/A",Data!B632)</f>
        <v>N/A</v>
      </c>
      <c r="Q63" s="233"/>
      <c r="R63" s="233"/>
      <c r="T63" t="s">
        <v>831</v>
      </c>
      <c r="Z63" s="233" t="str">
        <f>IF(Data!B636="","N/A",Data!B636)</f>
        <v>N/A</v>
      </c>
      <c r="AA63" s="233"/>
      <c r="AB63" s="233"/>
      <c r="AC63" s="233"/>
      <c r="AD63" s="233"/>
      <c r="AE63" s="233"/>
      <c r="AF63" s="233"/>
      <c r="AG63" s="233"/>
      <c r="AH63" s="233"/>
      <c r="AI63" s="233"/>
      <c r="AJ63" s="233"/>
      <c r="AK63" s="233"/>
      <c r="AL63" s="233"/>
    </row>
    <row r="64" spans="1:38" x14ac:dyDescent="0.2">
      <c r="A64" t="s">
        <v>834</v>
      </c>
      <c r="K64" s="233">
        <f>Data!B633</f>
        <v>0</v>
      </c>
      <c r="L64" s="233"/>
      <c r="M64" s="233"/>
      <c r="N64" t="s">
        <v>835</v>
      </c>
      <c r="R64" s="290" t="str">
        <f>IF(Data!B634="","N/A",Data!B634)</f>
        <v>N/A</v>
      </c>
      <c r="S64" s="290"/>
      <c r="T64" s="290"/>
      <c r="U64" s="290"/>
      <c r="V64" s="290"/>
      <c r="W64" s="290"/>
      <c r="X64" s="290"/>
      <c r="Y64" s="290"/>
      <c r="Z64" s="290"/>
      <c r="AA64" s="290"/>
      <c r="AB64" s="290"/>
      <c r="AC64" t="s">
        <v>836</v>
      </c>
      <c r="AG64" s="290" t="str">
        <f>IF(Data!B643="","N/A",Data!B643)</f>
        <v>N/A</v>
      </c>
      <c r="AH64" s="290"/>
      <c r="AI64" s="290"/>
      <c r="AJ64" s="290"/>
      <c r="AK64" s="290"/>
      <c r="AL64" s="290"/>
    </row>
    <row r="65" spans="1:38" x14ac:dyDescent="0.2">
      <c r="A65" s="294" t="s">
        <v>837</v>
      </c>
      <c r="B65" s="294"/>
      <c r="C65" s="294"/>
      <c r="D65" s="294"/>
      <c r="E65" s="294"/>
      <c r="F65" s="294"/>
      <c r="G65" s="294"/>
      <c r="H65" s="294"/>
      <c r="I65" s="294"/>
      <c r="J65" s="294"/>
      <c r="K65" s="294"/>
      <c r="L65" s="294"/>
      <c r="M65" s="294"/>
      <c r="N65" s="294"/>
      <c r="O65" s="294"/>
      <c r="P65" s="294"/>
      <c r="Q65" s="294"/>
      <c r="R65" s="294"/>
      <c r="S65" s="294"/>
      <c r="T65" s="294"/>
      <c r="U65" s="294"/>
      <c r="V65" s="294"/>
      <c r="W65" s="294"/>
      <c r="X65" s="294"/>
      <c r="Y65" s="294"/>
      <c r="Z65" s="294"/>
      <c r="AA65" s="294"/>
      <c r="AB65" s="294"/>
      <c r="AC65" s="294"/>
      <c r="AD65" s="294"/>
      <c r="AE65" s="294"/>
      <c r="AF65" s="294"/>
      <c r="AG65" s="294"/>
      <c r="AH65" s="294"/>
      <c r="AI65" s="294"/>
      <c r="AJ65" s="294"/>
      <c r="AK65" s="294"/>
      <c r="AL65" s="294"/>
    </row>
    <row r="66" spans="1:38" x14ac:dyDescent="0.2">
      <c r="A66" s="21" t="str">
        <f>IF(Data!B842=TRUE,"P","")</f>
        <v/>
      </c>
      <c r="B66" t="s">
        <v>278</v>
      </c>
    </row>
    <row r="67" spans="1:38" x14ac:dyDescent="0.2">
      <c r="A67" s="21" t="str">
        <f>IF(Data!B843=TRUE,"P","")</f>
        <v/>
      </c>
      <c r="B67" t="s">
        <v>279</v>
      </c>
      <c r="J67" s="21" t="str">
        <f>IF(Data!B845=TRUE,"P","")</f>
        <v/>
      </c>
      <c r="K67" t="s">
        <v>281</v>
      </c>
      <c r="O67" s="21" t="str">
        <f>IF(Data!B847=TRUE,"P","")</f>
        <v/>
      </c>
      <c r="P67" t="s">
        <v>283</v>
      </c>
      <c r="V67" s="21" t="str">
        <f>IF(Data!B849=TRUE,"P","")</f>
        <v/>
      </c>
      <c r="W67" t="s">
        <v>285</v>
      </c>
    </row>
    <row r="68" spans="1:38" x14ac:dyDescent="0.2">
      <c r="A68" s="21" t="str">
        <f>IF(Data!B844=TRUE,"P","")</f>
        <v/>
      </c>
      <c r="B68" t="s">
        <v>280</v>
      </c>
      <c r="J68" s="21" t="str">
        <f>IF(Data!B846=TRUE,"P","")</f>
        <v/>
      </c>
      <c r="K68" t="s">
        <v>282</v>
      </c>
      <c r="O68" s="21" t="str">
        <f>IF(Data!B848=TRUE,"P","")</f>
        <v/>
      </c>
      <c r="P68" t="s">
        <v>284</v>
      </c>
      <c r="V68" s="21" t="str">
        <f>IF(Data!B850=TRUE,"P","")</f>
        <v/>
      </c>
      <c r="W68" t="s">
        <v>56</v>
      </c>
      <c r="Z68" s="233" t="str">
        <f>IF(Data!B851="","N/A",Data!B851)</f>
        <v>N/A</v>
      </c>
      <c r="AA68" s="233"/>
      <c r="AB68" s="233"/>
      <c r="AC68" s="233"/>
      <c r="AD68" s="233"/>
      <c r="AE68" s="233"/>
      <c r="AF68" s="233"/>
      <c r="AG68" s="233"/>
      <c r="AH68" s="233"/>
      <c r="AI68" s="233"/>
      <c r="AJ68" s="233"/>
      <c r="AK68" s="233"/>
      <c r="AL68" s="233"/>
    </row>
    <row r="69" spans="1:38" ht="15.75" customHeight="1" x14ac:dyDescent="0.2">
      <c r="A69" t="s">
        <v>838</v>
      </c>
      <c r="L69" s="233">
        <f>Data!B852</f>
        <v>0</v>
      </c>
      <c r="M69" s="233"/>
      <c r="N69" s="233"/>
      <c r="P69" t="s">
        <v>3203</v>
      </c>
      <c r="S69" s="290">
        <f>IF(Data!B852="No","N/A",Data!B853)</f>
        <v>0</v>
      </c>
      <c r="T69" s="290"/>
      <c r="U69" s="290"/>
      <c r="V69" s="290"/>
      <c r="W69" s="290"/>
      <c r="X69" s="290"/>
      <c r="Y69" s="290"/>
      <c r="Z69" s="290"/>
      <c r="AA69" s="290"/>
      <c r="AB69" s="290"/>
      <c r="AC69" s="290"/>
      <c r="AD69" t="s">
        <v>3355</v>
      </c>
      <c r="AI69" s="233">
        <f>IF(Data!B852="No","N/A",Data!B854)</f>
        <v>0</v>
      </c>
      <c r="AJ69" s="233"/>
      <c r="AK69" s="233"/>
      <c r="AL69" s="233"/>
    </row>
    <row r="70" spans="1:38" x14ac:dyDescent="0.2">
      <c r="A70" t="s">
        <v>839</v>
      </c>
      <c r="I70" s="233">
        <f>IF(Data!B852="No","N/A",Data!B855)</f>
        <v>0</v>
      </c>
      <c r="J70" s="233"/>
      <c r="K70" s="233"/>
      <c r="L70" s="233"/>
      <c r="M70" s="233"/>
      <c r="N70" s="233"/>
      <c r="O70" s="233"/>
      <c r="P70" s="233"/>
      <c r="Q70" s="233"/>
      <c r="R70" s="233"/>
      <c r="S70" s="233"/>
      <c r="T70" s="233"/>
      <c r="Z70" s="233"/>
      <c r="AA70" s="233"/>
      <c r="AB70" s="233"/>
      <c r="AC70" s="233"/>
      <c r="AD70" s="233"/>
      <c r="AE70" s="233"/>
      <c r="AF70" s="233"/>
      <c r="AG70" s="233"/>
      <c r="AH70" s="233"/>
      <c r="AI70" s="233"/>
      <c r="AJ70" s="233"/>
      <c r="AK70" s="233"/>
      <c r="AL70" s="233"/>
    </row>
    <row r="71" spans="1:38" x14ac:dyDescent="0.2">
      <c r="A71" t="s">
        <v>840</v>
      </c>
      <c r="G71" s="295">
        <f>IF(Data!B852="No","N/A",Data!B856)</f>
        <v>0</v>
      </c>
      <c r="H71" s="295"/>
      <c r="I71" s="295"/>
      <c r="J71" s="295"/>
      <c r="K71" s="295"/>
      <c r="L71" s="295"/>
      <c r="M71" s="295"/>
      <c r="N71" s="295"/>
      <c r="O71" s="295"/>
      <c r="P71" s="295"/>
      <c r="Q71" s="295"/>
      <c r="R71" s="295"/>
      <c r="S71" s="295"/>
      <c r="T71" s="295"/>
      <c r="U71" s="295"/>
      <c r="V71" s="295"/>
      <c r="W71" s="295"/>
      <c r="X71" s="295"/>
      <c r="Y71" s="295"/>
      <c r="Z71" s="295"/>
      <c r="AA71" s="295"/>
      <c r="AB71" s="295"/>
      <c r="AC71" s="295"/>
      <c r="AD71" s="295"/>
      <c r="AE71" s="295"/>
      <c r="AF71" s="295"/>
      <c r="AG71" s="295"/>
      <c r="AH71" s="295"/>
      <c r="AI71" s="295"/>
      <c r="AJ71" s="295"/>
      <c r="AK71" s="295"/>
      <c r="AL71" s="295"/>
    </row>
    <row r="72" spans="1:38" x14ac:dyDescent="0.2">
      <c r="A72" t="s">
        <v>785</v>
      </c>
      <c r="D72" s="233" t="str">
        <f>IF(Data!B860="","N/A",Data!B860)</f>
        <v>N/A</v>
      </c>
      <c r="E72" s="233"/>
      <c r="F72" s="233"/>
      <c r="G72" s="233"/>
      <c r="H72" s="233"/>
      <c r="I72" s="233"/>
      <c r="J72" s="233"/>
      <c r="K72" s="233"/>
      <c r="L72" s="233"/>
      <c r="M72" s="233"/>
      <c r="N72" s="233"/>
      <c r="O72" s="233"/>
      <c r="P72" s="233"/>
      <c r="Q72" s="233"/>
      <c r="R72" s="233"/>
      <c r="S72" s="233"/>
      <c r="T72" s="233"/>
      <c r="U72" s="233"/>
      <c r="V72" s="233"/>
      <c r="W72" s="233"/>
      <c r="X72" s="233"/>
      <c r="Y72" s="233"/>
      <c r="Z72" s="233"/>
      <c r="AA72" s="233"/>
      <c r="AB72" s="233"/>
      <c r="AC72" s="233"/>
      <c r="AD72" s="233"/>
      <c r="AE72" s="233"/>
      <c r="AF72" s="233"/>
      <c r="AG72" s="233"/>
      <c r="AH72" s="233"/>
      <c r="AI72" s="233"/>
      <c r="AJ72" s="233"/>
      <c r="AK72" s="233"/>
      <c r="AL72" s="233"/>
    </row>
    <row r="73" spans="1:38" x14ac:dyDescent="0.2">
      <c r="A73" s="294" t="s">
        <v>3284</v>
      </c>
      <c r="B73" s="294"/>
      <c r="C73" s="294"/>
      <c r="D73" s="294"/>
      <c r="E73" s="294"/>
      <c r="F73" s="294"/>
      <c r="G73" s="294"/>
      <c r="H73" s="294"/>
      <c r="I73" s="294"/>
      <c r="J73" s="294"/>
      <c r="K73" s="294"/>
      <c r="L73" s="294"/>
      <c r="M73" s="294"/>
      <c r="N73" s="294"/>
      <c r="O73" s="294"/>
      <c r="P73" s="294"/>
      <c r="Q73" s="294"/>
      <c r="R73" s="294"/>
      <c r="S73" s="294"/>
      <c r="T73" s="294"/>
      <c r="U73" s="294"/>
      <c r="V73" s="294"/>
      <c r="W73" s="294"/>
      <c r="X73" s="294"/>
      <c r="Y73" s="294"/>
      <c r="Z73" s="294"/>
      <c r="AA73" s="294"/>
      <c r="AB73" s="294"/>
      <c r="AC73" s="294"/>
      <c r="AD73" s="294"/>
      <c r="AE73" s="294"/>
      <c r="AF73" s="294"/>
      <c r="AG73" s="294"/>
      <c r="AH73" s="294"/>
      <c r="AI73" s="294"/>
      <c r="AJ73" s="294"/>
      <c r="AK73" s="294"/>
      <c r="AL73" s="294"/>
    </row>
    <row r="74" spans="1:38" x14ac:dyDescent="0.2">
      <c r="A74" s="216" t="e">
        <f>IF(EventHidden!#REF!="","No significant event history in the last 120 days.",EventHidden!#REF!)</f>
        <v>#REF!</v>
      </c>
      <c r="B74" s="216"/>
      <c r="C74" s="216"/>
      <c r="D74" s="216"/>
      <c r="E74" s="216"/>
      <c r="F74" s="216"/>
      <c r="G74" s="216"/>
      <c r="H74" s="216"/>
      <c r="I74" s="216"/>
      <c r="J74" s="216"/>
      <c r="K74" s="216"/>
      <c r="L74" s="216"/>
      <c r="M74" s="216"/>
      <c r="N74" s="216"/>
      <c r="O74" s="216"/>
      <c r="P74" s="216"/>
      <c r="Q74" s="216"/>
      <c r="R74" s="216"/>
      <c r="S74" s="216"/>
      <c r="T74" s="216"/>
      <c r="U74" s="216"/>
      <c r="V74" s="216"/>
      <c r="W74" s="216"/>
      <c r="X74" s="216"/>
      <c r="Y74" s="216"/>
      <c r="Z74" s="216"/>
      <c r="AA74" s="216"/>
      <c r="AB74" s="216"/>
      <c r="AC74" s="216"/>
      <c r="AD74" s="216"/>
      <c r="AE74" s="216"/>
      <c r="AF74" s="216"/>
      <c r="AG74" s="216"/>
      <c r="AH74" s="216"/>
      <c r="AI74" s="216"/>
      <c r="AJ74" s="216"/>
      <c r="AK74" s="216"/>
      <c r="AL74" s="216"/>
    </row>
    <row r="75" spans="1:38" ht="12.75" customHeight="1" x14ac:dyDescent="0.2">
      <c r="A75" s="216"/>
      <c r="B75" s="216"/>
      <c r="C75" s="216"/>
      <c r="D75" s="216"/>
      <c r="E75" s="216"/>
      <c r="F75" s="216"/>
      <c r="G75" s="216"/>
      <c r="H75" s="216"/>
      <c r="I75" s="216"/>
      <c r="J75" s="216"/>
      <c r="K75" s="216"/>
      <c r="L75" s="216"/>
      <c r="M75" s="216"/>
      <c r="N75" s="216"/>
      <c r="O75" s="216"/>
      <c r="P75" s="216"/>
      <c r="Q75" s="216"/>
      <c r="R75" s="216"/>
      <c r="S75" s="216"/>
      <c r="T75" s="216"/>
      <c r="U75" s="216"/>
      <c r="V75" s="216"/>
      <c r="W75" s="216"/>
      <c r="X75" s="216"/>
      <c r="Y75" s="216"/>
      <c r="Z75" s="216"/>
      <c r="AA75" s="216"/>
      <c r="AB75" s="216"/>
      <c r="AC75" s="216"/>
      <c r="AD75" s="216"/>
      <c r="AE75" s="216"/>
      <c r="AF75" s="216"/>
      <c r="AG75" s="216"/>
      <c r="AH75" s="216"/>
      <c r="AI75" s="216"/>
      <c r="AJ75" s="216"/>
      <c r="AK75" s="216"/>
      <c r="AL75" s="216"/>
    </row>
    <row r="76" spans="1:38" x14ac:dyDescent="0.2">
      <c r="A76" s="216"/>
      <c r="B76" s="216"/>
      <c r="C76" s="216"/>
      <c r="D76" s="216"/>
      <c r="E76" s="216"/>
      <c r="F76" s="216"/>
      <c r="G76" s="216"/>
      <c r="H76" s="216"/>
      <c r="I76" s="216"/>
      <c r="J76" s="216"/>
      <c r="K76" s="216"/>
      <c r="L76" s="216"/>
      <c r="M76" s="216"/>
      <c r="N76" s="216"/>
      <c r="O76" s="216"/>
      <c r="P76" s="216"/>
      <c r="Q76" s="216"/>
      <c r="R76" s="216"/>
      <c r="S76" s="216"/>
      <c r="T76" s="216"/>
      <c r="U76" s="216"/>
      <c r="V76" s="216"/>
      <c r="W76" s="216"/>
      <c r="X76" s="216"/>
      <c r="Y76" s="216"/>
      <c r="Z76" s="216"/>
      <c r="AA76" s="216"/>
      <c r="AB76" s="216"/>
      <c r="AC76" s="216"/>
      <c r="AD76" s="216"/>
      <c r="AE76" s="216"/>
      <c r="AF76" s="216"/>
      <c r="AG76" s="216"/>
      <c r="AH76" s="216"/>
      <c r="AI76" s="216"/>
      <c r="AJ76" s="216"/>
      <c r="AK76" s="216"/>
      <c r="AL76" s="216"/>
    </row>
    <row r="77" spans="1:38" ht="6" customHeight="1" x14ac:dyDescent="0.2">
      <c r="A77" s="216"/>
      <c r="B77" s="216"/>
      <c r="C77" s="216"/>
      <c r="D77" s="216"/>
      <c r="E77" s="216"/>
      <c r="F77" s="216"/>
      <c r="G77" s="216"/>
      <c r="H77" s="216"/>
      <c r="I77" s="216"/>
      <c r="J77" s="216"/>
      <c r="K77" s="216"/>
      <c r="L77" s="216"/>
      <c r="M77" s="216"/>
      <c r="N77" s="216"/>
      <c r="O77" s="216"/>
      <c r="P77" s="216"/>
      <c r="Q77" s="216"/>
      <c r="R77" s="216"/>
      <c r="S77" s="216"/>
      <c r="T77" s="216"/>
      <c r="U77" s="216"/>
      <c r="V77" s="216"/>
      <c r="W77" s="216"/>
      <c r="X77" s="216"/>
      <c r="Y77" s="216"/>
      <c r="Z77" s="216"/>
      <c r="AA77" s="216"/>
      <c r="AB77" s="216"/>
      <c r="AC77" s="216"/>
      <c r="AD77" s="216"/>
      <c r="AE77" s="216"/>
      <c r="AF77" s="216"/>
      <c r="AG77" s="216"/>
      <c r="AH77" s="216"/>
      <c r="AI77" s="216"/>
      <c r="AJ77" s="216"/>
      <c r="AK77" s="216"/>
      <c r="AL77" s="216"/>
    </row>
    <row r="78" spans="1:38" x14ac:dyDescent="0.2">
      <c r="A78" s="216"/>
      <c r="B78" s="216"/>
      <c r="C78" s="216"/>
      <c r="D78" s="216"/>
      <c r="E78" s="216"/>
      <c r="F78" s="216"/>
      <c r="G78" s="216"/>
      <c r="H78" s="216"/>
      <c r="I78" s="216"/>
      <c r="J78" s="216"/>
      <c r="K78" s="216"/>
      <c r="L78" s="216"/>
      <c r="M78" s="216"/>
      <c r="N78" s="216"/>
      <c r="O78" s="216"/>
      <c r="P78" s="216"/>
      <c r="Q78" s="216"/>
      <c r="R78" s="216"/>
      <c r="S78" s="216"/>
      <c r="T78" s="216"/>
      <c r="U78" s="216"/>
      <c r="V78" s="216"/>
      <c r="W78" s="216"/>
      <c r="X78" s="216"/>
      <c r="Y78" s="216"/>
      <c r="Z78" s="216"/>
      <c r="AA78" s="216"/>
      <c r="AB78" s="216"/>
      <c r="AC78" s="216"/>
      <c r="AD78" s="216"/>
      <c r="AE78" s="216"/>
      <c r="AF78" s="216"/>
      <c r="AG78" s="216"/>
      <c r="AH78" s="216"/>
      <c r="AI78" s="216"/>
      <c r="AJ78" s="216"/>
      <c r="AK78" s="216"/>
      <c r="AL78" s="216"/>
    </row>
    <row r="79" spans="1:38" x14ac:dyDescent="0.2">
      <c r="A79" s="216"/>
      <c r="B79" s="216"/>
      <c r="C79" s="216"/>
      <c r="D79" s="216"/>
      <c r="E79" s="216"/>
      <c r="F79" s="216"/>
      <c r="G79" s="216"/>
      <c r="H79" s="216"/>
      <c r="I79" s="216"/>
      <c r="J79" s="216"/>
      <c r="K79" s="216"/>
      <c r="L79" s="216"/>
      <c r="M79" s="216"/>
      <c r="N79" s="216"/>
      <c r="O79" s="216"/>
      <c r="P79" s="216"/>
      <c r="Q79" s="216"/>
      <c r="R79" s="216"/>
      <c r="S79" s="216"/>
      <c r="T79" s="216"/>
      <c r="U79" s="216"/>
      <c r="V79" s="216"/>
      <c r="W79" s="216"/>
      <c r="X79" s="216"/>
      <c r="Y79" s="216"/>
      <c r="Z79" s="216"/>
      <c r="AA79" s="216"/>
      <c r="AB79" s="216"/>
      <c r="AC79" s="216"/>
      <c r="AD79" s="216"/>
      <c r="AE79" s="216"/>
      <c r="AF79" s="216"/>
      <c r="AG79" s="216"/>
      <c r="AH79" s="216"/>
      <c r="AI79" s="216"/>
      <c r="AJ79" s="216"/>
      <c r="AK79" s="216"/>
      <c r="AL79" s="216"/>
    </row>
    <row r="80" spans="1:38" x14ac:dyDescent="0.2">
      <c r="A80" s="216"/>
      <c r="B80" s="216"/>
      <c r="C80" s="216"/>
      <c r="D80" s="216"/>
      <c r="E80" s="216"/>
      <c r="F80" s="216"/>
      <c r="G80" s="216"/>
      <c r="H80" s="216"/>
      <c r="I80" s="216"/>
      <c r="J80" s="216"/>
      <c r="K80" s="216"/>
      <c r="L80" s="216"/>
      <c r="M80" s="216"/>
      <c r="N80" s="216"/>
      <c r="O80" s="216"/>
      <c r="P80" s="216"/>
      <c r="Q80" s="216"/>
      <c r="R80" s="216"/>
      <c r="S80" s="216"/>
      <c r="T80" s="216"/>
      <c r="U80" s="216"/>
      <c r="V80" s="216"/>
      <c r="W80" s="216"/>
      <c r="X80" s="216"/>
      <c r="Y80" s="216"/>
      <c r="Z80" s="216"/>
      <c r="AA80" s="216"/>
      <c r="AB80" s="216"/>
      <c r="AC80" s="216"/>
      <c r="AD80" s="216"/>
      <c r="AE80" s="216"/>
      <c r="AF80" s="216"/>
      <c r="AG80" s="216"/>
      <c r="AH80" s="216"/>
      <c r="AI80" s="216"/>
      <c r="AJ80" s="216"/>
      <c r="AK80" s="216"/>
      <c r="AL80" s="216"/>
    </row>
    <row r="81" spans="1:38" x14ac:dyDescent="0.2">
      <c r="A81" s="216"/>
      <c r="B81" s="216"/>
      <c r="C81" s="216"/>
      <c r="D81" s="216"/>
      <c r="E81" s="216"/>
      <c r="F81" s="216"/>
      <c r="G81" s="216"/>
      <c r="H81" s="216"/>
      <c r="I81" s="216"/>
      <c r="J81" s="216"/>
      <c r="K81" s="216"/>
      <c r="L81" s="216"/>
      <c r="M81" s="216"/>
      <c r="N81" s="216"/>
      <c r="O81" s="216"/>
      <c r="P81" s="216"/>
      <c r="Q81" s="216"/>
      <c r="R81" s="216"/>
      <c r="S81" s="216"/>
      <c r="T81" s="216"/>
      <c r="U81" s="216"/>
      <c r="V81" s="216"/>
      <c r="W81" s="216"/>
      <c r="X81" s="216"/>
      <c r="Y81" s="216"/>
      <c r="Z81" s="216"/>
      <c r="AA81" s="216"/>
      <c r="AB81" s="216"/>
      <c r="AC81" s="216"/>
      <c r="AD81" s="216"/>
      <c r="AE81" s="216"/>
      <c r="AF81" s="216"/>
      <c r="AG81" s="216"/>
      <c r="AH81" s="216"/>
      <c r="AI81" s="216"/>
      <c r="AJ81" s="216"/>
      <c r="AK81" s="216"/>
      <c r="AL81" s="216"/>
    </row>
    <row r="82" spans="1:38" ht="6.75" customHeight="1" x14ac:dyDescent="0.2">
      <c r="A82" s="216"/>
      <c r="B82" s="216"/>
      <c r="C82" s="216"/>
      <c r="D82" s="216"/>
      <c r="E82" s="216"/>
      <c r="F82" s="216"/>
      <c r="G82" s="216"/>
      <c r="H82" s="216"/>
      <c r="I82" s="216"/>
      <c r="J82" s="216"/>
      <c r="K82" s="216"/>
      <c r="L82" s="216"/>
      <c r="M82" s="216"/>
      <c r="N82" s="216"/>
      <c r="O82" s="216"/>
      <c r="P82" s="216"/>
      <c r="Q82" s="216"/>
      <c r="R82" s="216"/>
      <c r="S82" s="216"/>
      <c r="T82" s="216"/>
      <c r="U82" s="216"/>
      <c r="V82" s="216"/>
      <c r="W82" s="216"/>
      <c r="X82" s="216"/>
      <c r="Y82" s="216"/>
      <c r="Z82" s="216"/>
      <c r="AA82" s="216"/>
      <c r="AB82" s="216"/>
      <c r="AC82" s="216"/>
      <c r="AD82" s="216"/>
      <c r="AE82" s="216"/>
      <c r="AF82" s="216"/>
      <c r="AG82" s="216"/>
      <c r="AH82" s="216"/>
      <c r="AI82" s="216"/>
      <c r="AJ82" s="216"/>
      <c r="AK82" s="216"/>
      <c r="AL82" s="216"/>
    </row>
    <row r="83" spans="1:38" x14ac:dyDescent="0.2">
      <c r="A83" s="216"/>
      <c r="B83" s="216"/>
      <c r="C83" s="216"/>
      <c r="D83" s="216"/>
      <c r="E83" s="216"/>
      <c r="F83" s="216"/>
      <c r="G83" s="216"/>
      <c r="H83" s="216"/>
      <c r="I83" s="216"/>
      <c r="J83" s="216"/>
      <c r="K83" s="216"/>
      <c r="L83" s="216"/>
      <c r="M83" s="216"/>
      <c r="N83" s="216"/>
      <c r="O83" s="216"/>
      <c r="P83" s="216"/>
      <c r="Q83" s="216"/>
      <c r="R83" s="216"/>
      <c r="S83" s="216"/>
      <c r="T83" s="216"/>
      <c r="U83" s="216"/>
      <c r="V83" s="216"/>
      <c r="W83" s="216"/>
      <c r="X83" s="216"/>
      <c r="Y83" s="216"/>
      <c r="Z83" s="216"/>
      <c r="AA83" s="216"/>
      <c r="AB83" s="216"/>
      <c r="AC83" s="216"/>
      <c r="AD83" s="216"/>
      <c r="AE83" s="216"/>
      <c r="AF83" s="216"/>
      <c r="AG83" s="216"/>
      <c r="AH83" s="216"/>
      <c r="AI83" s="216"/>
      <c r="AJ83" s="216"/>
      <c r="AK83" s="216"/>
      <c r="AL83" s="216"/>
    </row>
    <row r="84" spans="1:38" ht="7.5" customHeight="1" x14ac:dyDescent="0.2">
      <c r="A84" s="216"/>
      <c r="B84" s="216"/>
      <c r="C84" s="216"/>
      <c r="D84" s="216"/>
      <c r="E84" s="216"/>
      <c r="F84" s="216"/>
      <c r="G84" s="216"/>
      <c r="H84" s="216"/>
      <c r="I84" s="216"/>
      <c r="J84" s="216"/>
      <c r="K84" s="216"/>
      <c r="L84" s="216"/>
      <c r="M84" s="216"/>
      <c r="N84" s="216"/>
      <c r="O84" s="216"/>
      <c r="P84" s="216"/>
      <c r="Q84" s="216"/>
      <c r="R84" s="216"/>
      <c r="S84" s="216"/>
      <c r="T84" s="216"/>
      <c r="U84" s="216"/>
      <c r="V84" s="216"/>
      <c r="W84" s="216"/>
      <c r="X84" s="216"/>
      <c r="Y84" s="216"/>
      <c r="Z84" s="216"/>
      <c r="AA84" s="216"/>
      <c r="AB84" s="216"/>
      <c r="AC84" s="216"/>
      <c r="AD84" s="216"/>
      <c r="AE84" s="216"/>
      <c r="AF84" s="216"/>
      <c r="AG84" s="216"/>
      <c r="AH84" s="216"/>
      <c r="AI84" s="216"/>
      <c r="AJ84" s="216"/>
      <c r="AK84" s="216"/>
      <c r="AL84" s="216"/>
    </row>
    <row r="85" spans="1:38" x14ac:dyDescent="0.2">
      <c r="A85" s="216"/>
      <c r="B85" s="216"/>
      <c r="C85" s="216"/>
      <c r="D85" s="216"/>
      <c r="E85" s="216"/>
      <c r="F85" s="216"/>
      <c r="G85" s="216"/>
      <c r="H85" s="216"/>
      <c r="I85" s="216"/>
      <c r="J85" s="216"/>
      <c r="K85" s="216"/>
      <c r="L85" s="216"/>
      <c r="M85" s="216"/>
      <c r="N85" s="216"/>
      <c r="O85" s="216"/>
      <c r="P85" s="216"/>
      <c r="Q85" s="216"/>
      <c r="R85" s="216"/>
      <c r="S85" s="216"/>
      <c r="T85" s="216"/>
      <c r="U85" s="216"/>
      <c r="V85" s="216"/>
      <c r="W85" s="216"/>
      <c r="X85" s="216"/>
      <c r="Y85" s="216"/>
      <c r="Z85" s="216"/>
      <c r="AA85" s="216"/>
      <c r="AB85" s="216"/>
      <c r="AC85" s="216"/>
      <c r="AD85" s="216"/>
      <c r="AE85" s="216"/>
      <c r="AF85" s="216"/>
      <c r="AG85" s="216"/>
      <c r="AH85" s="216"/>
      <c r="AI85" s="216"/>
      <c r="AJ85" s="216"/>
      <c r="AK85" s="216"/>
      <c r="AL85" s="216"/>
    </row>
    <row r="86" spans="1:38" ht="6.75" customHeight="1" x14ac:dyDescent="0.2">
      <c r="A86" s="216"/>
      <c r="B86" s="216"/>
      <c r="C86" s="216"/>
      <c r="D86" s="216"/>
      <c r="E86" s="216"/>
      <c r="F86" s="216"/>
      <c r="G86" s="216"/>
      <c r="H86" s="216"/>
      <c r="I86" s="216"/>
      <c r="J86" s="216"/>
      <c r="K86" s="216"/>
      <c r="L86" s="216"/>
      <c r="M86" s="216"/>
      <c r="N86" s="216"/>
      <c r="O86" s="216"/>
      <c r="P86" s="216"/>
      <c r="Q86" s="216"/>
      <c r="R86" s="216"/>
      <c r="S86" s="216"/>
      <c r="T86" s="216"/>
      <c r="U86" s="216"/>
      <c r="V86" s="216"/>
      <c r="W86" s="216"/>
      <c r="X86" s="216"/>
      <c r="Y86" s="216"/>
      <c r="Z86" s="216"/>
      <c r="AA86" s="216"/>
      <c r="AB86" s="216"/>
      <c r="AC86" s="216"/>
      <c r="AD86" s="216"/>
      <c r="AE86" s="216"/>
      <c r="AF86" s="216"/>
      <c r="AG86" s="216"/>
      <c r="AH86" s="216"/>
      <c r="AI86" s="216"/>
      <c r="AJ86" s="216"/>
      <c r="AK86" s="216"/>
      <c r="AL86" s="216"/>
    </row>
    <row r="87" spans="1:38" x14ac:dyDescent="0.2">
      <c r="A87" s="294" t="s">
        <v>844</v>
      </c>
      <c r="B87" s="294"/>
      <c r="C87" s="294"/>
      <c r="D87" s="294"/>
      <c r="E87" s="294"/>
      <c r="F87" s="294"/>
      <c r="G87" s="294"/>
      <c r="H87" s="294"/>
      <c r="I87" s="294"/>
      <c r="J87" s="294"/>
      <c r="K87" s="294"/>
      <c r="L87" s="294"/>
      <c r="M87" s="294"/>
      <c r="N87" s="294"/>
      <c r="O87" s="294"/>
      <c r="P87" s="294"/>
      <c r="Q87" s="294"/>
      <c r="R87" s="294"/>
      <c r="S87" s="294"/>
      <c r="T87" s="294"/>
      <c r="U87" s="294"/>
      <c r="V87" s="294"/>
      <c r="W87" s="294"/>
      <c r="X87" s="294"/>
      <c r="Y87" s="294"/>
      <c r="Z87" s="294"/>
      <c r="AA87" s="294"/>
      <c r="AB87" s="294"/>
      <c r="AC87" s="294"/>
      <c r="AD87" s="294"/>
      <c r="AE87" s="294"/>
      <c r="AF87" s="294"/>
      <c r="AG87" s="294"/>
      <c r="AH87" s="294"/>
      <c r="AI87" s="294"/>
      <c r="AJ87" s="294"/>
      <c r="AK87" s="294"/>
      <c r="AL87" s="294"/>
    </row>
    <row r="88" spans="1:38" x14ac:dyDescent="0.2">
      <c r="A88" s="21" t="str">
        <f>IF(Data!B751=TRUE,"P","")</f>
        <v/>
      </c>
      <c r="B88" t="s">
        <v>845</v>
      </c>
      <c r="P88" s="21" t="str">
        <f>IF(Data!B772=TRUE,"P","")</f>
        <v/>
      </c>
      <c r="Q88" t="s">
        <v>56</v>
      </c>
      <c r="S88" s="290">
        <f>Data!B773</f>
        <v>0</v>
      </c>
      <c r="T88" s="290"/>
      <c r="U88" s="290"/>
      <c r="V88" s="290"/>
      <c r="W88" s="290"/>
      <c r="X88" s="290"/>
      <c r="Y88" s="290"/>
      <c r="Z88" s="290"/>
      <c r="AA88" s="290"/>
      <c r="AB88" s="290"/>
      <c r="AC88" s="290"/>
      <c r="AD88" s="290"/>
      <c r="AE88" s="290"/>
      <c r="AF88" s="290"/>
      <c r="AG88" s="290"/>
      <c r="AH88" s="290"/>
      <c r="AI88" s="290"/>
      <c r="AJ88" s="290"/>
      <c r="AK88" s="290"/>
      <c r="AL88" s="290"/>
    </row>
    <row r="89" spans="1:38" x14ac:dyDescent="0.2">
      <c r="A89" s="21" t="str">
        <f>IF(Data!B752=TRUE,"P","")</f>
        <v/>
      </c>
      <c r="B89" t="s">
        <v>242</v>
      </c>
      <c r="H89" s="21" t="str">
        <f>IF(Data!B753=TRUE,"P","")</f>
        <v/>
      </c>
      <c r="I89" t="s">
        <v>162</v>
      </c>
      <c r="L89" s="21" t="str">
        <f>IF(Data!B754=TRUE,"P","")</f>
        <v/>
      </c>
      <c r="M89" t="s">
        <v>243</v>
      </c>
      <c r="S89" s="21" t="str">
        <f>IF(Data!B761=TRUE,"P","")</f>
        <v/>
      </c>
      <c r="T89" t="s">
        <v>846</v>
      </c>
    </row>
    <row r="90" spans="1:38" x14ac:dyDescent="0.2">
      <c r="A90" s="21" t="str">
        <f>IF(Data!B755=TRUE,"P","")</f>
        <v/>
      </c>
      <c r="B90" t="s">
        <v>244</v>
      </c>
      <c r="H90" s="21" t="str">
        <f>IF(Data!B756=TRUE,"P","")</f>
        <v/>
      </c>
      <c r="I90" t="s">
        <v>162</v>
      </c>
      <c r="L90" s="21" t="str">
        <f>IF(Data!B757=TRUE,"P","")</f>
        <v/>
      </c>
      <c r="M90" t="s">
        <v>243</v>
      </c>
      <c r="S90" s="21" t="str">
        <f>IF(Data!B762=TRUE,"P","")</f>
        <v/>
      </c>
      <c r="T90" t="s">
        <v>248</v>
      </c>
      <c r="X90" s="21" t="str">
        <f>IF(Data!B763=TRUE,"P","")</f>
        <v/>
      </c>
      <c r="Y90" t="s">
        <v>162</v>
      </c>
      <c r="AB90" s="21"/>
      <c r="AC90" s="21" t="str">
        <f>IF(Data!B764=TRUE,"P","")</f>
        <v/>
      </c>
      <c r="AD90" t="s">
        <v>243</v>
      </c>
    </row>
    <row r="91" spans="1:38" x14ac:dyDescent="0.2">
      <c r="A91" s="21" t="str">
        <f>IF(Data!B758=TRUE,"P","")</f>
        <v/>
      </c>
      <c r="B91" t="s">
        <v>245</v>
      </c>
      <c r="F91" s="21" t="str">
        <f>IF(Data!B760=TRUE,"P","")</f>
        <v/>
      </c>
      <c r="G91" t="s">
        <v>247</v>
      </c>
      <c r="X91" s="21" t="str">
        <f>IF(Data!B766=TRUE,"P","")</f>
        <v/>
      </c>
      <c r="Y91" t="s">
        <v>847</v>
      </c>
      <c r="AB91" s="21"/>
      <c r="AC91" s="21" t="str">
        <f>IF(Data!B765=TRUE,"P","")</f>
        <v/>
      </c>
      <c r="AD91" t="s">
        <v>848</v>
      </c>
    </row>
    <row r="92" spans="1:38" x14ac:dyDescent="0.2">
      <c r="A92" s="21" t="str">
        <f>IF(Data!B759=TRUE,"P","")</f>
        <v/>
      </c>
      <c r="B92" t="s">
        <v>246</v>
      </c>
      <c r="H92" s="21" t="str">
        <f>IF(Data!B1428=TRUE,"P","")</f>
        <v/>
      </c>
      <c r="I92" t="s">
        <v>3001</v>
      </c>
      <c r="S92" s="21" t="str">
        <f>IF(Data!B767=TRUE,"P","")</f>
        <v/>
      </c>
      <c r="T92" t="s">
        <v>249</v>
      </c>
      <c r="W92" s="136" t="str">
        <f>IF(Data!B768=TRUE,"P","")</f>
        <v/>
      </c>
      <c r="X92" t="s">
        <v>250</v>
      </c>
      <c r="AA92" s="136" t="str">
        <f>IF(Data!B770=TRUE,"P","")</f>
        <v/>
      </c>
      <c r="AB92" t="s">
        <v>252</v>
      </c>
      <c r="AC92" s="21"/>
      <c r="AE92" s="136" t="str">
        <f>IF(Data!B769=TRUE,"P","")</f>
        <v/>
      </c>
      <c r="AF92" t="s">
        <v>251</v>
      </c>
      <c r="AI92" s="136" t="str">
        <f>IF(Data!B771=TRUE,"P","")</f>
        <v/>
      </c>
      <c r="AJ92" s="107" t="s">
        <v>253</v>
      </c>
    </row>
    <row r="93" spans="1:38" x14ac:dyDescent="0.2">
      <c r="A93" t="s">
        <v>849</v>
      </c>
      <c r="F93" s="233">
        <f>Data!B777</f>
        <v>0</v>
      </c>
      <c r="G93" s="233"/>
      <c r="H93" s="233"/>
      <c r="I93" s="233"/>
      <c r="J93" s="233"/>
      <c r="K93" s="233"/>
      <c r="L93" s="233"/>
      <c r="M93" s="233"/>
      <c r="N93" s="233"/>
      <c r="T93" t="s">
        <v>850</v>
      </c>
      <c r="Y93" s="290">
        <f>Data!B778</f>
        <v>0</v>
      </c>
      <c r="Z93" s="290"/>
      <c r="AA93" s="290"/>
      <c r="AB93" s="290"/>
      <c r="AC93" s="290"/>
      <c r="AD93" s="290"/>
      <c r="AE93" s="290"/>
      <c r="AF93" s="290"/>
      <c r="AG93" s="290"/>
      <c r="AH93" s="290"/>
      <c r="AI93" s="290"/>
      <c r="AJ93" s="290"/>
      <c r="AK93" s="290"/>
      <c r="AL93" s="290"/>
    </row>
    <row r="94" spans="1:38" x14ac:dyDescent="0.2">
      <c r="A94" t="s">
        <v>785</v>
      </c>
      <c r="C94" s="233" t="str">
        <f>IF(Data!B779="","N/A",Data!B779)</f>
        <v>N/A</v>
      </c>
      <c r="D94" s="233"/>
      <c r="E94" s="233"/>
      <c r="F94" s="233"/>
      <c r="G94" s="233"/>
      <c r="H94" s="233"/>
      <c r="I94" s="233"/>
      <c r="J94" s="233"/>
      <c r="K94" s="233"/>
      <c r="L94" s="233"/>
      <c r="M94" s="233"/>
      <c r="N94" s="233"/>
      <c r="O94" s="233"/>
      <c r="P94" s="233"/>
      <c r="Q94" s="233"/>
      <c r="R94" s="233"/>
      <c r="S94" s="233"/>
      <c r="T94" s="233"/>
      <c r="U94" s="233"/>
      <c r="V94" s="233"/>
      <c r="W94" s="233"/>
      <c r="X94" s="233"/>
      <c r="Y94" s="233"/>
      <c r="Z94" s="233"/>
      <c r="AA94" s="233"/>
      <c r="AB94" s="233"/>
      <c r="AC94" s="233"/>
      <c r="AD94" s="233"/>
      <c r="AE94" s="233"/>
      <c r="AF94" s="233"/>
      <c r="AG94" s="233"/>
      <c r="AH94" s="233"/>
      <c r="AI94" s="233"/>
      <c r="AJ94" s="233"/>
      <c r="AK94" s="233"/>
      <c r="AL94" s="233"/>
    </row>
    <row r="95" spans="1:38" x14ac:dyDescent="0.2">
      <c r="A95" s="294" t="s">
        <v>3202</v>
      </c>
      <c r="B95" s="294"/>
      <c r="C95" s="294"/>
      <c r="D95" s="294"/>
      <c r="E95" s="294"/>
      <c r="F95" s="294"/>
      <c r="G95" s="294"/>
      <c r="H95" s="294"/>
      <c r="I95" s="294"/>
      <c r="J95" s="294"/>
      <c r="K95" s="294"/>
      <c r="L95" s="294"/>
      <c r="M95" s="294"/>
      <c r="N95" s="294"/>
      <c r="O95" s="294"/>
      <c r="P95" s="294"/>
      <c r="Q95" s="294"/>
      <c r="R95" s="294"/>
      <c r="S95" s="294"/>
      <c r="T95" s="294"/>
      <c r="U95" s="294"/>
      <c r="V95" s="294"/>
      <c r="W95" s="294"/>
      <c r="X95" s="294"/>
      <c r="Y95" s="294"/>
      <c r="Z95" s="294"/>
      <c r="AA95" s="294"/>
      <c r="AB95" s="294"/>
      <c r="AC95" s="294"/>
      <c r="AD95" s="294"/>
      <c r="AE95" s="294"/>
      <c r="AF95" s="294"/>
      <c r="AG95" s="294"/>
      <c r="AH95" s="294"/>
      <c r="AI95" s="294"/>
      <c r="AJ95" s="294"/>
      <c r="AK95" s="294"/>
      <c r="AL95" s="294"/>
    </row>
    <row r="96" spans="1:38" x14ac:dyDescent="0.2">
      <c r="A96" s="240" t="s">
        <v>3204</v>
      </c>
      <c r="B96" s="240"/>
      <c r="C96" s="240"/>
      <c r="D96" s="240"/>
      <c r="E96" s="240"/>
      <c r="F96" s="240"/>
      <c r="G96" s="240"/>
      <c r="H96" s="240"/>
      <c r="I96" s="240"/>
      <c r="J96" s="240"/>
      <c r="K96" s="240"/>
      <c r="L96" s="240"/>
      <c r="M96" s="240"/>
      <c r="N96" s="240"/>
      <c r="O96" s="240"/>
      <c r="P96" s="240"/>
      <c r="Q96" s="240"/>
      <c r="R96" s="240"/>
      <c r="S96" s="240"/>
      <c r="T96" s="240"/>
      <c r="U96" s="240"/>
      <c r="V96" s="240"/>
      <c r="W96" s="240"/>
      <c r="X96" s="240"/>
      <c r="Y96" s="240"/>
      <c r="Z96" s="240"/>
      <c r="AA96" s="240"/>
      <c r="AB96" s="240"/>
      <c r="AC96" s="240"/>
      <c r="AD96" s="240"/>
      <c r="AE96" s="240"/>
      <c r="AF96" s="240" t="s">
        <v>3205</v>
      </c>
      <c r="AG96" s="240"/>
      <c r="AH96" s="240"/>
      <c r="AI96" s="240"/>
      <c r="AJ96" s="240"/>
      <c r="AK96" s="240"/>
    </row>
    <row r="97" spans="1:38" x14ac:dyDescent="0.2">
      <c r="A97" s="233" t="str">
        <f>IF(Data!B1612&lt;&gt;"",Data!B1612,"No procedure history.")</f>
        <v>No procedure history.</v>
      </c>
      <c r="B97" s="233"/>
      <c r="C97" s="233"/>
      <c r="D97" s="233"/>
      <c r="E97" s="233"/>
      <c r="F97" s="233"/>
      <c r="G97" s="233"/>
      <c r="H97" s="233"/>
      <c r="I97" s="233"/>
      <c r="J97" s="233"/>
      <c r="K97" s="233"/>
      <c r="L97" s="233"/>
      <c r="M97" s="233"/>
      <c r="N97" s="233"/>
      <c r="O97" s="233"/>
      <c r="P97" s="233"/>
      <c r="Q97" s="233"/>
      <c r="R97" s="233"/>
      <c r="S97" s="233"/>
      <c r="T97" s="233"/>
      <c r="U97" s="233"/>
      <c r="V97" s="233"/>
      <c r="W97" s="233"/>
      <c r="X97" s="233"/>
      <c r="Y97" s="233"/>
      <c r="Z97" s="233"/>
      <c r="AA97" s="233"/>
      <c r="AB97" s="233"/>
      <c r="AC97" s="233"/>
      <c r="AD97" s="233"/>
      <c r="AE97" s="233"/>
      <c r="AF97" s="218">
        <f>Data!D1612</f>
        <v>0</v>
      </c>
      <c r="AG97" s="218"/>
      <c r="AH97" s="218"/>
      <c r="AI97" s="218"/>
      <c r="AJ97" s="218"/>
      <c r="AK97" s="218"/>
      <c r="AL97" s="4"/>
    </row>
    <row r="98" spans="1:38" x14ac:dyDescent="0.2">
      <c r="A98" s="233">
        <f>Data!B1613</f>
        <v>0</v>
      </c>
      <c r="B98" s="233"/>
      <c r="C98" s="233"/>
      <c r="D98" s="233"/>
      <c r="E98" s="233"/>
      <c r="F98" s="233"/>
      <c r="G98" s="233"/>
      <c r="H98" s="233"/>
      <c r="I98" s="233"/>
      <c r="J98" s="233"/>
      <c r="K98" s="233"/>
      <c r="L98" s="233"/>
      <c r="M98" s="233"/>
      <c r="N98" s="233"/>
      <c r="O98" s="233"/>
      <c r="P98" s="233"/>
      <c r="Q98" s="233"/>
      <c r="R98" s="233"/>
      <c r="S98" s="233"/>
      <c r="T98" s="233"/>
      <c r="U98" s="233"/>
      <c r="V98" s="233"/>
      <c r="W98" s="233"/>
      <c r="X98" s="233"/>
      <c r="Y98" s="233"/>
      <c r="Z98" s="233"/>
      <c r="AA98" s="233"/>
      <c r="AB98" s="233"/>
      <c r="AC98" s="233"/>
      <c r="AD98" s="233"/>
      <c r="AE98" s="233"/>
      <c r="AF98" s="218">
        <f>Data!D1613</f>
        <v>0</v>
      </c>
      <c r="AG98" s="218"/>
      <c r="AH98" s="218"/>
      <c r="AI98" s="218"/>
      <c r="AJ98" s="218"/>
      <c r="AK98" s="218"/>
      <c r="AL98" s="4"/>
    </row>
    <row r="99" spans="1:38" x14ac:dyDescent="0.2">
      <c r="A99" s="233">
        <f>Data!B1614</f>
        <v>0</v>
      </c>
      <c r="B99" s="233"/>
      <c r="C99" s="233"/>
      <c r="D99" s="233"/>
      <c r="E99" s="233"/>
      <c r="F99" s="233"/>
      <c r="G99" s="233"/>
      <c r="H99" s="233"/>
      <c r="I99" s="233"/>
      <c r="J99" s="233"/>
      <c r="K99" s="233"/>
      <c r="L99" s="233"/>
      <c r="M99" s="233"/>
      <c r="N99" s="233"/>
      <c r="O99" s="233"/>
      <c r="P99" s="233"/>
      <c r="Q99" s="233"/>
      <c r="R99" s="233"/>
      <c r="S99" s="233"/>
      <c r="T99" s="233"/>
      <c r="U99" s="233"/>
      <c r="V99" s="233"/>
      <c r="W99" s="233"/>
      <c r="X99" s="233"/>
      <c r="Y99" s="233"/>
      <c r="Z99" s="233"/>
      <c r="AA99" s="233"/>
      <c r="AB99" s="233"/>
      <c r="AC99" s="233"/>
      <c r="AD99" s="233"/>
      <c r="AE99" s="233"/>
      <c r="AF99" s="218">
        <f>Data!D1614</f>
        <v>0</v>
      </c>
      <c r="AG99" s="218"/>
      <c r="AH99" s="218"/>
      <c r="AI99" s="218"/>
      <c r="AJ99" s="218"/>
      <c r="AK99" s="218"/>
      <c r="AL99" s="4"/>
    </row>
    <row r="100" spans="1:38" x14ac:dyDescent="0.2">
      <c r="A100" s="233">
        <f>Data!B1615</f>
        <v>0</v>
      </c>
      <c r="B100" s="233"/>
      <c r="C100" s="233"/>
      <c r="D100" s="233"/>
      <c r="E100" s="233"/>
      <c r="F100" s="233"/>
      <c r="G100" s="233"/>
      <c r="H100" s="233"/>
      <c r="I100" s="233"/>
      <c r="J100" s="233"/>
      <c r="K100" s="233"/>
      <c r="L100" s="233"/>
      <c r="M100" s="233"/>
      <c r="N100" s="233"/>
      <c r="O100" s="233"/>
      <c r="P100" s="233"/>
      <c r="Q100" s="233"/>
      <c r="R100" s="233"/>
      <c r="S100" s="233"/>
      <c r="T100" s="233"/>
      <c r="U100" s="233"/>
      <c r="V100" s="233"/>
      <c r="W100" s="233"/>
      <c r="X100" s="233"/>
      <c r="Y100" s="233"/>
      <c r="Z100" s="233"/>
      <c r="AA100" s="233"/>
      <c r="AB100" s="233"/>
      <c r="AC100" s="233"/>
      <c r="AD100" s="233"/>
      <c r="AE100" s="233"/>
      <c r="AF100" s="218">
        <f>Data!D1615</f>
        <v>0</v>
      </c>
      <c r="AG100" s="218"/>
      <c r="AH100" s="218"/>
      <c r="AI100" s="218"/>
      <c r="AJ100" s="218"/>
      <c r="AK100" s="218"/>
      <c r="AL100" s="4"/>
    </row>
    <row r="101" spans="1:38" x14ac:dyDescent="0.2">
      <c r="A101" s="233">
        <f>Data!B1616</f>
        <v>0</v>
      </c>
      <c r="B101" s="233"/>
      <c r="C101" s="233"/>
      <c r="D101" s="233"/>
      <c r="E101" s="233"/>
      <c r="F101" s="233"/>
      <c r="G101" s="233"/>
      <c r="H101" s="233"/>
      <c r="I101" s="233"/>
      <c r="J101" s="233"/>
      <c r="K101" s="233"/>
      <c r="L101" s="233"/>
      <c r="M101" s="233"/>
      <c r="N101" s="233"/>
      <c r="O101" s="233"/>
      <c r="P101" s="233"/>
      <c r="Q101" s="233"/>
      <c r="R101" s="233"/>
      <c r="S101" s="233"/>
      <c r="T101" s="233"/>
      <c r="U101" s="233"/>
      <c r="V101" s="233"/>
      <c r="W101" s="233"/>
      <c r="X101" s="233"/>
      <c r="Y101" s="233"/>
      <c r="Z101" s="233"/>
      <c r="AA101" s="233"/>
      <c r="AB101" s="233"/>
      <c r="AC101" s="233"/>
      <c r="AD101" s="233"/>
      <c r="AE101" s="233"/>
      <c r="AF101" s="218">
        <f>Data!D1616</f>
        <v>0</v>
      </c>
      <c r="AG101" s="218"/>
      <c r="AH101" s="218"/>
      <c r="AI101" s="218"/>
      <c r="AJ101" s="218"/>
      <c r="AK101" s="218"/>
      <c r="AL101" s="4"/>
    </row>
    <row r="102" spans="1:38" x14ac:dyDescent="0.2">
      <c r="A102" s="233">
        <f>Data!B1617</f>
        <v>0</v>
      </c>
      <c r="B102" s="233"/>
      <c r="C102" s="233"/>
      <c r="D102" s="233"/>
      <c r="E102" s="233"/>
      <c r="F102" s="233"/>
      <c r="G102" s="233"/>
      <c r="H102" s="233"/>
      <c r="I102" s="233"/>
      <c r="J102" s="233"/>
      <c r="K102" s="233"/>
      <c r="L102" s="233"/>
      <c r="M102" s="233"/>
      <c r="N102" s="233"/>
      <c r="O102" s="233"/>
      <c r="P102" s="233"/>
      <c r="Q102" s="233"/>
      <c r="R102" s="233"/>
      <c r="S102" s="233"/>
      <c r="T102" s="233"/>
      <c r="U102" s="233"/>
      <c r="V102" s="233"/>
      <c r="W102" s="233"/>
      <c r="X102" s="233"/>
      <c r="Y102" s="233"/>
      <c r="Z102" s="233"/>
      <c r="AA102" s="233"/>
      <c r="AB102" s="233"/>
      <c r="AC102" s="233"/>
      <c r="AD102" s="233"/>
      <c r="AE102" s="233"/>
      <c r="AF102" s="218">
        <f>Data!D1617</f>
        <v>0</v>
      </c>
      <c r="AG102" s="218"/>
      <c r="AH102" s="218"/>
      <c r="AI102" s="218"/>
      <c r="AJ102" s="218"/>
      <c r="AK102" s="218"/>
      <c r="AL102" s="4"/>
    </row>
    <row r="103" spans="1:38" x14ac:dyDescent="0.2">
      <c r="A103" s="233">
        <f>Data!B1618</f>
        <v>0</v>
      </c>
      <c r="B103" s="233"/>
      <c r="C103" s="233"/>
      <c r="D103" s="233"/>
      <c r="E103" s="233"/>
      <c r="F103" s="233"/>
      <c r="G103" s="233"/>
      <c r="H103" s="233"/>
      <c r="I103" s="233"/>
      <c r="J103" s="233"/>
      <c r="K103" s="233"/>
      <c r="L103" s="233"/>
      <c r="M103" s="233"/>
      <c r="N103" s="233"/>
      <c r="O103" s="233"/>
      <c r="P103" s="233"/>
      <c r="Q103" s="233"/>
      <c r="R103" s="233"/>
      <c r="S103" s="233"/>
      <c r="T103" s="233"/>
      <c r="U103" s="233"/>
      <c r="V103" s="233"/>
      <c r="W103" s="233"/>
      <c r="X103" s="233"/>
      <c r="Y103" s="233"/>
      <c r="Z103" s="233"/>
      <c r="AA103" s="233"/>
      <c r="AB103" s="233"/>
      <c r="AC103" s="233"/>
      <c r="AD103" s="233"/>
      <c r="AE103" s="233"/>
      <c r="AF103" s="218">
        <f>Data!D1618</f>
        <v>0</v>
      </c>
      <c r="AG103" s="218"/>
      <c r="AH103" s="218"/>
      <c r="AI103" s="218"/>
      <c r="AJ103" s="218"/>
      <c r="AK103" s="218"/>
      <c r="AL103" s="4"/>
    </row>
    <row r="104" spans="1:38" x14ac:dyDescent="0.2">
      <c r="A104" s="233">
        <f>Data!B1619</f>
        <v>0</v>
      </c>
      <c r="B104" s="233"/>
      <c r="C104" s="233"/>
      <c r="D104" s="233"/>
      <c r="E104" s="233"/>
      <c r="F104" s="233"/>
      <c r="G104" s="233"/>
      <c r="H104" s="233"/>
      <c r="I104" s="233"/>
      <c r="J104" s="233"/>
      <c r="K104" s="233"/>
      <c r="L104" s="233"/>
      <c r="M104" s="233"/>
      <c r="N104" s="233"/>
      <c r="O104" s="233"/>
      <c r="P104" s="233"/>
      <c r="Q104" s="233"/>
      <c r="R104" s="233"/>
      <c r="S104" s="233"/>
      <c r="T104" s="233"/>
      <c r="U104" s="233"/>
      <c r="V104" s="233"/>
      <c r="W104" s="233"/>
      <c r="X104" s="233"/>
      <c r="Y104" s="233"/>
      <c r="Z104" s="233"/>
      <c r="AA104" s="233"/>
      <c r="AB104" s="233"/>
      <c r="AC104" s="233"/>
      <c r="AD104" s="233"/>
      <c r="AE104" s="233"/>
      <c r="AF104" s="219">
        <f>Data!D1619</f>
        <v>0</v>
      </c>
      <c r="AG104" s="219"/>
      <c r="AH104" s="219"/>
      <c r="AI104" s="219"/>
      <c r="AJ104" s="219"/>
      <c r="AK104" s="219"/>
      <c r="AL104" s="219"/>
    </row>
    <row r="105" spans="1:38" x14ac:dyDescent="0.2">
      <c r="A105" t="s">
        <v>3218</v>
      </c>
      <c r="AC105" s="233"/>
      <c r="AD105" s="233"/>
      <c r="AE105" s="233"/>
      <c r="AF105" t="s">
        <v>774</v>
      </c>
      <c r="AJ105" s="34"/>
      <c r="AK105" s="34"/>
      <c r="AL105" s="34"/>
    </row>
    <row r="106" spans="1:38" x14ac:dyDescent="0.2">
      <c r="A106" t="s">
        <v>336</v>
      </c>
      <c r="E106" s="219" t="str">
        <f>_xlfn.CONCAT(Data!B2,", ",Data!B3," ",Data!B4)</f>
        <v xml:space="preserve">,  </v>
      </c>
      <c r="F106" s="219"/>
      <c r="G106" s="219"/>
      <c r="H106" s="219"/>
      <c r="I106" s="219"/>
      <c r="J106" s="219"/>
      <c r="K106" s="219"/>
      <c r="L106" s="219"/>
      <c r="M106" s="219"/>
      <c r="N106" s="219"/>
      <c r="O106" s="219"/>
      <c r="P106" s="219"/>
      <c r="Q106" s="219"/>
      <c r="R106" s="219"/>
      <c r="S106" t="s">
        <v>371</v>
      </c>
      <c r="U106" s="218">
        <f>Data!B14</f>
        <v>0</v>
      </c>
      <c r="V106" s="218"/>
      <c r="W106" s="218"/>
      <c r="X106" s="218"/>
      <c r="Y106" s="218"/>
      <c r="Z106" s="218"/>
      <c r="AA106" s="16" t="s">
        <v>772</v>
      </c>
      <c r="AG106" s="218">
        <f>Data!B34</f>
        <v>0</v>
      </c>
      <c r="AH106" s="218"/>
      <c r="AI106" s="218"/>
      <c r="AJ106" s="218"/>
      <c r="AK106" s="218"/>
      <c r="AL106" s="218"/>
    </row>
    <row r="107" spans="1:38" x14ac:dyDescent="0.2">
      <c r="A107" s="294" t="s">
        <v>851</v>
      </c>
      <c r="B107" s="294"/>
      <c r="C107" s="294"/>
      <c r="D107" s="294"/>
      <c r="E107" s="294"/>
      <c r="F107" s="294"/>
      <c r="G107" s="294"/>
      <c r="H107" s="294"/>
      <c r="I107" s="294"/>
      <c r="J107" s="294"/>
      <c r="K107" s="294"/>
      <c r="L107" s="294"/>
      <c r="M107" s="294"/>
      <c r="N107" s="294"/>
      <c r="O107" s="294"/>
      <c r="P107" s="294"/>
      <c r="Q107" s="294"/>
      <c r="R107" s="294"/>
      <c r="S107" s="294"/>
      <c r="T107" s="294"/>
      <c r="U107" s="294"/>
      <c r="V107" s="294"/>
      <c r="W107" s="294"/>
      <c r="X107" s="294"/>
      <c r="Y107" s="294"/>
      <c r="Z107" s="294"/>
      <c r="AA107" s="294"/>
      <c r="AB107" s="294"/>
      <c r="AC107" s="294"/>
      <c r="AD107" s="294"/>
      <c r="AE107" s="294"/>
      <c r="AF107" s="294"/>
      <c r="AG107" s="294"/>
      <c r="AH107" s="294"/>
      <c r="AI107" s="294"/>
      <c r="AJ107" s="294"/>
      <c r="AK107" s="294"/>
      <c r="AL107" s="294"/>
    </row>
    <row r="108" spans="1:38" x14ac:dyDescent="0.2">
      <c r="A108" s="21" t="str">
        <f>IF(Data!B699=TRUE,"P","")</f>
        <v/>
      </c>
      <c r="B108" t="s">
        <v>852</v>
      </c>
      <c r="N108" t="s">
        <v>867</v>
      </c>
      <c r="V108" s="233">
        <f>Data!B653</f>
        <v>0</v>
      </c>
      <c r="W108" s="233"/>
      <c r="X108" s="233"/>
      <c r="Y108" s="233"/>
      <c r="Z108" s="233"/>
      <c r="AA108" s="233"/>
      <c r="AD108" s="140"/>
      <c r="AE108" s="4"/>
      <c r="AF108" s="4"/>
      <c r="AG108" s="137" t="s">
        <v>861</v>
      </c>
      <c r="AH108" s="306">
        <f>Data!B714</f>
        <v>0</v>
      </c>
      <c r="AI108" s="306"/>
      <c r="AJ108" s="306"/>
      <c r="AK108" s="306"/>
      <c r="AL108" s="306"/>
    </row>
    <row r="109" spans="1:38" x14ac:dyDescent="0.2">
      <c r="A109" s="21" t="str">
        <f>IF(Data!B700=TRUE,"P","")</f>
        <v/>
      </c>
      <c r="B109" t="s">
        <v>228</v>
      </c>
      <c r="H109" s="21" t="str">
        <f>IF(Data!B704=TRUE,"P","")</f>
        <v/>
      </c>
      <c r="I109" t="s">
        <v>855</v>
      </c>
      <c r="O109" s="21" t="str">
        <f>IF(Data!B708=TRUE,"P","")</f>
        <v/>
      </c>
      <c r="P109" t="s">
        <v>859</v>
      </c>
      <c r="Y109" t="s">
        <v>862</v>
      </c>
      <c r="AF109" s="233">
        <f>Data!B650</f>
        <v>0</v>
      </c>
      <c r="AG109" s="233"/>
      <c r="AH109" s="233"/>
    </row>
    <row r="110" spans="1:38" x14ac:dyDescent="0.2">
      <c r="A110" s="21" t="str">
        <f>IF(Data!B701=TRUE,"P","")</f>
        <v/>
      </c>
      <c r="B110" t="s">
        <v>3356</v>
      </c>
      <c r="H110" s="21" t="str">
        <f>IF(Data!B705=TRUE,"P","")</f>
        <v/>
      </c>
      <c r="I110" t="s">
        <v>856</v>
      </c>
      <c r="P110" s="21" t="str">
        <f>IF(Data!B1431=TRUE,"P","")</f>
        <v/>
      </c>
      <c r="Q110" t="s">
        <v>199</v>
      </c>
      <c r="Y110" t="s">
        <v>863</v>
      </c>
      <c r="AD110" s="233" t="str">
        <f>IF(Data!B651="","N/A",Data!B651)</f>
        <v>N/A</v>
      </c>
      <c r="AE110" s="233"/>
      <c r="AF110" s="233"/>
      <c r="AG110" s="233"/>
      <c r="AH110" s="233"/>
    </row>
    <row r="111" spans="1:38" x14ac:dyDescent="0.2">
      <c r="A111" s="21" t="str">
        <f>IF(Data!B702=TRUE,"P","")</f>
        <v/>
      </c>
      <c r="B111" t="s">
        <v>853</v>
      </c>
      <c r="H111" s="21" t="str">
        <f>IF(Data!B706=TRUE,"P","")</f>
        <v/>
      </c>
      <c r="I111" t="s">
        <v>857</v>
      </c>
      <c r="P111" s="21" t="str">
        <f>IF(Data!B1432=TRUE,"P","")</f>
        <v/>
      </c>
      <c r="Q111" t="s">
        <v>3357</v>
      </c>
      <c r="Y111" t="s">
        <v>841</v>
      </c>
      <c r="AB111" s="233" t="str">
        <f>IF(Data!B652="","N/A",Data!B652)</f>
        <v>N/A</v>
      </c>
      <c r="AC111" s="233"/>
      <c r="AD111" s="233"/>
      <c r="AE111" s="233"/>
      <c r="AF111" s="233"/>
      <c r="AG111" s="233"/>
      <c r="AH111" s="233"/>
      <c r="AI111" s="233"/>
      <c r="AJ111" s="233"/>
      <c r="AK111" s="233"/>
      <c r="AL111" s="233"/>
    </row>
    <row r="112" spans="1:38" x14ac:dyDescent="0.2">
      <c r="A112" s="21" t="str">
        <f>IF(Data!B703=TRUE,"P","")</f>
        <v/>
      </c>
      <c r="B112" t="s">
        <v>854</v>
      </c>
      <c r="H112" s="21" t="str">
        <f>IF(Data!B707=TRUE,"P","")</f>
        <v/>
      </c>
      <c r="I112" t="s">
        <v>858</v>
      </c>
      <c r="O112" s="21" t="str">
        <f>IF(OR(Data!B153=TRUE,Data!B154=TRUE),"P","")</f>
        <v/>
      </c>
      <c r="P112" t="s">
        <v>860</v>
      </c>
      <c r="Y112" t="s">
        <v>864</v>
      </c>
      <c r="AB112" s="233">
        <f>Data!B649</f>
        <v>0</v>
      </c>
      <c r="AC112" s="233"/>
      <c r="AD112" s="233"/>
      <c r="AE112" s="233"/>
      <c r="AF112" s="233"/>
      <c r="AG112" s="233"/>
      <c r="AH112" s="233"/>
      <c r="AI112" s="233"/>
      <c r="AJ112" s="233"/>
      <c r="AK112" s="233"/>
      <c r="AL112" s="233"/>
    </row>
    <row r="113" spans="1:38" x14ac:dyDescent="0.2">
      <c r="A113" t="s">
        <v>865</v>
      </c>
      <c r="F113" s="290" t="str">
        <f>ppm.careplan1!F45</f>
        <v/>
      </c>
      <c r="G113" s="290"/>
      <c r="H113" s="290"/>
      <c r="I113" s="290"/>
      <c r="J113" s="290"/>
      <c r="K113" s="290"/>
      <c r="L113" s="290"/>
      <c r="M113" s="290"/>
      <c r="N113" s="290"/>
      <c r="O113" s="290"/>
      <c r="P113" s="290"/>
      <c r="Q113" s="290"/>
      <c r="R113" s="290"/>
      <c r="S113" s="290"/>
      <c r="T113" s="290"/>
      <c r="U113" s="290"/>
      <c r="V113" s="290"/>
      <c r="W113" s="290"/>
      <c r="X113" s="290"/>
      <c r="Y113" s="290"/>
      <c r="Z113" s="290"/>
      <c r="AA113" s="290"/>
      <c r="AB113" s="290"/>
      <c r="AC113" s="290"/>
      <c r="AD113" s="290"/>
      <c r="AE113" s="290"/>
      <c r="AF113" s="290"/>
      <c r="AG113" s="290"/>
      <c r="AH113" s="290"/>
      <c r="AI113" s="290"/>
      <c r="AJ113" s="290"/>
      <c r="AK113" s="290"/>
      <c r="AL113" s="290"/>
    </row>
    <row r="114" spans="1:38" x14ac:dyDescent="0.2">
      <c r="A114" t="s">
        <v>866</v>
      </c>
      <c r="F114" s="290" t="str">
        <f>ppm.careplan1!F46</f>
        <v>N/A</v>
      </c>
      <c r="G114" s="290"/>
      <c r="H114" s="290"/>
      <c r="I114" s="290"/>
      <c r="J114" s="290"/>
      <c r="K114" s="290"/>
      <c r="L114" s="290"/>
      <c r="M114" s="290"/>
      <c r="N114" s="290"/>
      <c r="O114" s="290"/>
      <c r="P114" s="290"/>
      <c r="Q114" s="290"/>
      <c r="R114" s="290"/>
      <c r="S114" s="290"/>
      <c r="T114" s="290"/>
      <c r="U114" s="290"/>
      <c r="V114" s="290"/>
      <c r="W114" s="290"/>
      <c r="X114" s="290"/>
      <c r="Y114" s="290"/>
      <c r="Z114" s="290"/>
      <c r="AA114" s="290"/>
      <c r="AB114" s="290"/>
      <c r="AC114" s="290"/>
      <c r="AD114" s="290"/>
      <c r="AE114" s="290"/>
      <c r="AF114" s="290"/>
      <c r="AG114" s="290"/>
      <c r="AH114" s="290"/>
      <c r="AI114" s="290"/>
      <c r="AJ114" s="290"/>
      <c r="AK114" s="290"/>
      <c r="AL114" s="290"/>
    </row>
    <row r="115" spans="1:38" x14ac:dyDescent="0.2">
      <c r="A115" t="s">
        <v>785</v>
      </c>
      <c r="C115" s="290" t="str">
        <f>IF(Data!B723="","N/A",Data!B723)</f>
        <v>N/A</v>
      </c>
      <c r="D115" s="290"/>
      <c r="E115" s="290"/>
      <c r="F115" s="290"/>
      <c r="G115" s="290"/>
      <c r="H115" s="290"/>
      <c r="I115" s="290"/>
      <c r="J115" s="290"/>
      <c r="K115" s="290"/>
      <c r="L115" s="290"/>
      <c r="M115" s="290"/>
      <c r="N115" s="290"/>
      <c r="O115" s="290"/>
      <c r="P115" s="290"/>
      <c r="Q115" s="290"/>
      <c r="R115" s="290"/>
      <c r="S115" s="290"/>
      <c r="T115" s="290"/>
      <c r="U115" s="290"/>
      <c r="V115" s="290"/>
      <c r="W115" s="290"/>
      <c r="X115" s="290"/>
      <c r="Y115" s="290"/>
      <c r="Z115" s="290"/>
      <c r="AA115" s="290"/>
      <c r="AB115" s="290"/>
      <c r="AC115" s="290"/>
      <c r="AD115" s="290"/>
      <c r="AE115" s="290"/>
      <c r="AF115" s="290"/>
      <c r="AG115" s="290"/>
      <c r="AH115" s="290"/>
      <c r="AI115" s="290"/>
      <c r="AJ115" s="290"/>
      <c r="AK115" s="290"/>
      <c r="AL115" s="290"/>
    </row>
    <row r="116" spans="1:38" x14ac:dyDescent="0.2">
      <c r="A116" t="s">
        <v>3223</v>
      </c>
      <c r="L116" s="233">
        <f>Data!B719</f>
        <v>0</v>
      </c>
      <c r="M116" s="233"/>
      <c r="N116" s="233"/>
      <c r="P116" t="s">
        <v>868</v>
      </c>
      <c r="X116" s="233" t="str">
        <f>IF(Data!B720="","N/A",Data!B720)</f>
        <v>N/A</v>
      </c>
      <c r="Y116" s="233"/>
      <c r="Z116" s="233"/>
      <c r="AA116" s="233"/>
      <c r="AB116" s="233"/>
      <c r="AC116" s="233"/>
      <c r="AD116" s="233"/>
      <c r="AE116" s="233"/>
      <c r="AF116" s="233"/>
      <c r="AG116" s="233"/>
    </row>
    <row r="117" spans="1:38" x14ac:dyDescent="0.2">
      <c r="A117" s="294" t="s">
        <v>869</v>
      </c>
      <c r="B117" s="294"/>
      <c r="C117" s="294"/>
      <c r="D117" s="294"/>
      <c r="E117" s="294"/>
      <c r="F117" s="294"/>
      <c r="G117" s="294"/>
      <c r="H117" s="294"/>
      <c r="I117" s="294"/>
      <c r="J117" s="294"/>
      <c r="K117" s="294"/>
      <c r="L117" s="294"/>
      <c r="M117" s="294"/>
      <c r="N117" s="294"/>
      <c r="O117" s="294"/>
      <c r="P117" s="294"/>
      <c r="Q117" s="294"/>
      <c r="R117" s="294"/>
      <c r="S117" s="294"/>
      <c r="T117" s="294"/>
      <c r="U117" s="294"/>
      <c r="V117" s="294"/>
      <c r="W117" s="294"/>
      <c r="X117" s="294"/>
      <c r="Y117" s="294"/>
      <c r="Z117" s="294"/>
      <c r="AA117" s="294"/>
      <c r="AB117" s="294"/>
      <c r="AC117" s="294"/>
      <c r="AD117" s="294"/>
      <c r="AE117" s="294"/>
      <c r="AF117" s="294"/>
      <c r="AG117" s="294"/>
      <c r="AH117" s="294"/>
      <c r="AI117" s="294"/>
      <c r="AJ117" s="294"/>
      <c r="AK117" s="294"/>
      <c r="AL117" s="294"/>
    </row>
    <row r="118" spans="1:38" x14ac:dyDescent="0.2">
      <c r="A118" s="21" t="str">
        <f>IF(Data!B725=TRUE,"P","")</f>
        <v/>
      </c>
      <c r="B118" t="s">
        <v>3358</v>
      </c>
      <c r="AA118" t="s">
        <v>871</v>
      </c>
      <c r="AJ118" s="233">
        <f>Data!B741</f>
        <v>0</v>
      </c>
      <c r="AK118" s="233"/>
      <c r="AL118" s="233"/>
    </row>
    <row r="119" spans="1:38" x14ac:dyDescent="0.2">
      <c r="A119" s="21" t="str">
        <f>IF(Data!B726=TRUE,"P","")</f>
        <v/>
      </c>
      <c r="B119" t="s">
        <v>230</v>
      </c>
      <c r="F119" s="21" t="str">
        <f>IF(Data!B730=TRUE,"P","")</f>
        <v/>
      </c>
      <c r="G119" t="s">
        <v>234</v>
      </c>
      <c r="K119" s="21" t="str">
        <f>IF(Data!B732=TRUE,"P","")</f>
        <v/>
      </c>
      <c r="L119" t="s">
        <v>236</v>
      </c>
      <c r="R119" s="21" t="str">
        <f>IF(Data!B735=TRUE,"P","")</f>
        <v/>
      </c>
      <c r="S119" t="s">
        <v>1087</v>
      </c>
      <c r="AA119" t="s">
        <v>872</v>
      </c>
      <c r="AC119" s="233" t="str">
        <f>IF(Data!B742="","N/A",Data!B742)</f>
        <v>N/A</v>
      </c>
      <c r="AD119" s="233"/>
      <c r="AE119" s="233"/>
      <c r="AF119" s="233"/>
      <c r="AG119" s="233"/>
      <c r="AH119" s="233"/>
      <c r="AI119" s="233"/>
      <c r="AJ119" s="233"/>
      <c r="AK119" s="233"/>
      <c r="AL119" s="233"/>
    </row>
    <row r="120" spans="1:38" x14ac:dyDescent="0.2">
      <c r="A120" s="21" t="str">
        <f>IF(Data!B727=TRUE,"P","")</f>
        <v/>
      </c>
      <c r="B120" t="s">
        <v>231</v>
      </c>
      <c r="F120" s="21" t="str">
        <f>IF(Data!B731=TRUE,"P","")</f>
        <v/>
      </c>
      <c r="G120" t="s">
        <v>235</v>
      </c>
      <c r="K120" s="21" t="str">
        <f>IF(Data!B733=TRUE,"P","")</f>
        <v/>
      </c>
      <c r="L120" t="s">
        <v>870</v>
      </c>
      <c r="S120" s="21" t="str">
        <f>IF(Data!B1433=TRUE,"P","")</f>
        <v/>
      </c>
      <c r="T120" t="s">
        <v>199</v>
      </c>
      <c r="AA120" t="s">
        <v>873</v>
      </c>
      <c r="AF120" s="239" t="str">
        <f>IF(Data!B743="","N/A",Data!B743)</f>
        <v>N/A</v>
      </c>
      <c r="AG120" s="239"/>
      <c r="AH120" s="239"/>
      <c r="AI120" s="239"/>
      <c r="AJ120" s="239"/>
      <c r="AK120" s="239"/>
      <c r="AL120" s="239"/>
    </row>
    <row r="121" spans="1:38" x14ac:dyDescent="0.2">
      <c r="A121" s="21" t="str">
        <f>IF(Data!B728=TRUE,"P","")</f>
        <v/>
      </c>
      <c r="B121" t="s">
        <v>232</v>
      </c>
      <c r="F121" s="21" t="str">
        <f>IF(Data!B734=TRUE,"P","")</f>
        <v/>
      </c>
      <c r="G121" t="s">
        <v>237</v>
      </c>
      <c r="S121" s="21" t="str">
        <f>IF(Data!B1434=TRUE,"P","")</f>
        <v/>
      </c>
      <c r="T121" t="s">
        <v>3357</v>
      </c>
      <c r="AF121" s="239"/>
      <c r="AG121" s="239"/>
      <c r="AH121" s="239"/>
      <c r="AI121" s="239"/>
      <c r="AJ121" s="239"/>
      <c r="AK121" s="239"/>
      <c r="AL121" s="239"/>
    </row>
    <row r="122" spans="1:38" x14ac:dyDescent="0.2">
      <c r="A122" s="21" t="str">
        <f>IF(Data!B729=TRUE,"P","")</f>
        <v/>
      </c>
      <c r="B122" t="s">
        <v>233</v>
      </c>
      <c r="R122" s="21" t="str">
        <f>IF(OR(Data!B153=TRUE,Data!B154=TRUE),"P","")</f>
        <v/>
      </c>
      <c r="S122" t="s">
        <v>860</v>
      </c>
    </row>
    <row r="123" spans="1:38" x14ac:dyDescent="0.2">
      <c r="A123" s="21" t="str">
        <f>IF(Data!B739=TRUE,"P","")</f>
        <v/>
      </c>
      <c r="B123" t="s">
        <v>56</v>
      </c>
      <c r="D123" s="290" t="str">
        <f>IF(Data!B740="","N/A",Data!B740)</f>
        <v>N/A</v>
      </c>
      <c r="E123" s="290"/>
      <c r="F123" s="290"/>
      <c r="G123" s="290"/>
      <c r="H123" s="290"/>
      <c r="I123" s="290"/>
      <c r="J123" s="290"/>
      <c r="K123" s="290"/>
      <c r="L123" s="290"/>
      <c r="M123" s="290"/>
      <c r="N123" s="290"/>
      <c r="O123" s="290"/>
      <c r="R123" t="s">
        <v>2993</v>
      </c>
      <c r="X123" s="233">
        <f>Data!B745</f>
        <v>0</v>
      </c>
      <c r="Y123" s="233"/>
      <c r="Z123" s="233"/>
      <c r="AA123" s="233"/>
      <c r="AB123" s="233"/>
      <c r="AC123" s="233"/>
      <c r="AD123" s="233"/>
      <c r="AE123" s="233"/>
      <c r="AF123" s="233"/>
      <c r="AG123" s="233"/>
      <c r="AH123" s="233"/>
    </row>
    <row r="124" spans="1:38" x14ac:dyDescent="0.2">
      <c r="A124" t="s">
        <v>785</v>
      </c>
      <c r="D124" s="290" t="str">
        <f>IF(Data!B749="","N/A",Data!B749)</f>
        <v>N/A</v>
      </c>
      <c r="E124" s="290"/>
      <c r="F124" s="290"/>
      <c r="G124" s="290"/>
      <c r="H124" s="290"/>
      <c r="I124" s="290"/>
      <c r="J124" s="290"/>
      <c r="K124" s="290"/>
      <c r="L124" s="290"/>
      <c r="M124" s="290"/>
      <c r="N124" s="290"/>
      <c r="O124" s="290"/>
      <c r="P124" s="290"/>
      <c r="Q124" s="290"/>
      <c r="R124" s="290"/>
      <c r="S124" s="290"/>
      <c r="T124" s="290"/>
      <c r="U124" s="290"/>
      <c r="V124" s="290"/>
      <c r="W124" s="290"/>
      <c r="X124" s="290"/>
      <c r="Y124" s="290"/>
      <c r="Z124" s="290"/>
      <c r="AA124" s="290"/>
      <c r="AB124" s="290"/>
      <c r="AC124" s="290"/>
      <c r="AD124" s="290"/>
      <c r="AE124" s="290"/>
      <c r="AF124" s="290"/>
      <c r="AG124" s="290"/>
      <c r="AH124" s="290"/>
      <c r="AI124" s="290"/>
      <c r="AJ124" s="290"/>
      <c r="AK124" s="290"/>
      <c r="AL124" s="290"/>
    </row>
    <row r="125" spans="1:38" x14ac:dyDescent="0.2">
      <c r="A125" s="294" t="s">
        <v>2994</v>
      </c>
      <c r="B125" s="294"/>
      <c r="C125" s="294"/>
      <c r="D125" s="294"/>
      <c r="E125" s="294"/>
      <c r="F125" s="294"/>
      <c r="G125" s="294"/>
      <c r="H125" s="294"/>
      <c r="I125" s="294"/>
      <c r="J125" s="294"/>
      <c r="K125" s="294"/>
      <c r="L125" s="294"/>
      <c r="M125" s="294"/>
      <c r="N125" s="294"/>
      <c r="O125" s="294"/>
      <c r="P125" s="294"/>
      <c r="Q125" s="294"/>
      <c r="R125" s="294"/>
      <c r="S125" s="294"/>
      <c r="T125" s="294"/>
      <c r="U125" s="294"/>
      <c r="V125" s="294"/>
      <c r="W125" s="294"/>
      <c r="X125" s="294"/>
      <c r="Y125" s="294"/>
      <c r="Z125" s="294"/>
      <c r="AA125" s="294"/>
      <c r="AB125" s="294"/>
      <c r="AC125" s="294"/>
      <c r="AD125" s="294"/>
      <c r="AE125" s="294"/>
      <c r="AF125" s="294"/>
      <c r="AG125" s="294"/>
      <c r="AH125" s="294"/>
      <c r="AI125" s="294"/>
      <c r="AJ125" s="294"/>
      <c r="AK125" s="294"/>
      <c r="AL125" s="294"/>
    </row>
    <row r="126" spans="1:38" x14ac:dyDescent="0.2">
      <c r="A126" s="21" t="str">
        <f>IF(Data!B678=TRUE,"P","")</f>
        <v/>
      </c>
      <c r="B126" t="s">
        <v>2995</v>
      </c>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row>
    <row r="127" spans="1:38" x14ac:dyDescent="0.2">
      <c r="A127" s="21" t="str">
        <f>IF(Data!B681=TRUE,"P","")</f>
        <v/>
      </c>
      <c r="B127" t="s">
        <v>222</v>
      </c>
      <c r="D127" s="4"/>
      <c r="E127" s="4"/>
      <c r="F127" s="4"/>
      <c r="G127" s="4"/>
      <c r="H127" s="4"/>
      <c r="I127" s="4"/>
      <c r="J127" s="21" t="str">
        <f>IF(Data!B689=TRUE,"P","")</f>
        <v/>
      </c>
      <c r="K127" t="s">
        <v>227</v>
      </c>
      <c r="T127" s="21" t="str">
        <f>IF(Data!B679=TRUE,"P","")</f>
        <v/>
      </c>
      <c r="U127" t="s">
        <v>220</v>
      </c>
      <c r="Z127" s="4"/>
      <c r="AA127" s="4"/>
      <c r="AB127" s="21" t="str">
        <f>IF(Data!B156=TRUE,"P","")</f>
        <v/>
      </c>
      <c r="AC127" t="s">
        <v>77</v>
      </c>
      <c r="AG127" s="4"/>
      <c r="AH127" s="4"/>
      <c r="AI127" s="4"/>
      <c r="AJ127" s="4"/>
      <c r="AK127" s="4"/>
      <c r="AL127" s="4"/>
    </row>
    <row r="128" spans="1:38" x14ac:dyDescent="0.2">
      <c r="A128" s="21" t="str">
        <f>IF(Data!B686=TRUE,"P","")</f>
        <v/>
      </c>
      <c r="B128" t="s">
        <v>224</v>
      </c>
      <c r="D128" s="4"/>
      <c r="E128" s="4"/>
      <c r="F128" s="4"/>
      <c r="G128" s="4"/>
      <c r="H128" s="4"/>
      <c r="I128" s="4"/>
      <c r="J128" s="21" t="str">
        <f>IF(Data!B685=TRUE,"P","")</f>
        <v/>
      </c>
      <c r="K128" t="s">
        <v>223</v>
      </c>
      <c r="T128" s="21" t="str">
        <f>IF(Data!B680=TRUE,"P","")</f>
        <v/>
      </c>
      <c r="U128" t="s">
        <v>221</v>
      </c>
      <c r="Z128" s="4"/>
      <c r="AA128" s="4"/>
      <c r="AB128" s="4"/>
      <c r="AC128" s="21" t="str">
        <f>IF(Data!B683=TRUE,"P","")</f>
        <v/>
      </c>
      <c r="AD128" t="s">
        <v>2996</v>
      </c>
      <c r="AG128" s="4"/>
      <c r="AH128" s="4"/>
      <c r="AI128" s="4"/>
      <c r="AJ128" s="4"/>
      <c r="AK128" s="4"/>
      <c r="AL128" s="4"/>
    </row>
    <row r="129" spans="1:38" x14ac:dyDescent="0.2">
      <c r="A129" s="21" t="str">
        <f>IF(Data!B688=TRUE,"P","")</f>
        <v/>
      </c>
      <c r="B129" t="s">
        <v>226</v>
      </c>
      <c r="D129" s="4"/>
      <c r="E129" s="4"/>
      <c r="F129" s="4"/>
      <c r="G129" s="4"/>
      <c r="H129" s="4"/>
      <c r="I129" s="4"/>
      <c r="J129" s="21" t="str">
        <f>IF(Data!B687=TRUE,"P","")</f>
        <v/>
      </c>
      <c r="K129" t="s">
        <v>225</v>
      </c>
      <c r="T129" s="136" t="str">
        <f>IF(Data!B1429=TRUE,"P","")</f>
        <v/>
      </c>
      <c r="U129" t="s">
        <v>3002</v>
      </c>
      <c r="Z129" s="4"/>
      <c r="AA129" s="4"/>
      <c r="AB129" s="4"/>
      <c r="AC129" s="21" t="str">
        <f>IF(Data!B684=TRUE,"P","")</f>
        <v/>
      </c>
      <c r="AD129" t="s">
        <v>2997</v>
      </c>
      <c r="AG129" s="4"/>
      <c r="AH129" s="4"/>
      <c r="AI129" s="4"/>
      <c r="AJ129" s="4"/>
      <c r="AK129" s="4"/>
      <c r="AL129" s="4"/>
    </row>
    <row r="130" spans="1:38" x14ac:dyDescent="0.2">
      <c r="A130" s="21" t="str">
        <f>IF(Data!B690=TRUE,"P","")</f>
        <v/>
      </c>
      <c r="B130" t="s">
        <v>56</v>
      </c>
      <c r="D130" s="4"/>
      <c r="E130" s="233" t="str">
        <f>IF(Data!B691="","N/A",Data!B691)</f>
        <v>N/A</v>
      </c>
      <c r="F130" s="233"/>
      <c r="G130" s="233"/>
      <c r="H130" s="233"/>
      <c r="I130" s="233"/>
      <c r="J130" s="233"/>
      <c r="K130" s="233"/>
      <c r="L130" s="233"/>
      <c r="M130" s="233"/>
      <c r="N130" s="233"/>
      <c r="O130" s="233"/>
      <c r="P130" s="233"/>
      <c r="Q130" s="233"/>
      <c r="R130" s="233"/>
      <c r="S130" s="233"/>
      <c r="T130" s="233"/>
      <c r="U130" s="233"/>
      <c r="V130" s="233"/>
      <c r="W130" s="233"/>
      <c r="X130" s="233"/>
      <c r="Y130" s="4"/>
      <c r="Z130" s="4"/>
      <c r="AA130" s="4"/>
      <c r="AB130" s="4"/>
      <c r="AC130" s="4"/>
      <c r="AD130" s="4"/>
      <c r="AE130" s="4"/>
      <c r="AF130" s="4"/>
      <c r="AG130" s="4"/>
      <c r="AH130" s="4"/>
      <c r="AI130" s="4"/>
      <c r="AJ130" s="4"/>
      <c r="AK130" s="4"/>
      <c r="AL130" s="4"/>
    </row>
    <row r="131" spans="1:38" x14ac:dyDescent="0.2">
      <c r="A131" t="s">
        <v>785</v>
      </c>
      <c r="C131" s="233" t="str">
        <f>IF(Data!B697="","N/A",Data!B697)</f>
        <v>N/A</v>
      </c>
      <c r="D131" s="233"/>
      <c r="E131" s="233"/>
      <c r="F131" s="233"/>
      <c r="G131" s="233"/>
      <c r="H131" s="233"/>
      <c r="I131" s="233"/>
      <c r="J131" s="233"/>
      <c r="K131" s="233"/>
      <c r="L131" s="233"/>
      <c r="M131" s="233"/>
      <c r="N131" s="233"/>
      <c r="O131" s="233"/>
      <c r="P131" s="233"/>
      <c r="Q131" s="233"/>
      <c r="R131" s="233"/>
      <c r="S131" s="233"/>
      <c r="T131" s="233"/>
      <c r="U131" s="233"/>
      <c r="V131" s="233"/>
      <c r="W131" s="233"/>
      <c r="X131" s="233"/>
      <c r="Y131" s="233"/>
      <c r="Z131" s="233"/>
      <c r="AA131" s="233"/>
      <c r="AB131" s="233"/>
      <c r="AC131" s="233"/>
      <c r="AD131" s="233"/>
      <c r="AE131" s="233"/>
      <c r="AF131" s="233"/>
      <c r="AG131" s="233"/>
      <c r="AH131" s="233"/>
      <c r="AI131" s="233"/>
      <c r="AJ131" s="233"/>
      <c r="AK131" s="233"/>
      <c r="AL131" s="233"/>
    </row>
    <row r="132" spans="1:38" x14ac:dyDescent="0.2">
      <c r="A132" s="294" t="s">
        <v>257</v>
      </c>
      <c r="B132" s="294"/>
      <c r="C132" s="294"/>
      <c r="D132" s="294"/>
      <c r="E132" s="294"/>
      <c r="F132" s="294"/>
      <c r="G132" s="294"/>
      <c r="H132" s="294"/>
      <c r="I132" s="294"/>
      <c r="J132" s="294"/>
      <c r="K132" s="294"/>
      <c r="L132" s="294"/>
      <c r="M132" s="294"/>
      <c r="N132" s="294"/>
      <c r="O132" s="294"/>
      <c r="P132" s="294"/>
      <c r="Q132" s="294"/>
      <c r="R132" s="294"/>
      <c r="S132" s="294"/>
      <c r="T132" s="294"/>
      <c r="U132" s="294"/>
      <c r="V132" s="294"/>
      <c r="W132" s="294"/>
      <c r="X132" s="294"/>
      <c r="Y132" s="294"/>
      <c r="Z132" s="294"/>
      <c r="AA132" s="294"/>
      <c r="AB132" s="294"/>
      <c r="AC132" s="294"/>
      <c r="AD132" s="294"/>
      <c r="AE132" s="294"/>
      <c r="AF132" s="294"/>
      <c r="AG132" s="294"/>
      <c r="AH132" s="294"/>
      <c r="AI132" s="294"/>
      <c r="AJ132" s="294"/>
      <c r="AK132" s="294"/>
      <c r="AL132" s="294"/>
    </row>
    <row r="133" spans="1:38" x14ac:dyDescent="0.2">
      <c r="A133" s="21" t="str">
        <f>IF(Data!B783=TRUE,"P","")</f>
        <v/>
      </c>
      <c r="B133" t="s">
        <v>874</v>
      </c>
    </row>
    <row r="134" spans="1:38" x14ac:dyDescent="0.2">
      <c r="A134" s="21" t="str">
        <f>IF(Data!B752=TRUE,"P","")</f>
        <v/>
      </c>
      <c r="B134" t="s">
        <v>242</v>
      </c>
      <c r="H134" s="21" t="str">
        <f>IF(Data!B753=TRUE,"P","")</f>
        <v/>
      </c>
      <c r="I134" t="s">
        <v>162</v>
      </c>
      <c r="L134" s="21" t="str">
        <f>IF(Data!B754=TRUE,"P","")</f>
        <v/>
      </c>
      <c r="M134" t="s">
        <v>243</v>
      </c>
      <c r="Q134" s="21" t="str">
        <f>IF(Data!B792=TRUE,"P","")</f>
        <v/>
      </c>
      <c r="R134" t="s">
        <v>875</v>
      </c>
      <c r="AD134" t="s">
        <v>655</v>
      </c>
      <c r="AH134" s="233">
        <f>Data!B466</f>
        <v>0</v>
      </c>
      <c r="AI134" s="233"/>
      <c r="AJ134" s="233"/>
    </row>
    <row r="135" spans="1:38" x14ac:dyDescent="0.2">
      <c r="A135" s="21" t="str">
        <f>IF(Data!B755=TRUE,"P","")</f>
        <v/>
      </c>
      <c r="B135" t="s">
        <v>244</v>
      </c>
      <c r="H135" s="21" t="str">
        <f>IF(Data!B756=TRUE,"P","")</f>
        <v/>
      </c>
      <c r="I135" t="s">
        <v>162</v>
      </c>
      <c r="L135" s="21" t="str">
        <f>IF(Data!B757=TRUE,"P","")</f>
        <v/>
      </c>
      <c r="M135" t="s">
        <v>243</v>
      </c>
      <c r="Q135" s="21" t="str">
        <f>IF(Data!B793=TRUE,"P","")</f>
        <v/>
      </c>
      <c r="R135" t="s">
        <v>876</v>
      </c>
      <c r="AD135" t="s">
        <v>656</v>
      </c>
      <c r="AF135" s="233">
        <f>IF(Data!B466="No","N/A",Data!B467)</f>
        <v>0</v>
      </c>
      <c r="AG135" s="233"/>
      <c r="AH135" s="233"/>
      <c r="AI135" s="233"/>
      <c r="AJ135" s="233"/>
      <c r="AK135" s="233"/>
      <c r="AL135" s="233"/>
    </row>
    <row r="136" spans="1:38" x14ac:dyDescent="0.2">
      <c r="A136" s="21" t="str">
        <f>IF(Data!B790=TRUE,"P","")</f>
        <v/>
      </c>
      <c r="B136" t="s">
        <v>258</v>
      </c>
      <c r="Q136" s="21" t="str">
        <f>IF(Data!B794=TRUE,"P","")</f>
        <v/>
      </c>
      <c r="R136" t="s">
        <v>260</v>
      </c>
      <c r="AA136" t="s">
        <v>877</v>
      </c>
      <c r="AG136" s="233">
        <f>Data!B799</f>
        <v>0</v>
      </c>
      <c r="AH136" s="233"/>
      <c r="AI136" s="233"/>
      <c r="AJ136" s="233"/>
      <c r="AK136" s="233"/>
      <c r="AL136" s="233"/>
    </row>
    <row r="137" spans="1:38" x14ac:dyDescent="0.2">
      <c r="A137" s="21" t="str">
        <f>IF(Data!B791=TRUE,"P","")</f>
        <v/>
      </c>
      <c r="B137" t="s">
        <v>259</v>
      </c>
      <c r="R137" s="21" t="str">
        <f>IF(Data!B795=TRUE,"P","")</f>
        <v/>
      </c>
      <c r="S137" t="s">
        <v>261</v>
      </c>
      <c r="AA137" t="s">
        <v>878</v>
      </c>
      <c r="AG137" s="233">
        <f>Data!B800</f>
        <v>0</v>
      </c>
      <c r="AH137" s="233"/>
      <c r="AI137" s="233"/>
      <c r="AJ137" s="233"/>
      <c r="AK137" s="233"/>
      <c r="AL137" s="233"/>
    </row>
    <row r="138" spans="1:38" x14ac:dyDescent="0.2">
      <c r="A138" s="21" t="str">
        <f>IF(Data!B797=TRUE,"P","")</f>
        <v/>
      </c>
      <c r="B138" t="s">
        <v>56</v>
      </c>
      <c r="D138" s="290" t="str">
        <f>IF(Data!B798="","N/A",Data!B798)</f>
        <v>N/A</v>
      </c>
      <c r="E138" s="290"/>
      <c r="F138" s="290"/>
      <c r="G138" s="290"/>
      <c r="H138" s="290"/>
      <c r="I138" s="290"/>
      <c r="J138" s="290"/>
      <c r="K138" s="290"/>
      <c r="L138" s="290"/>
      <c r="M138" s="290"/>
      <c r="N138" s="290"/>
      <c r="O138" s="290"/>
      <c r="P138" s="290"/>
      <c r="R138" s="21" t="str">
        <f>IF(Data!B796=TRUE,"P","")</f>
        <v/>
      </c>
      <c r="S138" t="s">
        <v>123</v>
      </c>
      <c r="AA138" t="s">
        <v>879</v>
      </c>
      <c r="AG138" s="233">
        <f>Data!B801</f>
        <v>0</v>
      </c>
      <c r="AH138" s="233"/>
      <c r="AI138" s="233"/>
      <c r="AJ138" s="233"/>
      <c r="AK138" s="233"/>
      <c r="AL138" s="233"/>
    </row>
    <row r="139" spans="1:38" x14ac:dyDescent="0.2">
      <c r="A139" t="s">
        <v>785</v>
      </c>
      <c r="D139" s="290" t="str">
        <f>IF(Data!B806="","N/A",Data!B806)</f>
        <v>N/A</v>
      </c>
      <c r="E139" s="290"/>
      <c r="F139" s="290"/>
      <c r="G139" s="290"/>
      <c r="H139" s="290"/>
      <c r="I139" s="290"/>
      <c r="J139" s="290"/>
      <c r="K139" s="290"/>
      <c r="L139" s="290"/>
      <c r="M139" s="290"/>
      <c r="N139" s="290"/>
      <c r="O139" s="290"/>
      <c r="P139" s="290"/>
      <c r="Q139" s="290"/>
      <c r="R139" s="290"/>
      <c r="S139" s="290"/>
      <c r="T139" s="290"/>
      <c r="U139" s="290"/>
      <c r="V139" s="290"/>
      <c r="W139" s="290"/>
      <c r="X139" s="290"/>
      <c r="Y139" s="290"/>
      <c r="Z139" s="290"/>
      <c r="AA139" s="290"/>
      <c r="AB139" s="290"/>
      <c r="AC139" s="290"/>
      <c r="AD139" s="290"/>
      <c r="AE139" s="290"/>
      <c r="AF139" s="290"/>
      <c r="AG139" s="290"/>
      <c r="AH139" s="290"/>
      <c r="AI139" s="290"/>
      <c r="AJ139" s="290"/>
      <c r="AK139" s="290"/>
      <c r="AL139" s="290"/>
    </row>
    <row r="140" spans="1:38" x14ac:dyDescent="0.2">
      <c r="A140" s="294" t="s">
        <v>880</v>
      </c>
      <c r="B140" s="294"/>
      <c r="C140" s="294"/>
      <c r="D140" s="294"/>
      <c r="E140" s="294"/>
      <c r="F140" s="294"/>
      <c r="G140" s="294"/>
      <c r="H140" s="294"/>
      <c r="I140" s="294"/>
      <c r="J140" s="294"/>
      <c r="K140" s="294"/>
      <c r="L140" s="294"/>
      <c r="M140" s="294"/>
      <c r="N140" s="294"/>
      <c r="O140" s="294"/>
      <c r="P140" s="294"/>
      <c r="Q140" s="294"/>
      <c r="R140" s="294"/>
      <c r="S140" s="294"/>
      <c r="T140" s="294"/>
      <c r="U140" s="294"/>
      <c r="V140" s="294"/>
      <c r="W140" s="294"/>
      <c r="X140" s="294"/>
      <c r="Y140" s="294"/>
      <c r="Z140" s="294"/>
      <c r="AA140" s="294"/>
      <c r="AB140" s="294"/>
      <c r="AC140" s="294"/>
      <c r="AD140" s="294"/>
      <c r="AE140" s="294"/>
      <c r="AF140" s="294"/>
      <c r="AG140" s="294"/>
      <c r="AH140" s="294"/>
      <c r="AI140" s="294"/>
      <c r="AJ140" s="294"/>
      <c r="AK140" s="294"/>
      <c r="AL140" s="294"/>
    </row>
    <row r="141" spans="1:38" x14ac:dyDescent="0.2">
      <c r="A141" s="21" t="str">
        <f>IF(Data!B808=TRUE,"P","")</f>
        <v/>
      </c>
      <c r="B141" t="s">
        <v>885</v>
      </c>
    </row>
    <row r="142" spans="1:38" x14ac:dyDescent="0.2">
      <c r="A142" s="21" t="str">
        <f>IF(Data!B1636=TRUE,"P","")</f>
        <v/>
      </c>
      <c r="B142" t="s">
        <v>3215</v>
      </c>
      <c r="H142" s="21" t="str">
        <f>IF(Data!B813=TRUE,"P","")</f>
        <v/>
      </c>
      <c r="I142" t="s">
        <v>266</v>
      </c>
      <c r="O142" s="21" t="str">
        <f>IF(Data!B817=TRUE,"P","")</f>
        <v/>
      </c>
      <c r="P142" t="s">
        <v>886</v>
      </c>
      <c r="W142" t="s">
        <v>887</v>
      </c>
      <c r="AB142" s="233">
        <f>Data!B823</f>
        <v>0</v>
      </c>
      <c r="AC142" s="233"/>
      <c r="AD142" s="233"/>
      <c r="AE142" s="233"/>
      <c r="AF142" s="233"/>
      <c r="AG142" s="233"/>
    </row>
    <row r="143" spans="1:38" x14ac:dyDescent="0.2">
      <c r="A143" s="21" t="str">
        <f>IF(Data!B810=TRUE,"P","")</f>
        <v/>
      </c>
      <c r="B143" t="s">
        <v>263</v>
      </c>
      <c r="H143" s="21" t="str">
        <f>IF(Data!B569=TRUE,"P","")</f>
        <v/>
      </c>
      <c r="I143" t="s">
        <v>201</v>
      </c>
      <c r="O143" s="21" t="str">
        <f>IF(Data!B818=TRUE,"P","")</f>
        <v/>
      </c>
      <c r="P143" t="s">
        <v>268</v>
      </c>
      <c r="W143" t="s">
        <v>888</v>
      </c>
      <c r="AB143" s="233">
        <f>Data!B824</f>
        <v>0</v>
      </c>
      <c r="AC143" s="233"/>
      <c r="AD143" s="233"/>
      <c r="AE143" s="233"/>
      <c r="AF143" s="233"/>
      <c r="AG143" s="233"/>
    </row>
    <row r="144" spans="1:38" x14ac:dyDescent="0.2">
      <c r="A144" s="21" t="str">
        <f>IF(Data!B811=TRUE,"P","")</f>
        <v/>
      </c>
      <c r="B144" t="s">
        <v>264</v>
      </c>
      <c r="H144" s="21" t="str">
        <f>IF(Data!B758=TRUE,"P","")</f>
        <v/>
      </c>
      <c r="I144" t="s">
        <v>245</v>
      </c>
      <c r="O144" s="21" t="str">
        <f>IF(Data!B819=TRUE,"P","")</f>
        <v/>
      </c>
      <c r="P144" t="s">
        <v>269</v>
      </c>
    </row>
    <row r="145" spans="1:39" x14ac:dyDescent="0.2">
      <c r="A145" s="21" t="str">
        <f>IF(Data!B812=TRUE,"P","")</f>
        <v/>
      </c>
      <c r="B145" t="s">
        <v>265</v>
      </c>
      <c r="H145" s="21" t="str">
        <f>IF(Data!B816=TRUE,"P","")</f>
        <v/>
      </c>
      <c r="I145" t="s">
        <v>267</v>
      </c>
      <c r="O145" s="21" t="str">
        <f>IF(Data!B820=TRUE,"P","")</f>
        <v/>
      </c>
      <c r="P145" t="s">
        <v>270</v>
      </c>
      <c r="W145" s="21" t="str">
        <f>IF(Data!B598=TRUE,"P","")</f>
        <v/>
      </c>
      <c r="X145" t="s">
        <v>262</v>
      </c>
      <c r="AB145" s="21" t="str">
        <f>IF(Data!D598=TRUE,"P","")</f>
        <v/>
      </c>
      <c r="AC145" t="s">
        <v>206</v>
      </c>
      <c r="AF145" s="21" t="str">
        <f>IF(Data!D599=TRUE,"P","")</f>
        <v/>
      </c>
      <c r="AG145" t="s">
        <v>243</v>
      </c>
    </row>
    <row r="146" spans="1:39" x14ac:dyDescent="0.2">
      <c r="A146" s="21" t="str">
        <f>IF(Data!B821=TRUE,"P","")</f>
        <v/>
      </c>
      <c r="B146" t="s">
        <v>56</v>
      </c>
      <c r="D146" s="290" t="str">
        <f>IF(Data!B822="","N/A",Data!B822)</f>
        <v>N/A</v>
      </c>
      <c r="E146" s="290"/>
      <c r="F146" s="290"/>
      <c r="G146" s="290"/>
      <c r="H146" s="290"/>
      <c r="I146" s="290"/>
      <c r="J146" s="290"/>
      <c r="K146" s="290"/>
      <c r="L146" s="290"/>
      <c r="M146" s="290"/>
      <c r="N146" s="290"/>
      <c r="O146" s="290"/>
    </row>
    <row r="147" spans="1:39" x14ac:dyDescent="0.2">
      <c r="A147" t="s">
        <v>785</v>
      </c>
      <c r="D147" s="290" t="str">
        <f>IF(Data!B828="","N/A",Data!B828)</f>
        <v>N/A</v>
      </c>
      <c r="E147" s="290"/>
      <c r="F147" s="290"/>
      <c r="G147" s="290"/>
      <c r="H147" s="290"/>
      <c r="I147" s="290"/>
      <c r="J147" s="290"/>
      <c r="K147" s="290"/>
      <c r="L147" s="290"/>
      <c r="M147" s="290"/>
      <c r="N147" s="290"/>
      <c r="O147" s="290"/>
      <c r="P147" s="290"/>
      <c r="Q147" s="290"/>
      <c r="R147" s="290"/>
      <c r="S147" s="290"/>
      <c r="T147" s="290"/>
      <c r="U147" s="290"/>
      <c r="V147" s="290"/>
      <c r="W147" s="290"/>
      <c r="X147" s="290"/>
      <c r="Y147" s="290"/>
      <c r="Z147" s="290"/>
      <c r="AA147" s="290"/>
      <c r="AB147" s="290"/>
      <c r="AC147" s="290"/>
      <c r="AD147" s="290"/>
      <c r="AE147" s="290"/>
      <c r="AF147" s="290"/>
      <c r="AG147" s="290"/>
      <c r="AH147" s="290"/>
      <c r="AI147" s="290"/>
      <c r="AJ147" s="290"/>
      <c r="AK147" s="290"/>
      <c r="AL147" s="290"/>
    </row>
    <row r="148" spans="1:39" x14ac:dyDescent="0.2">
      <c r="A148" s="294" t="s">
        <v>272</v>
      </c>
      <c r="B148" s="294"/>
      <c r="C148" s="294"/>
      <c r="D148" s="294"/>
      <c r="E148" s="294"/>
      <c r="F148" s="294"/>
      <c r="G148" s="294"/>
      <c r="H148" s="294"/>
      <c r="I148" s="294"/>
      <c r="J148" s="294"/>
      <c r="K148" s="294"/>
      <c r="L148" s="294"/>
      <c r="M148" s="294"/>
      <c r="N148" s="294"/>
      <c r="O148" s="294"/>
      <c r="P148" s="294"/>
      <c r="Q148" s="294"/>
      <c r="R148" s="294"/>
      <c r="S148" s="294"/>
      <c r="T148" s="294"/>
      <c r="U148" s="294"/>
      <c r="V148" s="294"/>
      <c r="W148" s="294"/>
      <c r="X148" s="294"/>
      <c r="Y148" s="294"/>
      <c r="Z148" s="294"/>
      <c r="AA148" s="294"/>
      <c r="AB148" s="294"/>
      <c r="AC148" s="294"/>
      <c r="AD148" s="294"/>
      <c r="AE148" s="294"/>
      <c r="AF148" s="294"/>
      <c r="AG148" s="294"/>
      <c r="AH148" s="294"/>
      <c r="AI148" s="294"/>
      <c r="AJ148" s="294"/>
      <c r="AK148" s="294"/>
      <c r="AL148" s="294"/>
    </row>
    <row r="149" spans="1:39" x14ac:dyDescent="0.2">
      <c r="A149" s="21" t="str">
        <f>IF(Data!B830=TRUE,"P","")</f>
        <v/>
      </c>
      <c r="B149" t="s">
        <v>273</v>
      </c>
      <c r="E149" s="21" t="str">
        <f>IF(Data!B831=TRUE,"P","")</f>
        <v/>
      </c>
      <c r="F149" t="s">
        <v>274</v>
      </c>
      <c r="J149" s="21" t="str">
        <f>IF(Data!B832=TRUE,"P","")</f>
        <v/>
      </c>
      <c r="K149" t="s">
        <v>275</v>
      </c>
      <c r="O149" s="21" t="str">
        <f>IF(Data!B833=TRUE,"P","")</f>
        <v/>
      </c>
      <c r="P149" t="s">
        <v>3359</v>
      </c>
      <c r="U149" s="21" t="str">
        <f>IF(Data!B834=TRUE,"P","")</f>
        <v/>
      </c>
      <c r="V149" t="s">
        <v>890</v>
      </c>
      <c r="AC149" t="s">
        <v>276</v>
      </c>
      <c r="AJ149" s="233">
        <f>Data!B835</f>
        <v>0</v>
      </c>
      <c r="AK149" s="233"/>
      <c r="AL149" s="233"/>
    </row>
    <row r="150" spans="1:39" x14ac:dyDescent="0.2">
      <c r="A150" t="s">
        <v>785</v>
      </c>
      <c r="D150" s="290" t="str">
        <f>IF(Data!B840="","N/A",Data!B840)</f>
        <v>N/A</v>
      </c>
      <c r="E150" s="290"/>
      <c r="F150" s="290"/>
      <c r="G150" s="290"/>
      <c r="H150" s="290"/>
      <c r="I150" s="290"/>
      <c r="J150" s="290"/>
      <c r="K150" s="290"/>
      <c r="L150" s="290"/>
      <c r="M150" s="290"/>
      <c r="N150" s="290"/>
      <c r="O150" s="290"/>
      <c r="P150" s="290"/>
      <c r="Q150" s="290"/>
      <c r="R150" s="290"/>
      <c r="S150" s="290"/>
      <c r="T150" s="290"/>
      <c r="U150" s="290"/>
      <c r="V150" s="290"/>
      <c r="W150" s="290"/>
      <c r="X150" s="290"/>
      <c r="Y150" s="290"/>
      <c r="Z150" s="290"/>
      <c r="AA150" s="290"/>
      <c r="AB150" s="290"/>
      <c r="AC150" s="290"/>
      <c r="AD150" s="290"/>
      <c r="AE150" s="290"/>
      <c r="AF150" s="290"/>
      <c r="AG150" s="290"/>
      <c r="AH150" s="290"/>
      <c r="AI150" s="290"/>
      <c r="AJ150" s="290"/>
      <c r="AK150" s="290"/>
      <c r="AL150" s="290"/>
    </row>
    <row r="151" spans="1:39" x14ac:dyDescent="0.2">
      <c r="A151" t="s">
        <v>3219</v>
      </c>
      <c r="AC151" s="233"/>
      <c r="AD151" s="233"/>
      <c r="AE151" s="233"/>
      <c r="AF151" t="s">
        <v>774</v>
      </c>
      <c r="AJ151" s="34"/>
      <c r="AK151" s="34"/>
      <c r="AL151" s="34"/>
    </row>
    <row r="152" spans="1:39" x14ac:dyDescent="0.2">
      <c r="A152" t="s">
        <v>336</v>
      </c>
      <c r="E152" s="219" t="str">
        <f>_xlfn.CONCAT(Data!B2,", ",Data!B3," ",Data!B4)</f>
        <v xml:space="preserve">,  </v>
      </c>
      <c r="F152" s="219"/>
      <c r="G152" s="219"/>
      <c r="H152" s="219"/>
      <c r="I152" s="219"/>
      <c r="J152" s="219"/>
      <c r="K152" s="219"/>
      <c r="L152" s="219"/>
      <c r="M152" s="219"/>
      <c r="N152" s="219"/>
      <c r="O152" s="219"/>
      <c r="P152" s="219"/>
      <c r="Q152" s="219"/>
      <c r="R152" s="219"/>
      <c r="S152" t="s">
        <v>371</v>
      </c>
      <c r="U152" s="218">
        <f>Data!B14</f>
        <v>0</v>
      </c>
      <c r="V152" s="218"/>
      <c r="W152" s="218"/>
      <c r="X152" s="218"/>
      <c r="Y152" s="218"/>
      <c r="Z152" s="218"/>
      <c r="AA152" s="16" t="s">
        <v>772</v>
      </c>
      <c r="AG152" s="218">
        <f>Data!B34</f>
        <v>0</v>
      </c>
      <c r="AH152" s="218"/>
      <c r="AI152" s="218"/>
      <c r="AJ152" s="218"/>
      <c r="AK152" s="218"/>
      <c r="AL152" s="218"/>
    </row>
    <row r="153" spans="1:39" x14ac:dyDescent="0.2">
      <c r="A153" s="294" t="s">
        <v>889</v>
      </c>
      <c r="B153" s="294"/>
      <c r="C153" s="294"/>
      <c r="D153" s="294"/>
      <c r="E153" s="294"/>
      <c r="F153" s="294"/>
      <c r="G153" s="294"/>
      <c r="H153" s="294"/>
      <c r="I153" s="294"/>
      <c r="J153" s="294"/>
      <c r="K153" s="294"/>
      <c r="L153" s="294"/>
      <c r="M153" s="294"/>
      <c r="N153" s="294"/>
      <c r="O153" s="294"/>
      <c r="P153" s="294"/>
      <c r="Q153" s="294"/>
      <c r="R153" s="294"/>
      <c r="S153" s="294"/>
      <c r="T153" s="294"/>
      <c r="U153" s="294"/>
      <c r="V153" s="294"/>
      <c r="W153" s="294"/>
      <c r="X153" s="294"/>
      <c r="Y153" s="294"/>
      <c r="Z153" s="294"/>
      <c r="AA153" s="294"/>
      <c r="AB153" s="294"/>
      <c r="AC153" s="294"/>
      <c r="AD153" s="294"/>
      <c r="AE153" s="294"/>
      <c r="AF153" s="294"/>
      <c r="AG153" s="294"/>
      <c r="AH153" s="294"/>
      <c r="AI153" s="294"/>
      <c r="AJ153" s="294"/>
      <c r="AK153" s="294"/>
      <c r="AL153" s="294"/>
    </row>
    <row r="154" spans="1:39" x14ac:dyDescent="0.2">
      <c r="A154" t="s">
        <v>881</v>
      </c>
      <c r="G154" t="s">
        <v>891</v>
      </c>
      <c r="N154" t="s">
        <v>895</v>
      </c>
      <c r="U154" t="s">
        <v>898</v>
      </c>
      <c r="AD154" s="292" t="str">
        <f>_xlfn.CONCAT(IF(Data!B1715=TRUE,"Client is safe to be alone.",""),IF(Data!B1714=TRUE,"Client is safe to be alone but is recommended to have supervision from friends/family due to cognitive/mobility deficits.",""),IF(Data!B876=TRUE,"Client is not safe to be alone.  Family/friends should provide supervision when caregiver is not scheduled.",""))</f>
        <v/>
      </c>
      <c r="AE154" s="292"/>
      <c r="AF154" s="292"/>
      <c r="AG154" s="292"/>
      <c r="AH154" s="292"/>
      <c r="AI154" s="292"/>
      <c r="AJ154" s="292"/>
      <c r="AK154" s="292"/>
      <c r="AL154" s="292"/>
    </row>
    <row r="155" spans="1:39" x14ac:dyDescent="0.2">
      <c r="A155" s="21" t="str">
        <f>IF(Data!B862=TRUE,"P","")</f>
        <v/>
      </c>
      <c r="B155" t="s">
        <v>882</v>
      </c>
      <c r="G155" s="21" t="str">
        <f>IF(Data!B865=TRUE,"P","")</f>
        <v/>
      </c>
      <c r="H155" t="s">
        <v>195</v>
      </c>
      <c r="N155" s="21" t="str">
        <f>IF(Data!B869=TRUE,"P","")</f>
        <v/>
      </c>
      <c r="O155" t="s">
        <v>896</v>
      </c>
      <c r="U155" s="21" t="str">
        <f>IF(Data!B871=TRUE,"P","")</f>
        <v/>
      </c>
      <c r="V155" t="s">
        <v>899</v>
      </c>
      <c r="AC155" s="4"/>
      <c r="AD155" s="292"/>
      <c r="AE155" s="292"/>
      <c r="AF155" s="292"/>
      <c r="AG155" s="292"/>
      <c r="AH155" s="292"/>
      <c r="AI155" s="292"/>
      <c r="AJ155" s="292"/>
      <c r="AK155" s="292"/>
      <c r="AL155" s="292"/>
    </row>
    <row r="156" spans="1:39" x14ac:dyDescent="0.2">
      <c r="A156" s="21" t="str">
        <f>IF(Data!B863=TRUE,"P","")</f>
        <v/>
      </c>
      <c r="B156" t="s">
        <v>883</v>
      </c>
      <c r="G156" s="21" t="str">
        <f>IF(Data!B866=TRUE,"P","")</f>
        <v/>
      </c>
      <c r="H156" t="s">
        <v>892</v>
      </c>
      <c r="N156" s="21" t="str">
        <f>IF(Data!B870=TRUE,"P","")</f>
        <v/>
      </c>
      <c r="O156" t="s">
        <v>897</v>
      </c>
      <c r="U156" s="21" t="str">
        <f>IF(Data!B872=TRUE,"P","")</f>
        <v/>
      </c>
      <c r="V156" t="s">
        <v>900</v>
      </c>
      <c r="AC156" s="4"/>
      <c r="AD156" s="292"/>
      <c r="AE156" s="292"/>
      <c r="AF156" s="292"/>
      <c r="AG156" s="292"/>
      <c r="AH156" s="292"/>
      <c r="AI156" s="292"/>
      <c r="AJ156" s="292"/>
      <c r="AK156" s="292"/>
      <c r="AL156" s="292"/>
    </row>
    <row r="157" spans="1:39" x14ac:dyDescent="0.2">
      <c r="A157" s="21" t="str">
        <f>IF(Data!B864=TRUE,"P","")</f>
        <v/>
      </c>
      <c r="B157" t="s">
        <v>884</v>
      </c>
      <c r="G157" s="21" t="str">
        <f>IF(Data!B867=TRUE,"P","")</f>
        <v/>
      </c>
      <c r="H157" t="s">
        <v>893</v>
      </c>
      <c r="U157" s="21" t="str">
        <f>IF(Data!B873=TRUE,"P","")</f>
        <v/>
      </c>
      <c r="V157" t="s">
        <v>901</v>
      </c>
      <c r="AC157" s="4"/>
      <c r="AD157" s="292"/>
      <c r="AE157" s="292"/>
      <c r="AF157" s="292"/>
      <c r="AG157" s="292"/>
      <c r="AH157" s="292"/>
      <c r="AI157" s="292"/>
      <c r="AJ157" s="292"/>
      <c r="AK157" s="292"/>
      <c r="AL157" s="292"/>
    </row>
    <row r="158" spans="1:39" x14ac:dyDescent="0.2">
      <c r="G158" s="21" t="str">
        <f>IF(Data!B868=TRUE,"P","")</f>
        <v/>
      </c>
      <c r="H158" t="s">
        <v>894</v>
      </c>
      <c r="M158" s="4"/>
      <c r="N158" s="4"/>
      <c r="O158" s="151"/>
      <c r="P158" s="151"/>
      <c r="Q158" s="151"/>
      <c r="R158" s="151"/>
      <c r="S158" s="151"/>
      <c r="T158" s="151"/>
      <c r="U158" s="151"/>
      <c r="V158" s="151"/>
      <c r="W158" s="151"/>
      <c r="X158" s="151"/>
      <c r="Y158" s="151"/>
      <c r="Z158" s="151"/>
      <c r="AA158" s="151"/>
      <c r="AB158" s="151"/>
      <c r="AC158" s="151"/>
      <c r="AD158" s="292"/>
      <c r="AE158" s="292"/>
      <c r="AF158" s="292"/>
      <c r="AG158" s="292"/>
      <c r="AH158" s="292"/>
      <c r="AI158" s="292"/>
      <c r="AJ158" s="292"/>
      <c r="AK158" s="292"/>
      <c r="AL158" s="292"/>
      <c r="AM158" s="151"/>
    </row>
    <row r="159" spans="1:39" x14ac:dyDescent="0.2">
      <c r="A159" s="21" t="str">
        <f>IF(Data!B877=TRUE,"P","")</f>
        <v/>
      </c>
      <c r="B159" t="s">
        <v>904</v>
      </c>
      <c r="O159" s="151"/>
      <c r="P159" s="151"/>
      <c r="Q159" s="151"/>
      <c r="R159" s="151"/>
      <c r="S159" s="151"/>
      <c r="T159" s="151"/>
      <c r="U159" s="151"/>
      <c r="V159" s="151"/>
      <c r="W159" s="151"/>
      <c r="X159" s="151"/>
      <c r="Y159" s="151"/>
      <c r="Z159" s="151"/>
      <c r="AA159" s="151"/>
      <c r="AB159" s="151"/>
      <c r="AC159" s="151"/>
      <c r="AD159" s="292"/>
      <c r="AE159" s="292"/>
      <c r="AF159" s="292"/>
      <c r="AG159" s="292"/>
      <c r="AH159" s="292"/>
      <c r="AI159" s="292"/>
      <c r="AJ159" s="292"/>
      <c r="AK159" s="292"/>
      <c r="AL159" s="292"/>
      <c r="AM159" s="151"/>
    </row>
    <row r="160" spans="1:39" x14ac:dyDescent="0.2">
      <c r="A160" s="21" t="str">
        <f>IF(Data!B878=TRUE,"P","")</f>
        <v/>
      </c>
      <c r="B160" t="s">
        <v>292</v>
      </c>
      <c r="G160" s="21" t="str">
        <f>IF(Data!B882=TRUE,"P","")</f>
        <v/>
      </c>
      <c r="H160" t="s">
        <v>295</v>
      </c>
      <c r="N160" s="21" t="str">
        <f>IF(Data!B886=TRUE,"P","")</f>
        <v/>
      </c>
      <c r="O160" t="s">
        <v>299</v>
      </c>
      <c r="U160" s="21" t="str">
        <f>IF(Data!B881=TRUE,"P","")</f>
        <v/>
      </c>
      <c r="V160" t="s">
        <v>905</v>
      </c>
    </row>
    <row r="161" spans="1:38" x14ac:dyDescent="0.2">
      <c r="A161" s="21" t="str">
        <f>IF(Data!B879=TRUE,"P","")</f>
        <v/>
      </c>
      <c r="B161" t="s">
        <v>293</v>
      </c>
      <c r="G161" s="21" t="str">
        <f>IF(Data!B883=TRUE,"P","")</f>
        <v/>
      </c>
      <c r="H161" t="s">
        <v>296</v>
      </c>
      <c r="N161" s="21" t="str">
        <f>IF(Data!B887=TRUE,"P","")</f>
        <v/>
      </c>
      <c r="O161" t="s">
        <v>300</v>
      </c>
      <c r="U161" s="21" t="str">
        <f>IF(Data!B890=TRUE,"P","")</f>
        <v/>
      </c>
      <c r="V161" t="s">
        <v>906</v>
      </c>
    </row>
    <row r="162" spans="1:38" ht="14.25" x14ac:dyDescent="0.2">
      <c r="A162" s="21" t="str">
        <f>IF(Data!B880=TRUE,"P","")</f>
        <v/>
      </c>
      <c r="B162" t="s">
        <v>294</v>
      </c>
      <c r="G162" s="21" t="str">
        <f>IF(Data!B884=TRUE,"P","")</f>
        <v/>
      </c>
      <c r="H162" t="s">
        <v>297</v>
      </c>
      <c r="N162" s="21" t="str">
        <f>IF(Data!B888=TRUE,"P","")</f>
        <v/>
      </c>
      <c r="O162" t="s">
        <v>301</v>
      </c>
      <c r="U162" s="152" t="str">
        <f>IF(Data!B874=TRUE,"P","")</f>
        <v/>
      </c>
      <c r="V162" t="s">
        <v>902</v>
      </c>
      <c r="AE162" s="152" t="str">
        <f>IF(Data!B875=TRUE,"P","")</f>
        <v/>
      </c>
      <c r="AF162" t="s">
        <v>903</v>
      </c>
    </row>
    <row r="163" spans="1:38" x14ac:dyDescent="0.2">
      <c r="A163" s="21" t="str">
        <f>IF(Data!B889=TRUE,"P","")</f>
        <v/>
      </c>
      <c r="B163" t="s">
        <v>302</v>
      </c>
      <c r="G163" s="21" t="str">
        <f>IF(Data!B885=TRUE,"P","")</f>
        <v/>
      </c>
      <c r="H163" t="s">
        <v>298</v>
      </c>
      <c r="N163" s="21" t="str">
        <f>IF(Data!B891=TRUE,"P","")</f>
        <v/>
      </c>
      <c r="O163" t="s">
        <v>56</v>
      </c>
      <c r="Q163" s="290" t="str">
        <f>IF(Data!B892="","N/A",Data!B892)</f>
        <v>N/A</v>
      </c>
      <c r="R163" s="290"/>
      <c r="S163" s="290"/>
      <c r="T163" s="290"/>
      <c r="U163" s="290"/>
      <c r="V163" s="290"/>
      <c r="W163" s="290"/>
      <c r="X163" s="290"/>
      <c r="Y163" s="290"/>
      <c r="Z163" s="290"/>
      <c r="AA163" s="290"/>
      <c r="AB163" s="290"/>
      <c r="AC163" s="290"/>
      <c r="AD163" s="290"/>
    </row>
    <row r="164" spans="1:38" x14ac:dyDescent="0.2">
      <c r="A164" t="s">
        <v>785</v>
      </c>
      <c r="D164" s="290" t="str">
        <f>IF(Data!B897="","N/A",Data!B897)</f>
        <v>N/A</v>
      </c>
      <c r="E164" s="290"/>
      <c r="F164" s="290"/>
      <c r="G164" s="290"/>
      <c r="H164" s="290"/>
      <c r="I164" s="290"/>
      <c r="J164" s="290"/>
      <c r="K164" s="290"/>
      <c r="L164" s="290"/>
      <c r="M164" s="290"/>
      <c r="N164" s="290"/>
      <c r="O164" s="290"/>
      <c r="P164" s="290"/>
      <c r="Q164" s="290"/>
      <c r="R164" s="290"/>
      <c r="S164" s="290"/>
      <c r="T164" s="290"/>
      <c r="U164" s="290"/>
      <c r="V164" s="290"/>
      <c r="W164" s="290"/>
      <c r="X164" s="290"/>
      <c r="Y164" s="290"/>
      <c r="Z164" s="290"/>
      <c r="AA164" s="290"/>
      <c r="AB164" s="290"/>
      <c r="AC164" s="290"/>
      <c r="AD164" s="290"/>
      <c r="AE164" s="290"/>
      <c r="AF164" s="290"/>
      <c r="AG164" s="290"/>
      <c r="AH164" s="290"/>
      <c r="AI164" s="290"/>
      <c r="AJ164" s="290"/>
      <c r="AK164" s="290"/>
      <c r="AL164" s="290"/>
    </row>
    <row r="165" spans="1:38" x14ac:dyDescent="0.2">
      <c r="A165" s="294" t="s">
        <v>907</v>
      </c>
      <c r="B165" s="294"/>
      <c r="C165" s="294"/>
      <c r="D165" s="294"/>
      <c r="E165" s="294"/>
      <c r="F165" s="294"/>
      <c r="G165" s="294"/>
      <c r="H165" s="294"/>
      <c r="I165" s="294"/>
      <c r="J165" s="294"/>
      <c r="K165" s="294"/>
      <c r="L165" s="294"/>
      <c r="M165" s="294"/>
      <c r="N165" s="294"/>
      <c r="O165" s="294"/>
      <c r="P165" s="294"/>
      <c r="Q165" s="294"/>
      <c r="R165" s="294"/>
      <c r="S165" s="294"/>
      <c r="T165" s="294"/>
      <c r="U165" s="294"/>
      <c r="V165" s="294"/>
      <c r="W165" s="294"/>
      <c r="X165" s="294"/>
      <c r="Y165" s="294"/>
      <c r="Z165" s="294"/>
      <c r="AA165" s="294"/>
      <c r="AB165" s="294"/>
      <c r="AC165" s="294"/>
      <c r="AD165" s="294"/>
      <c r="AE165" s="294"/>
      <c r="AF165" s="294"/>
      <c r="AG165" s="294"/>
      <c r="AH165" s="294"/>
      <c r="AI165" s="294"/>
      <c r="AJ165" s="294"/>
      <c r="AK165" s="294"/>
      <c r="AL165" s="294"/>
    </row>
    <row r="166" spans="1:38" x14ac:dyDescent="0.2">
      <c r="A166" t="s">
        <v>908</v>
      </c>
      <c r="I166" s="255" t="str">
        <f>ppm.specific!G7</f>
        <v/>
      </c>
      <c r="J166" s="255"/>
      <c r="K166" s="255"/>
      <c r="L166" s="255"/>
      <c r="M166" s="255"/>
      <c r="N166" s="255"/>
      <c r="O166" s="255"/>
      <c r="P166" s="255"/>
      <c r="Q166" s="255"/>
      <c r="R166" s="255"/>
      <c r="S166" s="255"/>
      <c r="T166" s="255"/>
      <c r="U166" s="255"/>
      <c r="V166" s="255"/>
      <c r="W166" s="255"/>
      <c r="X166" s="255"/>
      <c r="Y166" s="255"/>
      <c r="Z166" s="255"/>
      <c r="AA166" s="255"/>
      <c r="AB166" s="255"/>
      <c r="AC166" s="255"/>
      <c r="AD166" s="255"/>
      <c r="AE166" s="255"/>
      <c r="AF166" s="255"/>
      <c r="AG166" s="255"/>
      <c r="AH166" s="255"/>
      <c r="AI166" s="255"/>
      <c r="AJ166" s="255"/>
      <c r="AK166" s="255"/>
      <c r="AL166" s="255"/>
    </row>
    <row r="167" spans="1:38" x14ac:dyDescent="0.2">
      <c r="I167" s="255"/>
      <c r="J167" s="255"/>
      <c r="K167" s="255"/>
      <c r="L167" s="255"/>
      <c r="M167" s="255"/>
      <c r="N167" s="255"/>
      <c r="O167" s="255"/>
      <c r="P167" s="255"/>
      <c r="Q167" s="255"/>
      <c r="R167" s="255"/>
      <c r="S167" s="255"/>
      <c r="T167" s="255"/>
      <c r="U167" s="255"/>
      <c r="V167" s="255"/>
      <c r="W167" s="255"/>
      <c r="X167" s="255"/>
      <c r="Y167" s="255"/>
      <c r="Z167" s="255"/>
      <c r="AA167" s="255"/>
      <c r="AB167" s="255"/>
      <c r="AC167" s="255"/>
      <c r="AD167" s="255"/>
      <c r="AE167" s="255"/>
      <c r="AF167" s="255"/>
      <c r="AG167" s="255"/>
      <c r="AH167" s="255"/>
      <c r="AI167" s="255"/>
      <c r="AJ167" s="255"/>
      <c r="AK167" s="255"/>
      <c r="AL167" s="255"/>
    </row>
    <row r="168" spans="1:38" x14ac:dyDescent="0.2">
      <c r="I168" s="255"/>
      <c r="J168" s="255"/>
      <c r="K168" s="255"/>
      <c r="L168" s="255"/>
      <c r="M168" s="255"/>
      <c r="N168" s="255"/>
      <c r="O168" s="255"/>
      <c r="P168" s="255"/>
      <c r="Q168" s="255"/>
      <c r="R168" s="255"/>
      <c r="S168" s="255"/>
      <c r="T168" s="255"/>
      <c r="U168" s="255"/>
      <c r="V168" s="255"/>
      <c r="W168" s="255"/>
      <c r="X168" s="255"/>
      <c r="Y168" s="255"/>
      <c r="Z168" s="255"/>
      <c r="AA168" s="255"/>
      <c r="AB168" s="255"/>
      <c r="AC168" s="255"/>
      <c r="AD168" s="255"/>
      <c r="AE168" s="255"/>
      <c r="AF168" s="255"/>
      <c r="AG168" s="255"/>
      <c r="AH168" s="255"/>
      <c r="AI168" s="255"/>
      <c r="AJ168" s="255"/>
      <c r="AK168" s="255"/>
      <c r="AL168" s="255"/>
    </row>
    <row r="169" spans="1:38" x14ac:dyDescent="0.2">
      <c r="I169" s="255"/>
      <c r="J169" s="255"/>
      <c r="K169" s="255"/>
      <c r="L169" s="255"/>
      <c r="M169" s="255"/>
      <c r="N169" s="255"/>
      <c r="O169" s="255"/>
      <c r="P169" s="255"/>
      <c r="Q169" s="255"/>
      <c r="R169" s="255"/>
      <c r="S169" s="255"/>
      <c r="T169" s="255"/>
      <c r="U169" s="255"/>
      <c r="V169" s="255"/>
      <c r="W169" s="255"/>
      <c r="X169" s="255"/>
      <c r="Y169" s="255"/>
      <c r="Z169" s="255"/>
      <c r="AA169" s="255"/>
      <c r="AB169" s="255"/>
      <c r="AC169" s="255"/>
      <c r="AD169" s="255"/>
      <c r="AE169" s="255"/>
      <c r="AF169" s="255"/>
      <c r="AG169" s="255"/>
      <c r="AH169" s="255"/>
      <c r="AI169" s="255"/>
      <c r="AJ169" s="255"/>
      <c r="AK169" s="255"/>
      <c r="AL169" s="255"/>
    </row>
    <row r="170" spans="1:38" x14ac:dyDescent="0.2">
      <c r="A170" t="s">
        <v>3221</v>
      </c>
      <c r="I170" s="290" t="str">
        <f>IF(Data!B166="","N/A",Data!B166)</f>
        <v>N/A</v>
      </c>
      <c r="J170" s="290"/>
      <c r="K170" s="290"/>
      <c r="L170" s="290"/>
      <c r="M170" s="290"/>
      <c r="N170" s="290"/>
      <c r="O170" s="290"/>
      <c r="P170" s="290"/>
      <c r="Q170" s="290"/>
      <c r="R170" s="290"/>
      <c r="S170" s="290"/>
      <c r="T170" s="290"/>
      <c r="U170" s="290"/>
      <c r="V170" s="290"/>
      <c r="W170" s="290"/>
      <c r="X170" s="290"/>
      <c r="Y170" s="290"/>
      <c r="Z170" s="290"/>
      <c r="AA170" s="290"/>
      <c r="AB170" s="290"/>
      <c r="AC170" s="290"/>
      <c r="AD170" s="290"/>
      <c r="AE170" s="290"/>
      <c r="AF170" s="290"/>
      <c r="AG170" s="290"/>
      <c r="AH170" s="290"/>
      <c r="AI170" s="290"/>
      <c r="AJ170" s="290"/>
      <c r="AK170" s="290"/>
      <c r="AL170" s="290"/>
    </row>
    <row r="171" spans="1:38" x14ac:dyDescent="0.2">
      <c r="A171" s="294" t="s">
        <v>109</v>
      </c>
      <c r="B171" s="294"/>
      <c r="C171" s="294"/>
      <c r="D171" s="294"/>
      <c r="E171" s="294"/>
      <c r="F171" s="294"/>
      <c r="G171" s="294"/>
      <c r="H171" s="294"/>
      <c r="I171" s="294"/>
      <c r="J171" s="294"/>
      <c r="K171" s="294"/>
      <c r="L171" s="294"/>
      <c r="M171" s="294"/>
      <c r="N171" s="294"/>
      <c r="O171" s="294"/>
      <c r="P171" s="294"/>
      <c r="Q171" s="294"/>
      <c r="R171" s="294"/>
      <c r="S171" s="294"/>
      <c r="T171" s="294"/>
      <c r="U171" s="294"/>
      <c r="V171" s="294"/>
      <c r="W171" s="294"/>
      <c r="X171" s="294"/>
      <c r="Y171" s="294"/>
      <c r="Z171" s="294"/>
      <c r="AA171" s="294"/>
      <c r="AB171" s="294"/>
      <c r="AC171" s="294"/>
      <c r="AD171" s="294"/>
      <c r="AE171" s="294"/>
      <c r="AF171" s="294"/>
      <c r="AG171" s="294"/>
      <c r="AH171" s="294"/>
      <c r="AI171" s="294"/>
      <c r="AJ171" s="294"/>
      <c r="AK171" s="294"/>
      <c r="AL171" s="294"/>
    </row>
    <row r="172" spans="1:38" x14ac:dyDescent="0.2">
      <c r="A172" s="260" t="s">
        <v>1163</v>
      </c>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c r="AE172" s="260"/>
      <c r="AF172" s="260"/>
      <c r="AG172" s="260"/>
      <c r="AH172" s="260"/>
      <c r="AI172" s="260"/>
      <c r="AJ172" s="260"/>
      <c r="AK172" s="260"/>
      <c r="AL172" s="260"/>
    </row>
    <row r="173" spans="1:38" x14ac:dyDescent="0.2">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c r="AE173" s="260"/>
      <c r="AF173" s="260"/>
      <c r="AG173" s="260"/>
      <c r="AH173" s="260"/>
      <c r="AI173" s="260"/>
      <c r="AJ173" s="260"/>
      <c r="AK173" s="260"/>
      <c r="AL173" s="260"/>
    </row>
    <row r="174" spans="1:38" x14ac:dyDescent="0.2">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c r="AE174" s="260"/>
      <c r="AF174" s="260"/>
      <c r="AG174" s="260"/>
      <c r="AH174" s="260"/>
      <c r="AI174" s="260"/>
      <c r="AJ174" s="260"/>
      <c r="AK174" s="260"/>
      <c r="AL174" s="260"/>
    </row>
    <row r="175" spans="1:38" x14ac:dyDescent="0.2">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c r="AE175" s="260"/>
      <c r="AF175" s="260"/>
      <c r="AG175" s="260"/>
      <c r="AH175" s="260"/>
      <c r="AI175" s="260"/>
      <c r="AJ175" s="260"/>
      <c r="AK175" s="260"/>
      <c r="AL175" s="260"/>
    </row>
    <row r="176" spans="1:38" x14ac:dyDescent="0.2">
      <c r="A176" s="294" t="s">
        <v>306</v>
      </c>
      <c r="B176" s="294"/>
      <c r="C176" s="294"/>
      <c r="D176" s="294"/>
      <c r="E176" s="294"/>
      <c r="F176" s="294"/>
      <c r="G176" s="294"/>
      <c r="H176" s="294"/>
      <c r="I176" s="294"/>
      <c r="J176" s="294"/>
      <c r="K176" s="294"/>
      <c r="L176" s="294"/>
      <c r="M176" s="294"/>
      <c r="N176" s="294"/>
      <c r="O176" s="294"/>
      <c r="P176" s="294"/>
      <c r="Q176" s="294"/>
      <c r="R176" s="294"/>
      <c r="S176" s="294"/>
      <c r="T176" s="294"/>
      <c r="U176" s="294"/>
      <c r="V176" s="294"/>
      <c r="W176" s="294"/>
      <c r="X176" s="294"/>
      <c r="Y176" s="294"/>
      <c r="Z176" s="294"/>
      <c r="AA176" s="294"/>
      <c r="AB176" s="294"/>
      <c r="AC176" s="294"/>
      <c r="AD176" s="294"/>
      <c r="AE176" s="294"/>
      <c r="AF176" s="294"/>
      <c r="AG176" s="294"/>
      <c r="AH176" s="294"/>
      <c r="AI176" s="294"/>
      <c r="AJ176" s="294"/>
      <c r="AK176" s="294"/>
      <c r="AL176" s="294"/>
    </row>
    <row r="177" spans="1:38" x14ac:dyDescent="0.2">
      <c r="A177" s="21" t="str">
        <f>IF(Data!B914=TRUE,"P","")</f>
        <v/>
      </c>
      <c r="B177" t="s">
        <v>909</v>
      </c>
    </row>
    <row r="178" spans="1:38" x14ac:dyDescent="0.2">
      <c r="A178" s="21" t="str">
        <f>IF(Data!B932=TRUE,"P","")</f>
        <v/>
      </c>
      <c r="B178" t="s">
        <v>323</v>
      </c>
      <c r="H178" s="21" t="str">
        <f>IF(Data!B918=TRUE,"P","")</f>
        <v/>
      </c>
      <c r="I178" t="s">
        <v>309</v>
      </c>
      <c r="P178" s="21" t="str">
        <f>IF(Data!B928=TRUE,"P","")</f>
        <v/>
      </c>
      <c r="Q178" t="s">
        <v>319</v>
      </c>
      <c r="W178" s="21" t="str">
        <f>IF(Data!B930=TRUE,"P","")</f>
        <v/>
      </c>
      <c r="X178" t="s">
        <v>321</v>
      </c>
    </row>
    <row r="179" spans="1:38" x14ac:dyDescent="0.2">
      <c r="A179" s="21" t="str">
        <f>IF(Data!B933=TRUE,"P","")</f>
        <v/>
      </c>
      <c r="B179" t="s">
        <v>324</v>
      </c>
      <c r="H179" s="21" t="str">
        <f>IF(Data!B919=TRUE,"P","")</f>
        <v/>
      </c>
      <c r="I179" t="s">
        <v>310</v>
      </c>
      <c r="P179" s="21" t="str">
        <f>IF(Data!B915=TRUE,"P","")</f>
        <v/>
      </c>
      <c r="Q179" t="s">
        <v>307</v>
      </c>
      <c r="W179" s="21" t="str">
        <f>IF(Data!B936=TRUE,"P","")</f>
        <v/>
      </c>
      <c r="X179" t="s">
        <v>911</v>
      </c>
    </row>
    <row r="180" spans="1:38" x14ac:dyDescent="0.2">
      <c r="A180" s="21" t="str">
        <f>IF(Data!B934=TRUE,"P","")</f>
        <v/>
      </c>
      <c r="B180" t="s">
        <v>910</v>
      </c>
      <c r="H180" s="21" t="str">
        <f>IF(Data!B927=TRUE,"P","")</f>
        <v/>
      </c>
      <c r="I180" t="s">
        <v>318</v>
      </c>
      <c r="P180" s="21" t="str">
        <f>IF(Data!B922=TRUE,"P","")</f>
        <v/>
      </c>
      <c r="Q180" t="s">
        <v>313</v>
      </c>
      <c r="W180" s="21" t="str">
        <f>IF(Data!B935=TRUE,"P","")</f>
        <v/>
      </c>
      <c r="X180" t="s">
        <v>912</v>
      </c>
    </row>
    <row r="181" spans="1:38" x14ac:dyDescent="0.2">
      <c r="A181" s="21" t="str">
        <f>IF(Data!B920=TRUE,"P","")</f>
        <v/>
      </c>
      <c r="B181" t="s">
        <v>311</v>
      </c>
      <c r="H181" s="21"/>
      <c r="P181" s="21" t="str">
        <f>IF(Data!B929=TRUE,"P","")</f>
        <v/>
      </c>
      <c r="Q181" t="s">
        <v>320</v>
      </c>
      <c r="W181" s="21" t="str">
        <f>IF(Data!B923=TRUE,"P","")</f>
        <v/>
      </c>
      <c r="X181" t="s">
        <v>314</v>
      </c>
    </row>
    <row r="182" spans="1:38" x14ac:dyDescent="0.2">
      <c r="A182" s="21" t="str">
        <f>IF(Data!B925=TRUE,"P","")</f>
        <v/>
      </c>
      <c r="B182" t="s">
        <v>316</v>
      </c>
      <c r="H182" s="21" t="str">
        <f>IF(Data!B921=TRUE,"P","")</f>
        <v/>
      </c>
      <c r="I182" t="s">
        <v>312</v>
      </c>
      <c r="P182" s="21" t="str">
        <f>IF(Data!B917=TRUE,"P","")</f>
        <v/>
      </c>
      <c r="Q182" t="s">
        <v>308</v>
      </c>
      <c r="W182" s="21" t="str">
        <f>IF(Data!B146=TRUE,"P","")</f>
        <v/>
      </c>
      <c r="X182" t="s">
        <v>76</v>
      </c>
    </row>
    <row r="183" spans="1:38" x14ac:dyDescent="0.2">
      <c r="A183" s="21" t="str">
        <f>IF(Data!B1641=TRUE,"P","")</f>
        <v/>
      </c>
      <c r="B183" t="s">
        <v>3224</v>
      </c>
      <c r="H183" s="21"/>
      <c r="L183" s="136" t="str">
        <f>IF(Data!B1642=TRUE,"P","")</f>
        <v/>
      </c>
      <c r="M183" t="s">
        <v>3225</v>
      </c>
      <c r="P183" s="21"/>
      <c r="W183" s="21"/>
    </row>
    <row r="184" spans="1:38" x14ac:dyDescent="0.2">
      <c r="A184" s="21" t="str">
        <f>IF(Data!B924=TRUE,"P","")</f>
        <v/>
      </c>
      <c r="B184" t="s">
        <v>315</v>
      </c>
      <c r="H184" s="21" t="str">
        <f>IF(Data!B926=TRUE,"P","")</f>
        <v/>
      </c>
      <c r="I184" t="s">
        <v>317</v>
      </c>
      <c r="P184" s="21" t="str">
        <f>IF(Data!B931=TRUE,"P","")</f>
        <v/>
      </c>
      <c r="Q184" t="s">
        <v>322</v>
      </c>
      <c r="W184" t="s">
        <v>914</v>
      </c>
    </row>
    <row r="185" spans="1:38" x14ac:dyDescent="0.2">
      <c r="A185" s="21" t="str">
        <f>IF(Data!B937=TRUE,"P","")</f>
        <v/>
      </c>
      <c r="B185" t="s">
        <v>56</v>
      </c>
      <c r="D185" s="290" t="str">
        <f>IF(Data!B938="","N/A",Data!B938)</f>
        <v>N/A</v>
      </c>
      <c r="E185" s="290"/>
      <c r="F185" s="290"/>
      <c r="G185" s="290"/>
      <c r="H185" s="290"/>
      <c r="I185" s="290"/>
      <c r="J185" s="290"/>
      <c r="K185" s="290"/>
      <c r="L185" s="290"/>
      <c r="M185" s="290"/>
      <c r="N185" s="290"/>
      <c r="W185" t="s">
        <v>915</v>
      </c>
      <c r="Y185" s="233">
        <f>Data!B940</f>
        <v>0</v>
      </c>
      <c r="Z185" s="233"/>
      <c r="AA185" s="233"/>
      <c r="AB185" s="233"/>
      <c r="AC185" s="233"/>
      <c r="AD185" s="233"/>
      <c r="AE185" t="s">
        <v>917</v>
      </c>
      <c r="AG185" s="233">
        <f>Data!B942</f>
        <v>0</v>
      </c>
      <c r="AH185" s="233"/>
      <c r="AI185" s="233"/>
      <c r="AJ185" s="233"/>
      <c r="AK185" s="233"/>
      <c r="AL185" s="233"/>
    </row>
    <row r="186" spans="1:38" x14ac:dyDescent="0.2">
      <c r="A186" t="s">
        <v>913</v>
      </c>
      <c r="D186" s="233">
        <f>Data!B333</f>
        <v>0</v>
      </c>
      <c r="E186" s="233"/>
      <c r="F186" s="233"/>
      <c r="H186" t="s">
        <v>663</v>
      </c>
      <c r="M186" s="233">
        <f>Data!B332</f>
        <v>0</v>
      </c>
      <c r="N186" s="233"/>
      <c r="O186" s="233"/>
      <c r="W186" t="s">
        <v>916</v>
      </c>
      <c r="Y186" s="233">
        <f>Data!B941</f>
        <v>0</v>
      </c>
      <c r="Z186" s="233"/>
      <c r="AA186" s="233"/>
      <c r="AB186" s="233"/>
      <c r="AC186" s="233"/>
      <c r="AD186" s="233"/>
      <c r="AE186" t="s">
        <v>918</v>
      </c>
      <c r="AG186" s="233">
        <f>Data!B943</f>
        <v>0</v>
      </c>
      <c r="AH186" s="233"/>
      <c r="AI186" s="233"/>
      <c r="AJ186" s="233"/>
      <c r="AK186" s="233"/>
      <c r="AL186" s="233"/>
    </row>
    <row r="187" spans="1:38" x14ac:dyDescent="0.2">
      <c r="A187" t="s">
        <v>785</v>
      </c>
      <c r="D187" s="290" t="str">
        <f>IF(Data!B948="","N/A",Data!B948)</f>
        <v>N/A</v>
      </c>
      <c r="E187" s="290"/>
      <c r="F187" s="290"/>
      <c r="G187" s="290"/>
      <c r="H187" s="290"/>
      <c r="I187" s="290"/>
      <c r="J187" s="290"/>
      <c r="K187" s="290"/>
      <c r="L187" s="290"/>
      <c r="M187" s="290"/>
      <c r="N187" s="290"/>
      <c r="O187" s="290"/>
      <c r="P187" s="290"/>
      <c r="Q187" s="290"/>
      <c r="R187" s="290"/>
      <c r="S187" s="290"/>
      <c r="T187" s="290"/>
      <c r="U187" s="290"/>
      <c r="V187" s="290"/>
      <c r="W187" s="290"/>
      <c r="X187" s="290"/>
      <c r="Y187" s="290"/>
      <c r="Z187" s="290"/>
      <c r="AA187" s="290"/>
      <c r="AB187" s="290"/>
      <c r="AC187" s="290"/>
      <c r="AD187" s="290"/>
      <c r="AE187" s="290"/>
      <c r="AF187" s="290"/>
      <c r="AG187" s="290"/>
      <c r="AH187" s="290"/>
      <c r="AI187" s="290"/>
      <c r="AJ187" s="290"/>
      <c r="AK187" s="290"/>
      <c r="AL187" s="290"/>
    </row>
    <row r="188" spans="1:38" x14ac:dyDescent="0.2">
      <c r="A188" s="297" t="s">
        <v>2910</v>
      </c>
      <c r="B188" s="297"/>
      <c r="C188" s="297"/>
      <c r="D188" s="297"/>
      <c r="E188" s="297"/>
      <c r="F188" s="297"/>
      <c r="G188" s="297"/>
      <c r="H188" s="297"/>
      <c r="I188" s="297"/>
      <c r="J188" s="297"/>
      <c r="K188" s="297"/>
      <c r="L188" s="297"/>
      <c r="M188" s="297"/>
      <c r="N188" s="297"/>
      <c r="O188" s="297"/>
      <c r="P188" s="297"/>
      <c r="Q188" s="297"/>
      <c r="R188" s="297"/>
      <c r="S188" s="297"/>
      <c r="T188" s="297"/>
      <c r="U188" s="297"/>
      <c r="V188" s="297"/>
      <c r="W188" s="297"/>
      <c r="X188" s="297"/>
      <c r="Y188" s="297"/>
      <c r="Z188" s="297"/>
      <c r="AA188" s="297"/>
      <c r="AB188" s="297"/>
      <c r="AC188" s="297"/>
      <c r="AD188" s="297"/>
      <c r="AE188" s="297"/>
      <c r="AF188" s="297"/>
      <c r="AG188" s="297"/>
      <c r="AH188" s="297"/>
      <c r="AI188" s="297"/>
      <c r="AJ188" s="297"/>
      <c r="AK188" s="297"/>
      <c r="AL188" s="297"/>
    </row>
    <row r="189" spans="1:38" x14ac:dyDescent="0.2">
      <c r="A189" t="s">
        <v>1382</v>
      </c>
      <c r="L189" s="310" t="str">
        <f>IF(Data!B174="New Admission","No","Yes")</f>
        <v>Yes</v>
      </c>
      <c r="M189" s="310"/>
      <c r="N189" s="310"/>
      <c r="O189" s="310"/>
      <c r="P189" s="310"/>
      <c r="R189" t="s">
        <v>1385</v>
      </c>
    </row>
    <row r="190" spans="1:38" x14ac:dyDescent="0.2">
      <c r="L190" s="118"/>
      <c r="M190" s="118"/>
      <c r="N190" s="118"/>
      <c r="O190" s="118"/>
      <c r="P190" s="118"/>
    </row>
    <row r="191" spans="1:38" x14ac:dyDescent="0.2">
      <c r="A191" t="s">
        <v>1384</v>
      </c>
      <c r="L191" s="118"/>
      <c r="M191" s="310">
        <f>Data!B1044</f>
        <v>0</v>
      </c>
      <c r="N191" s="310"/>
      <c r="O191" s="310"/>
      <c r="P191" s="118"/>
      <c r="Q191" t="s">
        <v>1286</v>
      </c>
      <c r="X191" s="233">
        <f>Data!B1045</f>
        <v>0</v>
      </c>
      <c r="Y191" s="233"/>
      <c r="Z191" s="233"/>
      <c r="AA191" s="233"/>
      <c r="AB191" s="233"/>
      <c r="AC191" s="233"/>
      <c r="AD191" s="233"/>
      <c r="AE191" s="233"/>
      <c r="AF191" s="233"/>
      <c r="AG191" s="233"/>
      <c r="AH191" s="233"/>
      <c r="AI191" s="233"/>
      <c r="AJ191" s="233"/>
      <c r="AK191" s="233"/>
      <c r="AL191" s="233"/>
    </row>
    <row r="192" spans="1:38" x14ac:dyDescent="0.2">
      <c r="A192" t="s">
        <v>1383</v>
      </c>
    </row>
    <row r="193" spans="1:39" ht="7.5" customHeight="1" x14ac:dyDescent="0.2"/>
    <row r="194" spans="1:39" x14ac:dyDescent="0.2">
      <c r="A194" t="s">
        <v>1287</v>
      </c>
      <c r="AA194" t="s">
        <v>1333</v>
      </c>
    </row>
    <row r="195" spans="1:39" x14ac:dyDescent="0.2">
      <c r="B195" s="240" t="s">
        <v>1288</v>
      </c>
      <c r="C195" s="240"/>
      <c r="D195" s="240"/>
      <c r="E195" s="240"/>
      <c r="F195" s="240"/>
      <c r="G195" s="240"/>
      <c r="H195" s="240"/>
      <c r="I195" s="233">
        <f>Data!B1046</f>
        <v>0</v>
      </c>
      <c r="J195" s="233"/>
      <c r="K195" s="233"/>
      <c r="L195" s="233"/>
      <c r="M195" s="233"/>
      <c r="N195" s="233"/>
      <c r="O195" s="233"/>
      <c r="P195" s="233"/>
      <c r="Q195" s="233"/>
      <c r="R195" s="233"/>
      <c r="S195" s="233"/>
      <c r="T195" s="233"/>
      <c r="U195" s="233"/>
      <c r="V195" s="233"/>
      <c r="W195" s="233"/>
      <c r="X195" s="233"/>
      <c r="Y195" s="233"/>
      <c r="AA195" s="105" t="str">
        <f>IF(Data!B1124=TRUE,"P","")</f>
        <v/>
      </c>
      <c r="AB195" s="285" t="s">
        <v>1334</v>
      </c>
      <c r="AC195" s="285"/>
      <c r="AD195" s="285"/>
      <c r="AE195" s="285"/>
      <c r="AF195" s="285"/>
      <c r="AG195" s="285"/>
      <c r="AH195" s="285"/>
      <c r="AI195" s="285"/>
      <c r="AJ195" s="285"/>
      <c r="AK195" s="285"/>
    </row>
    <row r="196" spans="1:39" x14ac:dyDescent="0.2">
      <c r="B196" s="240" t="s">
        <v>1289</v>
      </c>
      <c r="C196" s="240"/>
      <c r="D196" s="240"/>
      <c r="E196" s="240"/>
      <c r="F196" s="240"/>
      <c r="G196" s="240"/>
      <c r="H196" s="240"/>
      <c r="I196" s="233">
        <f>Data!B1047</f>
        <v>0</v>
      </c>
      <c r="J196" s="233"/>
      <c r="K196" s="233"/>
      <c r="L196" s="233"/>
      <c r="M196" s="233"/>
      <c r="N196" s="233"/>
      <c r="O196" s="233"/>
      <c r="P196" s="233"/>
      <c r="Q196" s="233"/>
      <c r="R196" s="233"/>
      <c r="S196" s="233"/>
      <c r="T196" s="233"/>
      <c r="U196" s="233"/>
      <c r="V196" s="233"/>
      <c r="W196" s="233"/>
      <c r="X196" s="233"/>
      <c r="Y196" s="233"/>
      <c r="AA196" s="105" t="str">
        <f>IF(Data!B1125=TRUE,"P","")</f>
        <v/>
      </c>
      <c r="AB196" s="285" t="s">
        <v>1335</v>
      </c>
      <c r="AC196" s="285"/>
      <c r="AD196" s="285"/>
      <c r="AE196" s="285"/>
      <c r="AF196" s="285"/>
      <c r="AG196" s="285"/>
      <c r="AH196" s="285"/>
      <c r="AI196" s="285"/>
      <c r="AJ196" s="285"/>
      <c r="AK196" s="285"/>
    </row>
    <row r="197" spans="1:39" x14ac:dyDescent="0.2">
      <c r="B197" s="240" t="s">
        <v>1290</v>
      </c>
      <c r="C197" s="240"/>
      <c r="D197" s="240"/>
      <c r="E197" s="240"/>
      <c r="F197" s="240"/>
      <c r="G197" s="240"/>
      <c r="H197" s="240"/>
      <c r="I197" s="233">
        <f>Data!B1048</f>
        <v>0</v>
      </c>
      <c r="J197" s="233"/>
      <c r="K197" s="233"/>
      <c r="L197" s="233"/>
      <c r="M197" s="233"/>
      <c r="N197" s="233"/>
      <c r="O197" s="233"/>
      <c r="P197" s="233"/>
      <c r="Q197" s="233"/>
      <c r="R197" s="233"/>
      <c r="S197" s="233"/>
      <c r="T197" s="233"/>
      <c r="U197" s="233"/>
      <c r="V197" s="233"/>
      <c r="W197" s="233"/>
      <c r="X197" s="233"/>
      <c r="Y197" s="233"/>
      <c r="AA197" s="105" t="str">
        <f>IF(Data!B1126=TRUE,"P","")</f>
        <v/>
      </c>
      <c r="AB197" s="260" t="s">
        <v>1336</v>
      </c>
      <c r="AC197" s="260"/>
      <c r="AD197" s="260"/>
      <c r="AE197" s="260"/>
      <c r="AF197" s="260"/>
      <c r="AG197" s="260"/>
      <c r="AH197" s="260"/>
      <c r="AI197" s="260"/>
      <c r="AJ197" s="260"/>
      <c r="AK197" s="260"/>
    </row>
    <row r="198" spans="1:39" x14ac:dyDescent="0.2">
      <c r="B198" s="240" t="s">
        <v>1291</v>
      </c>
      <c r="C198" s="240"/>
      <c r="D198" s="240"/>
      <c r="E198" s="240"/>
      <c r="F198" s="240"/>
      <c r="G198" s="240"/>
      <c r="H198" s="240"/>
      <c r="I198" s="233">
        <f>Data!B1049</f>
        <v>0</v>
      </c>
      <c r="J198" s="233"/>
      <c r="K198" s="233"/>
      <c r="L198" s="233"/>
      <c r="M198" s="233"/>
      <c r="N198" s="233"/>
      <c r="O198" s="233"/>
      <c r="P198" s="233"/>
      <c r="Q198" s="233"/>
      <c r="R198" s="233"/>
      <c r="S198" s="233"/>
      <c r="T198" s="233"/>
      <c r="U198" s="233"/>
      <c r="V198" s="233"/>
      <c r="W198" s="233"/>
      <c r="X198" s="233"/>
      <c r="Y198" s="233"/>
      <c r="AA198" s="105" t="str">
        <f>IF(Data!B1127=TRUE,"P","")</f>
        <v/>
      </c>
      <c r="AB198" s="260" t="s">
        <v>1337</v>
      </c>
      <c r="AC198" s="260"/>
      <c r="AD198" s="260"/>
      <c r="AE198" s="260"/>
      <c r="AF198" s="260"/>
      <c r="AG198" s="260"/>
      <c r="AH198" s="260"/>
      <c r="AI198" s="260"/>
      <c r="AJ198" s="260"/>
      <c r="AK198" s="260"/>
    </row>
    <row r="199" spans="1:39" x14ac:dyDescent="0.2">
      <c r="B199" s="240" t="s">
        <v>1292</v>
      </c>
      <c r="C199" s="240"/>
      <c r="D199" s="240"/>
      <c r="E199" s="240"/>
      <c r="F199" s="240"/>
      <c r="G199" s="240"/>
      <c r="H199" s="240"/>
      <c r="I199" s="233">
        <f>Data!B1050</f>
        <v>0</v>
      </c>
      <c r="J199" s="233"/>
      <c r="K199" s="233"/>
      <c r="L199" s="233"/>
      <c r="M199" s="233"/>
      <c r="N199" s="233"/>
      <c r="O199" s="233"/>
      <c r="P199" s="233"/>
      <c r="Q199" s="233"/>
      <c r="R199" s="233"/>
      <c r="S199" s="233"/>
      <c r="T199" s="233"/>
      <c r="U199" s="233"/>
      <c r="V199" s="233"/>
      <c r="W199" s="233"/>
      <c r="X199" s="233"/>
      <c r="Y199" s="233"/>
      <c r="AA199" s="105" t="str">
        <f>IF(Data!B1128=TRUE,"P","")</f>
        <v/>
      </c>
      <c r="AB199" s="260" t="s">
        <v>1338</v>
      </c>
      <c r="AC199" s="260"/>
      <c r="AD199" s="260"/>
      <c r="AE199" s="260"/>
      <c r="AF199" s="260"/>
      <c r="AG199" s="260"/>
      <c r="AH199" s="260"/>
      <c r="AI199" s="260"/>
      <c r="AJ199" s="260"/>
      <c r="AK199" s="260"/>
    </row>
    <row r="200" spans="1:39" x14ac:dyDescent="0.2">
      <c r="B200" s="240" t="s">
        <v>1293</v>
      </c>
      <c r="C200" s="240"/>
      <c r="D200" s="240"/>
      <c r="E200" s="240"/>
      <c r="F200" s="240"/>
      <c r="G200" s="240"/>
      <c r="H200" s="240"/>
      <c r="I200" s="233">
        <f>Data!B1051</f>
        <v>0</v>
      </c>
      <c r="J200" s="233"/>
      <c r="K200" s="233"/>
      <c r="L200" s="233"/>
      <c r="M200" s="233"/>
      <c r="N200" s="233"/>
      <c r="O200" s="233"/>
      <c r="P200" s="233"/>
      <c r="Q200" s="233"/>
      <c r="R200" s="233"/>
      <c r="S200" s="233"/>
      <c r="T200" s="233"/>
      <c r="U200" s="233"/>
      <c r="V200" s="233"/>
      <c r="W200" s="233"/>
      <c r="X200" s="233"/>
      <c r="Y200" s="233"/>
      <c r="AA200" s="105" t="str">
        <f>IF(Data!B1129=TRUE,"P","")</f>
        <v/>
      </c>
      <c r="AB200" s="260" t="s">
        <v>1339</v>
      </c>
      <c r="AC200" s="260"/>
      <c r="AD200" s="260"/>
      <c r="AE200" s="260"/>
      <c r="AF200" s="260"/>
      <c r="AG200" s="260"/>
      <c r="AH200" s="260"/>
      <c r="AI200" s="260"/>
      <c r="AJ200" s="260"/>
      <c r="AK200" s="260"/>
    </row>
    <row r="201" spans="1:39" x14ac:dyDescent="0.2">
      <c r="B201" s="240" t="s">
        <v>1294</v>
      </c>
      <c r="C201" s="240"/>
      <c r="D201" s="240"/>
      <c r="E201" s="240"/>
      <c r="F201" s="240"/>
      <c r="G201" s="240"/>
      <c r="H201" s="240"/>
      <c r="I201" s="233">
        <f>Data!B1052</f>
        <v>0</v>
      </c>
      <c r="J201" s="233"/>
      <c r="K201" s="233"/>
      <c r="L201" s="233"/>
      <c r="M201" s="233"/>
      <c r="N201" s="233"/>
      <c r="O201" s="233"/>
      <c r="P201" s="233"/>
      <c r="Q201" s="233"/>
      <c r="R201" s="233"/>
      <c r="S201" s="233"/>
      <c r="T201" s="233"/>
      <c r="U201" s="233"/>
      <c r="V201" s="233"/>
      <c r="W201" s="233"/>
      <c r="X201" s="233"/>
      <c r="Y201" s="233"/>
      <c r="AA201" s="105" t="str">
        <f>IF(Data!B1130=TRUE,"P","")</f>
        <v/>
      </c>
      <c r="AB201" s="260" t="s">
        <v>1340</v>
      </c>
      <c r="AC201" s="260"/>
      <c r="AD201" s="260"/>
      <c r="AE201" s="260"/>
      <c r="AF201" s="260"/>
      <c r="AG201" s="260"/>
      <c r="AH201" s="260"/>
      <c r="AI201" s="260"/>
      <c r="AJ201" s="260"/>
      <c r="AK201" s="260"/>
    </row>
    <row r="202" spans="1:39" x14ac:dyDescent="0.2">
      <c r="A202" t="s">
        <v>1295</v>
      </c>
      <c r="L202" s="255">
        <f>Data!B1053</f>
        <v>0</v>
      </c>
      <c r="M202" s="255"/>
      <c r="N202" s="255"/>
      <c r="O202" s="255"/>
      <c r="P202" s="255"/>
      <c r="Q202" s="255"/>
      <c r="R202" s="255"/>
      <c r="S202" s="255"/>
      <c r="T202" s="255"/>
      <c r="U202" s="255"/>
      <c r="V202" s="255"/>
      <c r="W202" s="255"/>
      <c r="X202" s="255"/>
      <c r="Y202" s="255"/>
      <c r="Z202" s="255"/>
      <c r="AA202" s="255"/>
      <c r="AB202" s="255"/>
      <c r="AC202" s="255"/>
      <c r="AD202" s="255"/>
      <c r="AE202" s="255"/>
      <c r="AF202" s="255"/>
      <c r="AG202" s="255"/>
      <c r="AH202" s="255"/>
      <c r="AI202" s="255"/>
      <c r="AJ202" s="255"/>
    </row>
    <row r="203" spans="1:39" x14ac:dyDescent="0.2">
      <c r="L203" s="255"/>
      <c r="M203" s="255"/>
      <c r="N203" s="255"/>
      <c r="O203" s="255"/>
      <c r="P203" s="255"/>
      <c r="Q203" s="255"/>
      <c r="R203" s="255"/>
      <c r="S203" s="255"/>
      <c r="T203" s="255"/>
      <c r="U203" s="255"/>
      <c r="V203" s="255"/>
      <c r="W203" s="255"/>
      <c r="X203" s="255"/>
      <c r="Y203" s="255"/>
      <c r="Z203" s="255"/>
      <c r="AA203" s="255"/>
      <c r="AB203" s="255"/>
      <c r="AC203" s="255"/>
      <c r="AD203" s="255"/>
      <c r="AE203" s="255"/>
      <c r="AF203" s="255"/>
      <c r="AG203" s="255"/>
      <c r="AH203" s="255"/>
      <c r="AI203" s="255"/>
      <c r="AJ203" s="255"/>
    </row>
    <row r="204" spans="1:39" x14ac:dyDescent="0.2">
      <c r="A204" t="s">
        <v>3220</v>
      </c>
      <c r="AC204" s="233"/>
      <c r="AD204" s="233"/>
      <c r="AE204" s="233"/>
      <c r="AF204" t="s">
        <v>774</v>
      </c>
      <c r="AJ204" s="34"/>
      <c r="AK204" s="34"/>
      <c r="AL204" s="34"/>
    </row>
    <row r="205" spans="1:39" x14ac:dyDescent="0.2">
      <c r="A205" t="s">
        <v>336</v>
      </c>
      <c r="E205" s="219" t="str">
        <f>_xlfn.CONCAT(Data!B2,", ",Data!B3," ",Data!B4)</f>
        <v xml:space="preserve">,  </v>
      </c>
      <c r="F205" s="219"/>
      <c r="G205" s="219"/>
      <c r="H205" s="219"/>
      <c r="I205" s="219"/>
      <c r="J205" s="219"/>
      <c r="K205" s="219"/>
      <c r="L205" s="219"/>
      <c r="M205" s="219"/>
      <c r="N205" s="219"/>
      <c r="O205" s="219"/>
      <c r="P205" s="219"/>
      <c r="Q205" s="219"/>
      <c r="R205" s="219"/>
      <c r="S205" t="s">
        <v>371</v>
      </c>
      <c r="U205" s="218">
        <f>Data!B14</f>
        <v>0</v>
      </c>
      <c r="V205" s="218"/>
      <c r="W205" s="218"/>
      <c r="X205" s="218"/>
      <c r="Y205" s="218"/>
      <c r="Z205" s="218"/>
      <c r="AA205" s="16" t="s">
        <v>772</v>
      </c>
      <c r="AG205" s="218">
        <f>Data!B34</f>
        <v>0</v>
      </c>
      <c r="AH205" s="218"/>
      <c r="AI205" s="218"/>
      <c r="AJ205" s="218"/>
      <c r="AK205" s="218"/>
      <c r="AL205" s="218"/>
    </row>
    <row r="206" spans="1:39" x14ac:dyDescent="0.2">
      <c r="A206" s="294" t="s">
        <v>919</v>
      </c>
      <c r="B206" s="294"/>
      <c r="C206" s="294"/>
      <c r="D206" s="294"/>
      <c r="E206" s="294"/>
      <c r="F206" s="294"/>
      <c r="G206" s="294"/>
      <c r="H206" s="294"/>
      <c r="I206" s="294"/>
      <c r="J206" s="294"/>
      <c r="K206" s="294"/>
      <c r="L206" s="294"/>
      <c r="M206" s="294"/>
      <c r="N206" s="294"/>
      <c r="O206" s="294"/>
      <c r="P206" s="294"/>
      <c r="Q206" s="294"/>
      <c r="R206" s="294"/>
      <c r="S206" s="294"/>
      <c r="T206" s="294"/>
      <c r="U206" s="294"/>
      <c r="V206" s="294"/>
      <c r="W206" s="294"/>
      <c r="X206" s="294"/>
      <c r="Y206" s="294"/>
      <c r="Z206" s="294"/>
      <c r="AA206" s="294"/>
      <c r="AB206" s="294"/>
      <c r="AC206" s="294"/>
      <c r="AD206" s="294"/>
      <c r="AE206" s="294"/>
      <c r="AF206" s="294"/>
      <c r="AG206" s="294"/>
      <c r="AH206" s="294"/>
      <c r="AI206" s="294"/>
      <c r="AJ206" s="294"/>
      <c r="AK206" s="294"/>
      <c r="AL206" s="294"/>
    </row>
    <row r="207" spans="1:39" ht="27" customHeight="1" x14ac:dyDescent="0.2">
      <c r="A207" s="308" t="str">
        <f>_xlfn.CONCAT("Client is a ",INT(Data!F15)," year old ",Data!B17," ",Data!B19," admitted to Prosper Home care on ",(TEXT(Data!B33,"mm/dd/yyyy"))," ","for Personal Support Services.","  Client's primary language is ",Data!B194," and is ",IF(Data!B195="No","not able","able")," to communicate in English.",IF(Data!B195="No","  RN verbally translated and explained all documents for the client and client verbalized understanding of all documentation.","  Client reviewed all documentation and RN answered any questions asked."),"  Client's general appearance upon arrival was ",Data!B458,".")</f>
        <v>Client is a 0 year old   admitted to Prosper Home care on 01/00/1900 for Personal Support Services.  Client's primary language is  and is able to communicate in English.  Client reviewed all documentation and RN answered any questions asked.  Client's general appearance upon arrival was .</v>
      </c>
      <c r="B207" s="308"/>
      <c r="C207" s="308"/>
      <c r="D207" s="308"/>
      <c r="E207" s="308"/>
      <c r="F207" s="308"/>
      <c r="G207" s="308"/>
      <c r="H207" s="308"/>
      <c r="I207" s="308"/>
      <c r="J207" s="308"/>
      <c r="K207" s="308"/>
      <c r="L207" s="308"/>
      <c r="M207" s="308"/>
      <c r="N207" s="308"/>
      <c r="O207" s="308"/>
      <c r="P207" s="308"/>
      <c r="Q207" s="308"/>
      <c r="R207" s="308"/>
      <c r="S207" s="308"/>
      <c r="T207" s="308"/>
      <c r="U207" s="308"/>
      <c r="V207" s="308"/>
      <c r="W207" s="308"/>
      <c r="X207" s="308"/>
      <c r="Y207" s="308"/>
      <c r="Z207" s="308"/>
      <c r="AA207" s="308"/>
      <c r="AB207" s="308"/>
      <c r="AC207" s="308"/>
      <c r="AD207" s="308"/>
      <c r="AE207" s="308"/>
      <c r="AF207" s="308"/>
      <c r="AG207" s="308"/>
      <c r="AH207" s="308"/>
      <c r="AI207" s="308"/>
      <c r="AJ207" s="308"/>
      <c r="AK207" s="308"/>
      <c r="AL207" s="308"/>
    </row>
    <row r="208" spans="1:39" ht="12.75" customHeight="1" x14ac:dyDescent="0.2">
      <c r="A208" s="308"/>
      <c r="B208" s="308"/>
      <c r="C208" s="308"/>
      <c r="D208" s="308"/>
      <c r="E208" s="308"/>
      <c r="F208" s="308"/>
      <c r="G208" s="308"/>
      <c r="H208" s="308"/>
      <c r="I208" s="308"/>
      <c r="J208" s="308"/>
      <c r="K208" s="308"/>
      <c r="L208" s="308"/>
      <c r="M208" s="308"/>
      <c r="N208" s="308"/>
      <c r="O208" s="308"/>
      <c r="P208" s="308"/>
      <c r="Q208" s="308"/>
      <c r="R208" s="308"/>
      <c r="S208" s="308"/>
      <c r="T208" s="308"/>
      <c r="U208" s="308"/>
      <c r="V208" s="308"/>
      <c r="W208" s="308"/>
      <c r="X208" s="308"/>
      <c r="Y208" s="308"/>
      <c r="Z208" s="308"/>
      <c r="AA208" s="308"/>
      <c r="AB208" s="308"/>
      <c r="AC208" s="308"/>
      <c r="AD208" s="308"/>
      <c r="AE208" s="308"/>
      <c r="AF208" s="308"/>
      <c r="AG208" s="308"/>
      <c r="AH208" s="308"/>
      <c r="AI208" s="308"/>
      <c r="AJ208" s="308"/>
      <c r="AK208" s="308"/>
      <c r="AL208" s="308"/>
      <c r="AM208" s="37"/>
    </row>
    <row r="209" spans="1:39" ht="31.5" customHeight="1" x14ac:dyDescent="0.2">
      <c r="A209" s="308"/>
      <c r="B209" s="308"/>
      <c r="C209" s="308"/>
      <c r="D209" s="308"/>
      <c r="E209" s="308"/>
      <c r="F209" s="308"/>
      <c r="G209" s="308"/>
      <c r="H209" s="308"/>
      <c r="I209" s="308"/>
      <c r="J209" s="308"/>
      <c r="K209" s="308"/>
      <c r="L209" s="308"/>
      <c r="M209" s="308"/>
      <c r="N209" s="308"/>
      <c r="O209" s="308"/>
      <c r="P209" s="308"/>
      <c r="Q209" s="308"/>
      <c r="R209" s="308"/>
      <c r="S209" s="308"/>
      <c r="T209" s="308"/>
      <c r="U209" s="308"/>
      <c r="V209" s="308"/>
      <c r="W209" s="308"/>
      <c r="X209" s="308"/>
      <c r="Y209" s="308"/>
      <c r="Z209" s="308"/>
      <c r="AA209" s="308"/>
      <c r="AB209" s="308"/>
      <c r="AC209" s="308"/>
      <c r="AD209" s="308"/>
      <c r="AE209" s="308"/>
      <c r="AF209" s="308"/>
      <c r="AG209" s="308"/>
      <c r="AH209" s="308"/>
      <c r="AI209" s="308"/>
      <c r="AJ209" s="308"/>
      <c r="AK209" s="308"/>
      <c r="AL209" s="308"/>
      <c r="AM209" s="37"/>
    </row>
    <row r="210" spans="1:39" x14ac:dyDescent="0.2">
      <c r="A210" s="309" t="str">
        <f>_xlfn.CONCAT("Client has been diagnosed with ",ppm.specific!G13,".")</f>
        <v>Client has been diagnosed with .</v>
      </c>
      <c r="B210" s="309"/>
      <c r="C210" s="309"/>
      <c r="D210" s="309"/>
      <c r="E210" s="309"/>
      <c r="F210" s="309"/>
      <c r="G210" s="309"/>
      <c r="H210" s="309"/>
      <c r="I210" s="309"/>
      <c r="J210" s="309"/>
      <c r="K210" s="309"/>
      <c r="L210" s="309"/>
      <c r="M210" s="309"/>
      <c r="N210" s="309"/>
      <c r="O210" s="309"/>
      <c r="P210" s="309"/>
      <c r="Q210" s="309"/>
      <c r="R210" s="309"/>
      <c r="S210" s="309"/>
      <c r="T210" s="309"/>
      <c r="U210" s="309"/>
      <c r="V210" s="309"/>
      <c r="W210" s="309"/>
      <c r="X210" s="309"/>
      <c r="Y210" s="309"/>
      <c r="Z210" s="309"/>
      <c r="AA210" s="309"/>
      <c r="AB210" s="309"/>
      <c r="AC210" s="309"/>
      <c r="AD210" s="309"/>
      <c r="AE210" s="309"/>
      <c r="AF210" s="309"/>
      <c r="AG210" s="309"/>
      <c r="AH210" s="309"/>
      <c r="AI210" s="309"/>
      <c r="AJ210" s="309"/>
      <c r="AK210" s="309"/>
      <c r="AL210" s="309"/>
      <c r="AM210" s="37"/>
    </row>
    <row r="211" spans="1:39" ht="22.5" customHeight="1" x14ac:dyDescent="0.2">
      <c r="A211" s="309"/>
      <c r="B211" s="309"/>
      <c r="C211" s="309"/>
      <c r="D211" s="309"/>
      <c r="E211" s="309"/>
      <c r="F211" s="309"/>
      <c r="G211" s="309"/>
      <c r="H211" s="309"/>
      <c r="I211" s="309"/>
      <c r="J211" s="309"/>
      <c r="K211" s="309"/>
      <c r="L211" s="309"/>
      <c r="M211" s="309"/>
      <c r="N211" s="309"/>
      <c r="O211" s="309"/>
      <c r="P211" s="309"/>
      <c r="Q211" s="309"/>
      <c r="R211" s="309"/>
      <c r="S211" s="309"/>
      <c r="T211" s="309"/>
      <c r="U211" s="309"/>
      <c r="V211" s="309"/>
      <c r="W211" s="309"/>
      <c r="X211" s="309"/>
      <c r="Y211" s="309"/>
      <c r="Z211" s="309"/>
      <c r="AA211" s="309"/>
      <c r="AB211" s="309"/>
      <c r="AC211" s="309"/>
      <c r="AD211" s="309"/>
      <c r="AE211" s="309"/>
      <c r="AF211" s="309"/>
      <c r="AG211" s="309"/>
      <c r="AH211" s="309"/>
      <c r="AI211" s="309"/>
      <c r="AJ211" s="309"/>
      <c r="AK211" s="309"/>
      <c r="AL211" s="309"/>
      <c r="AM211" s="37"/>
    </row>
    <row r="212" spans="1:39" x14ac:dyDescent="0.2">
      <c r="A212" s="309" t="str">
        <f>_xlfn.CONCAT("Client ",IF(Data!D198="Yes","has had surgery in the past.  ","has no surgical history that they can recall.  "),IF(Data!B201="","",Data!B201&amp;" around "&amp;Data!D201&amp;"."),IF(Data!B202="","",Data!B202&amp;" around "&amp;Data!D202&amp;"."),IF(Data!B203="","",Data!B203&amp;" around "&amp;Data!D203&amp;"."),IF(Data!B204="","",Data!B204&amp;" around "&amp;Data!D204&amp;"."),IF(Data!B205="","",Data!B205&amp;" around "&amp;Data!D205&amp;"."),IF(Data!B206="","",Data!B206&amp;" around "&amp;Data!D206&amp;"."),IF(Data!B207="","",Data!B207&amp;" around "&amp;Data!D207&amp;"."),IF(Data!B208="","",Data!B208&amp;" around "&amp;Data!D208&amp;"."))</f>
        <v xml:space="preserve">Client has no surgical history that they can recall.  </v>
      </c>
      <c r="B212" s="309"/>
      <c r="C212" s="309"/>
      <c r="D212" s="309"/>
      <c r="E212" s="309"/>
      <c r="F212" s="309"/>
      <c r="G212" s="309"/>
      <c r="H212" s="309"/>
      <c r="I212" s="309"/>
      <c r="J212" s="309"/>
      <c r="K212" s="309"/>
      <c r="L212" s="309"/>
      <c r="M212" s="309"/>
      <c r="N212" s="309"/>
      <c r="O212" s="309"/>
      <c r="P212" s="309"/>
      <c r="Q212" s="309"/>
      <c r="R212" s="309"/>
      <c r="S212" s="309"/>
      <c r="T212" s="309"/>
      <c r="U212" s="309"/>
      <c r="V212" s="309"/>
      <c r="W212" s="309"/>
      <c r="X212" s="309"/>
      <c r="Y212" s="309"/>
      <c r="Z212" s="309"/>
      <c r="AA212" s="309"/>
      <c r="AB212" s="309"/>
      <c r="AC212" s="309"/>
      <c r="AD212" s="309"/>
      <c r="AE212" s="309"/>
      <c r="AF212" s="309"/>
      <c r="AG212" s="309"/>
      <c r="AH212" s="309"/>
      <c r="AI212" s="309"/>
      <c r="AJ212" s="309"/>
      <c r="AK212" s="309"/>
      <c r="AL212" s="309"/>
    </row>
    <row r="213" spans="1:39" ht="21.75" customHeight="1" x14ac:dyDescent="0.2">
      <c r="A213" s="309"/>
      <c r="B213" s="309"/>
      <c r="C213" s="309"/>
      <c r="D213" s="309"/>
      <c r="E213" s="309"/>
      <c r="F213" s="309"/>
      <c r="G213" s="309"/>
      <c r="H213" s="309"/>
      <c r="I213" s="309"/>
      <c r="J213" s="309"/>
      <c r="K213" s="309"/>
      <c r="L213" s="309"/>
      <c r="M213" s="309"/>
      <c r="N213" s="309"/>
      <c r="O213" s="309"/>
      <c r="P213" s="309"/>
      <c r="Q213" s="309"/>
      <c r="R213" s="309"/>
      <c r="S213" s="309"/>
      <c r="T213" s="309"/>
      <c r="U213" s="309"/>
      <c r="V213" s="309"/>
      <c r="W213" s="309"/>
      <c r="X213" s="309"/>
      <c r="Y213" s="309"/>
      <c r="Z213" s="309"/>
      <c r="AA213" s="309"/>
      <c r="AB213" s="309"/>
      <c r="AC213" s="309"/>
      <c r="AD213" s="309"/>
      <c r="AE213" s="309"/>
      <c r="AF213" s="309"/>
      <c r="AG213" s="309"/>
      <c r="AH213" s="309"/>
      <c r="AI213" s="309"/>
      <c r="AJ213" s="309"/>
      <c r="AK213" s="309"/>
      <c r="AL213" s="309"/>
    </row>
    <row r="214" spans="1:39" x14ac:dyDescent="0.2">
      <c r="A214" s="309" t="str">
        <f>_xlfn.CONCAT("Client lives in a",IF(Data!B218=TRUE," house",""),IF(Data!B219=TRUE,"n apartment",""),IF(Data!B220=TRUE," trailer(mobile home)",""),IF(Data!B221=TRUE," staffed facility","")," and lives ",IF(Data!B222=TRUE,"alone.",""),IF(Data!B223=TRUE,"with family.",""),IF(Data!B224=TRUE,"with roommate(s).",""),IF(Data!B225=TRUE,"alone but has staff on duty.",""),"  Overall, the condition of the home is ",IF(Data!B210=TRUE,"clean.",""),IF(Data!B211=TRUE," unclean",""),IF(Data!B212=TRUE,", and cluttered.",""),"  There is ",IF(Data!B213=TRUE,"a pest problem in the home.  Encourage client to seek professional help from exterminators.","no pest problem in the home that could be observed during assessment."),"  The safety condition of the home is ",IF(Data!B214=TRUE," good.",""),IF(Data!B215=TRUE," fair.",""),IF(Data!B216=TRUE," poor.  Client encouraged to address safety concerns as soon as possible.",""),IF(Data!B217=TRUE," unihabitable.  RN will make recommendations to outside agencies to address the conditions of the home.",""),"  Client ",IF(Data!B233="Yes","has an ERS system in the home.","does not have an ERS system in the home and was encouraged to get one."),IF(Data!B230=TRUE,"  There are no pets in the home.",""),IF(OR(Data!B226=TRUE,Data!B227=TRUE,Data!B228=TRUE),"  Client has pets in the home ",""),IF(Data!B231=TRUE," and would like the aide to help with pet care.",""))</f>
        <v>Client lives in a and lives   Overall, the condition of the home is   There is no pest problem in the home that could be observed during assessment.  The safety condition of the home is   Client does not have an ERS system in the home and was encouraged to get one.</v>
      </c>
      <c r="B214" s="309"/>
      <c r="C214" s="309"/>
      <c r="D214" s="309"/>
      <c r="E214" s="309"/>
      <c r="F214" s="309"/>
      <c r="G214" s="309"/>
      <c r="H214" s="309"/>
      <c r="I214" s="309"/>
      <c r="J214" s="309"/>
      <c r="K214" s="309"/>
      <c r="L214" s="309"/>
      <c r="M214" s="309"/>
      <c r="N214" s="309"/>
      <c r="O214" s="309"/>
      <c r="P214" s="309"/>
      <c r="Q214" s="309"/>
      <c r="R214" s="309"/>
      <c r="S214" s="309"/>
      <c r="T214" s="309"/>
      <c r="U214" s="309"/>
      <c r="V214" s="309"/>
      <c r="W214" s="309"/>
      <c r="X214" s="309"/>
      <c r="Y214" s="309"/>
      <c r="Z214" s="309"/>
      <c r="AA214" s="309"/>
      <c r="AB214" s="309"/>
      <c r="AC214" s="309"/>
      <c r="AD214" s="309"/>
      <c r="AE214" s="309"/>
      <c r="AF214" s="309"/>
      <c r="AG214" s="309"/>
      <c r="AH214" s="309"/>
      <c r="AI214" s="309"/>
      <c r="AJ214" s="309"/>
      <c r="AK214" s="309"/>
      <c r="AL214" s="309"/>
    </row>
    <row r="215" spans="1:39" x14ac:dyDescent="0.2">
      <c r="A215" s="309"/>
      <c r="B215" s="309"/>
      <c r="C215" s="309"/>
      <c r="D215" s="309"/>
      <c r="E215" s="309"/>
      <c r="F215" s="309"/>
      <c r="G215" s="309"/>
      <c r="H215" s="309"/>
      <c r="I215" s="309"/>
      <c r="J215" s="309"/>
      <c r="K215" s="309"/>
      <c r="L215" s="309"/>
      <c r="M215" s="309"/>
      <c r="N215" s="309"/>
      <c r="O215" s="309"/>
      <c r="P215" s="309"/>
      <c r="Q215" s="309"/>
      <c r="R215" s="309"/>
      <c r="S215" s="309"/>
      <c r="T215" s="309"/>
      <c r="U215" s="309"/>
      <c r="V215" s="309"/>
      <c r="W215" s="309"/>
      <c r="X215" s="309"/>
      <c r="Y215" s="309"/>
      <c r="Z215" s="309"/>
      <c r="AA215" s="309"/>
      <c r="AB215" s="309"/>
      <c r="AC215" s="309"/>
      <c r="AD215" s="309"/>
      <c r="AE215" s="309"/>
      <c r="AF215" s="309"/>
      <c r="AG215" s="309"/>
      <c r="AH215" s="309"/>
      <c r="AI215" s="309"/>
      <c r="AJ215" s="309"/>
      <c r="AK215" s="309"/>
      <c r="AL215" s="309"/>
    </row>
    <row r="216" spans="1:39" x14ac:dyDescent="0.2">
      <c r="A216" s="309"/>
      <c r="B216" s="309"/>
      <c r="C216" s="309"/>
      <c r="D216" s="309"/>
      <c r="E216" s="309"/>
      <c r="F216" s="309"/>
      <c r="G216" s="309"/>
      <c r="H216" s="309"/>
      <c r="I216" s="309"/>
      <c r="J216" s="309"/>
      <c r="K216" s="309"/>
      <c r="L216" s="309"/>
      <c r="M216" s="309"/>
      <c r="N216" s="309"/>
      <c r="O216" s="309"/>
      <c r="P216" s="309"/>
      <c r="Q216" s="309"/>
      <c r="R216" s="309"/>
      <c r="S216" s="309"/>
      <c r="T216" s="309"/>
      <c r="U216" s="309"/>
      <c r="V216" s="309"/>
      <c r="W216" s="309"/>
      <c r="X216" s="309"/>
      <c r="Y216" s="309"/>
      <c r="Z216" s="309"/>
      <c r="AA216" s="309"/>
      <c r="AB216" s="309"/>
      <c r="AC216" s="309"/>
      <c r="AD216" s="309"/>
      <c r="AE216" s="309"/>
      <c r="AF216" s="309"/>
      <c r="AG216" s="309"/>
      <c r="AH216" s="309"/>
      <c r="AI216" s="309"/>
      <c r="AJ216" s="309"/>
      <c r="AK216" s="309"/>
      <c r="AL216" s="309"/>
    </row>
    <row r="217" spans="1:39" ht="15.75" customHeight="1" x14ac:dyDescent="0.2">
      <c r="A217" s="309"/>
      <c r="B217" s="309"/>
      <c r="C217" s="309"/>
      <c r="D217" s="309"/>
      <c r="E217" s="309"/>
      <c r="F217" s="309"/>
      <c r="G217" s="309"/>
      <c r="H217" s="309"/>
      <c r="I217" s="309"/>
      <c r="J217" s="309"/>
      <c r="K217" s="309"/>
      <c r="L217" s="309"/>
      <c r="M217" s="309"/>
      <c r="N217" s="309"/>
      <c r="O217" s="309"/>
      <c r="P217" s="309"/>
      <c r="Q217" s="309"/>
      <c r="R217" s="309"/>
      <c r="S217" s="309"/>
      <c r="T217" s="309"/>
      <c r="U217" s="309"/>
      <c r="V217" s="309"/>
      <c r="W217" s="309"/>
      <c r="X217" s="309"/>
      <c r="Y217" s="309"/>
      <c r="Z217" s="309"/>
      <c r="AA217" s="309"/>
      <c r="AB217" s="309"/>
      <c r="AC217" s="309"/>
      <c r="AD217" s="309"/>
      <c r="AE217" s="309"/>
      <c r="AF217" s="309"/>
      <c r="AG217" s="309"/>
      <c r="AH217" s="309"/>
      <c r="AI217" s="309"/>
      <c r="AJ217" s="309"/>
      <c r="AK217" s="309"/>
      <c r="AL217" s="309"/>
    </row>
    <row r="218" spans="1:39" x14ac:dyDescent="0.2">
      <c r="A218" s="309" t="str">
        <f>_xlfn.CONCAT(IF(Data!B414="","Client has no known medication allergies.","Client has medication allergies to "&amp;Data!B414&amp;"."),IF(Data!B415="","  Client has no food allergies that they are aware of.","  Client has food allergies to "&amp;Data!B415&amp;"."),IF(Data!B416="","  There are no environmental allergies.","  Client has environmental allergies to "&amp;Data!B416&amp;"."))</f>
        <v>Client has no known medication allergies.  Client has no food allergies that they are aware of.  There are no environmental allergies.</v>
      </c>
      <c r="B218" s="309"/>
      <c r="C218" s="309"/>
      <c r="D218" s="309"/>
      <c r="E218" s="309"/>
      <c r="F218" s="309"/>
      <c r="G218" s="309"/>
      <c r="H218" s="309"/>
      <c r="I218" s="309"/>
      <c r="J218" s="309"/>
      <c r="K218" s="309"/>
      <c r="L218" s="309"/>
      <c r="M218" s="309"/>
      <c r="N218" s="309"/>
      <c r="O218" s="309"/>
      <c r="P218" s="309"/>
      <c r="Q218" s="309"/>
      <c r="R218" s="309"/>
      <c r="S218" s="309"/>
      <c r="T218" s="309"/>
      <c r="U218" s="309"/>
      <c r="V218" s="309"/>
      <c r="W218" s="309"/>
      <c r="X218" s="309"/>
      <c r="Y218" s="309"/>
      <c r="Z218" s="309"/>
      <c r="AA218" s="309"/>
      <c r="AB218" s="309"/>
      <c r="AC218" s="309"/>
      <c r="AD218" s="309"/>
      <c r="AE218" s="309"/>
      <c r="AF218" s="309"/>
      <c r="AG218" s="309"/>
      <c r="AH218" s="309"/>
      <c r="AI218" s="309"/>
      <c r="AJ218" s="309"/>
      <c r="AK218" s="309"/>
      <c r="AL218" s="309"/>
    </row>
    <row r="219" spans="1:39" x14ac:dyDescent="0.2">
      <c r="A219" s="309"/>
      <c r="B219" s="309"/>
      <c r="C219" s="309"/>
      <c r="D219" s="309"/>
      <c r="E219" s="309"/>
      <c r="F219" s="309"/>
      <c r="G219" s="309"/>
      <c r="H219" s="309"/>
      <c r="I219" s="309"/>
      <c r="J219" s="309"/>
      <c r="K219" s="309"/>
      <c r="L219" s="309"/>
      <c r="M219" s="309"/>
      <c r="N219" s="309"/>
      <c r="O219" s="309"/>
      <c r="P219" s="309"/>
      <c r="Q219" s="309"/>
      <c r="R219" s="309"/>
      <c r="S219" s="309"/>
      <c r="T219" s="309"/>
      <c r="U219" s="309"/>
      <c r="V219" s="309"/>
      <c r="W219" s="309"/>
      <c r="X219" s="309"/>
      <c r="Y219" s="309"/>
      <c r="Z219" s="309"/>
      <c r="AA219" s="309"/>
      <c r="AB219" s="309"/>
      <c r="AC219" s="309"/>
      <c r="AD219" s="309"/>
      <c r="AE219" s="309"/>
      <c r="AF219" s="309"/>
      <c r="AG219" s="309"/>
      <c r="AH219" s="309"/>
      <c r="AI219" s="309"/>
      <c r="AJ219" s="309"/>
      <c r="AK219" s="309"/>
      <c r="AL219" s="309"/>
    </row>
    <row r="220" spans="1:39" x14ac:dyDescent="0.2">
      <c r="A220" s="308" t="str">
        <f>_xlfn.CONCAT("Devices used in the home currently are as follows: ",ppm.specific!G7,".","  Reviewed devices and uses with the client and determined that ",IF(Data!B165="Yes","additional devices are needed such as "&amp;Data!B166&amp;".","no additional devices are needed at this time."),IF(Data!B333="Yes","  Client is a fall risk and encouraged to use DME devices when ambulating.","  Client is not a fall risk but is encouraged to ambulate slowly and safely."))</f>
        <v>Devices used in the home currently are as follows: .  Reviewed devices and uses with the client and determined that no additional devices are needed at this time.  Client is not a fall risk but is encouraged to ambulate slowly and safely.</v>
      </c>
      <c r="B220" s="308"/>
      <c r="C220" s="308"/>
      <c r="D220" s="308"/>
      <c r="E220" s="308"/>
      <c r="F220" s="308"/>
      <c r="G220" s="308"/>
      <c r="H220" s="308"/>
      <c r="I220" s="308"/>
      <c r="J220" s="308"/>
      <c r="K220" s="308"/>
      <c r="L220" s="308"/>
      <c r="M220" s="308"/>
      <c r="N220" s="308"/>
      <c r="O220" s="308"/>
      <c r="P220" s="308"/>
      <c r="Q220" s="308"/>
      <c r="R220" s="308"/>
      <c r="S220" s="308"/>
      <c r="T220" s="308"/>
      <c r="U220" s="308"/>
      <c r="V220" s="308"/>
      <c r="W220" s="308"/>
      <c r="X220" s="308"/>
      <c r="Y220" s="308"/>
      <c r="Z220" s="308"/>
      <c r="AA220" s="308"/>
      <c r="AB220" s="308"/>
      <c r="AC220" s="308"/>
      <c r="AD220" s="308"/>
      <c r="AE220" s="308"/>
      <c r="AF220" s="308"/>
      <c r="AG220" s="308"/>
      <c r="AH220" s="308"/>
      <c r="AI220" s="308"/>
      <c r="AJ220" s="308"/>
      <c r="AK220" s="308"/>
      <c r="AL220" s="308"/>
    </row>
    <row r="221" spans="1:39" ht="19.5" customHeight="1" x14ac:dyDescent="0.2">
      <c r="A221" s="308"/>
      <c r="B221" s="308"/>
      <c r="C221" s="308"/>
      <c r="D221" s="308"/>
      <c r="E221" s="308"/>
      <c r="F221" s="308"/>
      <c r="G221" s="308"/>
      <c r="H221" s="308"/>
      <c r="I221" s="308"/>
      <c r="J221" s="308"/>
      <c r="K221" s="308"/>
      <c r="L221" s="308"/>
      <c r="M221" s="308"/>
      <c r="N221" s="308"/>
      <c r="O221" s="308"/>
      <c r="P221" s="308"/>
      <c r="Q221" s="308"/>
      <c r="R221" s="308"/>
      <c r="S221" s="308"/>
      <c r="T221" s="308"/>
      <c r="U221" s="308"/>
      <c r="V221" s="308"/>
      <c r="W221" s="308"/>
      <c r="X221" s="308"/>
      <c r="Y221" s="308"/>
      <c r="Z221" s="308"/>
      <c r="AA221" s="308"/>
      <c r="AB221" s="308"/>
      <c r="AC221" s="308"/>
      <c r="AD221" s="308"/>
      <c r="AE221" s="308"/>
      <c r="AF221" s="308"/>
      <c r="AG221" s="308"/>
      <c r="AH221" s="308"/>
      <c r="AI221" s="308"/>
      <c r="AJ221" s="308"/>
      <c r="AK221" s="308"/>
      <c r="AL221" s="308"/>
    </row>
    <row r="222" spans="1:39" ht="14.25" customHeight="1" x14ac:dyDescent="0.2">
      <c r="A222" s="308"/>
      <c r="B222" s="308"/>
      <c r="C222" s="308"/>
      <c r="D222" s="308"/>
      <c r="E222" s="308"/>
      <c r="F222" s="308"/>
      <c r="G222" s="308"/>
      <c r="H222" s="308"/>
      <c r="I222" s="308"/>
      <c r="J222" s="308"/>
      <c r="K222" s="308"/>
      <c r="L222" s="308"/>
      <c r="M222" s="308"/>
      <c r="N222" s="308"/>
      <c r="O222" s="308"/>
      <c r="P222" s="308"/>
      <c r="Q222" s="308"/>
      <c r="R222" s="308"/>
      <c r="S222" s="308"/>
      <c r="T222" s="308"/>
      <c r="U222" s="308"/>
      <c r="V222" s="308"/>
      <c r="W222" s="308"/>
      <c r="X222" s="308"/>
      <c r="Y222" s="308"/>
      <c r="Z222" s="308"/>
      <c r="AA222" s="308"/>
      <c r="AB222" s="308"/>
      <c r="AC222" s="308"/>
      <c r="AD222" s="308"/>
      <c r="AE222" s="308"/>
      <c r="AF222" s="308"/>
      <c r="AG222" s="308"/>
      <c r="AH222" s="308"/>
      <c r="AI222" s="308"/>
      <c r="AJ222" s="308"/>
      <c r="AK222" s="308"/>
      <c r="AL222" s="308"/>
    </row>
    <row r="223" spans="1:39" x14ac:dyDescent="0.2">
      <c r="A223" s="308"/>
      <c r="B223" s="308"/>
      <c r="C223" s="308"/>
      <c r="D223" s="308"/>
      <c r="E223" s="308"/>
      <c r="F223" s="308"/>
      <c r="G223" s="308"/>
      <c r="H223" s="308"/>
      <c r="I223" s="308"/>
      <c r="J223" s="308"/>
      <c r="K223" s="308"/>
      <c r="L223" s="308"/>
      <c r="M223" s="308"/>
      <c r="N223" s="308"/>
      <c r="O223" s="308"/>
      <c r="P223" s="308"/>
      <c r="Q223" s="308"/>
      <c r="R223" s="308"/>
      <c r="S223" s="308"/>
      <c r="T223" s="308"/>
      <c r="U223" s="308"/>
      <c r="V223" s="308"/>
      <c r="W223" s="308"/>
      <c r="X223" s="308"/>
      <c r="Y223" s="308"/>
      <c r="Z223" s="308"/>
      <c r="AA223" s="308"/>
      <c r="AB223" s="308"/>
      <c r="AC223" s="308"/>
      <c r="AD223" s="308"/>
      <c r="AE223" s="308"/>
      <c r="AF223" s="308"/>
      <c r="AG223" s="308"/>
      <c r="AH223" s="308"/>
      <c r="AI223" s="308"/>
      <c r="AJ223" s="308"/>
      <c r="AK223" s="308"/>
      <c r="AL223" s="308"/>
    </row>
    <row r="224" spans="1:39" x14ac:dyDescent="0.2">
      <c r="A224" s="309" t="str">
        <f>_xlfn.CONCAT("In conversation during the assessment, client  ",IF(Data!B869=TRUE,"was calm",""),IF(Data!B870=TRUE," and cooperative.",""),IF(OR(Data!B866=TRUE,Data!B867=TRUE,Data!B868=TRUE)," Exhibited some negative behavior traits.",""),IF(Data!B883=TRUE,"  Client is disoriented","  Client is oriented to "),IF(Data!B862=TRUE,"person, ",""),IF(Data!B863=TRUE,"place, ",""),IF(Data!B864=TRUE," and time.",""),"  Per client, they sometimes suffer from ",IF(Data!B879=TRUE,"forgetfulness, ",""),IF(Data!B880=TRUE,"confusion, ",""),IF(Data!B882=TRUE,"depression, ",""),IF(Data!B884=TRUE,"delusions, ",""),IF(Data!B885=TRUE,"anger issues , ",""),IF(Data!B886=TRUE,"lethargy, ",""),IF(Data!B887=TRUE,"agitation, ",""),IF(Data!B888=TRUE,"hallucinations, ",""),IF(Data!B889=TRUE,"and anxiety.",""),"  Based on cognitive abilities, client ",IF(Data!B876=TRUE,"cannot be left alone.","is safe to be left alone."),IF(Data!B891=TRUE," "&amp;Data!B892,""))</f>
        <v>In conversation during the assessment, client    Client is oriented to   Per client, they sometimes suffer from   Based on cognitive abilities, client is safe to be left alone.</v>
      </c>
      <c r="B224" s="309"/>
      <c r="C224" s="309"/>
      <c r="D224" s="309"/>
      <c r="E224" s="309"/>
      <c r="F224" s="309"/>
      <c r="G224" s="309"/>
      <c r="H224" s="309"/>
      <c r="I224" s="309"/>
      <c r="J224" s="309"/>
      <c r="K224" s="309"/>
      <c r="L224" s="309"/>
      <c r="M224" s="309"/>
      <c r="N224" s="309"/>
      <c r="O224" s="309"/>
      <c r="P224" s="309"/>
      <c r="Q224" s="309"/>
      <c r="R224" s="309"/>
      <c r="S224" s="309"/>
      <c r="T224" s="309"/>
      <c r="U224" s="309"/>
      <c r="V224" s="309"/>
      <c r="W224" s="309"/>
      <c r="X224" s="309"/>
      <c r="Y224" s="309"/>
      <c r="Z224" s="309"/>
      <c r="AA224" s="309"/>
      <c r="AB224" s="309"/>
      <c r="AC224" s="309"/>
      <c r="AD224" s="309"/>
      <c r="AE224" s="309"/>
      <c r="AF224" s="309"/>
      <c r="AG224" s="309"/>
      <c r="AH224" s="309"/>
      <c r="AI224" s="309"/>
      <c r="AJ224" s="309"/>
      <c r="AK224" s="309"/>
      <c r="AL224" s="309"/>
    </row>
    <row r="225" spans="1:38" ht="12.75" customHeight="1" x14ac:dyDescent="0.2">
      <c r="A225" s="309"/>
      <c r="B225" s="309"/>
      <c r="C225" s="309"/>
      <c r="D225" s="309"/>
      <c r="E225" s="309"/>
      <c r="F225" s="309"/>
      <c r="G225" s="309"/>
      <c r="H225" s="309"/>
      <c r="I225" s="309"/>
      <c r="J225" s="309"/>
      <c r="K225" s="309"/>
      <c r="L225" s="309"/>
      <c r="M225" s="309"/>
      <c r="N225" s="309"/>
      <c r="O225" s="309"/>
      <c r="P225" s="309"/>
      <c r="Q225" s="309"/>
      <c r="R225" s="309"/>
      <c r="S225" s="309"/>
      <c r="T225" s="309"/>
      <c r="U225" s="309"/>
      <c r="V225" s="309"/>
      <c r="W225" s="309"/>
      <c r="X225" s="309"/>
      <c r="Y225" s="309"/>
      <c r="Z225" s="309"/>
      <c r="AA225" s="309"/>
      <c r="AB225" s="309"/>
      <c r="AC225" s="309"/>
      <c r="AD225" s="309"/>
      <c r="AE225" s="309"/>
      <c r="AF225" s="309"/>
      <c r="AG225" s="309"/>
      <c r="AH225" s="309"/>
      <c r="AI225" s="309"/>
      <c r="AJ225" s="309"/>
      <c r="AK225" s="309"/>
      <c r="AL225" s="309"/>
    </row>
    <row r="226" spans="1:38" x14ac:dyDescent="0.2">
      <c r="A226" s="309"/>
      <c r="B226" s="309"/>
      <c r="C226" s="309"/>
      <c r="D226" s="309"/>
      <c r="E226" s="309"/>
      <c r="F226" s="309"/>
      <c r="G226" s="309"/>
      <c r="H226" s="309"/>
      <c r="I226" s="309"/>
      <c r="J226" s="309"/>
      <c r="K226" s="309"/>
      <c r="L226" s="309"/>
      <c r="M226" s="309"/>
      <c r="N226" s="309"/>
      <c r="O226" s="309"/>
      <c r="P226" s="309"/>
      <c r="Q226" s="309"/>
      <c r="R226" s="309"/>
      <c r="S226" s="309"/>
      <c r="T226" s="309"/>
      <c r="U226" s="309"/>
      <c r="V226" s="309"/>
      <c r="W226" s="309"/>
      <c r="X226" s="309"/>
      <c r="Y226" s="309"/>
      <c r="Z226" s="309"/>
      <c r="AA226" s="309"/>
      <c r="AB226" s="309"/>
      <c r="AC226" s="309"/>
      <c r="AD226" s="309"/>
      <c r="AE226" s="309"/>
      <c r="AF226" s="309"/>
      <c r="AG226" s="309"/>
      <c r="AH226" s="309"/>
      <c r="AI226" s="309"/>
      <c r="AJ226" s="309"/>
      <c r="AK226" s="309"/>
      <c r="AL226" s="309"/>
    </row>
    <row r="227" spans="1:38" x14ac:dyDescent="0.2">
      <c r="A227" s="309" t="str">
        <f>_xlfn.CONCAT("Client has prescribed diet(s) of ",ppm.careplan1!F45,".  ",IF(Data!B1464&lt;&gt;"N/A"," Based on diagnoses or conditions, client should follow the suggested diets of "&amp;Data!B1464&amp;".",""),IF(Data!B646=TRUE,"  Client is compliant with prescribed diet."," Client is non-compliant with their prescribed diet.  Encouraged client to follow the diet prescribed for the health and well being."),IF(AND(Data!B679=FALSE,Data!B680=FALSE,Data!B156=FALSE),"  Client has no observable eating issues at time of assessment.","  Client has difficulty with eating due to "&amp;IF(OR(Data!B679=TRUE,Data!B680=TRUE),"broken or missing teeth, ","")&amp;IF(Data!B156=TRUE," dentures.","")),IF(Data!B692="Yes"," Client is on a fluid restriction of no more than "&amp;Data!B693&amp;" cc's per day.",""))</f>
        <v>Client has prescribed diet(s) of .   Client is non-compliant with their prescribed diet.  Encouraged client to follow the diet prescribed for the health and well being.  Client has no observable eating issues at time of assessment.</v>
      </c>
      <c r="B227" s="309"/>
      <c r="C227" s="309"/>
      <c r="D227" s="309"/>
      <c r="E227" s="309"/>
      <c r="F227" s="309"/>
      <c r="G227" s="309"/>
      <c r="H227" s="309"/>
      <c r="I227" s="309"/>
      <c r="J227" s="309"/>
      <c r="K227" s="309"/>
      <c r="L227" s="309"/>
      <c r="M227" s="309"/>
      <c r="N227" s="309"/>
      <c r="O227" s="309"/>
      <c r="P227" s="309"/>
      <c r="Q227" s="309"/>
      <c r="R227" s="309"/>
      <c r="S227" s="309"/>
      <c r="T227" s="309"/>
      <c r="U227" s="309"/>
      <c r="V227" s="309"/>
      <c r="W227" s="309"/>
      <c r="X227" s="309"/>
      <c r="Y227" s="309"/>
      <c r="Z227" s="309"/>
      <c r="AA227" s="309"/>
      <c r="AB227" s="309"/>
      <c r="AC227" s="309"/>
      <c r="AD227" s="309"/>
      <c r="AE227" s="309"/>
      <c r="AF227" s="309"/>
      <c r="AG227" s="309"/>
      <c r="AH227" s="309"/>
      <c r="AI227" s="309"/>
      <c r="AJ227" s="309"/>
      <c r="AK227" s="309"/>
      <c r="AL227" s="309"/>
    </row>
    <row r="228" spans="1:38" x14ac:dyDescent="0.2">
      <c r="A228" s="309"/>
      <c r="B228" s="309"/>
      <c r="C228" s="309"/>
      <c r="D228" s="309"/>
      <c r="E228" s="309"/>
      <c r="F228" s="309"/>
      <c r="G228" s="309"/>
      <c r="H228" s="309"/>
      <c r="I228" s="309"/>
      <c r="J228" s="309"/>
      <c r="K228" s="309"/>
      <c r="L228" s="309"/>
      <c r="M228" s="309"/>
      <c r="N228" s="309"/>
      <c r="O228" s="309"/>
      <c r="P228" s="309"/>
      <c r="Q228" s="309"/>
      <c r="R228" s="309"/>
      <c r="S228" s="309"/>
      <c r="T228" s="309"/>
      <c r="U228" s="309"/>
      <c r="V228" s="309"/>
      <c r="W228" s="309"/>
      <c r="X228" s="309"/>
      <c r="Y228" s="309"/>
      <c r="Z228" s="309"/>
      <c r="AA228" s="309"/>
      <c r="AB228" s="309"/>
      <c r="AC228" s="309"/>
      <c r="AD228" s="309"/>
      <c r="AE228" s="309"/>
      <c r="AF228" s="309"/>
      <c r="AG228" s="309"/>
      <c r="AH228" s="309"/>
      <c r="AI228" s="309"/>
      <c r="AJ228" s="309"/>
      <c r="AK228" s="309"/>
      <c r="AL228" s="309"/>
    </row>
    <row r="229" spans="1:38" ht="24" customHeight="1" x14ac:dyDescent="0.2">
      <c r="A229" s="309"/>
      <c r="B229" s="309"/>
      <c r="C229" s="309"/>
      <c r="D229" s="309"/>
      <c r="E229" s="309"/>
      <c r="F229" s="309"/>
      <c r="G229" s="309"/>
      <c r="H229" s="309"/>
      <c r="I229" s="309"/>
      <c r="J229" s="309"/>
      <c r="K229" s="309"/>
      <c r="L229" s="309"/>
      <c r="M229" s="309"/>
      <c r="N229" s="309"/>
      <c r="O229" s="309"/>
      <c r="P229" s="309"/>
      <c r="Q229" s="309"/>
      <c r="R229" s="309"/>
      <c r="S229" s="309"/>
      <c r="T229" s="309"/>
      <c r="U229" s="309"/>
      <c r="V229" s="309"/>
      <c r="W229" s="309"/>
      <c r="X229" s="309"/>
      <c r="Y229" s="309"/>
      <c r="Z229" s="309"/>
      <c r="AA229" s="309"/>
      <c r="AB229" s="309"/>
      <c r="AC229" s="309"/>
      <c r="AD229" s="309"/>
      <c r="AE229" s="309"/>
      <c r="AF229" s="309"/>
      <c r="AG229" s="309"/>
      <c r="AH229" s="309"/>
      <c r="AI229" s="309"/>
      <c r="AJ229" s="309"/>
      <c r="AK229" s="309"/>
      <c r="AL229" s="309"/>
    </row>
    <row r="230" spans="1:38" x14ac:dyDescent="0.2">
      <c r="A230" s="309" t="str">
        <f>_xlfn.CONCAT("Client has been admitted to Personal Support Services because ",IF(Data!B19="Male","he ","she "),"needs standby or hands on assistance with ",IF(Data!B271="Independent","","transportation, "),IF(Data!B283="Independent","","housekeeping, "),IF(Data!B296="Independent","","laundry, "),IF(Data!B413="Independent","","medication reminders, "),IF(Data!B574="Independent","","hearing as there is "&amp;Data!B573&amp;" hearing loss,"),IF(Data!B591="Independent",""," vision as there is "&amp;Data!B590&amp;" vision loss, "),IF(Data!B661="Independent","","eating, "),IF(Data!B661="Independent","","meal preparation and clean up, "),IF(Data!B744="Independent","","toileting, "),IF(Data!B805="Independent","","monitoring breathing by observing for cyanosis, "),IF(Data!B911="Independent","","using the telephone, "),IF(Data!B944="Independent","","ambulating or transferring safely,"),IF(Data!B951="Independent",""," grooming, "),IF(Data!B954="Independent","","dressing upper body, "),IF(Data!B957="Independent","","dressing lower body, "),IF(Data!B960="Independent","","and bathing."))</f>
        <v>Client has been admitted to Personal Support Services because she needs standby or hands on assistance with transportation, housekeeping, laundry, medication reminders, hearing as there is  hearing loss, vision as there is  vision loss, eating, meal preparation and clean up, toileting, monitoring breathing by observing for cyanosis, using the telephone, ambulating or transferring safely, grooming, dressing upper body, dressing lower body, and bathing.</v>
      </c>
      <c r="B230" s="309"/>
      <c r="C230" s="309"/>
      <c r="D230" s="309"/>
      <c r="E230" s="309"/>
      <c r="F230" s="309"/>
      <c r="G230" s="309"/>
      <c r="H230" s="309"/>
      <c r="I230" s="309"/>
      <c r="J230" s="309"/>
      <c r="K230" s="309"/>
      <c r="L230" s="309"/>
      <c r="M230" s="309"/>
      <c r="N230" s="309"/>
      <c r="O230" s="309"/>
      <c r="P230" s="309"/>
      <c r="Q230" s="309"/>
      <c r="R230" s="309"/>
      <c r="S230" s="309"/>
      <c r="T230" s="309"/>
      <c r="U230" s="309"/>
      <c r="V230" s="309"/>
      <c r="W230" s="309"/>
      <c r="X230" s="309"/>
      <c r="Y230" s="309"/>
      <c r="Z230" s="309"/>
      <c r="AA230" s="309"/>
      <c r="AB230" s="309"/>
      <c r="AC230" s="309"/>
      <c r="AD230" s="309"/>
      <c r="AE230" s="309"/>
      <c r="AF230" s="309"/>
      <c r="AG230" s="309"/>
      <c r="AH230" s="309"/>
      <c r="AI230" s="309"/>
      <c r="AJ230" s="309"/>
      <c r="AK230" s="309"/>
      <c r="AL230" s="309"/>
    </row>
    <row r="231" spans="1:38" ht="24" customHeight="1" x14ac:dyDescent="0.2">
      <c r="A231" s="309"/>
      <c r="B231" s="309"/>
      <c r="C231" s="309"/>
      <c r="D231" s="309"/>
      <c r="E231" s="309"/>
      <c r="F231" s="309"/>
      <c r="G231" s="309"/>
      <c r="H231" s="309"/>
      <c r="I231" s="309"/>
      <c r="J231" s="309"/>
      <c r="K231" s="309"/>
      <c r="L231" s="309"/>
      <c r="M231" s="309"/>
      <c r="N231" s="309"/>
      <c r="O231" s="309"/>
      <c r="P231" s="309"/>
      <c r="Q231" s="309"/>
      <c r="R231" s="309"/>
      <c r="S231" s="309"/>
      <c r="T231" s="309"/>
      <c r="U231" s="309"/>
      <c r="V231" s="309"/>
      <c r="W231" s="309"/>
      <c r="X231" s="309"/>
      <c r="Y231" s="309"/>
      <c r="Z231" s="309"/>
      <c r="AA231" s="309"/>
      <c r="AB231" s="309"/>
      <c r="AC231" s="309"/>
      <c r="AD231" s="309"/>
      <c r="AE231" s="309"/>
      <c r="AF231" s="309"/>
      <c r="AG231" s="309"/>
      <c r="AH231" s="309"/>
      <c r="AI231" s="309"/>
      <c r="AJ231" s="309"/>
      <c r="AK231" s="309"/>
      <c r="AL231" s="309"/>
    </row>
    <row r="232" spans="1:38" ht="12.75" customHeight="1" x14ac:dyDescent="0.2">
      <c r="A232" s="309"/>
      <c r="B232" s="309"/>
      <c r="C232" s="309"/>
      <c r="D232" s="309"/>
      <c r="E232" s="309"/>
      <c r="F232" s="309"/>
      <c r="G232" s="309"/>
      <c r="H232" s="309"/>
      <c r="I232" s="309"/>
      <c r="J232" s="309"/>
      <c r="K232" s="309"/>
      <c r="L232" s="309"/>
      <c r="M232" s="309"/>
      <c r="N232" s="309"/>
      <c r="O232" s="309"/>
      <c r="P232" s="309"/>
      <c r="Q232" s="309"/>
      <c r="R232" s="309"/>
      <c r="S232" s="309"/>
      <c r="T232" s="309"/>
      <c r="U232" s="309"/>
      <c r="V232" s="309"/>
      <c r="W232" s="309"/>
      <c r="X232" s="309"/>
      <c r="Y232" s="309"/>
      <c r="Z232" s="309"/>
      <c r="AA232" s="309"/>
      <c r="AB232" s="309"/>
      <c r="AC232" s="309"/>
      <c r="AD232" s="309"/>
      <c r="AE232" s="309"/>
      <c r="AF232" s="309"/>
      <c r="AG232" s="309"/>
      <c r="AH232" s="309"/>
      <c r="AI232" s="309"/>
      <c r="AJ232" s="309"/>
      <c r="AK232" s="309"/>
      <c r="AL232" s="309"/>
    </row>
    <row r="233" spans="1:38" x14ac:dyDescent="0.2">
      <c r="A233" s="309"/>
      <c r="B233" s="309"/>
      <c r="C233" s="309"/>
      <c r="D233" s="309"/>
      <c r="E233" s="309"/>
      <c r="F233" s="309"/>
      <c r="G233" s="309"/>
      <c r="H233" s="309"/>
      <c r="I233" s="309"/>
      <c r="J233" s="309"/>
      <c r="K233" s="309"/>
      <c r="L233" s="309"/>
      <c r="M233" s="309"/>
      <c r="N233" s="309"/>
      <c r="O233" s="309"/>
      <c r="P233" s="309"/>
      <c r="Q233" s="309"/>
      <c r="R233" s="309"/>
      <c r="S233" s="309"/>
      <c r="T233" s="309"/>
      <c r="U233" s="309"/>
      <c r="V233" s="309"/>
      <c r="W233" s="309"/>
      <c r="X233" s="309"/>
      <c r="Y233" s="309"/>
      <c r="Z233" s="309"/>
      <c r="AA233" s="309"/>
      <c r="AB233" s="309"/>
      <c r="AC233" s="309"/>
      <c r="AD233" s="309"/>
      <c r="AE233" s="309"/>
      <c r="AF233" s="309"/>
      <c r="AG233" s="309"/>
      <c r="AH233" s="309"/>
      <c r="AI233" s="309"/>
      <c r="AJ233" s="309"/>
      <c r="AK233" s="309"/>
      <c r="AL233" s="309"/>
    </row>
    <row r="234" spans="1:38" x14ac:dyDescent="0.2">
      <c r="A234" s="309" t="str">
        <f>_xlfn.CONCAT("Client has chronic or sporadic problems with ",IF(Data!B758=TRUE,"dizziness, ",""),IF(Data!B569=TRUE,"vertigo, ",""),IF(Data!B752=TRUE,"SOB, ",""),IF(Data!B586=TRUE,"blurred vision, ",""),IF(Data!B598=TRUE,"headaches, ",""),IF(Data!B626=TRUE,"general pain, ",""),IF(Data!B627=TRUE,"specific pain located in "&amp;Data!B628&amp;", ",""),IF(Data!B660=TRUE,"choking or swallowing problems, ",""),IF(Data!B735=TRUE,"bladder incontinence. ",""),IF(Data!B708=TRUE,"bowel incontinence. ",""),"  Client will be discharged at client's or company's request or when PSS services are no longer appropriate.")</f>
        <v>Client has chronic or sporadic problems with   Client will be discharged at client's or company's request or when PSS services are no longer appropriate.</v>
      </c>
      <c r="B234" s="309"/>
      <c r="C234" s="309"/>
      <c r="D234" s="309"/>
      <c r="E234" s="309"/>
      <c r="F234" s="309"/>
      <c r="G234" s="309"/>
      <c r="H234" s="309"/>
      <c r="I234" s="309"/>
      <c r="J234" s="309"/>
      <c r="K234" s="309"/>
      <c r="L234" s="309"/>
      <c r="M234" s="309"/>
      <c r="N234" s="309"/>
      <c r="O234" s="309"/>
      <c r="P234" s="309"/>
      <c r="Q234" s="309"/>
      <c r="R234" s="309"/>
      <c r="S234" s="309"/>
      <c r="T234" s="309"/>
      <c r="U234" s="309"/>
      <c r="V234" s="309"/>
      <c r="W234" s="309"/>
      <c r="X234" s="309"/>
      <c r="Y234" s="309"/>
      <c r="Z234" s="309"/>
      <c r="AA234" s="309"/>
      <c r="AB234" s="309"/>
      <c r="AC234" s="309"/>
      <c r="AD234" s="309"/>
      <c r="AE234" s="309"/>
      <c r="AF234" s="309"/>
      <c r="AG234" s="309"/>
      <c r="AH234" s="309"/>
      <c r="AI234" s="309"/>
      <c r="AJ234" s="309"/>
      <c r="AK234" s="309"/>
      <c r="AL234" s="309"/>
    </row>
    <row r="235" spans="1:38" x14ac:dyDescent="0.2">
      <c r="A235" s="309"/>
      <c r="B235" s="309"/>
      <c r="C235" s="309"/>
      <c r="D235" s="309"/>
      <c r="E235" s="309"/>
      <c r="F235" s="309"/>
      <c r="G235" s="309"/>
      <c r="H235" s="309"/>
      <c r="I235" s="309"/>
      <c r="J235" s="309"/>
      <c r="K235" s="309"/>
      <c r="L235" s="309"/>
      <c r="M235" s="309"/>
      <c r="N235" s="309"/>
      <c r="O235" s="309"/>
      <c r="P235" s="309"/>
      <c r="Q235" s="309"/>
      <c r="R235" s="309"/>
      <c r="S235" s="309"/>
      <c r="T235" s="309"/>
      <c r="U235" s="309"/>
      <c r="V235" s="309"/>
      <c r="W235" s="309"/>
      <c r="X235" s="309"/>
      <c r="Y235" s="309"/>
      <c r="Z235" s="309"/>
      <c r="AA235" s="309"/>
      <c r="AB235" s="309"/>
      <c r="AC235" s="309"/>
      <c r="AD235" s="309"/>
      <c r="AE235" s="309"/>
      <c r="AF235" s="309"/>
      <c r="AG235" s="309"/>
      <c r="AH235" s="309"/>
      <c r="AI235" s="309"/>
      <c r="AJ235" s="309"/>
      <c r="AK235" s="309"/>
      <c r="AL235" s="309"/>
    </row>
    <row r="236" spans="1:38" x14ac:dyDescent="0.2">
      <c r="A236" s="309"/>
      <c r="B236" s="309"/>
      <c r="C236" s="309"/>
      <c r="D236" s="309"/>
      <c r="E236" s="309"/>
      <c r="F236" s="309"/>
      <c r="G236" s="309"/>
      <c r="H236" s="309"/>
      <c r="I236" s="309"/>
      <c r="J236" s="309"/>
      <c r="K236" s="309"/>
      <c r="L236" s="309"/>
      <c r="M236" s="309"/>
      <c r="N236" s="309"/>
      <c r="O236" s="309"/>
      <c r="P236" s="309"/>
      <c r="Q236" s="309"/>
      <c r="R236" s="309"/>
      <c r="S236" s="309"/>
      <c r="T236" s="309"/>
      <c r="U236" s="309"/>
      <c r="V236" s="309"/>
      <c r="W236" s="309"/>
      <c r="X236" s="309"/>
      <c r="Y236" s="309"/>
      <c r="Z236" s="309"/>
      <c r="AA236" s="309"/>
      <c r="AB236" s="309"/>
      <c r="AC236" s="309"/>
      <c r="AD236" s="309"/>
      <c r="AE236" s="309"/>
      <c r="AF236" s="309"/>
      <c r="AG236" s="309"/>
      <c r="AH236" s="309"/>
      <c r="AI236" s="309"/>
      <c r="AJ236" s="309"/>
      <c r="AK236" s="309"/>
      <c r="AL236" s="309"/>
    </row>
    <row r="237" spans="1:38" x14ac:dyDescent="0.2">
      <c r="A237" s="309">
        <f>Data!B1023</f>
        <v>0</v>
      </c>
      <c r="B237" s="309"/>
      <c r="C237" s="309"/>
      <c r="D237" s="309"/>
      <c r="E237" s="309"/>
      <c r="F237" s="309"/>
      <c r="G237" s="309"/>
      <c r="H237" s="309"/>
      <c r="I237" s="309"/>
      <c r="J237" s="309"/>
      <c r="K237" s="309"/>
      <c r="L237" s="309"/>
      <c r="M237" s="309"/>
      <c r="N237" s="309"/>
      <c r="O237" s="309"/>
      <c r="P237" s="309"/>
      <c r="Q237" s="309"/>
      <c r="R237" s="309"/>
      <c r="S237" s="309"/>
      <c r="T237" s="309"/>
      <c r="U237" s="309"/>
      <c r="V237" s="309"/>
      <c r="W237" s="309"/>
      <c r="X237" s="309"/>
      <c r="Y237" s="309"/>
      <c r="Z237" s="309"/>
      <c r="AA237" s="309"/>
      <c r="AB237" s="309"/>
      <c r="AC237" s="309"/>
      <c r="AD237" s="309"/>
      <c r="AE237" s="309"/>
      <c r="AF237" s="309"/>
      <c r="AG237" s="309"/>
      <c r="AH237" s="309"/>
      <c r="AI237" s="309"/>
      <c r="AJ237" s="309"/>
      <c r="AK237" s="309"/>
      <c r="AL237" s="309"/>
    </row>
    <row r="238" spans="1:38" x14ac:dyDescent="0.2">
      <c r="A238" s="309"/>
      <c r="B238" s="309"/>
      <c r="C238" s="309"/>
      <c r="D238" s="309"/>
      <c r="E238" s="309"/>
      <c r="F238" s="309"/>
      <c r="G238" s="309"/>
      <c r="H238" s="309"/>
      <c r="I238" s="309"/>
      <c r="J238" s="309"/>
      <c r="K238" s="309"/>
      <c r="L238" s="309"/>
      <c r="M238" s="309"/>
      <c r="N238" s="309"/>
      <c r="O238" s="309"/>
      <c r="P238" s="309"/>
      <c r="Q238" s="309"/>
      <c r="R238" s="309"/>
      <c r="S238" s="309"/>
      <c r="T238" s="309"/>
      <c r="U238" s="309"/>
      <c r="V238" s="309"/>
      <c r="W238" s="309"/>
      <c r="X238" s="309"/>
      <c r="Y238" s="309"/>
      <c r="Z238" s="309"/>
      <c r="AA238" s="309"/>
      <c r="AB238" s="309"/>
      <c r="AC238" s="309"/>
      <c r="AD238" s="309"/>
      <c r="AE238" s="309"/>
      <c r="AF238" s="309"/>
      <c r="AG238" s="309"/>
      <c r="AH238" s="309"/>
      <c r="AI238" s="309"/>
      <c r="AJ238" s="309"/>
      <c r="AK238" s="309"/>
      <c r="AL238" s="309"/>
    </row>
    <row r="239" spans="1:38" ht="25.5" customHeight="1" x14ac:dyDescent="0.2">
      <c r="A239" s="309"/>
      <c r="B239" s="309"/>
      <c r="C239" s="309"/>
      <c r="D239" s="309"/>
      <c r="E239" s="309"/>
      <c r="F239" s="309"/>
      <c r="G239" s="309"/>
      <c r="H239" s="309"/>
      <c r="I239" s="309"/>
      <c r="J239" s="309"/>
      <c r="K239" s="309"/>
      <c r="L239" s="309"/>
      <c r="M239" s="309"/>
      <c r="N239" s="309"/>
      <c r="O239" s="309"/>
      <c r="P239" s="309"/>
      <c r="Q239" s="309"/>
      <c r="R239" s="309"/>
      <c r="S239" s="309"/>
      <c r="T239" s="309"/>
      <c r="U239" s="309"/>
      <c r="V239" s="309"/>
      <c r="W239" s="309"/>
      <c r="X239" s="309"/>
      <c r="Y239" s="309"/>
      <c r="Z239" s="309"/>
      <c r="AA239" s="309"/>
      <c r="AB239" s="309"/>
      <c r="AC239" s="309"/>
      <c r="AD239" s="309"/>
      <c r="AE239" s="309"/>
      <c r="AF239" s="309"/>
      <c r="AG239" s="309"/>
      <c r="AH239" s="309"/>
      <c r="AI239" s="309"/>
      <c r="AJ239" s="309"/>
      <c r="AK239" s="309"/>
      <c r="AL239" s="309"/>
    </row>
    <row r="240" spans="1:38" x14ac:dyDescent="0.2">
      <c r="A240" s="309"/>
      <c r="B240" s="309"/>
      <c r="C240" s="309"/>
      <c r="D240" s="309"/>
      <c r="E240" s="309"/>
      <c r="F240" s="309"/>
      <c r="G240" s="309"/>
      <c r="H240" s="309"/>
      <c r="I240" s="309"/>
      <c r="J240" s="309"/>
      <c r="K240" s="309"/>
      <c r="L240" s="309"/>
      <c r="M240" s="309"/>
      <c r="N240" s="309"/>
      <c r="O240" s="309"/>
      <c r="P240" s="309"/>
      <c r="Q240" s="309"/>
      <c r="R240" s="309"/>
      <c r="S240" s="309"/>
      <c r="T240" s="309"/>
      <c r="U240" s="309"/>
      <c r="V240" s="309"/>
      <c r="W240" s="309"/>
      <c r="X240" s="309"/>
      <c r="Y240" s="309"/>
      <c r="Z240" s="309"/>
      <c r="AA240" s="309"/>
      <c r="AB240" s="309"/>
      <c r="AC240" s="309"/>
      <c r="AD240" s="309"/>
      <c r="AE240" s="309"/>
      <c r="AF240" s="309"/>
      <c r="AG240" s="309"/>
      <c r="AH240" s="309"/>
      <c r="AI240" s="309"/>
      <c r="AJ240" s="309"/>
      <c r="AK240" s="309"/>
      <c r="AL240" s="309"/>
    </row>
    <row r="241" spans="1:38" x14ac:dyDescent="0.2">
      <c r="A241" s="309"/>
      <c r="B241" s="309"/>
      <c r="C241" s="309"/>
      <c r="D241" s="309"/>
      <c r="E241" s="309"/>
      <c r="F241" s="309"/>
      <c r="G241" s="309"/>
      <c r="H241" s="309"/>
      <c r="I241" s="309"/>
      <c r="J241" s="309"/>
      <c r="K241" s="309"/>
      <c r="L241" s="309"/>
      <c r="M241" s="309"/>
      <c r="N241" s="309"/>
      <c r="O241" s="309"/>
      <c r="P241" s="309"/>
      <c r="Q241" s="309"/>
      <c r="R241" s="309"/>
      <c r="S241" s="309"/>
      <c r="T241" s="309"/>
      <c r="U241" s="309"/>
      <c r="V241" s="309"/>
      <c r="W241" s="309"/>
      <c r="X241" s="309"/>
      <c r="Y241" s="309"/>
      <c r="Z241" s="309"/>
      <c r="AA241" s="309"/>
      <c r="AB241" s="309"/>
      <c r="AC241" s="309"/>
      <c r="AD241" s="309"/>
      <c r="AE241" s="309"/>
      <c r="AF241" s="309"/>
      <c r="AG241" s="309"/>
      <c r="AH241" s="309"/>
      <c r="AI241" s="309"/>
      <c r="AJ241" s="309"/>
      <c r="AK241" s="309"/>
      <c r="AL241" s="309"/>
    </row>
    <row r="243" spans="1:38" x14ac:dyDescent="0.2">
      <c r="A243" s="276">
        <f>Data!B175</f>
        <v>0</v>
      </c>
      <c r="B243" s="276"/>
      <c r="C243" s="276"/>
      <c r="D243" s="276"/>
      <c r="E243" s="276"/>
      <c r="F243" s="276"/>
      <c r="G243" s="276"/>
      <c r="H243" s="276"/>
      <c r="I243" s="276"/>
      <c r="J243" s="276"/>
      <c r="K243" s="276"/>
      <c r="L243" s="276"/>
      <c r="M243" s="276"/>
      <c r="O243" s="34"/>
      <c r="P243" s="34"/>
      <c r="Q243" s="34"/>
      <c r="R243" s="34"/>
      <c r="S243" s="34"/>
      <c r="T243" s="34"/>
      <c r="U243" s="34"/>
      <c r="V243" s="34"/>
      <c r="W243" s="34"/>
      <c r="X243" s="34"/>
      <c r="Y243" s="34"/>
      <c r="Z243" s="34"/>
      <c r="AA243" s="34"/>
      <c r="AB243" s="34"/>
      <c r="AD243" s="307">
        <f>Data!B34</f>
        <v>0</v>
      </c>
      <c r="AE243" s="276"/>
      <c r="AF243" s="276"/>
      <c r="AG243" s="276"/>
      <c r="AH243" s="276"/>
      <c r="AI243" s="276"/>
    </row>
    <row r="244" spans="1:38" x14ac:dyDescent="0.2">
      <c r="A244" t="s">
        <v>369</v>
      </c>
      <c r="O244" t="s">
        <v>579</v>
      </c>
      <c r="AD244" t="s">
        <v>368</v>
      </c>
    </row>
    <row r="245" spans="1:38" x14ac:dyDescent="0.2">
      <c r="AC245" s="233"/>
      <c r="AD245" s="233"/>
      <c r="AE245" s="233"/>
    </row>
    <row r="246" spans="1:38" x14ac:dyDescent="0.2">
      <c r="E246" s="7"/>
      <c r="F246" s="7"/>
      <c r="G246" s="7"/>
      <c r="H246" s="7"/>
      <c r="I246" s="7"/>
      <c r="J246" s="7"/>
      <c r="K246" s="7"/>
      <c r="L246" s="7"/>
      <c r="M246" s="7"/>
      <c r="N246" s="7"/>
      <c r="O246" s="7"/>
      <c r="P246" s="7"/>
      <c r="Q246" s="7"/>
      <c r="R246" s="7"/>
      <c r="U246" s="117"/>
      <c r="V246" s="117"/>
      <c r="W246" s="117"/>
      <c r="X246" s="117"/>
      <c r="Y246" s="117"/>
      <c r="Z246" s="117"/>
      <c r="AA246" s="16"/>
      <c r="AG246" s="117"/>
      <c r="AH246" s="117"/>
      <c r="AI246" s="117"/>
      <c r="AJ246" s="117"/>
      <c r="AK246" s="117"/>
      <c r="AL246" s="117"/>
    </row>
    <row r="248" spans="1:38" x14ac:dyDescent="0.2">
      <c r="L248" s="118"/>
      <c r="M248" s="118"/>
      <c r="N248" s="118"/>
      <c r="O248" s="118"/>
      <c r="P248" s="118"/>
    </row>
    <row r="249" spans="1:38" x14ac:dyDescent="0.2">
      <c r="L249" s="118"/>
      <c r="M249" s="118"/>
      <c r="N249" s="118"/>
      <c r="O249" s="118"/>
      <c r="P249" s="118"/>
    </row>
    <row r="250" spans="1:38" x14ac:dyDescent="0.2">
      <c r="L250" s="118"/>
      <c r="M250" s="118"/>
      <c r="N250" s="118"/>
      <c r="O250" s="118"/>
      <c r="P250" s="118"/>
    </row>
    <row r="255" spans="1:38" x14ac:dyDescent="0.2">
      <c r="I255" s="4"/>
      <c r="J255" s="4"/>
      <c r="K255" s="4"/>
      <c r="L255" s="4"/>
      <c r="M255" s="4"/>
      <c r="N255" s="4"/>
      <c r="O255" s="4"/>
      <c r="P255" s="4"/>
      <c r="Q255" s="4"/>
      <c r="R255" s="4"/>
      <c r="S255" s="4"/>
      <c r="T255" s="4"/>
      <c r="U255" s="4"/>
      <c r="V255" s="4"/>
      <c r="W255" s="4"/>
      <c r="X255" s="4"/>
      <c r="Y255" s="4"/>
      <c r="AA255" s="105"/>
      <c r="AB255" s="10"/>
      <c r="AC255" s="10"/>
      <c r="AD255" s="10"/>
      <c r="AE255" s="10"/>
      <c r="AF255" s="10"/>
      <c r="AG255" s="10"/>
      <c r="AH255" s="10"/>
      <c r="AI255" s="10"/>
      <c r="AJ255" s="10"/>
      <c r="AK255" s="10"/>
    </row>
    <row r="256" spans="1:38" x14ac:dyDescent="0.2">
      <c r="I256" s="4"/>
      <c r="J256" s="4"/>
      <c r="K256" s="4"/>
      <c r="L256" s="4"/>
      <c r="M256" s="4"/>
      <c r="N256" s="4"/>
      <c r="O256" s="4"/>
      <c r="P256" s="4"/>
      <c r="Q256" s="4"/>
      <c r="R256" s="4"/>
      <c r="S256" s="4"/>
      <c r="T256" s="4"/>
      <c r="U256" s="4"/>
      <c r="V256" s="4"/>
      <c r="W256" s="4"/>
      <c r="X256" s="4"/>
      <c r="Y256" s="4"/>
      <c r="AA256" s="105"/>
      <c r="AB256" s="10"/>
      <c r="AC256" s="10"/>
      <c r="AD256" s="10"/>
      <c r="AE256" s="10"/>
      <c r="AF256" s="10"/>
      <c r="AG256" s="10"/>
      <c r="AH256" s="10"/>
      <c r="AI256" s="10"/>
      <c r="AJ256" s="10"/>
      <c r="AK256" s="10"/>
    </row>
    <row r="257" spans="9:37" x14ac:dyDescent="0.2">
      <c r="I257" s="4"/>
      <c r="J257" s="4"/>
      <c r="K257" s="4"/>
      <c r="L257" s="4"/>
      <c r="M257" s="4"/>
      <c r="N257" s="4"/>
      <c r="O257" s="4"/>
      <c r="P257" s="4"/>
      <c r="Q257" s="4"/>
      <c r="R257" s="4"/>
      <c r="S257" s="4"/>
      <c r="T257" s="4"/>
      <c r="U257" s="4"/>
      <c r="V257" s="4"/>
      <c r="W257" s="4"/>
      <c r="X257" s="4"/>
      <c r="Y257" s="4"/>
      <c r="AA257" s="105"/>
      <c r="AB257" s="14"/>
      <c r="AC257" s="14"/>
      <c r="AD257" s="14"/>
      <c r="AE257" s="14"/>
      <c r="AF257" s="14"/>
      <c r="AG257" s="14"/>
      <c r="AH257" s="14"/>
      <c r="AI257" s="14"/>
      <c r="AJ257" s="14"/>
      <c r="AK257" s="14"/>
    </row>
    <row r="258" spans="9:37" x14ac:dyDescent="0.2">
      <c r="I258" s="4"/>
      <c r="J258" s="4"/>
      <c r="K258" s="4"/>
      <c r="L258" s="4"/>
      <c r="M258" s="4"/>
      <c r="N258" s="4"/>
      <c r="O258" s="4"/>
      <c r="P258" s="4"/>
      <c r="Q258" s="4"/>
      <c r="R258" s="4"/>
      <c r="S258" s="4"/>
      <c r="T258" s="4"/>
      <c r="U258" s="4"/>
      <c r="V258" s="4"/>
      <c r="W258" s="4"/>
      <c r="X258" s="4"/>
      <c r="Y258" s="4"/>
      <c r="AA258" s="105"/>
      <c r="AB258" s="14"/>
      <c r="AC258" s="14"/>
      <c r="AD258" s="14"/>
      <c r="AE258" s="14"/>
      <c r="AF258" s="14"/>
      <c r="AG258" s="14"/>
      <c r="AH258" s="14"/>
      <c r="AI258" s="14"/>
      <c r="AJ258" s="14"/>
      <c r="AK258" s="14"/>
    </row>
    <row r="259" spans="9:37" x14ac:dyDescent="0.2">
      <c r="I259" s="4"/>
      <c r="J259" s="4"/>
      <c r="K259" s="4"/>
      <c r="L259" s="4"/>
      <c r="M259" s="4"/>
      <c r="N259" s="4"/>
      <c r="O259" s="4"/>
      <c r="P259" s="4"/>
      <c r="Q259" s="4"/>
      <c r="R259" s="4"/>
      <c r="S259" s="4"/>
      <c r="T259" s="4"/>
      <c r="U259" s="4"/>
      <c r="V259" s="4"/>
      <c r="W259" s="4"/>
      <c r="X259" s="4"/>
      <c r="Y259" s="4"/>
      <c r="AA259" s="105"/>
      <c r="AB259" s="14"/>
      <c r="AC259" s="14"/>
      <c r="AD259" s="14"/>
      <c r="AE259" s="14"/>
      <c r="AF259" s="14"/>
      <c r="AG259" s="14"/>
      <c r="AH259" s="14"/>
      <c r="AI259" s="14"/>
      <c r="AJ259" s="14"/>
      <c r="AK259" s="14"/>
    </row>
    <row r="260" spans="9:37" x14ac:dyDescent="0.2">
      <c r="I260" s="4"/>
      <c r="J260" s="4"/>
      <c r="K260" s="4"/>
      <c r="L260" s="4"/>
      <c r="M260" s="4"/>
      <c r="N260" s="4"/>
      <c r="O260" s="4"/>
      <c r="P260" s="4"/>
      <c r="Q260" s="4"/>
      <c r="R260" s="4"/>
      <c r="S260" s="4"/>
      <c r="T260" s="4"/>
      <c r="U260" s="4"/>
      <c r="V260" s="4"/>
      <c r="W260" s="4"/>
      <c r="X260" s="4"/>
      <c r="Y260" s="4"/>
      <c r="AA260" s="105"/>
      <c r="AB260" s="14"/>
      <c r="AC260" s="14"/>
      <c r="AD260" s="14"/>
      <c r="AE260" s="14"/>
      <c r="AF260" s="14"/>
      <c r="AG260" s="14"/>
      <c r="AH260" s="14"/>
      <c r="AI260" s="14"/>
      <c r="AJ260" s="14"/>
      <c r="AK260" s="14"/>
    </row>
    <row r="261" spans="9:37" x14ac:dyDescent="0.2">
      <c r="I261" s="4"/>
      <c r="J261" s="4"/>
      <c r="K261" s="4"/>
      <c r="L261" s="4"/>
      <c r="M261" s="4"/>
      <c r="N261" s="4"/>
      <c r="O261" s="4"/>
      <c r="P261" s="4"/>
      <c r="Q261" s="4"/>
      <c r="R261" s="4"/>
      <c r="S261" s="4"/>
      <c r="T261" s="4"/>
      <c r="U261" s="4"/>
      <c r="V261" s="4"/>
      <c r="W261" s="4"/>
      <c r="X261" s="4"/>
      <c r="Y261" s="4"/>
      <c r="AA261" s="105"/>
      <c r="AB261" s="14"/>
      <c r="AC261" s="14"/>
      <c r="AD261" s="14"/>
      <c r="AE261" s="14"/>
      <c r="AF261" s="14"/>
      <c r="AG261" s="14"/>
      <c r="AH261" s="14"/>
      <c r="AI261" s="14"/>
      <c r="AJ261" s="14"/>
      <c r="AK261" s="14"/>
    </row>
    <row r="262" spans="9:37" x14ac:dyDescent="0.2">
      <c r="L262" s="116"/>
      <c r="M262" s="116"/>
      <c r="N262" s="116"/>
      <c r="O262" s="116"/>
      <c r="P262" s="116"/>
      <c r="Q262" s="116"/>
      <c r="R262" s="116"/>
      <c r="S262" s="116"/>
      <c r="T262" s="116"/>
      <c r="U262" s="116"/>
      <c r="V262" s="116"/>
      <c r="W262" s="116"/>
      <c r="X262" s="116"/>
      <c r="Y262" s="116"/>
      <c r="Z262" s="116"/>
      <c r="AA262" s="116"/>
      <c r="AB262" s="116"/>
      <c r="AC262" s="116"/>
      <c r="AD262" s="116"/>
      <c r="AE262" s="116"/>
      <c r="AF262" s="116"/>
      <c r="AG262" s="116"/>
      <c r="AH262" s="116"/>
      <c r="AI262" s="116"/>
      <c r="AJ262" s="116"/>
    </row>
    <row r="263" spans="9:37" x14ac:dyDescent="0.2">
      <c r="L263" s="116"/>
      <c r="M263" s="116"/>
      <c r="N263" s="116"/>
      <c r="O263" s="116"/>
      <c r="P263" s="116"/>
      <c r="Q263" s="116"/>
      <c r="R263" s="116"/>
      <c r="S263" s="116"/>
      <c r="T263" s="116"/>
      <c r="U263" s="116"/>
      <c r="V263" s="116"/>
      <c r="W263" s="116"/>
      <c r="X263" s="116"/>
      <c r="Y263" s="116"/>
      <c r="Z263" s="116"/>
      <c r="AA263" s="116"/>
      <c r="AB263" s="116"/>
      <c r="AC263" s="116"/>
      <c r="AD263" s="116"/>
      <c r="AE263" s="116"/>
      <c r="AF263" s="116"/>
      <c r="AG263" s="116"/>
      <c r="AH263" s="116"/>
      <c r="AI263" s="116"/>
      <c r="AJ263" s="116"/>
    </row>
  </sheetData>
  <mergeCells count="278">
    <mergeCell ref="F114:AL114"/>
    <mergeCell ref="S88:AL88"/>
    <mergeCell ref="L189:P189"/>
    <mergeCell ref="M191:O191"/>
    <mergeCell ref="X191:AL191"/>
    <mergeCell ref="Y185:AD185"/>
    <mergeCell ref="A176:AL176"/>
    <mergeCell ref="D185:N185"/>
    <mergeCell ref="AG185:AL185"/>
    <mergeCell ref="D164:AL164"/>
    <mergeCell ref="A165:AL165"/>
    <mergeCell ref="I170:AL170"/>
    <mergeCell ref="A171:AL171"/>
    <mergeCell ref="A172:AL175"/>
    <mergeCell ref="I166:AL169"/>
    <mergeCell ref="AG138:AL138"/>
    <mergeCell ref="AF135:AL135"/>
    <mergeCell ref="X123:AH123"/>
    <mergeCell ref="A125:AL125"/>
    <mergeCell ref="E130:X130"/>
    <mergeCell ref="Q163:AD163"/>
    <mergeCell ref="D139:AL139"/>
    <mergeCell ref="A140:AL140"/>
    <mergeCell ref="D147:AL147"/>
    <mergeCell ref="B197:H197"/>
    <mergeCell ref="I197:Y197"/>
    <mergeCell ref="AB197:AK197"/>
    <mergeCell ref="A234:AL236"/>
    <mergeCell ref="AG186:AL186"/>
    <mergeCell ref="D187:AL187"/>
    <mergeCell ref="A206:AL206"/>
    <mergeCell ref="A207:AL209"/>
    <mergeCell ref="A210:AL211"/>
    <mergeCell ref="D186:F186"/>
    <mergeCell ref="M186:O186"/>
    <mergeCell ref="Y186:AD186"/>
    <mergeCell ref="I195:Y195"/>
    <mergeCell ref="AB195:AK195"/>
    <mergeCell ref="B196:H196"/>
    <mergeCell ref="I196:Y196"/>
    <mergeCell ref="AB196:AK196"/>
    <mergeCell ref="AD243:AI243"/>
    <mergeCell ref="A243:M243"/>
    <mergeCell ref="A220:AL223"/>
    <mergeCell ref="A224:AL226"/>
    <mergeCell ref="A227:AL229"/>
    <mergeCell ref="A230:AL233"/>
    <mergeCell ref="A218:AL219"/>
    <mergeCell ref="A212:AL213"/>
    <mergeCell ref="A237:AL241"/>
    <mergeCell ref="A214:AL217"/>
    <mergeCell ref="D146:O146"/>
    <mergeCell ref="AB142:AG142"/>
    <mergeCell ref="AB143:AG143"/>
    <mergeCell ref="A148:AL148"/>
    <mergeCell ref="A153:AL153"/>
    <mergeCell ref="AC151:AE151"/>
    <mergeCell ref="E152:R152"/>
    <mergeCell ref="U152:Z152"/>
    <mergeCell ref="AG152:AL152"/>
    <mergeCell ref="D123:O123"/>
    <mergeCell ref="AJ118:AL118"/>
    <mergeCell ref="AC119:AL119"/>
    <mergeCell ref="D124:AL124"/>
    <mergeCell ref="AF120:AL121"/>
    <mergeCell ref="D150:AL150"/>
    <mergeCell ref="AJ149:AL149"/>
    <mergeCell ref="A101:AE101"/>
    <mergeCell ref="A102:AE102"/>
    <mergeCell ref="A104:AE104"/>
    <mergeCell ref="AF104:AL104"/>
    <mergeCell ref="A103:AE103"/>
    <mergeCell ref="AF101:AK101"/>
    <mergeCell ref="AF102:AK102"/>
    <mergeCell ref="AF103:AK103"/>
    <mergeCell ref="A132:AL132"/>
    <mergeCell ref="D138:P138"/>
    <mergeCell ref="AH134:AJ134"/>
    <mergeCell ref="AG136:AL136"/>
    <mergeCell ref="AG137:AL137"/>
    <mergeCell ref="C131:AL131"/>
    <mergeCell ref="AH108:AL108"/>
    <mergeCell ref="V108:AA108"/>
    <mergeCell ref="F113:AL113"/>
    <mergeCell ref="A87:AL87"/>
    <mergeCell ref="F93:N93"/>
    <mergeCell ref="Y93:AL93"/>
    <mergeCell ref="C94:AL94"/>
    <mergeCell ref="A107:AL107"/>
    <mergeCell ref="AF109:AH109"/>
    <mergeCell ref="A117:AL117"/>
    <mergeCell ref="AD110:AH110"/>
    <mergeCell ref="AB111:AL111"/>
    <mergeCell ref="AB112:AL112"/>
    <mergeCell ref="C115:AL115"/>
    <mergeCell ref="L116:N116"/>
    <mergeCell ref="X116:AG116"/>
    <mergeCell ref="AC105:AE105"/>
    <mergeCell ref="E106:R106"/>
    <mergeCell ref="U106:Z106"/>
    <mergeCell ref="AG106:AL106"/>
    <mergeCell ref="A95:AL95"/>
    <mergeCell ref="A96:AE96"/>
    <mergeCell ref="A97:AE97"/>
    <mergeCell ref="A98:AE98"/>
    <mergeCell ref="A99:AE99"/>
    <mergeCell ref="A100:AE100"/>
    <mergeCell ref="AF100:AK100"/>
    <mergeCell ref="K64:M64"/>
    <mergeCell ref="R64:AB64"/>
    <mergeCell ref="AG64:AL64"/>
    <mergeCell ref="O62:AB62"/>
    <mergeCell ref="AE62:AL62"/>
    <mergeCell ref="A59:AL59"/>
    <mergeCell ref="AC52:AE52"/>
    <mergeCell ref="E53:R53"/>
    <mergeCell ref="U53:Z53"/>
    <mergeCell ref="AG53:AL53"/>
    <mergeCell ref="A54:AL54"/>
    <mergeCell ref="G63:I63"/>
    <mergeCell ref="P63:R63"/>
    <mergeCell ref="Z63:AL63"/>
    <mergeCell ref="S60:U60"/>
    <mergeCell ref="AG60:AL60"/>
    <mergeCell ref="AA60:AC60"/>
    <mergeCell ref="O61:AL61"/>
    <mergeCell ref="AC1:AE1"/>
    <mergeCell ref="AB3:AJ3"/>
    <mergeCell ref="K4:T4"/>
    <mergeCell ref="Z4:AF4"/>
    <mergeCell ref="A5:AL5"/>
    <mergeCell ref="G22:I22"/>
    <mergeCell ref="J8:W8"/>
    <mergeCell ref="AD8:AL8"/>
    <mergeCell ref="A9:AL9"/>
    <mergeCell ref="A13:AL13"/>
    <mergeCell ref="E2:R2"/>
    <mergeCell ref="AG2:AL2"/>
    <mergeCell ref="U2:Z2"/>
    <mergeCell ref="F3:K3"/>
    <mergeCell ref="AB14:AF14"/>
    <mergeCell ref="I10:Q10"/>
    <mergeCell ref="X15:AB15"/>
    <mergeCell ref="AG15:AK15"/>
    <mergeCell ref="J16:O16"/>
    <mergeCell ref="A20:F20"/>
    <mergeCell ref="L11:N11"/>
    <mergeCell ref="AE11:AG11"/>
    <mergeCell ref="A21:AL21"/>
    <mergeCell ref="A50:D50"/>
    <mergeCell ref="E50:AA50"/>
    <mergeCell ref="G6:S6"/>
    <mergeCell ref="AA7:AJ7"/>
    <mergeCell ref="T22:V22"/>
    <mergeCell ref="A37:AL37"/>
    <mergeCell ref="T24:V24"/>
    <mergeCell ref="W24:AB24"/>
    <mergeCell ref="G24:I24"/>
    <mergeCell ref="AG22:AL22"/>
    <mergeCell ref="A34:AL34"/>
    <mergeCell ref="G35:P35"/>
    <mergeCell ref="G36:P36"/>
    <mergeCell ref="W35:AD35"/>
    <mergeCell ref="K24:L24"/>
    <mergeCell ref="A31:I31"/>
    <mergeCell ref="W23:AB23"/>
    <mergeCell ref="O32:Q32"/>
    <mergeCell ref="F33:AL33"/>
    <mergeCell ref="AD24:AF24"/>
    <mergeCell ref="AG24:AL24"/>
    <mergeCell ref="AB36:AE36"/>
    <mergeCell ref="AC6:AE6"/>
    <mergeCell ref="A44:D44"/>
    <mergeCell ref="A45:D45"/>
    <mergeCell ref="M22:R22"/>
    <mergeCell ref="A46:D46"/>
    <mergeCell ref="E44:AA44"/>
    <mergeCell ref="AC245:AE245"/>
    <mergeCell ref="A24:F24"/>
    <mergeCell ref="T23:V23"/>
    <mergeCell ref="W22:AB22"/>
    <mergeCell ref="G23:I23"/>
    <mergeCell ref="K22:L22"/>
    <mergeCell ref="K23:L23"/>
    <mergeCell ref="A22:F22"/>
    <mergeCell ref="A23:F23"/>
    <mergeCell ref="M24:R24"/>
    <mergeCell ref="M23:R23"/>
    <mergeCell ref="AD22:AF22"/>
    <mergeCell ref="AD23:AF23"/>
    <mergeCell ref="A55:AL58"/>
    <mergeCell ref="L43:P43"/>
    <mergeCell ref="A47:D47"/>
    <mergeCell ref="E47:AA47"/>
    <mergeCell ref="AB47:AE47"/>
    <mergeCell ref="A48:D48"/>
    <mergeCell ref="G40:P40"/>
    <mergeCell ref="Y40:AE40"/>
    <mergeCell ref="X41:AH41"/>
    <mergeCell ref="D28:AL28"/>
    <mergeCell ref="A29:AL29"/>
    <mergeCell ref="A30:I30"/>
    <mergeCell ref="J30:AC30"/>
    <mergeCell ref="J31:AC31"/>
    <mergeCell ref="C7:S7"/>
    <mergeCell ref="AG10:AI10"/>
    <mergeCell ref="F14:J14"/>
    <mergeCell ref="N14:R14"/>
    <mergeCell ref="U14:Y14"/>
    <mergeCell ref="A17:AL17"/>
    <mergeCell ref="A18:F18"/>
    <mergeCell ref="H18:AI18"/>
    <mergeCell ref="H19:AI19"/>
    <mergeCell ref="F15:J15"/>
    <mergeCell ref="O15:S15"/>
    <mergeCell ref="AG23:AL23"/>
    <mergeCell ref="H20:AI20"/>
    <mergeCell ref="A19:F19"/>
    <mergeCell ref="W16:AM16"/>
    <mergeCell ref="AF49:AK49"/>
    <mergeCell ref="E45:AA45"/>
    <mergeCell ref="E46:AA46"/>
    <mergeCell ref="AB44:AE44"/>
    <mergeCell ref="AB45:AE45"/>
    <mergeCell ref="AB46:AE46"/>
    <mergeCell ref="AF44:AK44"/>
    <mergeCell ref="AF45:AK45"/>
    <mergeCell ref="AF46:AK46"/>
    <mergeCell ref="AB48:AE48"/>
    <mergeCell ref="E48:AA48"/>
    <mergeCell ref="AB51:AE51"/>
    <mergeCell ref="G38:AL39"/>
    <mergeCell ref="A42:AL42"/>
    <mergeCell ref="L202:AJ203"/>
    <mergeCell ref="A188:AL188"/>
    <mergeCell ref="AC204:AE204"/>
    <mergeCell ref="E205:R205"/>
    <mergeCell ref="U205:Z205"/>
    <mergeCell ref="AG205:AL205"/>
    <mergeCell ref="B199:H199"/>
    <mergeCell ref="I199:Y199"/>
    <mergeCell ref="AB199:AK199"/>
    <mergeCell ref="B200:H200"/>
    <mergeCell ref="I200:Y200"/>
    <mergeCell ref="AB200:AK200"/>
    <mergeCell ref="B201:H201"/>
    <mergeCell ref="I201:Y201"/>
    <mergeCell ref="AB201:AK201"/>
    <mergeCell ref="B198:H198"/>
    <mergeCell ref="I198:Y198"/>
    <mergeCell ref="AB198:AK198"/>
    <mergeCell ref="B195:H195"/>
    <mergeCell ref="AF47:AK47"/>
    <mergeCell ref="AF48:AK48"/>
    <mergeCell ref="AD154:AL159"/>
    <mergeCell ref="A49:D49"/>
    <mergeCell ref="AF50:AK50"/>
    <mergeCell ref="AF51:AK51"/>
    <mergeCell ref="AF96:AK96"/>
    <mergeCell ref="AF97:AK97"/>
    <mergeCell ref="AF98:AK98"/>
    <mergeCell ref="AF99:AK99"/>
    <mergeCell ref="AB50:AE50"/>
    <mergeCell ref="L69:N69"/>
    <mergeCell ref="I70:T70"/>
    <mergeCell ref="Z70:AL70"/>
    <mergeCell ref="A73:AL73"/>
    <mergeCell ref="D72:AL72"/>
    <mergeCell ref="S69:AC69"/>
    <mergeCell ref="AI69:AL69"/>
    <mergeCell ref="E49:AA49"/>
    <mergeCell ref="AB49:AE49"/>
    <mergeCell ref="A51:D51"/>
    <mergeCell ref="G71:AL71"/>
    <mergeCell ref="A65:AL65"/>
    <mergeCell ref="Z68:AL68"/>
    <mergeCell ref="A74:AL86"/>
    <mergeCell ref="E51:AA51"/>
  </mergeCells>
  <pageMargins left="0.25" right="0.2" top="0.75" bottom="0.75" header="0.3" footer="0.3"/>
  <pageSetup orientation="portrait" horizontalDpi="4294967293" verticalDpi="1200" r:id="rId1"/>
  <headerFooter>
    <oddHeader>&amp;L&amp;G&amp;RRN Assessment
5 Page Document</oddHeader>
    <oddFooter>&amp;LINT.PS&amp;C3088 Mercer University Drive Suite 100 Atlanta, GA 30341
678-310-6305 Fax 404-935-6110&amp;RPP.M</oddFooter>
  </headerFooter>
  <rowBreaks count="3" manualBreakCount="3">
    <brk id="51" max="16383" man="1"/>
    <brk id="104" max="16383" man="1"/>
    <brk id="150"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5298" r:id="rId5" name="Button 2">
              <controlPr defaultSize="0" print="0" autoFill="0" autoPict="0" macro="[0]!ppmRnAssessment_Button2_Click">
                <anchor moveWithCells="1" sizeWithCells="1">
                  <from>
                    <xdr:col>41</xdr:col>
                    <xdr:colOff>123825</xdr:colOff>
                    <xdr:row>213</xdr:row>
                    <xdr:rowOff>0</xdr:rowOff>
                  </from>
                  <to>
                    <xdr:col>57</xdr:col>
                    <xdr:colOff>9525</xdr:colOff>
                    <xdr:row>216</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5" tint="-0.249977111117893"/>
  </sheetPr>
  <dimension ref="A1:AL48"/>
  <sheetViews>
    <sheetView showZeros="0" view="pageLayout" zoomScaleNormal="100" workbookViewId="0">
      <selection activeCell="AG12" sqref="AG12:AL12"/>
    </sheetView>
  </sheetViews>
  <sheetFormatPr defaultColWidth="2.7109375" defaultRowHeight="12.75" x14ac:dyDescent="0.2"/>
  <sheetData>
    <row r="1" spans="1:38" x14ac:dyDescent="0.2">
      <c r="AA1" s="299" t="str">
        <f>IF(MedicationFull!A28&lt;&gt;"","Page 1 of 2","")</f>
        <v/>
      </c>
      <c r="AB1" s="299"/>
      <c r="AC1" s="299"/>
      <c r="AD1" s="299"/>
      <c r="AE1" s="299"/>
      <c r="AF1" s="299"/>
      <c r="AG1" s="299"/>
      <c r="AH1" s="299"/>
      <c r="AI1" s="299"/>
      <c r="AJ1" s="299"/>
      <c r="AK1" s="299"/>
      <c r="AL1" s="299"/>
    </row>
    <row r="2" spans="1:38" x14ac:dyDescent="0.2">
      <c r="A2" t="s">
        <v>336</v>
      </c>
      <c r="F2" s="267" t="str">
        <f>_xlfn.CONCAT(Data!B2,", ",Data!B3," ",Data!B4)</f>
        <v xml:space="preserve">,  </v>
      </c>
      <c r="G2" s="267"/>
      <c r="H2" s="267"/>
      <c r="I2" s="267"/>
      <c r="J2" s="267"/>
      <c r="K2" s="267"/>
      <c r="L2" s="267"/>
      <c r="M2" s="267"/>
      <c r="N2" s="267"/>
      <c r="O2" s="267"/>
      <c r="P2" s="267"/>
      <c r="Q2" s="267"/>
      <c r="R2" s="267"/>
      <c r="S2" s="267"/>
      <c r="T2" s="267"/>
      <c r="U2" s="267"/>
      <c r="V2" s="267"/>
      <c r="W2" s="267"/>
      <c r="Y2" t="s">
        <v>371</v>
      </c>
      <c r="AA2" s="269">
        <f>Data!B14</f>
        <v>0</v>
      </c>
      <c r="AB2" s="267"/>
      <c r="AC2" s="267"/>
      <c r="AD2" s="267"/>
      <c r="AE2" s="267"/>
      <c r="AF2" s="267"/>
      <c r="AG2" s="267"/>
      <c r="AH2" s="267"/>
    </row>
    <row r="3" spans="1:38" x14ac:dyDescent="0.2">
      <c r="A3" t="s">
        <v>569</v>
      </c>
      <c r="G3" s="119"/>
      <c r="H3" s="335">
        <f>Data!B412</f>
        <v>0</v>
      </c>
      <c r="I3" s="335"/>
      <c r="J3" s="335"/>
      <c r="K3" s="335"/>
      <c r="L3" s="335"/>
      <c r="M3" s="335"/>
      <c r="N3" s="335"/>
      <c r="O3" s="335"/>
      <c r="P3" s="335"/>
      <c r="Q3" s="335"/>
      <c r="R3" s="335"/>
      <c r="S3" s="335"/>
      <c r="T3" s="335"/>
      <c r="Y3" t="s">
        <v>570</v>
      </c>
      <c r="AD3" s="267">
        <f>IF(Data!B185="Private Pay","N/A",Data!B39)</f>
        <v>0</v>
      </c>
      <c r="AE3" s="267"/>
      <c r="AF3" s="267"/>
      <c r="AG3" s="267"/>
      <c r="AH3" s="267"/>
      <c r="AI3" s="267"/>
      <c r="AJ3" s="267"/>
      <c r="AK3" s="267"/>
      <c r="AL3" s="267"/>
    </row>
    <row r="4" spans="1:38" x14ac:dyDescent="0.2">
      <c r="A4" t="s">
        <v>571</v>
      </c>
      <c r="G4" s="335">
        <f>Data!B87</f>
        <v>0</v>
      </c>
      <c r="H4" s="335"/>
      <c r="I4" s="335"/>
      <c r="J4" s="335"/>
      <c r="K4" s="335"/>
      <c r="L4" s="335"/>
      <c r="M4" s="335"/>
      <c r="N4" s="335"/>
      <c r="O4" s="335"/>
      <c r="P4" s="335"/>
      <c r="Q4" s="335"/>
      <c r="R4" t="s">
        <v>348</v>
      </c>
      <c r="U4" s="322" t="str">
        <f>Data!B93&amp;" "&amp;Data!D88</f>
        <v xml:space="preserve"> </v>
      </c>
      <c r="V4" s="322"/>
      <c r="W4" s="322"/>
      <c r="X4" s="322"/>
      <c r="Y4" s="322"/>
      <c r="Z4" s="322"/>
      <c r="AA4" s="322"/>
      <c r="AB4" s="322"/>
      <c r="AC4" t="s">
        <v>675</v>
      </c>
      <c r="AE4" s="336">
        <f>Data!B94</f>
        <v>0</v>
      </c>
      <c r="AF4" s="336"/>
      <c r="AG4" s="336"/>
      <c r="AH4" s="336"/>
      <c r="AI4" s="336"/>
      <c r="AJ4" s="336"/>
      <c r="AK4" s="336"/>
      <c r="AL4" s="336"/>
    </row>
    <row r="5" spans="1:38" x14ac:dyDescent="0.2">
      <c r="A5" t="s">
        <v>572</v>
      </c>
      <c r="G5" s="335">
        <f>Data!B409</f>
        <v>0</v>
      </c>
      <c r="H5" s="335"/>
      <c r="I5" s="335"/>
      <c r="J5" s="335"/>
      <c r="K5" s="335"/>
      <c r="L5" s="335"/>
      <c r="M5" s="335"/>
      <c r="N5" s="335"/>
      <c r="O5" s="335"/>
      <c r="P5" s="335"/>
      <c r="Q5" s="335"/>
      <c r="R5" t="s">
        <v>348</v>
      </c>
      <c r="U5" s="323">
        <f>Data!B410</f>
        <v>0</v>
      </c>
      <c r="V5" s="323"/>
      <c r="W5" s="323"/>
      <c r="X5" s="323"/>
      <c r="Y5" s="323"/>
      <c r="Z5" s="323"/>
      <c r="AA5" s="323"/>
      <c r="AB5" s="323"/>
      <c r="AC5" t="s">
        <v>675</v>
      </c>
      <c r="AE5" s="323">
        <f>Data!B411</f>
        <v>0</v>
      </c>
      <c r="AF5" s="323"/>
      <c r="AG5" s="323"/>
      <c r="AH5" s="323"/>
      <c r="AI5" s="323"/>
      <c r="AJ5" s="323"/>
      <c r="AK5" s="323"/>
      <c r="AL5" s="323"/>
    </row>
    <row r="7" spans="1:38" ht="12.75" customHeight="1" x14ac:dyDescent="0.2">
      <c r="A7" t="s">
        <v>575</v>
      </c>
      <c r="D7" s="301" t="s">
        <v>576</v>
      </c>
      <c r="E7" s="301"/>
      <c r="F7" s="301"/>
      <c r="G7" s="301"/>
      <c r="H7" s="301"/>
      <c r="I7" s="301"/>
      <c r="J7" s="15"/>
      <c r="K7" s="302" t="str">
        <f>_xlfn.CONCAT(Data!B414,IF(Data!B417=TRUE,"No Medication Allergies.",""))</f>
        <v/>
      </c>
      <c r="L7" s="302"/>
      <c r="M7" s="302"/>
      <c r="N7" s="302"/>
      <c r="O7" s="302"/>
      <c r="P7" s="302"/>
      <c r="Q7" s="302"/>
      <c r="R7" s="302"/>
      <c r="S7" s="302"/>
      <c r="T7" s="302"/>
      <c r="U7" s="302"/>
      <c r="V7" s="302"/>
      <c r="W7" s="302"/>
      <c r="X7" s="302"/>
      <c r="Y7" s="302"/>
      <c r="Z7" s="302"/>
      <c r="AA7" s="302"/>
      <c r="AB7" s="302"/>
      <c r="AC7" s="302"/>
      <c r="AD7" s="302"/>
      <c r="AE7" s="302"/>
      <c r="AF7" s="302"/>
      <c r="AG7" s="302"/>
      <c r="AH7" s="302"/>
      <c r="AI7" s="302"/>
      <c r="AJ7" s="302"/>
      <c r="AK7" s="302"/>
      <c r="AL7" s="302"/>
    </row>
    <row r="8" spans="1:38" ht="12.75" customHeight="1" x14ac:dyDescent="0.2">
      <c r="D8" s="301" t="s">
        <v>577</v>
      </c>
      <c r="E8" s="301"/>
      <c r="F8" s="301"/>
      <c r="G8" s="301"/>
      <c r="H8" s="301"/>
      <c r="I8" s="301"/>
      <c r="J8" s="15"/>
      <c r="K8" s="303" t="str">
        <f>_xlfn.CONCAT(Data!B415,IF(Data!B418=TRUE,"No Food Allergies.",""))</f>
        <v/>
      </c>
      <c r="L8" s="303"/>
      <c r="M8" s="303"/>
      <c r="N8" s="303"/>
      <c r="O8" s="303"/>
      <c r="P8" s="303"/>
      <c r="Q8" s="303"/>
      <c r="R8" s="303"/>
      <c r="S8" s="303"/>
      <c r="T8" s="303"/>
      <c r="U8" s="303"/>
      <c r="V8" s="303"/>
      <c r="W8" s="303"/>
      <c r="X8" s="303"/>
      <c r="Y8" s="303"/>
      <c r="Z8" s="303"/>
      <c r="AA8" s="303"/>
      <c r="AB8" s="303"/>
      <c r="AC8" s="303"/>
      <c r="AD8" s="303"/>
      <c r="AE8" s="303"/>
      <c r="AF8" s="303"/>
      <c r="AG8" s="303"/>
      <c r="AH8" s="303"/>
      <c r="AI8" s="303"/>
      <c r="AJ8" s="303"/>
      <c r="AK8" s="303"/>
      <c r="AL8" s="303"/>
    </row>
    <row r="9" spans="1:38" ht="12.75" customHeight="1" x14ac:dyDescent="0.2">
      <c r="D9" s="301" t="s">
        <v>578</v>
      </c>
      <c r="E9" s="301"/>
      <c r="F9" s="301"/>
      <c r="G9" s="301"/>
      <c r="H9" s="301"/>
      <c r="I9" s="301"/>
      <c r="J9" s="15"/>
      <c r="K9" s="264" t="str">
        <f>_xlfn.CONCAT(Data!B416,IF(Data!B419=TRUE,"No Environmental Allergies",""))</f>
        <v/>
      </c>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4"/>
    </row>
    <row r="10" spans="1:38" x14ac:dyDescent="0.2">
      <c r="A10" s="261" t="s">
        <v>2888</v>
      </c>
      <c r="B10" s="261"/>
      <c r="C10" s="261"/>
      <c r="D10" s="261"/>
      <c r="E10" s="261"/>
      <c r="F10" s="261"/>
      <c r="G10" s="261"/>
      <c r="H10" s="261"/>
      <c r="I10" s="261"/>
      <c r="J10" s="261"/>
      <c r="K10" s="261"/>
      <c r="L10" s="261"/>
      <c r="M10" s="261"/>
      <c r="N10" s="261"/>
      <c r="O10" s="261"/>
      <c r="P10" s="261"/>
      <c r="Q10" s="261"/>
      <c r="R10" s="261"/>
      <c r="S10" s="261"/>
      <c r="T10" s="261"/>
      <c r="U10" s="261"/>
      <c r="V10" s="261"/>
      <c r="W10" s="261"/>
      <c r="X10" s="261"/>
      <c r="Y10" s="261"/>
      <c r="Z10" s="261"/>
      <c r="AA10" s="261"/>
      <c r="AB10" s="261"/>
      <c r="AC10" s="261"/>
      <c r="AD10" s="261"/>
      <c r="AE10" s="261"/>
      <c r="AF10" s="261"/>
      <c r="AG10" s="261"/>
      <c r="AH10" s="261"/>
      <c r="AI10" s="261"/>
      <c r="AJ10" s="261"/>
      <c r="AK10" s="261"/>
      <c r="AL10" s="261"/>
    </row>
    <row r="11" spans="1:38" x14ac:dyDescent="0.2">
      <c r="C11" s="287" t="s">
        <v>155</v>
      </c>
      <c r="D11" s="288"/>
      <c r="E11" s="288"/>
      <c r="F11" s="288"/>
      <c r="G11" s="288"/>
      <c r="H11" s="288"/>
      <c r="I11" s="288"/>
      <c r="J11" s="288"/>
      <c r="K11" s="288"/>
      <c r="L11" s="288"/>
      <c r="M11" s="288"/>
      <c r="N11" s="289"/>
      <c r="O11" s="287" t="s">
        <v>156</v>
      </c>
      <c r="P11" s="288"/>
      <c r="Q11" s="288"/>
      <c r="R11" s="289"/>
      <c r="S11" s="287" t="s">
        <v>110</v>
      </c>
      <c r="T11" s="288"/>
      <c r="U11" s="288"/>
      <c r="V11" s="289"/>
      <c r="W11" s="287" t="s">
        <v>157</v>
      </c>
      <c r="X11" s="288"/>
      <c r="Y11" s="288"/>
      <c r="Z11" s="289"/>
      <c r="AA11" s="287" t="s">
        <v>158</v>
      </c>
      <c r="AB11" s="288"/>
      <c r="AC11" s="289"/>
      <c r="AD11" s="254" t="s">
        <v>2887</v>
      </c>
      <c r="AE11" s="254"/>
      <c r="AF11" s="254"/>
      <c r="AG11" s="254" t="s">
        <v>102</v>
      </c>
      <c r="AH11" s="254"/>
      <c r="AI11" s="254"/>
      <c r="AJ11" s="254"/>
      <c r="AK11" s="254"/>
      <c r="AL11" s="254"/>
    </row>
    <row r="12" spans="1:38" x14ac:dyDescent="0.2">
      <c r="A12" s="240">
        <v>1</v>
      </c>
      <c r="B12" s="240"/>
      <c r="C12" s="324">
        <f>MedicationFull!A3</f>
        <v>0</v>
      </c>
      <c r="D12" s="325"/>
      <c r="E12" s="325"/>
      <c r="F12" s="325"/>
      <c r="G12" s="325"/>
      <c r="H12" s="325"/>
      <c r="I12" s="325"/>
      <c r="J12" s="325"/>
      <c r="K12" s="325"/>
      <c r="L12" s="325"/>
      <c r="M12" s="325"/>
      <c r="N12" s="326"/>
      <c r="O12" s="324">
        <f>MedicationFull!B3</f>
        <v>0</v>
      </c>
      <c r="P12" s="325"/>
      <c r="Q12" s="325"/>
      <c r="R12" s="326"/>
      <c r="S12" s="324" t="str">
        <f>UPPER(MedicationFull!C3)</f>
        <v/>
      </c>
      <c r="T12" s="325"/>
      <c r="U12" s="325"/>
      <c r="V12" s="326"/>
      <c r="W12" s="324" t="str">
        <f>UPPER(MedicationFull!D3)</f>
        <v/>
      </c>
      <c r="X12" s="325"/>
      <c r="Y12" s="325"/>
      <c r="Z12" s="326"/>
      <c r="AA12" s="324" t="str">
        <f>UPPER(MedicationFull!E3)</f>
        <v/>
      </c>
      <c r="AB12" s="325"/>
      <c r="AC12" s="326"/>
      <c r="AD12" s="329" t="str">
        <f>IF(MedicationFull!F3="New","N","")&amp;IF(MedicationFull!F3="Current","CU","")&amp;IF(MedicationFull!F3="Change","CH","")&amp;IF(MedicationFull!F3="Discontinued","DX","")</f>
        <v/>
      </c>
      <c r="AE12" s="329"/>
      <c r="AF12" s="329"/>
      <c r="AG12" s="328">
        <f>MedicationFull!G3</f>
        <v>0</v>
      </c>
      <c r="AH12" s="328"/>
      <c r="AI12" s="328"/>
      <c r="AJ12" s="328"/>
      <c r="AK12" s="328"/>
      <c r="AL12" s="328"/>
    </row>
    <row r="13" spans="1:38" x14ac:dyDescent="0.2">
      <c r="A13" s="240">
        <f>SUM(A12+1)</f>
        <v>2</v>
      </c>
      <c r="B13" s="240"/>
      <c r="C13" s="324">
        <f>MedicationFull!A4</f>
        <v>0</v>
      </c>
      <c r="D13" s="325"/>
      <c r="E13" s="325"/>
      <c r="F13" s="325"/>
      <c r="G13" s="325"/>
      <c r="H13" s="325"/>
      <c r="I13" s="325"/>
      <c r="J13" s="325"/>
      <c r="K13" s="325"/>
      <c r="L13" s="325"/>
      <c r="M13" s="325"/>
      <c r="N13" s="326"/>
      <c r="O13" s="324">
        <f>MedicationFull!B4</f>
        <v>0</v>
      </c>
      <c r="P13" s="325"/>
      <c r="Q13" s="325"/>
      <c r="R13" s="326"/>
      <c r="S13" s="324" t="str">
        <f>UPPER(MedicationFull!C4)</f>
        <v/>
      </c>
      <c r="T13" s="325"/>
      <c r="U13" s="325"/>
      <c r="V13" s="326"/>
      <c r="W13" s="324" t="str">
        <f>UPPER(MedicationFull!D4)</f>
        <v/>
      </c>
      <c r="X13" s="325"/>
      <c r="Y13" s="325"/>
      <c r="Z13" s="326"/>
      <c r="AA13" s="324" t="str">
        <f>UPPER(MedicationFull!E4)</f>
        <v/>
      </c>
      <c r="AB13" s="325"/>
      <c r="AC13" s="326"/>
      <c r="AD13" s="329" t="str">
        <f>IF(MedicationFull!F4="New","N","")&amp;IF(MedicationFull!F4="Current","CU","")&amp;IF(MedicationFull!F4="Change","CH","")&amp;IF(MedicationFull!F4="Discontinued","DX","")</f>
        <v/>
      </c>
      <c r="AE13" s="329"/>
      <c r="AF13" s="329"/>
      <c r="AG13" s="328">
        <f>MedicationFull!G4</f>
        <v>0</v>
      </c>
      <c r="AH13" s="328"/>
      <c r="AI13" s="328"/>
      <c r="AJ13" s="328"/>
      <c r="AK13" s="328"/>
      <c r="AL13" s="328"/>
    </row>
    <row r="14" spans="1:38" x14ac:dyDescent="0.2">
      <c r="A14" s="240">
        <f t="shared" ref="A14:A36" si="0">SUM(A13+1)</f>
        <v>3</v>
      </c>
      <c r="B14" s="240"/>
      <c r="C14" s="324">
        <f>MedicationFull!A5</f>
        <v>0</v>
      </c>
      <c r="D14" s="325"/>
      <c r="E14" s="325"/>
      <c r="F14" s="325"/>
      <c r="G14" s="325"/>
      <c r="H14" s="325"/>
      <c r="I14" s="325"/>
      <c r="J14" s="325"/>
      <c r="K14" s="325"/>
      <c r="L14" s="325"/>
      <c r="M14" s="325"/>
      <c r="N14" s="326"/>
      <c r="O14" s="324">
        <f>MedicationFull!B5</f>
        <v>0</v>
      </c>
      <c r="P14" s="325"/>
      <c r="Q14" s="325"/>
      <c r="R14" s="326"/>
      <c r="S14" s="324" t="str">
        <f>UPPER(MedicationFull!C5)</f>
        <v/>
      </c>
      <c r="T14" s="325"/>
      <c r="U14" s="325"/>
      <c r="V14" s="326"/>
      <c r="W14" s="324" t="str">
        <f>UPPER(MedicationFull!D5)</f>
        <v/>
      </c>
      <c r="X14" s="325"/>
      <c r="Y14" s="325"/>
      <c r="Z14" s="326"/>
      <c r="AA14" s="324" t="str">
        <f>UPPER(MedicationFull!E5)</f>
        <v/>
      </c>
      <c r="AB14" s="325"/>
      <c r="AC14" s="326"/>
      <c r="AD14" s="329" t="str">
        <f>IF(MedicationFull!F5="New","N","")&amp;IF(MedicationFull!F5="Current","CU","")&amp;IF(MedicationFull!F5="Change","CH","")&amp;IF(MedicationFull!F5="Discontinued","DX","")</f>
        <v/>
      </c>
      <c r="AE14" s="329"/>
      <c r="AF14" s="329"/>
      <c r="AG14" s="328">
        <f>MedicationFull!G5</f>
        <v>0</v>
      </c>
      <c r="AH14" s="328"/>
      <c r="AI14" s="328"/>
      <c r="AJ14" s="328"/>
      <c r="AK14" s="328"/>
      <c r="AL14" s="328"/>
    </row>
    <row r="15" spans="1:38" x14ac:dyDescent="0.2">
      <c r="A15" s="240">
        <f t="shared" si="0"/>
        <v>4</v>
      </c>
      <c r="B15" s="240"/>
      <c r="C15" s="324">
        <f>MedicationFull!A6</f>
        <v>0</v>
      </c>
      <c r="D15" s="325"/>
      <c r="E15" s="325"/>
      <c r="F15" s="325"/>
      <c r="G15" s="325"/>
      <c r="H15" s="325"/>
      <c r="I15" s="325"/>
      <c r="J15" s="325"/>
      <c r="K15" s="325"/>
      <c r="L15" s="325"/>
      <c r="M15" s="325"/>
      <c r="N15" s="326"/>
      <c r="O15" s="324">
        <f>MedicationFull!B6</f>
        <v>0</v>
      </c>
      <c r="P15" s="325"/>
      <c r="Q15" s="325"/>
      <c r="R15" s="326"/>
      <c r="S15" s="324" t="str">
        <f>UPPER(MedicationFull!C6)</f>
        <v/>
      </c>
      <c r="T15" s="325"/>
      <c r="U15" s="325"/>
      <c r="V15" s="326"/>
      <c r="W15" s="324" t="str">
        <f>UPPER(MedicationFull!D6)</f>
        <v/>
      </c>
      <c r="X15" s="325"/>
      <c r="Y15" s="325"/>
      <c r="Z15" s="326"/>
      <c r="AA15" s="324" t="str">
        <f>UPPER(MedicationFull!E6)</f>
        <v/>
      </c>
      <c r="AB15" s="325"/>
      <c r="AC15" s="326"/>
      <c r="AD15" s="329" t="str">
        <f>IF(MedicationFull!F6="New","N","")&amp;IF(MedicationFull!F6="Current","CU","")&amp;IF(MedicationFull!F6="Change","CH","")&amp;IF(MedicationFull!F6="Discontinued","DX","")</f>
        <v/>
      </c>
      <c r="AE15" s="329"/>
      <c r="AF15" s="329"/>
      <c r="AG15" s="328">
        <f>MedicationFull!G6</f>
        <v>0</v>
      </c>
      <c r="AH15" s="328"/>
      <c r="AI15" s="328"/>
      <c r="AJ15" s="328"/>
      <c r="AK15" s="328"/>
      <c r="AL15" s="328"/>
    </row>
    <row r="16" spans="1:38" x14ac:dyDescent="0.2">
      <c r="A16" s="240">
        <f t="shared" si="0"/>
        <v>5</v>
      </c>
      <c r="B16" s="240"/>
      <c r="C16" s="324">
        <f>MedicationFull!A7</f>
        <v>0</v>
      </c>
      <c r="D16" s="325"/>
      <c r="E16" s="325"/>
      <c r="F16" s="325"/>
      <c r="G16" s="325"/>
      <c r="H16" s="325"/>
      <c r="I16" s="325"/>
      <c r="J16" s="325"/>
      <c r="K16" s="325"/>
      <c r="L16" s="325"/>
      <c r="M16" s="325"/>
      <c r="N16" s="326"/>
      <c r="O16" s="324">
        <f>MedicationFull!B7</f>
        <v>0</v>
      </c>
      <c r="P16" s="325"/>
      <c r="Q16" s="325"/>
      <c r="R16" s="326"/>
      <c r="S16" s="324" t="str">
        <f>UPPER(MedicationFull!C7)</f>
        <v/>
      </c>
      <c r="T16" s="325"/>
      <c r="U16" s="325"/>
      <c r="V16" s="326"/>
      <c r="W16" s="324" t="str">
        <f>UPPER(MedicationFull!D7)</f>
        <v/>
      </c>
      <c r="X16" s="325"/>
      <c r="Y16" s="325"/>
      <c r="Z16" s="326"/>
      <c r="AA16" s="324" t="str">
        <f>UPPER(MedicationFull!E7)</f>
        <v/>
      </c>
      <c r="AB16" s="325"/>
      <c r="AC16" s="326"/>
      <c r="AD16" s="329" t="str">
        <f>IF(MedicationFull!F7="New","N","")&amp;IF(MedicationFull!F7="Current","CU","")&amp;IF(MedicationFull!F7="Change","CH","")&amp;IF(MedicationFull!F7="Discontinued","DX","")</f>
        <v/>
      </c>
      <c r="AE16" s="329"/>
      <c r="AF16" s="329"/>
      <c r="AG16" s="328">
        <f>MedicationFull!G7</f>
        <v>0</v>
      </c>
      <c r="AH16" s="328"/>
      <c r="AI16" s="328"/>
      <c r="AJ16" s="328"/>
      <c r="AK16" s="328"/>
      <c r="AL16" s="328"/>
    </row>
    <row r="17" spans="1:38" x14ac:dyDescent="0.2">
      <c r="A17" s="240">
        <f t="shared" si="0"/>
        <v>6</v>
      </c>
      <c r="B17" s="240"/>
      <c r="C17" s="324">
        <f>MedicationFull!A8</f>
        <v>0</v>
      </c>
      <c r="D17" s="325"/>
      <c r="E17" s="325"/>
      <c r="F17" s="325"/>
      <c r="G17" s="325"/>
      <c r="H17" s="325"/>
      <c r="I17" s="325"/>
      <c r="J17" s="325"/>
      <c r="K17" s="325"/>
      <c r="L17" s="325"/>
      <c r="M17" s="325"/>
      <c r="N17" s="326"/>
      <c r="O17" s="324">
        <f>MedicationFull!B8</f>
        <v>0</v>
      </c>
      <c r="P17" s="325"/>
      <c r="Q17" s="325"/>
      <c r="R17" s="326"/>
      <c r="S17" s="324" t="str">
        <f>UPPER(MedicationFull!C8)</f>
        <v/>
      </c>
      <c r="T17" s="325"/>
      <c r="U17" s="325"/>
      <c r="V17" s="326"/>
      <c r="W17" s="324" t="str">
        <f>UPPER(MedicationFull!D8)</f>
        <v/>
      </c>
      <c r="X17" s="325"/>
      <c r="Y17" s="325"/>
      <c r="Z17" s="326"/>
      <c r="AA17" s="324" t="str">
        <f>UPPER(MedicationFull!E8)</f>
        <v/>
      </c>
      <c r="AB17" s="325"/>
      <c r="AC17" s="326"/>
      <c r="AD17" s="329" t="str">
        <f>IF(MedicationFull!F8="New","N","")&amp;IF(MedicationFull!F8="Current","CU","")&amp;IF(MedicationFull!F8="Change","CH","")&amp;IF(MedicationFull!F8="Discontinued","DX","")</f>
        <v/>
      </c>
      <c r="AE17" s="329"/>
      <c r="AF17" s="329"/>
      <c r="AG17" s="328">
        <f>MedicationFull!G8</f>
        <v>0</v>
      </c>
      <c r="AH17" s="328"/>
      <c r="AI17" s="328"/>
      <c r="AJ17" s="328"/>
      <c r="AK17" s="328"/>
      <c r="AL17" s="328"/>
    </row>
    <row r="18" spans="1:38" x14ac:dyDescent="0.2">
      <c r="A18" s="240">
        <f t="shared" si="0"/>
        <v>7</v>
      </c>
      <c r="B18" s="240"/>
      <c r="C18" s="324">
        <f>MedicationFull!A9</f>
        <v>0</v>
      </c>
      <c r="D18" s="325"/>
      <c r="E18" s="325"/>
      <c r="F18" s="325"/>
      <c r="G18" s="325"/>
      <c r="H18" s="325"/>
      <c r="I18" s="325"/>
      <c r="J18" s="325"/>
      <c r="K18" s="325"/>
      <c r="L18" s="325"/>
      <c r="M18" s="325"/>
      <c r="N18" s="326"/>
      <c r="O18" s="324">
        <f>MedicationFull!B9</f>
        <v>0</v>
      </c>
      <c r="P18" s="325"/>
      <c r="Q18" s="325"/>
      <c r="R18" s="326"/>
      <c r="S18" s="324" t="str">
        <f>UPPER(MedicationFull!C9)</f>
        <v/>
      </c>
      <c r="T18" s="325"/>
      <c r="U18" s="325"/>
      <c r="V18" s="326"/>
      <c r="W18" s="324" t="str">
        <f>UPPER(MedicationFull!D9)</f>
        <v/>
      </c>
      <c r="X18" s="325"/>
      <c r="Y18" s="325"/>
      <c r="Z18" s="326"/>
      <c r="AA18" s="324" t="str">
        <f>UPPER(MedicationFull!E9)</f>
        <v/>
      </c>
      <c r="AB18" s="325"/>
      <c r="AC18" s="326"/>
      <c r="AD18" s="329" t="str">
        <f>IF(MedicationFull!F9="New","N","")&amp;IF(MedicationFull!F9="Current","CU","")&amp;IF(MedicationFull!F9="Change","CH","")&amp;IF(MedicationFull!F9="Discontinued","DX","")</f>
        <v/>
      </c>
      <c r="AE18" s="329"/>
      <c r="AF18" s="329"/>
      <c r="AG18" s="328">
        <f>MedicationFull!G9</f>
        <v>0</v>
      </c>
      <c r="AH18" s="328"/>
      <c r="AI18" s="328"/>
      <c r="AJ18" s="328"/>
      <c r="AK18" s="328"/>
      <c r="AL18" s="328"/>
    </row>
    <row r="19" spans="1:38" x14ac:dyDescent="0.2">
      <c r="A19" s="240">
        <f t="shared" si="0"/>
        <v>8</v>
      </c>
      <c r="B19" s="240"/>
      <c r="C19" s="324">
        <f>MedicationFull!A10</f>
        <v>0</v>
      </c>
      <c r="D19" s="325"/>
      <c r="E19" s="325"/>
      <c r="F19" s="325"/>
      <c r="G19" s="325"/>
      <c r="H19" s="325"/>
      <c r="I19" s="325"/>
      <c r="J19" s="325"/>
      <c r="K19" s="325"/>
      <c r="L19" s="325"/>
      <c r="M19" s="325"/>
      <c r="N19" s="326"/>
      <c r="O19" s="324">
        <f>MedicationFull!B10</f>
        <v>0</v>
      </c>
      <c r="P19" s="325"/>
      <c r="Q19" s="325"/>
      <c r="R19" s="326"/>
      <c r="S19" s="324" t="str">
        <f>UPPER(MedicationFull!C10)</f>
        <v/>
      </c>
      <c r="T19" s="325"/>
      <c r="U19" s="325"/>
      <c r="V19" s="326"/>
      <c r="W19" s="324" t="str">
        <f>UPPER(MedicationFull!D10)</f>
        <v/>
      </c>
      <c r="X19" s="325"/>
      <c r="Y19" s="325"/>
      <c r="Z19" s="326"/>
      <c r="AA19" s="324" t="str">
        <f>UPPER(MedicationFull!E10)</f>
        <v/>
      </c>
      <c r="AB19" s="325"/>
      <c r="AC19" s="326"/>
      <c r="AD19" s="329" t="str">
        <f>IF(MedicationFull!F10="New","N","")&amp;IF(MedicationFull!F10="Current","CU","")&amp;IF(MedicationFull!F10="Change","CH","")&amp;IF(MedicationFull!F10="Discontinued","DX","")</f>
        <v/>
      </c>
      <c r="AE19" s="329"/>
      <c r="AF19" s="329"/>
      <c r="AG19" s="328">
        <f>MedicationFull!G10</f>
        <v>0</v>
      </c>
      <c r="AH19" s="328"/>
      <c r="AI19" s="328"/>
      <c r="AJ19" s="328"/>
      <c r="AK19" s="328"/>
      <c r="AL19" s="328"/>
    </row>
    <row r="20" spans="1:38" x14ac:dyDescent="0.2">
      <c r="A20" s="240">
        <f t="shared" si="0"/>
        <v>9</v>
      </c>
      <c r="B20" s="240"/>
      <c r="C20" s="324">
        <f>MedicationFull!A11</f>
        <v>0</v>
      </c>
      <c r="D20" s="325"/>
      <c r="E20" s="325"/>
      <c r="F20" s="325"/>
      <c r="G20" s="325"/>
      <c r="H20" s="325"/>
      <c r="I20" s="325"/>
      <c r="J20" s="325"/>
      <c r="K20" s="325"/>
      <c r="L20" s="325"/>
      <c r="M20" s="325"/>
      <c r="N20" s="326"/>
      <c r="O20" s="324">
        <f>MedicationFull!B11</f>
        <v>0</v>
      </c>
      <c r="P20" s="325"/>
      <c r="Q20" s="325"/>
      <c r="R20" s="326"/>
      <c r="S20" s="324" t="str">
        <f>UPPER(MedicationFull!C11)</f>
        <v/>
      </c>
      <c r="T20" s="325"/>
      <c r="U20" s="325"/>
      <c r="V20" s="326"/>
      <c r="W20" s="324" t="str">
        <f>UPPER(MedicationFull!D11)</f>
        <v/>
      </c>
      <c r="X20" s="325"/>
      <c r="Y20" s="325"/>
      <c r="Z20" s="326"/>
      <c r="AA20" s="324" t="str">
        <f>UPPER(MedicationFull!E11)</f>
        <v/>
      </c>
      <c r="AB20" s="325"/>
      <c r="AC20" s="326"/>
      <c r="AD20" s="329" t="str">
        <f>IF(MedicationFull!F11="New","N","")&amp;IF(MedicationFull!F11="Current","CU","")&amp;IF(MedicationFull!F11="Change","CH","")&amp;IF(MedicationFull!F11="Discontinued","DX","")</f>
        <v/>
      </c>
      <c r="AE20" s="329"/>
      <c r="AF20" s="329"/>
      <c r="AG20" s="328">
        <f>MedicationFull!G11</f>
        <v>0</v>
      </c>
      <c r="AH20" s="328"/>
      <c r="AI20" s="328"/>
      <c r="AJ20" s="328"/>
      <c r="AK20" s="328"/>
      <c r="AL20" s="328"/>
    </row>
    <row r="21" spans="1:38" x14ac:dyDescent="0.2">
      <c r="A21" s="240">
        <f t="shared" si="0"/>
        <v>10</v>
      </c>
      <c r="B21" s="240"/>
      <c r="C21" s="324">
        <f>MedicationFull!A12</f>
        <v>0</v>
      </c>
      <c r="D21" s="325"/>
      <c r="E21" s="325"/>
      <c r="F21" s="325"/>
      <c r="G21" s="325"/>
      <c r="H21" s="325"/>
      <c r="I21" s="325"/>
      <c r="J21" s="325"/>
      <c r="K21" s="325"/>
      <c r="L21" s="325"/>
      <c r="M21" s="325"/>
      <c r="N21" s="326"/>
      <c r="O21" s="324">
        <f>MedicationFull!B12</f>
        <v>0</v>
      </c>
      <c r="P21" s="325"/>
      <c r="Q21" s="325"/>
      <c r="R21" s="326"/>
      <c r="S21" s="324" t="str">
        <f>UPPER(MedicationFull!C12)</f>
        <v/>
      </c>
      <c r="T21" s="325"/>
      <c r="U21" s="325"/>
      <c r="V21" s="326"/>
      <c r="W21" s="324" t="str">
        <f>UPPER(MedicationFull!D12)</f>
        <v/>
      </c>
      <c r="X21" s="325"/>
      <c r="Y21" s="325"/>
      <c r="Z21" s="326"/>
      <c r="AA21" s="324" t="str">
        <f>UPPER(MedicationFull!E12)</f>
        <v/>
      </c>
      <c r="AB21" s="325"/>
      <c r="AC21" s="326"/>
      <c r="AD21" s="329" t="str">
        <f>IF(MedicationFull!F12="New","N","")&amp;IF(MedicationFull!F12="Current","CU","")&amp;IF(MedicationFull!F12="Change","CH","")&amp;IF(MedicationFull!F12="Discontinued","DX","")</f>
        <v/>
      </c>
      <c r="AE21" s="329"/>
      <c r="AF21" s="329"/>
      <c r="AG21" s="328">
        <f>MedicationFull!G12</f>
        <v>0</v>
      </c>
      <c r="AH21" s="328"/>
      <c r="AI21" s="328"/>
      <c r="AJ21" s="328"/>
      <c r="AK21" s="328"/>
      <c r="AL21" s="328"/>
    </row>
    <row r="22" spans="1:38" x14ac:dyDescent="0.2">
      <c r="A22" s="240">
        <f t="shared" si="0"/>
        <v>11</v>
      </c>
      <c r="B22" s="240"/>
      <c r="C22" s="324">
        <f>MedicationFull!A13</f>
        <v>0</v>
      </c>
      <c r="D22" s="325"/>
      <c r="E22" s="325"/>
      <c r="F22" s="325"/>
      <c r="G22" s="325"/>
      <c r="H22" s="325"/>
      <c r="I22" s="325"/>
      <c r="J22" s="325"/>
      <c r="K22" s="325"/>
      <c r="L22" s="325"/>
      <c r="M22" s="325"/>
      <c r="N22" s="326"/>
      <c r="O22" s="324">
        <f>MedicationFull!B13</f>
        <v>0</v>
      </c>
      <c r="P22" s="325"/>
      <c r="Q22" s="325"/>
      <c r="R22" s="326"/>
      <c r="S22" s="324" t="str">
        <f>UPPER(MedicationFull!C13)</f>
        <v/>
      </c>
      <c r="T22" s="325"/>
      <c r="U22" s="325"/>
      <c r="V22" s="326"/>
      <c r="W22" s="324" t="str">
        <f>UPPER(MedicationFull!D13)</f>
        <v/>
      </c>
      <c r="X22" s="325"/>
      <c r="Y22" s="325"/>
      <c r="Z22" s="326"/>
      <c r="AA22" s="324" t="str">
        <f>UPPER(MedicationFull!E13)</f>
        <v/>
      </c>
      <c r="AB22" s="325"/>
      <c r="AC22" s="326"/>
      <c r="AD22" s="329" t="str">
        <f>IF(MedicationFull!F13="New","N","")&amp;IF(MedicationFull!F13="Current","CU","")&amp;IF(MedicationFull!F13="Change","CH","")&amp;IF(MedicationFull!F13="Discontinued","DX","")</f>
        <v/>
      </c>
      <c r="AE22" s="329"/>
      <c r="AF22" s="329"/>
      <c r="AG22" s="328">
        <f>MedicationFull!G13</f>
        <v>0</v>
      </c>
      <c r="AH22" s="328"/>
      <c r="AI22" s="328"/>
      <c r="AJ22" s="328"/>
      <c r="AK22" s="328"/>
      <c r="AL22" s="328"/>
    </row>
    <row r="23" spans="1:38" x14ac:dyDescent="0.2">
      <c r="A23" s="240">
        <f t="shared" si="0"/>
        <v>12</v>
      </c>
      <c r="B23" s="240"/>
      <c r="C23" s="324">
        <f>MedicationFull!A14</f>
        <v>0</v>
      </c>
      <c r="D23" s="325"/>
      <c r="E23" s="325"/>
      <c r="F23" s="325"/>
      <c r="G23" s="325"/>
      <c r="H23" s="325"/>
      <c r="I23" s="325"/>
      <c r="J23" s="325"/>
      <c r="K23" s="325"/>
      <c r="L23" s="325"/>
      <c r="M23" s="325"/>
      <c r="N23" s="326"/>
      <c r="O23" s="324">
        <f>MedicationFull!B14</f>
        <v>0</v>
      </c>
      <c r="P23" s="325"/>
      <c r="Q23" s="325"/>
      <c r="R23" s="326"/>
      <c r="S23" s="324" t="str">
        <f>UPPER(MedicationFull!C14)</f>
        <v/>
      </c>
      <c r="T23" s="325"/>
      <c r="U23" s="325"/>
      <c r="V23" s="326"/>
      <c r="W23" s="324" t="str">
        <f>UPPER(MedicationFull!D14)</f>
        <v/>
      </c>
      <c r="X23" s="325"/>
      <c r="Y23" s="325"/>
      <c r="Z23" s="326"/>
      <c r="AA23" s="324" t="str">
        <f>UPPER(MedicationFull!E14)</f>
        <v/>
      </c>
      <c r="AB23" s="325"/>
      <c r="AC23" s="326"/>
      <c r="AD23" s="329" t="str">
        <f>IF(MedicationFull!F14="New","N","")&amp;IF(MedicationFull!F14="Current","CU","")&amp;IF(MedicationFull!F14="Change","CH","")&amp;IF(MedicationFull!F14="Discontinued","DX","")</f>
        <v/>
      </c>
      <c r="AE23" s="329"/>
      <c r="AF23" s="329"/>
      <c r="AG23" s="328">
        <f>MedicationFull!G14</f>
        <v>0</v>
      </c>
      <c r="AH23" s="328"/>
      <c r="AI23" s="328"/>
      <c r="AJ23" s="328"/>
      <c r="AK23" s="328"/>
      <c r="AL23" s="328"/>
    </row>
    <row r="24" spans="1:38" x14ac:dyDescent="0.2">
      <c r="A24" s="240">
        <f t="shared" si="0"/>
        <v>13</v>
      </c>
      <c r="B24" s="240"/>
      <c r="C24" s="324">
        <f>MedicationFull!A15</f>
        <v>0</v>
      </c>
      <c r="D24" s="325"/>
      <c r="E24" s="325"/>
      <c r="F24" s="325"/>
      <c r="G24" s="325"/>
      <c r="H24" s="325"/>
      <c r="I24" s="325"/>
      <c r="J24" s="325"/>
      <c r="K24" s="325"/>
      <c r="L24" s="325"/>
      <c r="M24" s="325"/>
      <c r="N24" s="326"/>
      <c r="O24" s="324">
        <f>MedicationFull!B15</f>
        <v>0</v>
      </c>
      <c r="P24" s="325"/>
      <c r="Q24" s="325"/>
      <c r="R24" s="326"/>
      <c r="S24" s="324" t="str">
        <f>UPPER(MedicationFull!C15)</f>
        <v/>
      </c>
      <c r="T24" s="325"/>
      <c r="U24" s="325"/>
      <c r="V24" s="326"/>
      <c r="W24" s="324" t="str">
        <f>UPPER(MedicationFull!D15)</f>
        <v/>
      </c>
      <c r="X24" s="325"/>
      <c r="Y24" s="325"/>
      <c r="Z24" s="326"/>
      <c r="AA24" s="324" t="str">
        <f>UPPER(MedicationFull!E15)</f>
        <v/>
      </c>
      <c r="AB24" s="325"/>
      <c r="AC24" s="326"/>
      <c r="AD24" s="329" t="str">
        <f>IF(MedicationFull!F15="New","N","")&amp;IF(MedicationFull!F15="Current","CU","")&amp;IF(MedicationFull!F15="Change","CH","")&amp;IF(MedicationFull!F15="Discontinued","DX","")</f>
        <v/>
      </c>
      <c r="AE24" s="329"/>
      <c r="AF24" s="329"/>
      <c r="AG24" s="328">
        <f>MedicationFull!G15</f>
        <v>0</v>
      </c>
      <c r="AH24" s="328"/>
      <c r="AI24" s="328"/>
      <c r="AJ24" s="328"/>
      <c r="AK24" s="328"/>
      <c r="AL24" s="328"/>
    </row>
    <row r="25" spans="1:38" x14ac:dyDescent="0.2">
      <c r="A25" s="240">
        <f t="shared" si="0"/>
        <v>14</v>
      </c>
      <c r="B25" s="240"/>
      <c r="C25" s="324">
        <f>MedicationFull!A16</f>
        <v>0</v>
      </c>
      <c r="D25" s="325"/>
      <c r="E25" s="325"/>
      <c r="F25" s="325"/>
      <c r="G25" s="325"/>
      <c r="H25" s="325"/>
      <c r="I25" s="325"/>
      <c r="J25" s="325"/>
      <c r="K25" s="325"/>
      <c r="L25" s="325"/>
      <c r="M25" s="325"/>
      <c r="N25" s="326"/>
      <c r="O25" s="324">
        <f>MedicationFull!B16</f>
        <v>0</v>
      </c>
      <c r="P25" s="325"/>
      <c r="Q25" s="325"/>
      <c r="R25" s="326"/>
      <c r="S25" s="324" t="str">
        <f>UPPER(MedicationFull!C16)</f>
        <v/>
      </c>
      <c r="T25" s="325"/>
      <c r="U25" s="325"/>
      <c r="V25" s="326"/>
      <c r="W25" s="324" t="str">
        <f>UPPER(MedicationFull!D16)</f>
        <v/>
      </c>
      <c r="X25" s="325"/>
      <c r="Y25" s="325"/>
      <c r="Z25" s="326"/>
      <c r="AA25" s="324" t="str">
        <f>UPPER(MedicationFull!E16)</f>
        <v/>
      </c>
      <c r="AB25" s="325"/>
      <c r="AC25" s="326"/>
      <c r="AD25" s="329" t="str">
        <f>IF(MedicationFull!F16="New","N","")&amp;IF(MedicationFull!F16="Current","CU","")&amp;IF(MedicationFull!F16="Change","CH","")&amp;IF(MedicationFull!F16="Discontinued","DX","")</f>
        <v/>
      </c>
      <c r="AE25" s="329"/>
      <c r="AF25" s="329"/>
      <c r="AG25" s="328">
        <f>MedicationFull!G16</f>
        <v>0</v>
      </c>
      <c r="AH25" s="328"/>
      <c r="AI25" s="328"/>
      <c r="AJ25" s="328"/>
      <c r="AK25" s="328"/>
      <c r="AL25" s="328"/>
    </row>
    <row r="26" spans="1:38" x14ac:dyDescent="0.2">
      <c r="A26" s="240">
        <f t="shared" si="0"/>
        <v>15</v>
      </c>
      <c r="B26" s="240"/>
      <c r="C26" s="324">
        <f>MedicationFull!A17</f>
        <v>0</v>
      </c>
      <c r="D26" s="325"/>
      <c r="E26" s="325"/>
      <c r="F26" s="325"/>
      <c r="G26" s="325"/>
      <c r="H26" s="325"/>
      <c r="I26" s="325"/>
      <c r="J26" s="325"/>
      <c r="K26" s="325"/>
      <c r="L26" s="325"/>
      <c r="M26" s="325"/>
      <c r="N26" s="326"/>
      <c r="O26" s="327">
        <f>MedicationFull!B17</f>
        <v>0</v>
      </c>
      <c r="P26" s="325"/>
      <c r="Q26" s="325"/>
      <c r="R26" s="326"/>
      <c r="S26" s="324" t="str">
        <f>UPPER(MedicationFull!C17)</f>
        <v/>
      </c>
      <c r="T26" s="325"/>
      <c r="U26" s="325"/>
      <c r="V26" s="326"/>
      <c r="W26" s="324" t="str">
        <f>UPPER(MedicationFull!D17)</f>
        <v/>
      </c>
      <c r="X26" s="325"/>
      <c r="Y26" s="325"/>
      <c r="Z26" s="326"/>
      <c r="AA26" s="324" t="str">
        <f>UPPER(MedicationFull!E17)</f>
        <v/>
      </c>
      <c r="AB26" s="325"/>
      <c r="AC26" s="326"/>
      <c r="AD26" s="329" t="str">
        <f>IF(MedicationFull!F17="New","N","")&amp;IF(MedicationFull!F17="Current","CU","")&amp;IF(MedicationFull!F17="Change","CH","")&amp;IF(MedicationFull!F17="Discontinued","DX","")</f>
        <v/>
      </c>
      <c r="AE26" s="329"/>
      <c r="AF26" s="329"/>
      <c r="AG26" s="328">
        <f>MedicationFull!G17</f>
        <v>0</v>
      </c>
      <c r="AH26" s="328"/>
      <c r="AI26" s="328"/>
      <c r="AJ26" s="328"/>
      <c r="AK26" s="328"/>
      <c r="AL26" s="328"/>
    </row>
    <row r="27" spans="1:38" x14ac:dyDescent="0.2">
      <c r="A27" s="240">
        <f t="shared" si="0"/>
        <v>16</v>
      </c>
      <c r="B27" s="240"/>
      <c r="C27" s="324">
        <f>MedicationFull!A18</f>
        <v>0</v>
      </c>
      <c r="D27" s="325"/>
      <c r="E27" s="325"/>
      <c r="F27" s="325"/>
      <c r="G27" s="325"/>
      <c r="H27" s="325"/>
      <c r="I27" s="325"/>
      <c r="J27" s="325"/>
      <c r="K27" s="325"/>
      <c r="L27" s="325"/>
      <c r="M27" s="325"/>
      <c r="N27" s="326"/>
      <c r="O27" s="327">
        <f>MedicationFull!B18</f>
        <v>0</v>
      </c>
      <c r="P27" s="325"/>
      <c r="Q27" s="325"/>
      <c r="R27" s="326"/>
      <c r="S27" s="324" t="str">
        <f>UPPER(MedicationFull!C18)</f>
        <v/>
      </c>
      <c r="T27" s="325"/>
      <c r="U27" s="325"/>
      <c r="V27" s="326"/>
      <c r="W27" s="324" t="str">
        <f>UPPER(MedicationFull!D18)</f>
        <v/>
      </c>
      <c r="X27" s="325"/>
      <c r="Y27" s="325"/>
      <c r="Z27" s="326"/>
      <c r="AA27" s="324" t="str">
        <f>UPPER(MedicationFull!E18)</f>
        <v/>
      </c>
      <c r="AB27" s="325"/>
      <c r="AC27" s="326"/>
      <c r="AD27" s="329" t="str">
        <f>IF(MedicationFull!F18="New","N","")&amp;IF(MedicationFull!F18="Current","CU","")&amp;IF(MedicationFull!F18="Change","CH","")&amp;IF(MedicationFull!F18="Discontinued","DX","")</f>
        <v/>
      </c>
      <c r="AE27" s="329"/>
      <c r="AF27" s="329"/>
      <c r="AG27" s="328">
        <f>MedicationFull!G18</f>
        <v>0</v>
      </c>
      <c r="AH27" s="328"/>
      <c r="AI27" s="328"/>
      <c r="AJ27" s="328"/>
      <c r="AK27" s="328"/>
      <c r="AL27" s="328"/>
    </row>
    <row r="28" spans="1:38" x14ac:dyDescent="0.2">
      <c r="A28" s="240">
        <f t="shared" si="0"/>
        <v>17</v>
      </c>
      <c r="B28" s="240"/>
      <c r="C28" s="324">
        <f>MedicationFull!A19</f>
        <v>0</v>
      </c>
      <c r="D28" s="325"/>
      <c r="E28" s="325"/>
      <c r="F28" s="325"/>
      <c r="G28" s="325"/>
      <c r="H28" s="325"/>
      <c r="I28" s="325"/>
      <c r="J28" s="325"/>
      <c r="K28" s="325"/>
      <c r="L28" s="325"/>
      <c r="M28" s="325"/>
      <c r="N28" s="326"/>
      <c r="O28" s="327">
        <f>MedicationFull!B19</f>
        <v>0</v>
      </c>
      <c r="P28" s="325"/>
      <c r="Q28" s="325"/>
      <c r="R28" s="326"/>
      <c r="S28" s="324" t="str">
        <f>UPPER(MedicationFull!C19)</f>
        <v/>
      </c>
      <c r="T28" s="325"/>
      <c r="U28" s="325"/>
      <c r="V28" s="326"/>
      <c r="W28" s="324" t="str">
        <f>UPPER(MedicationFull!D19)</f>
        <v/>
      </c>
      <c r="X28" s="325"/>
      <c r="Y28" s="325"/>
      <c r="Z28" s="326"/>
      <c r="AA28" s="324" t="str">
        <f>UPPER(MedicationFull!E19)</f>
        <v/>
      </c>
      <c r="AB28" s="325"/>
      <c r="AC28" s="326"/>
      <c r="AD28" s="329" t="str">
        <f>IF(MedicationFull!F19="New","N","")&amp;IF(MedicationFull!F19="Current","CU","")&amp;IF(MedicationFull!F19="Change","CH","")&amp;IF(MedicationFull!F19="Discontinued","DX","")</f>
        <v/>
      </c>
      <c r="AE28" s="329"/>
      <c r="AF28" s="329"/>
      <c r="AG28" s="328">
        <f>MedicationFull!G19</f>
        <v>0</v>
      </c>
      <c r="AH28" s="328"/>
      <c r="AI28" s="328"/>
      <c r="AJ28" s="328"/>
      <c r="AK28" s="328"/>
      <c r="AL28" s="328"/>
    </row>
    <row r="29" spans="1:38" x14ac:dyDescent="0.2">
      <c r="A29" s="240">
        <f t="shared" si="0"/>
        <v>18</v>
      </c>
      <c r="B29" s="240"/>
      <c r="C29" s="324">
        <f>MedicationFull!A20</f>
        <v>0</v>
      </c>
      <c r="D29" s="325"/>
      <c r="E29" s="325"/>
      <c r="F29" s="325"/>
      <c r="G29" s="325"/>
      <c r="H29" s="325"/>
      <c r="I29" s="325"/>
      <c r="J29" s="325"/>
      <c r="K29" s="325"/>
      <c r="L29" s="325"/>
      <c r="M29" s="325"/>
      <c r="N29" s="326"/>
      <c r="O29" s="327">
        <f>MedicationFull!B20</f>
        <v>0</v>
      </c>
      <c r="P29" s="325"/>
      <c r="Q29" s="325"/>
      <c r="R29" s="326"/>
      <c r="S29" s="324" t="str">
        <f>UPPER(MedicationFull!C20)</f>
        <v/>
      </c>
      <c r="T29" s="325"/>
      <c r="U29" s="325"/>
      <c r="V29" s="326"/>
      <c r="W29" s="324" t="str">
        <f>UPPER(MedicationFull!D20)</f>
        <v/>
      </c>
      <c r="X29" s="325"/>
      <c r="Y29" s="325"/>
      <c r="Z29" s="326"/>
      <c r="AA29" s="324" t="str">
        <f>UPPER(MedicationFull!E20)</f>
        <v/>
      </c>
      <c r="AB29" s="325"/>
      <c r="AC29" s="326"/>
      <c r="AD29" s="329" t="str">
        <f>IF(MedicationFull!F20="New","N","")&amp;IF(MedicationFull!F20="Current","CU","")&amp;IF(MedicationFull!F20="Change","CH","")&amp;IF(MedicationFull!F20="Discontinued","DX","")</f>
        <v/>
      </c>
      <c r="AE29" s="329"/>
      <c r="AF29" s="329"/>
      <c r="AG29" s="328">
        <f>MedicationFull!G20</f>
        <v>0</v>
      </c>
      <c r="AH29" s="328"/>
      <c r="AI29" s="328"/>
      <c r="AJ29" s="328"/>
      <c r="AK29" s="328"/>
      <c r="AL29" s="328"/>
    </row>
    <row r="30" spans="1:38" x14ac:dyDescent="0.2">
      <c r="A30" s="240">
        <f t="shared" si="0"/>
        <v>19</v>
      </c>
      <c r="B30" s="240"/>
      <c r="C30" s="324">
        <f>MedicationFull!A21</f>
        <v>0</v>
      </c>
      <c r="D30" s="325"/>
      <c r="E30" s="325"/>
      <c r="F30" s="325"/>
      <c r="G30" s="325"/>
      <c r="H30" s="325"/>
      <c r="I30" s="325"/>
      <c r="J30" s="325"/>
      <c r="K30" s="325"/>
      <c r="L30" s="325"/>
      <c r="M30" s="325"/>
      <c r="N30" s="326"/>
      <c r="O30" s="327">
        <f>MedicationFull!B21</f>
        <v>0</v>
      </c>
      <c r="P30" s="325"/>
      <c r="Q30" s="325"/>
      <c r="R30" s="326"/>
      <c r="S30" s="324" t="str">
        <f>UPPER(MedicationFull!C21)</f>
        <v/>
      </c>
      <c r="T30" s="325"/>
      <c r="U30" s="325"/>
      <c r="V30" s="326"/>
      <c r="W30" s="324" t="str">
        <f>UPPER(MedicationFull!D21)</f>
        <v/>
      </c>
      <c r="X30" s="325"/>
      <c r="Y30" s="325"/>
      <c r="Z30" s="326"/>
      <c r="AA30" s="324" t="str">
        <f>UPPER(MedicationFull!E21)</f>
        <v/>
      </c>
      <c r="AB30" s="325"/>
      <c r="AC30" s="326"/>
      <c r="AD30" s="329" t="str">
        <f>IF(MedicationFull!F21="New","N","")&amp;IF(MedicationFull!F21="Current","CU","")&amp;IF(MedicationFull!F21="Change","CH","")&amp;IF(MedicationFull!F21="Discontinued","DX","")</f>
        <v/>
      </c>
      <c r="AE30" s="329"/>
      <c r="AF30" s="329"/>
      <c r="AG30" s="328">
        <f>MedicationFull!G21</f>
        <v>0</v>
      </c>
      <c r="AH30" s="328"/>
      <c r="AI30" s="328"/>
      <c r="AJ30" s="328"/>
      <c r="AK30" s="328"/>
      <c r="AL30" s="328"/>
    </row>
    <row r="31" spans="1:38" x14ac:dyDescent="0.2">
      <c r="A31" s="240">
        <f t="shared" si="0"/>
        <v>20</v>
      </c>
      <c r="B31" s="240"/>
      <c r="C31" s="324">
        <f>MedicationFull!A22</f>
        <v>0</v>
      </c>
      <c r="D31" s="325"/>
      <c r="E31" s="325"/>
      <c r="F31" s="325"/>
      <c r="G31" s="325"/>
      <c r="H31" s="325"/>
      <c r="I31" s="325"/>
      <c r="J31" s="325"/>
      <c r="K31" s="325"/>
      <c r="L31" s="325"/>
      <c r="M31" s="325"/>
      <c r="N31" s="326"/>
      <c r="O31" s="327">
        <f>MedicationFull!B22</f>
        <v>0</v>
      </c>
      <c r="P31" s="325"/>
      <c r="Q31" s="325"/>
      <c r="R31" s="326"/>
      <c r="S31" s="324" t="str">
        <f>UPPER(MedicationFull!C22)</f>
        <v/>
      </c>
      <c r="T31" s="325"/>
      <c r="U31" s="325"/>
      <c r="V31" s="326"/>
      <c r="W31" s="324" t="str">
        <f>UPPER(MedicationFull!D22)</f>
        <v/>
      </c>
      <c r="X31" s="325"/>
      <c r="Y31" s="325"/>
      <c r="Z31" s="326"/>
      <c r="AA31" s="324" t="str">
        <f>UPPER(MedicationFull!E22)</f>
        <v/>
      </c>
      <c r="AB31" s="325"/>
      <c r="AC31" s="326"/>
      <c r="AD31" s="329" t="str">
        <f>IF(MedicationFull!F22="New","N","")&amp;IF(MedicationFull!F22="Current","CU","")&amp;IF(MedicationFull!F22="Change","CH","")&amp;IF(MedicationFull!F22="Discontinued","DX","")</f>
        <v/>
      </c>
      <c r="AE31" s="329"/>
      <c r="AF31" s="329"/>
      <c r="AG31" s="328">
        <f>MedicationFull!G22</f>
        <v>0</v>
      </c>
      <c r="AH31" s="328"/>
      <c r="AI31" s="328"/>
      <c r="AJ31" s="328"/>
      <c r="AK31" s="328"/>
      <c r="AL31" s="328"/>
    </row>
    <row r="32" spans="1:38" x14ac:dyDescent="0.2">
      <c r="A32" s="240">
        <f t="shared" si="0"/>
        <v>21</v>
      </c>
      <c r="B32" s="240"/>
      <c r="C32" s="324">
        <f>MedicationFull!A23</f>
        <v>0</v>
      </c>
      <c r="D32" s="325"/>
      <c r="E32" s="325"/>
      <c r="F32" s="325"/>
      <c r="G32" s="325"/>
      <c r="H32" s="325"/>
      <c r="I32" s="325"/>
      <c r="J32" s="325"/>
      <c r="K32" s="325"/>
      <c r="L32" s="325"/>
      <c r="M32" s="325"/>
      <c r="N32" s="326"/>
      <c r="O32" s="327">
        <f>MedicationFull!B23</f>
        <v>0</v>
      </c>
      <c r="P32" s="325"/>
      <c r="Q32" s="325"/>
      <c r="R32" s="326"/>
      <c r="S32" s="324" t="str">
        <f>UPPER(MedicationFull!C23)</f>
        <v/>
      </c>
      <c r="T32" s="325"/>
      <c r="U32" s="325"/>
      <c r="V32" s="326"/>
      <c r="W32" s="324" t="str">
        <f>UPPER(MedicationFull!D23)</f>
        <v/>
      </c>
      <c r="X32" s="325"/>
      <c r="Y32" s="325"/>
      <c r="Z32" s="326"/>
      <c r="AA32" s="324" t="str">
        <f>UPPER(MedicationFull!E23)</f>
        <v/>
      </c>
      <c r="AB32" s="325"/>
      <c r="AC32" s="326"/>
      <c r="AD32" s="329" t="str">
        <f>IF(MedicationFull!F23="New","N","")&amp;IF(MedicationFull!F23="Current","CU","")&amp;IF(MedicationFull!F23="Change","CH","")&amp;IF(MedicationFull!F23="Discontinued","DX","")</f>
        <v/>
      </c>
      <c r="AE32" s="329"/>
      <c r="AF32" s="329"/>
      <c r="AG32" s="328">
        <f>MedicationFull!G23</f>
        <v>0</v>
      </c>
      <c r="AH32" s="328"/>
      <c r="AI32" s="328"/>
      <c r="AJ32" s="328"/>
      <c r="AK32" s="328"/>
      <c r="AL32" s="328"/>
    </row>
    <row r="33" spans="1:38" x14ac:dyDescent="0.2">
      <c r="A33" s="240">
        <f t="shared" si="0"/>
        <v>22</v>
      </c>
      <c r="B33" s="240"/>
      <c r="C33" s="324">
        <f>MedicationFull!A24</f>
        <v>0</v>
      </c>
      <c r="D33" s="325"/>
      <c r="E33" s="325"/>
      <c r="F33" s="325"/>
      <c r="G33" s="325"/>
      <c r="H33" s="325"/>
      <c r="I33" s="325"/>
      <c r="J33" s="325"/>
      <c r="K33" s="325"/>
      <c r="L33" s="325"/>
      <c r="M33" s="325"/>
      <c r="N33" s="326"/>
      <c r="O33" s="327">
        <f>MedicationFull!B24</f>
        <v>0</v>
      </c>
      <c r="P33" s="325"/>
      <c r="Q33" s="325"/>
      <c r="R33" s="326"/>
      <c r="S33" s="324" t="str">
        <f>UPPER(MedicationFull!C24)</f>
        <v/>
      </c>
      <c r="T33" s="325"/>
      <c r="U33" s="325"/>
      <c r="V33" s="326"/>
      <c r="W33" s="324" t="str">
        <f>UPPER(MedicationFull!D24)</f>
        <v/>
      </c>
      <c r="X33" s="325"/>
      <c r="Y33" s="325"/>
      <c r="Z33" s="326"/>
      <c r="AA33" s="324" t="str">
        <f>UPPER(MedicationFull!E24)</f>
        <v/>
      </c>
      <c r="AB33" s="325"/>
      <c r="AC33" s="326"/>
      <c r="AD33" s="329" t="str">
        <f>IF(MedicationFull!F24="New","N","")&amp;IF(MedicationFull!F24="Current","CU","")&amp;IF(MedicationFull!F24="Change","CH","")&amp;IF(MedicationFull!F24="Discontinued","DX","")</f>
        <v/>
      </c>
      <c r="AE33" s="329"/>
      <c r="AF33" s="329"/>
      <c r="AG33" s="328">
        <f>MedicationFull!G24</f>
        <v>0</v>
      </c>
      <c r="AH33" s="328"/>
      <c r="AI33" s="328"/>
      <c r="AJ33" s="328"/>
      <c r="AK33" s="328"/>
      <c r="AL33" s="328"/>
    </row>
    <row r="34" spans="1:38" x14ac:dyDescent="0.2">
      <c r="A34" s="240">
        <f t="shared" si="0"/>
        <v>23</v>
      </c>
      <c r="B34" s="240"/>
      <c r="C34" s="324">
        <f>MedicationFull!A25</f>
        <v>0</v>
      </c>
      <c r="D34" s="325"/>
      <c r="E34" s="325"/>
      <c r="F34" s="325"/>
      <c r="G34" s="325"/>
      <c r="H34" s="325"/>
      <c r="I34" s="325"/>
      <c r="J34" s="325"/>
      <c r="K34" s="325"/>
      <c r="L34" s="325"/>
      <c r="M34" s="325"/>
      <c r="N34" s="326"/>
      <c r="O34" s="327">
        <f>MedicationFull!B25</f>
        <v>0</v>
      </c>
      <c r="P34" s="325"/>
      <c r="Q34" s="325"/>
      <c r="R34" s="326"/>
      <c r="S34" s="324" t="str">
        <f>UPPER(MedicationFull!C25)</f>
        <v/>
      </c>
      <c r="T34" s="325"/>
      <c r="U34" s="325"/>
      <c r="V34" s="326"/>
      <c r="W34" s="324" t="str">
        <f>UPPER(MedicationFull!D25)</f>
        <v/>
      </c>
      <c r="X34" s="325"/>
      <c r="Y34" s="325"/>
      <c r="Z34" s="326"/>
      <c r="AA34" s="324" t="str">
        <f>UPPER(MedicationFull!E25)</f>
        <v/>
      </c>
      <c r="AB34" s="325"/>
      <c r="AC34" s="326"/>
      <c r="AD34" s="329" t="str">
        <f>IF(MedicationFull!F25="New","N","")&amp;IF(MedicationFull!F25="Current","CU","")&amp;IF(MedicationFull!F25="Change","CH","")&amp;IF(MedicationFull!F25="Discontinued","DX","")</f>
        <v/>
      </c>
      <c r="AE34" s="329"/>
      <c r="AF34" s="329"/>
      <c r="AG34" s="328">
        <f>MedicationFull!G25</f>
        <v>0</v>
      </c>
      <c r="AH34" s="328"/>
      <c r="AI34" s="328"/>
      <c r="AJ34" s="328"/>
      <c r="AK34" s="328"/>
      <c r="AL34" s="328"/>
    </row>
    <row r="35" spans="1:38" x14ac:dyDescent="0.2">
      <c r="A35" s="240">
        <f t="shared" si="0"/>
        <v>24</v>
      </c>
      <c r="B35" s="240"/>
      <c r="C35" s="324">
        <f>MedicationFull!A26</f>
        <v>0</v>
      </c>
      <c r="D35" s="325"/>
      <c r="E35" s="325"/>
      <c r="F35" s="325"/>
      <c r="G35" s="325"/>
      <c r="H35" s="325"/>
      <c r="I35" s="325"/>
      <c r="J35" s="325"/>
      <c r="K35" s="325"/>
      <c r="L35" s="325"/>
      <c r="M35" s="325"/>
      <c r="N35" s="326"/>
      <c r="O35" s="327">
        <f>MedicationFull!B26</f>
        <v>0</v>
      </c>
      <c r="P35" s="325"/>
      <c r="Q35" s="325"/>
      <c r="R35" s="326"/>
      <c r="S35" s="324" t="str">
        <f>UPPER(MedicationFull!C26)</f>
        <v/>
      </c>
      <c r="T35" s="325"/>
      <c r="U35" s="325"/>
      <c r="V35" s="326"/>
      <c r="W35" s="324" t="str">
        <f>UPPER(MedicationFull!D26)</f>
        <v/>
      </c>
      <c r="X35" s="325"/>
      <c r="Y35" s="325"/>
      <c r="Z35" s="326"/>
      <c r="AA35" s="324" t="str">
        <f>UPPER(MedicationFull!E26)</f>
        <v/>
      </c>
      <c r="AB35" s="325"/>
      <c r="AC35" s="326"/>
      <c r="AD35" s="329" t="str">
        <f>IF(MedicationFull!F26="New","N","")&amp;IF(MedicationFull!F26="Current","CU","")&amp;IF(MedicationFull!F26="Change","CH","")&amp;IF(MedicationFull!F26="Discontinued","DX","")</f>
        <v/>
      </c>
      <c r="AE35" s="329"/>
      <c r="AF35" s="329"/>
      <c r="AG35" s="328">
        <f>MedicationFull!G26</f>
        <v>0</v>
      </c>
      <c r="AH35" s="328"/>
      <c r="AI35" s="328"/>
      <c r="AJ35" s="328"/>
      <c r="AK35" s="328"/>
      <c r="AL35" s="328"/>
    </row>
    <row r="36" spans="1:38" x14ac:dyDescent="0.2">
      <c r="A36" s="240">
        <f t="shared" si="0"/>
        <v>25</v>
      </c>
      <c r="B36" s="240"/>
      <c r="C36" s="324">
        <f>MedicationFull!A27</f>
        <v>0</v>
      </c>
      <c r="D36" s="325"/>
      <c r="E36" s="325"/>
      <c r="F36" s="325"/>
      <c r="G36" s="325"/>
      <c r="H36" s="325"/>
      <c r="I36" s="325"/>
      <c r="J36" s="325"/>
      <c r="K36" s="325"/>
      <c r="L36" s="325"/>
      <c r="M36" s="325"/>
      <c r="N36" s="326"/>
      <c r="O36" s="327">
        <f>MedicationFull!B27</f>
        <v>0</v>
      </c>
      <c r="P36" s="325"/>
      <c r="Q36" s="325"/>
      <c r="R36" s="326"/>
      <c r="S36" s="324" t="str">
        <f>UPPER(MedicationFull!C27)</f>
        <v/>
      </c>
      <c r="T36" s="325"/>
      <c r="U36" s="325"/>
      <c r="V36" s="326"/>
      <c r="W36" s="324" t="str">
        <f>UPPER(MedicationFull!D27)</f>
        <v/>
      </c>
      <c r="X36" s="325"/>
      <c r="Y36" s="325"/>
      <c r="Z36" s="326"/>
      <c r="AA36" s="324" t="str">
        <f>UPPER(MedicationFull!E27)</f>
        <v/>
      </c>
      <c r="AB36" s="325"/>
      <c r="AC36" s="326"/>
      <c r="AD36" s="329" t="str">
        <f>IF(MedicationFull!F27="New","N","")&amp;IF(MedicationFull!F27="Current","CU","")&amp;IF(MedicationFull!F27="Change","CH","")&amp;IF(MedicationFull!F27="Discontinued","DX","")</f>
        <v/>
      </c>
      <c r="AE36" s="329"/>
      <c r="AF36" s="329"/>
      <c r="AG36" s="328">
        <f>MedicationFull!G27</f>
        <v>0</v>
      </c>
      <c r="AH36" s="328"/>
      <c r="AI36" s="328"/>
      <c r="AJ36" s="328"/>
      <c r="AK36" s="328"/>
      <c r="AL36" s="328"/>
    </row>
    <row r="37" spans="1:38" ht="13.5" thickBot="1" x14ac:dyDescent="0.25">
      <c r="C37" s="333" t="str">
        <f>IF(MedicationFull!A27&lt;&gt;"","Medications continued on next page.","End of medication list.")</f>
        <v>End of medication list.</v>
      </c>
      <c r="D37" s="333"/>
      <c r="E37" s="333"/>
      <c r="F37" s="333"/>
      <c r="G37" s="333"/>
      <c r="H37" s="333"/>
      <c r="I37" s="333"/>
      <c r="J37" s="333"/>
      <c r="K37" s="333"/>
      <c r="L37" s="333"/>
      <c r="M37" s="333"/>
      <c r="N37" s="333"/>
      <c r="O37" s="333"/>
      <c r="P37" s="333"/>
      <c r="Q37" s="333"/>
      <c r="R37" s="333"/>
      <c r="S37" s="333"/>
      <c r="T37" s="333"/>
      <c r="U37" s="333"/>
      <c r="V37" s="333"/>
      <c r="W37" s="333"/>
      <c r="X37" s="333"/>
      <c r="Y37" s="333"/>
      <c r="Z37" s="333"/>
      <c r="AA37" s="333"/>
      <c r="AB37" s="333"/>
      <c r="AC37" s="333"/>
      <c r="AD37" s="333"/>
      <c r="AE37" s="333"/>
      <c r="AF37" s="333"/>
      <c r="AG37" s="333"/>
      <c r="AH37" s="333"/>
      <c r="AI37" s="333"/>
      <c r="AJ37" s="333"/>
      <c r="AK37" s="333"/>
      <c r="AL37" s="333"/>
    </row>
    <row r="38" spans="1:38" x14ac:dyDescent="0.2">
      <c r="B38" s="330" t="s">
        <v>2896</v>
      </c>
      <c r="C38" s="331"/>
      <c r="D38" s="331"/>
      <c r="E38" s="331"/>
      <c r="F38" s="331"/>
      <c r="G38" s="331" t="s">
        <v>1465</v>
      </c>
      <c r="H38" s="331"/>
      <c r="I38" s="331"/>
      <c r="J38" s="331"/>
      <c r="K38" s="331"/>
      <c r="L38" s="331"/>
      <c r="M38" s="331"/>
      <c r="N38" s="332" t="s">
        <v>1427</v>
      </c>
      <c r="O38" s="332"/>
      <c r="P38" s="332"/>
      <c r="Q38" s="332"/>
      <c r="R38" s="332"/>
      <c r="S38" s="332"/>
      <c r="T38" s="332"/>
      <c r="U38" s="332"/>
      <c r="V38" s="332"/>
      <c r="W38" s="332"/>
      <c r="X38" s="332"/>
      <c r="Y38" s="332" t="s">
        <v>2897</v>
      </c>
      <c r="Z38" s="332"/>
      <c r="AA38" s="332"/>
      <c r="AB38" s="332"/>
      <c r="AC38" s="332"/>
      <c r="AD38" s="332"/>
      <c r="AE38" s="332"/>
      <c r="AF38" s="332"/>
      <c r="AG38" s="332"/>
      <c r="AH38" s="332" t="s">
        <v>2956</v>
      </c>
      <c r="AI38" s="332"/>
      <c r="AJ38" s="332"/>
      <c r="AK38" s="334"/>
    </row>
    <row r="39" spans="1:38" x14ac:dyDescent="0.2">
      <c r="B39" s="311">
        <f>IF(Data!B1653="",Data!B34,Data!B1653)</f>
        <v>0</v>
      </c>
      <c r="C39" s="312"/>
      <c r="D39" s="312"/>
      <c r="E39" s="312"/>
      <c r="F39" s="312"/>
      <c r="G39" s="315">
        <f>IF(Data!B1658="",Data!B175,Data!B1658)</f>
        <v>0</v>
      </c>
      <c r="H39" s="315"/>
      <c r="I39" s="315"/>
      <c r="J39" s="315"/>
      <c r="K39" s="315"/>
      <c r="L39" s="315"/>
      <c r="M39" s="315"/>
      <c r="N39" s="317"/>
      <c r="O39" s="317"/>
      <c r="P39" s="317"/>
      <c r="Q39" s="317"/>
      <c r="R39" s="317"/>
      <c r="S39" s="317"/>
      <c r="T39" s="317"/>
      <c r="U39" s="317"/>
      <c r="V39" s="317"/>
      <c r="W39" s="317"/>
      <c r="X39" s="317"/>
      <c r="Y39" s="254"/>
      <c r="Z39" s="254"/>
      <c r="AA39" s="254"/>
      <c r="AB39" s="254"/>
      <c r="AC39" s="254"/>
      <c r="AD39" s="254"/>
      <c r="AE39" s="254"/>
      <c r="AF39" s="254"/>
      <c r="AG39" s="254"/>
      <c r="AH39" s="254"/>
      <c r="AI39" s="254"/>
      <c r="AJ39" s="254"/>
      <c r="AK39" s="320"/>
    </row>
    <row r="40" spans="1:38" x14ac:dyDescent="0.2">
      <c r="B40" s="311"/>
      <c r="C40" s="312"/>
      <c r="D40" s="312"/>
      <c r="E40" s="312"/>
      <c r="F40" s="312"/>
      <c r="G40" s="315"/>
      <c r="H40" s="315"/>
      <c r="I40" s="315"/>
      <c r="J40" s="315"/>
      <c r="K40" s="315"/>
      <c r="L40" s="315"/>
      <c r="M40" s="315"/>
      <c r="N40" s="317"/>
      <c r="O40" s="317"/>
      <c r="P40" s="317"/>
      <c r="Q40" s="317"/>
      <c r="R40" s="317"/>
      <c r="S40" s="317"/>
      <c r="T40" s="317"/>
      <c r="U40" s="317"/>
      <c r="V40" s="317"/>
      <c r="W40" s="317"/>
      <c r="X40" s="317"/>
      <c r="Y40" s="254"/>
      <c r="Z40" s="254"/>
      <c r="AA40" s="254"/>
      <c r="AB40" s="254"/>
      <c r="AC40" s="254"/>
      <c r="AD40" s="254"/>
      <c r="AE40" s="254"/>
      <c r="AF40" s="254"/>
      <c r="AG40" s="254"/>
      <c r="AH40" s="254"/>
      <c r="AI40" s="254"/>
      <c r="AJ40" s="254"/>
      <c r="AK40" s="320"/>
    </row>
    <row r="41" spans="1:38" x14ac:dyDescent="0.2">
      <c r="B41" s="311">
        <v>0</v>
      </c>
      <c r="C41" s="312"/>
      <c r="D41" s="312"/>
      <c r="E41" s="312"/>
      <c r="F41" s="312"/>
      <c r="G41" s="315"/>
      <c r="H41" s="315"/>
      <c r="I41" s="315"/>
      <c r="J41" s="315"/>
      <c r="K41" s="315"/>
      <c r="L41" s="315"/>
      <c r="M41" s="315"/>
      <c r="N41" s="317"/>
      <c r="O41" s="317"/>
      <c r="P41" s="317"/>
      <c r="Q41" s="317"/>
      <c r="R41" s="317"/>
      <c r="S41" s="317"/>
      <c r="T41" s="317"/>
      <c r="U41" s="317"/>
      <c r="V41" s="317"/>
      <c r="W41" s="317"/>
      <c r="X41" s="317"/>
      <c r="Y41" s="254"/>
      <c r="Z41" s="254"/>
      <c r="AA41" s="254"/>
      <c r="AB41" s="254"/>
      <c r="AC41" s="254"/>
      <c r="AD41" s="254"/>
      <c r="AE41" s="254"/>
      <c r="AF41" s="254"/>
      <c r="AG41" s="254"/>
      <c r="AH41" s="254"/>
      <c r="AI41" s="254"/>
      <c r="AJ41" s="254"/>
      <c r="AK41" s="320"/>
    </row>
    <row r="42" spans="1:38" x14ac:dyDescent="0.2">
      <c r="B42" s="311"/>
      <c r="C42" s="312"/>
      <c r="D42" s="312"/>
      <c r="E42" s="312"/>
      <c r="F42" s="312"/>
      <c r="G42" s="315"/>
      <c r="H42" s="315"/>
      <c r="I42" s="315"/>
      <c r="J42" s="315"/>
      <c r="K42" s="315"/>
      <c r="L42" s="315"/>
      <c r="M42" s="315"/>
      <c r="N42" s="317"/>
      <c r="O42" s="317"/>
      <c r="P42" s="317"/>
      <c r="Q42" s="317"/>
      <c r="R42" s="317"/>
      <c r="S42" s="317"/>
      <c r="T42" s="317"/>
      <c r="U42" s="317"/>
      <c r="V42" s="317"/>
      <c r="W42" s="317"/>
      <c r="X42" s="317"/>
      <c r="Y42" s="254"/>
      <c r="Z42" s="254"/>
      <c r="AA42" s="254"/>
      <c r="AB42" s="254"/>
      <c r="AC42" s="254"/>
      <c r="AD42" s="254"/>
      <c r="AE42" s="254"/>
      <c r="AF42" s="254"/>
      <c r="AG42" s="254"/>
      <c r="AH42" s="254"/>
      <c r="AI42" s="254"/>
      <c r="AJ42" s="254"/>
      <c r="AK42" s="320"/>
    </row>
    <row r="43" spans="1:38" x14ac:dyDescent="0.2">
      <c r="B43" s="311"/>
      <c r="C43" s="312"/>
      <c r="D43" s="312"/>
      <c r="E43" s="312"/>
      <c r="F43" s="312"/>
      <c r="G43" s="315"/>
      <c r="H43" s="315"/>
      <c r="I43" s="315"/>
      <c r="J43" s="315"/>
      <c r="K43" s="315"/>
      <c r="L43" s="315"/>
      <c r="M43" s="315"/>
      <c r="N43" s="317"/>
      <c r="O43" s="317"/>
      <c r="P43" s="317"/>
      <c r="Q43" s="317"/>
      <c r="R43" s="317"/>
      <c r="S43" s="317"/>
      <c r="T43" s="317"/>
      <c r="U43" s="317"/>
      <c r="V43" s="317"/>
      <c r="W43" s="317"/>
      <c r="X43" s="317"/>
      <c r="Y43" s="254"/>
      <c r="Z43" s="254"/>
      <c r="AA43" s="254"/>
      <c r="AB43" s="254"/>
      <c r="AC43" s="254"/>
      <c r="AD43" s="254"/>
      <c r="AE43" s="254"/>
      <c r="AF43" s="254"/>
      <c r="AG43" s="254"/>
      <c r="AH43" s="254"/>
      <c r="AI43" s="254"/>
      <c r="AJ43" s="254"/>
      <c r="AK43" s="320"/>
    </row>
    <row r="44" spans="1:38" x14ac:dyDescent="0.2">
      <c r="B44" s="311"/>
      <c r="C44" s="312"/>
      <c r="D44" s="312"/>
      <c r="E44" s="312"/>
      <c r="F44" s="312"/>
      <c r="G44" s="315"/>
      <c r="H44" s="315"/>
      <c r="I44" s="315"/>
      <c r="J44" s="315"/>
      <c r="K44" s="315"/>
      <c r="L44" s="315"/>
      <c r="M44" s="315"/>
      <c r="N44" s="317"/>
      <c r="O44" s="317"/>
      <c r="P44" s="317"/>
      <c r="Q44" s="317"/>
      <c r="R44" s="317"/>
      <c r="S44" s="317"/>
      <c r="T44" s="317"/>
      <c r="U44" s="317"/>
      <c r="V44" s="317"/>
      <c r="W44" s="317"/>
      <c r="X44" s="317"/>
      <c r="Y44" s="254"/>
      <c r="Z44" s="254"/>
      <c r="AA44" s="254"/>
      <c r="AB44" s="254"/>
      <c r="AC44" s="254"/>
      <c r="AD44" s="254"/>
      <c r="AE44" s="254"/>
      <c r="AF44" s="254"/>
      <c r="AG44" s="254"/>
      <c r="AH44" s="254"/>
      <c r="AI44" s="254"/>
      <c r="AJ44" s="254"/>
      <c r="AK44" s="320"/>
    </row>
    <row r="45" spans="1:38" x14ac:dyDescent="0.2">
      <c r="B45" s="311"/>
      <c r="C45" s="312"/>
      <c r="D45" s="312"/>
      <c r="E45" s="312"/>
      <c r="F45" s="312"/>
      <c r="G45" s="315"/>
      <c r="H45" s="315"/>
      <c r="I45" s="315"/>
      <c r="J45" s="315"/>
      <c r="K45" s="315"/>
      <c r="L45" s="315"/>
      <c r="M45" s="315"/>
      <c r="N45" s="317"/>
      <c r="O45" s="317"/>
      <c r="P45" s="317"/>
      <c r="Q45" s="317"/>
      <c r="R45" s="317"/>
      <c r="S45" s="317"/>
      <c r="T45" s="317"/>
      <c r="U45" s="317"/>
      <c r="V45" s="317"/>
      <c r="W45" s="317"/>
      <c r="X45" s="317"/>
      <c r="Y45" s="254"/>
      <c r="Z45" s="254"/>
      <c r="AA45" s="254"/>
      <c r="AB45" s="254"/>
      <c r="AC45" s="254"/>
      <c r="AD45" s="254"/>
      <c r="AE45" s="254"/>
      <c r="AF45" s="254"/>
      <c r="AG45" s="254"/>
      <c r="AH45" s="254"/>
      <c r="AI45" s="254"/>
      <c r="AJ45" s="254"/>
      <c r="AK45" s="320"/>
    </row>
    <row r="46" spans="1:38" x14ac:dyDescent="0.2">
      <c r="B46" s="311"/>
      <c r="C46" s="312"/>
      <c r="D46" s="312"/>
      <c r="E46" s="312"/>
      <c r="F46" s="312"/>
      <c r="G46" s="315"/>
      <c r="H46" s="315"/>
      <c r="I46" s="315"/>
      <c r="J46" s="315"/>
      <c r="K46" s="315"/>
      <c r="L46" s="315"/>
      <c r="M46" s="315"/>
      <c r="N46" s="317"/>
      <c r="O46" s="317"/>
      <c r="P46" s="317"/>
      <c r="Q46" s="317"/>
      <c r="R46" s="317"/>
      <c r="S46" s="317"/>
      <c r="T46" s="317"/>
      <c r="U46" s="317"/>
      <c r="V46" s="317"/>
      <c r="W46" s="317"/>
      <c r="X46" s="317"/>
      <c r="Y46" s="254"/>
      <c r="Z46" s="254"/>
      <c r="AA46" s="254"/>
      <c r="AB46" s="254"/>
      <c r="AC46" s="254"/>
      <c r="AD46" s="254"/>
      <c r="AE46" s="254"/>
      <c r="AF46" s="254"/>
      <c r="AG46" s="254"/>
      <c r="AH46" s="254"/>
      <c r="AI46" s="254"/>
      <c r="AJ46" s="254"/>
      <c r="AK46" s="320"/>
    </row>
    <row r="47" spans="1:38" x14ac:dyDescent="0.2">
      <c r="B47" s="311"/>
      <c r="C47" s="312"/>
      <c r="D47" s="312"/>
      <c r="E47" s="312"/>
      <c r="F47" s="312"/>
      <c r="G47" s="315"/>
      <c r="H47" s="315"/>
      <c r="I47" s="315"/>
      <c r="J47" s="315"/>
      <c r="K47" s="315"/>
      <c r="L47" s="315"/>
      <c r="M47" s="315"/>
      <c r="N47" s="317"/>
      <c r="O47" s="317"/>
      <c r="P47" s="317"/>
      <c r="Q47" s="317"/>
      <c r="R47" s="317"/>
      <c r="S47" s="317"/>
      <c r="T47" s="317"/>
      <c r="U47" s="317"/>
      <c r="V47" s="317"/>
      <c r="W47" s="317"/>
      <c r="X47" s="317"/>
      <c r="Y47" s="254"/>
      <c r="Z47" s="254"/>
      <c r="AA47" s="254"/>
      <c r="AB47" s="254"/>
      <c r="AC47" s="254"/>
      <c r="AD47" s="254"/>
      <c r="AE47" s="254"/>
      <c r="AF47" s="254"/>
      <c r="AG47" s="254"/>
      <c r="AH47" s="254"/>
      <c r="AI47" s="254"/>
      <c r="AJ47" s="254"/>
      <c r="AK47" s="320"/>
    </row>
    <row r="48" spans="1:38" ht="13.5" thickBot="1" x14ac:dyDescent="0.25">
      <c r="B48" s="313"/>
      <c r="C48" s="314"/>
      <c r="D48" s="314"/>
      <c r="E48" s="314"/>
      <c r="F48" s="314"/>
      <c r="G48" s="316"/>
      <c r="H48" s="316"/>
      <c r="I48" s="316"/>
      <c r="J48" s="316"/>
      <c r="K48" s="316"/>
      <c r="L48" s="316"/>
      <c r="M48" s="316"/>
      <c r="N48" s="318"/>
      <c r="O48" s="318"/>
      <c r="P48" s="318"/>
      <c r="Q48" s="318"/>
      <c r="R48" s="318"/>
      <c r="S48" s="318"/>
      <c r="T48" s="318"/>
      <c r="U48" s="318"/>
      <c r="V48" s="318"/>
      <c r="W48" s="318"/>
      <c r="X48" s="318"/>
      <c r="Y48" s="319"/>
      <c r="Z48" s="319"/>
      <c r="AA48" s="319"/>
      <c r="AB48" s="319"/>
      <c r="AC48" s="319"/>
      <c r="AD48" s="319"/>
      <c r="AE48" s="319"/>
      <c r="AF48" s="319"/>
      <c r="AG48" s="319"/>
      <c r="AH48" s="319"/>
      <c r="AI48" s="319"/>
      <c r="AJ48" s="319"/>
      <c r="AK48" s="321"/>
    </row>
  </sheetData>
  <mergeCells count="256">
    <mergeCell ref="G4:Q4"/>
    <mergeCell ref="G5:Q5"/>
    <mergeCell ref="AE4:AL4"/>
    <mergeCell ref="AE5:AL5"/>
    <mergeCell ref="S36:V36"/>
    <mergeCell ref="AG35:AL35"/>
    <mergeCell ref="AG36:AL36"/>
    <mergeCell ref="W31:Z31"/>
    <mergeCell ref="W32:Z32"/>
    <mergeCell ref="W33:Z33"/>
    <mergeCell ref="W34:Z34"/>
    <mergeCell ref="W35:Z35"/>
    <mergeCell ref="W36:Z36"/>
    <mergeCell ref="AD34:AF34"/>
    <mergeCell ref="AA31:AC31"/>
    <mergeCell ref="AA32:AC32"/>
    <mergeCell ref="AA33:AC33"/>
    <mergeCell ref="AA34:AC34"/>
    <mergeCell ref="AA35:AC35"/>
    <mergeCell ref="AG11:AL11"/>
    <mergeCell ref="AG12:AL12"/>
    <mergeCell ref="AG13:AL13"/>
    <mergeCell ref="AG14:AL14"/>
    <mergeCell ref="AG15:AL15"/>
    <mergeCell ref="AG16:AL16"/>
    <mergeCell ref="AG17:AL17"/>
    <mergeCell ref="AG18:AL18"/>
    <mergeCell ref="AG19:AL19"/>
    <mergeCell ref="AG20:AL20"/>
    <mergeCell ref="AG21:AL21"/>
    <mergeCell ref="AG22:AL22"/>
    <mergeCell ref="AG23:AL23"/>
    <mergeCell ref="AG24:AL24"/>
    <mergeCell ref="AA17:AC17"/>
    <mergeCell ref="AA18:AC18"/>
    <mergeCell ref="AG25:AL25"/>
    <mergeCell ref="AG26:AL26"/>
    <mergeCell ref="AG27:AL27"/>
    <mergeCell ref="AG28:AL28"/>
    <mergeCell ref="AA20:AC20"/>
    <mergeCell ref="AA21:AC21"/>
    <mergeCell ref="AA22:AC22"/>
    <mergeCell ref="AA23:AC23"/>
    <mergeCell ref="AA24:AC24"/>
    <mergeCell ref="AA25:AC25"/>
    <mergeCell ref="AA26:AC26"/>
    <mergeCell ref="W11:Z11"/>
    <mergeCell ref="W12:Z12"/>
    <mergeCell ref="W13:Z13"/>
    <mergeCell ref="W14:Z14"/>
    <mergeCell ref="W15:Z15"/>
    <mergeCell ref="W16:Z16"/>
    <mergeCell ref="W17:Z17"/>
    <mergeCell ref="W18:Z18"/>
    <mergeCell ref="W19:Z19"/>
    <mergeCell ref="AA29:AC29"/>
    <mergeCell ref="AA30:AC30"/>
    <mergeCell ref="AA27:AC27"/>
    <mergeCell ref="AA28:AC28"/>
    <mergeCell ref="W20:Z20"/>
    <mergeCell ref="W21:Z21"/>
    <mergeCell ref="W22:Z22"/>
    <mergeCell ref="W23:Z23"/>
    <mergeCell ref="W24:Z24"/>
    <mergeCell ref="W25:Z25"/>
    <mergeCell ref="W26:Z26"/>
    <mergeCell ref="W27:Z27"/>
    <mergeCell ref="W28:Z28"/>
    <mergeCell ref="AD12:AF12"/>
    <mergeCell ref="AD13:AF13"/>
    <mergeCell ref="AD14:AF14"/>
    <mergeCell ref="AD15:AF15"/>
    <mergeCell ref="AD16:AF16"/>
    <mergeCell ref="AD17:AF17"/>
    <mergeCell ref="AD18:AF18"/>
    <mergeCell ref="AD19:AF19"/>
    <mergeCell ref="H3:T3"/>
    <mergeCell ref="A10:AL10"/>
    <mergeCell ref="AA11:AC11"/>
    <mergeCell ref="AA12:AC12"/>
    <mergeCell ref="AA13:AC13"/>
    <mergeCell ref="AA14:AC14"/>
    <mergeCell ref="AA15:AC15"/>
    <mergeCell ref="AA16:AC16"/>
    <mergeCell ref="C11:N11"/>
    <mergeCell ref="C12:N12"/>
    <mergeCell ref="C13:N13"/>
    <mergeCell ref="C14:N14"/>
    <mergeCell ref="C15:N15"/>
    <mergeCell ref="C16:N16"/>
    <mergeCell ref="C17:N17"/>
    <mergeCell ref="C18:N18"/>
    <mergeCell ref="S16:V16"/>
    <mergeCell ref="S17:V17"/>
    <mergeCell ref="AH38:AK38"/>
    <mergeCell ref="B39:F40"/>
    <mergeCell ref="G39:M40"/>
    <mergeCell ref="N39:X40"/>
    <mergeCell ref="Y39:AG40"/>
    <mergeCell ref="AH39:AK40"/>
    <mergeCell ref="AD20:AF20"/>
    <mergeCell ref="AD21:AF21"/>
    <mergeCell ref="AD22:AF22"/>
    <mergeCell ref="AD23:AF23"/>
    <mergeCell ref="AD24:AF24"/>
    <mergeCell ref="AD25:AF25"/>
    <mergeCell ref="AD26:AF26"/>
    <mergeCell ref="AD36:AF36"/>
    <mergeCell ref="A36:B36"/>
    <mergeCell ref="AA36:AC36"/>
    <mergeCell ref="AD35:AF35"/>
    <mergeCell ref="S18:V18"/>
    <mergeCell ref="S19:V19"/>
    <mergeCell ref="S24:V24"/>
    <mergeCell ref="S25:V25"/>
    <mergeCell ref="S26:V26"/>
    <mergeCell ref="B38:F38"/>
    <mergeCell ref="G38:M38"/>
    <mergeCell ref="N38:X38"/>
    <mergeCell ref="Y38:AG38"/>
    <mergeCell ref="AD28:AF28"/>
    <mergeCell ref="AD29:AF29"/>
    <mergeCell ref="AD30:AF30"/>
    <mergeCell ref="AD31:AF31"/>
    <mergeCell ref="AD32:AF32"/>
    <mergeCell ref="AD33:AF33"/>
    <mergeCell ref="C28:N28"/>
    <mergeCell ref="O28:R28"/>
    <mergeCell ref="S28:V28"/>
    <mergeCell ref="O32:R32"/>
    <mergeCell ref="O33:R33"/>
    <mergeCell ref="O34:R34"/>
    <mergeCell ref="W29:Z29"/>
    <mergeCell ref="W30:Z30"/>
    <mergeCell ref="AG29:AL29"/>
    <mergeCell ref="AG30:AL30"/>
    <mergeCell ref="C37:AL37"/>
    <mergeCell ref="AG31:AL31"/>
    <mergeCell ref="AG32:AL32"/>
    <mergeCell ref="AG33:AL33"/>
    <mergeCell ref="AG34:AL34"/>
    <mergeCell ref="C19:N19"/>
    <mergeCell ref="C20:N20"/>
    <mergeCell ref="C21:N21"/>
    <mergeCell ref="C22:N22"/>
    <mergeCell ref="C23:N23"/>
    <mergeCell ref="C24:N24"/>
    <mergeCell ref="C25:N25"/>
    <mergeCell ref="C27:N27"/>
    <mergeCell ref="O27:R27"/>
    <mergeCell ref="O20:R20"/>
    <mergeCell ref="O21:R21"/>
    <mergeCell ref="O23:R23"/>
    <mergeCell ref="O24:R24"/>
    <mergeCell ref="O25:R25"/>
    <mergeCell ref="O26:R26"/>
    <mergeCell ref="S27:V27"/>
    <mergeCell ref="C26:N26"/>
    <mergeCell ref="O22:R22"/>
    <mergeCell ref="AD27:AF27"/>
    <mergeCell ref="S20:V20"/>
    <mergeCell ref="S21:V21"/>
    <mergeCell ref="S22:V22"/>
    <mergeCell ref="S23:V23"/>
    <mergeCell ref="C35:N35"/>
    <mergeCell ref="C36:N36"/>
    <mergeCell ref="A33:B33"/>
    <mergeCell ref="A34:B34"/>
    <mergeCell ref="A35:B35"/>
    <mergeCell ref="S29:V29"/>
    <mergeCell ref="S30:V30"/>
    <mergeCell ref="S31:V31"/>
    <mergeCell ref="S32:V32"/>
    <mergeCell ref="S33:V33"/>
    <mergeCell ref="C32:N32"/>
    <mergeCell ref="C33:N33"/>
    <mergeCell ref="C34:N34"/>
    <mergeCell ref="A30:B30"/>
    <mergeCell ref="A31:B31"/>
    <mergeCell ref="C29:N29"/>
    <mergeCell ref="C30:N30"/>
    <mergeCell ref="C31:N31"/>
    <mergeCell ref="O36:R36"/>
    <mergeCell ref="A32:B32"/>
    <mergeCell ref="A27:B27"/>
    <mergeCell ref="A28:B28"/>
    <mergeCell ref="O35:R35"/>
    <mergeCell ref="A21:B21"/>
    <mergeCell ref="S34:V34"/>
    <mergeCell ref="S35:V35"/>
    <mergeCell ref="O11:R11"/>
    <mergeCell ref="O12:R12"/>
    <mergeCell ref="O13:R13"/>
    <mergeCell ref="O14:R14"/>
    <mergeCell ref="O15:R15"/>
    <mergeCell ref="O16:R16"/>
    <mergeCell ref="O17:R17"/>
    <mergeCell ref="O18:R18"/>
    <mergeCell ref="O19:R19"/>
    <mergeCell ref="A29:B29"/>
    <mergeCell ref="A22:B22"/>
    <mergeCell ref="A23:B23"/>
    <mergeCell ref="A24:B24"/>
    <mergeCell ref="A25:B25"/>
    <mergeCell ref="A26:B26"/>
    <mergeCell ref="O29:R29"/>
    <mergeCell ref="O30:R30"/>
    <mergeCell ref="O31:R31"/>
    <mergeCell ref="D9:I9"/>
    <mergeCell ref="A19:B19"/>
    <mergeCell ref="A20:B20"/>
    <mergeCell ref="U4:AB4"/>
    <mergeCell ref="U5:AB5"/>
    <mergeCell ref="K7:AL7"/>
    <mergeCell ref="K8:AL8"/>
    <mergeCell ref="K9:AL9"/>
    <mergeCell ref="D7:I7"/>
    <mergeCell ref="D8:I8"/>
    <mergeCell ref="A12:B12"/>
    <mergeCell ref="A13:B13"/>
    <mergeCell ref="A14:B14"/>
    <mergeCell ref="A15:B15"/>
    <mergeCell ref="A16:B16"/>
    <mergeCell ref="A17:B17"/>
    <mergeCell ref="A18:B18"/>
    <mergeCell ref="AA19:AC19"/>
    <mergeCell ref="AD11:AF11"/>
    <mergeCell ref="S11:V11"/>
    <mergeCell ref="S12:V12"/>
    <mergeCell ref="S13:V13"/>
    <mergeCell ref="S14:V14"/>
    <mergeCell ref="S15:V15"/>
    <mergeCell ref="AA1:AL1"/>
    <mergeCell ref="B47:F48"/>
    <mergeCell ref="G47:M48"/>
    <mergeCell ref="N47:X48"/>
    <mergeCell ref="Y47:AG48"/>
    <mergeCell ref="AH47:AK48"/>
    <mergeCell ref="AH41:AK42"/>
    <mergeCell ref="B43:F44"/>
    <mergeCell ref="G43:M44"/>
    <mergeCell ref="N43:X44"/>
    <mergeCell ref="Y43:AG44"/>
    <mergeCell ref="AH43:AK44"/>
    <mergeCell ref="B45:F46"/>
    <mergeCell ref="G45:M46"/>
    <mergeCell ref="N45:X46"/>
    <mergeCell ref="Y45:AG46"/>
    <mergeCell ref="AH45:AK46"/>
    <mergeCell ref="B41:F42"/>
    <mergeCell ref="G41:M42"/>
    <mergeCell ref="N41:X42"/>
    <mergeCell ref="Y41:AG42"/>
    <mergeCell ref="F2:W2"/>
    <mergeCell ref="AA2:AH2"/>
    <mergeCell ref="AD3:AL3"/>
  </mergeCells>
  <pageMargins left="0.25" right="0.25" top="0.75" bottom="0.75" header="0.3" footer="0.3"/>
  <pageSetup orientation="portrait" r:id="rId1"/>
  <headerFooter>
    <oddHeader>&amp;L&amp;G&amp;RMedication Profile</oddHeader>
    <oddFooter>&amp;LINT.DS&amp;C3088 Mercer University Drive Suite 100 Atlanta, GA 30341
678-310-6305 Fax 404-935-6110&amp;RPP.M</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2">
    <tabColor theme="5" tint="-0.249977111117893"/>
  </sheetPr>
  <dimension ref="A1:AL48"/>
  <sheetViews>
    <sheetView showZeros="0" view="pageLayout" zoomScaleNormal="100" workbookViewId="0">
      <selection activeCell="AD3" sqref="AD3:AL3"/>
    </sheetView>
  </sheetViews>
  <sheetFormatPr defaultColWidth="2.7109375" defaultRowHeight="12.75" x14ac:dyDescent="0.2"/>
  <sheetData>
    <row r="1" spans="1:38" x14ac:dyDescent="0.2">
      <c r="AA1" s="299" t="str">
        <f>IF(MedicationFull!A28&lt;&gt;"","Page 2 of 2","")</f>
        <v/>
      </c>
      <c r="AB1" s="299"/>
      <c r="AC1" s="299"/>
      <c r="AD1" s="299"/>
      <c r="AE1" s="299"/>
      <c r="AF1" s="299"/>
      <c r="AG1" s="299"/>
      <c r="AH1" s="299"/>
      <c r="AI1" s="299"/>
      <c r="AJ1" s="299"/>
      <c r="AK1" s="299"/>
      <c r="AL1" s="299"/>
    </row>
    <row r="2" spans="1:38" x14ac:dyDescent="0.2">
      <c r="A2" t="s">
        <v>336</v>
      </c>
      <c r="F2" s="267" t="str">
        <f>_xlfn.CONCAT(Data!B2,", ",Data!B3," ",Data!B4)</f>
        <v xml:space="preserve">,  </v>
      </c>
      <c r="G2" s="267"/>
      <c r="H2" s="267"/>
      <c r="I2" s="267"/>
      <c r="J2" s="267"/>
      <c r="K2" s="267"/>
      <c r="L2" s="267"/>
      <c r="M2" s="267"/>
      <c r="N2" s="267"/>
      <c r="O2" s="267"/>
      <c r="P2" s="267"/>
      <c r="Q2" s="267"/>
      <c r="R2" s="267"/>
      <c r="S2" s="267"/>
      <c r="T2" s="267"/>
      <c r="U2" s="267"/>
      <c r="V2" s="267"/>
      <c r="W2" s="267"/>
      <c r="Y2" t="s">
        <v>371</v>
      </c>
      <c r="AA2" s="269">
        <f>Data!B14</f>
        <v>0</v>
      </c>
      <c r="AB2" s="267"/>
      <c r="AC2" s="267"/>
      <c r="AD2" s="267"/>
      <c r="AE2" s="267"/>
      <c r="AF2" s="267"/>
      <c r="AG2" s="267"/>
      <c r="AH2" s="267"/>
    </row>
    <row r="3" spans="1:38" x14ac:dyDescent="0.2">
      <c r="A3" t="s">
        <v>569</v>
      </c>
      <c r="G3" s="119"/>
      <c r="H3" s="335">
        <f>Data!B412</f>
        <v>0</v>
      </c>
      <c r="I3" s="335"/>
      <c r="J3" s="335"/>
      <c r="K3" s="335"/>
      <c r="L3" s="335"/>
      <c r="M3" s="335"/>
      <c r="N3" s="335"/>
      <c r="O3" s="335"/>
      <c r="P3" s="335"/>
      <c r="Q3" s="335"/>
      <c r="R3" s="335"/>
      <c r="S3" s="335"/>
      <c r="T3" s="335"/>
      <c r="Y3" t="s">
        <v>570</v>
      </c>
      <c r="AD3" s="267">
        <f>IF(Data!B185="Private Pay","N/A",Data!B39)</f>
        <v>0</v>
      </c>
      <c r="AE3" s="267"/>
      <c r="AF3" s="267"/>
      <c r="AG3" s="267"/>
      <c r="AH3" s="267"/>
      <c r="AI3" s="267"/>
      <c r="AJ3" s="267"/>
      <c r="AK3" s="267"/>
      <c r="AL3" s="267"/>
    </row>
    <row r="4" spans="1:38" x14ac:dyDescent="0.2">
      <c r="A4" t="s">
        <v>571</v>
      </c>
      <c r="G4" s="335">
        <f>Data!B87</f>
        <v>0</v>
      </c>
      <c r="H4" s="335"/>
      <c r="I4" s="335"/>
      <c r="J4" s="335"/>
      <c r="K4" s="335"/>
      <c r="L4" s="335"/>
      <c r="M4" s="335"/>
      <c r="N4" s="335"/>
      <c r="O4" s="335"/>
      <c r="P4" s="335"/>
      <c r="Q4" s="335"/>
      <c r="R4" t="s">
        <v>348</v>
      </c>
      <c r="U4" s="322" t="str">
        <f>Data!B93&amp;" "&amp;Data!D88</f>
        <v xml:space="preserve"> </v>
      </c>
      <c r="V4" s="322"/>
      <c r="W4" s="322"/>
      <c r="X4" s="322"/>
      <c r="Y4" s="322"/>
      <c r="Z4" s="322"/>
      <c r="AA4" s="322"/>
      <c r="AB4" s="322"/>
      <c r="AC4" t="s">
        <v>675</v>
      </c>
      <c r="AE4" s="336">
        <f>Data!B94</f>
        <v>0</v>
      </c>
      <c r="AF4" s="336"/>
      <c r="AG4" s="336"/>
      <c r="AH4" s="336"/>
      <c r="AI4" s="336"/>
      <c r="AJ4" s="336"/>
      <c r="AK4" s="336"/>
      <c r="AL4" s="336"/>
    </row>
    <row r="5" spans="1:38" x14ac:dyDescent="0.2">
      <c r="A5" t="s">
        <v>572</v>
      </c>
      <c r="G5" s="335">
        <f>Data!B409</f>
        <v>0</v>
      </c>
      <c r="H5" s="335"/>
      <c r="I5" s="335"/>
      <c r="J5" s="335"/>
      <c r="K5" s="335"/>
      <c r="L5" s="335"/>
      <c r="M5" s="335"/>
      <c r="N5" s="335"/>
      <c r="O5" s="335"/>
      <c r="P5" s="335"/>
      <c r="Q5" s="335"/>
      <c r="R5" t="s">
        <v>348</v>
      </c>
      <c r="U5" s="323">
        <f>Data!B410</f>
        <v>0</v>
      </c>
      <c r="V5" s="323"/>
      <c r="W5" s="323"/>
      <c r="X5" s="323"/>
      <c r="Y5" s="323"/>
      <c r="Z5" s="323"/>
      <c r="AA5" s="323"/>
      <c r="AB5" s="323"/>
      <c r="AC5" t="s">
        <v>675</v>
      </c>
      <c r="AE5" s="323">
        <f>Data!B411</f>
        <v>0</v>
      </c>
      <c r="AF5" s="323"/>
      <c r="AG5" s="323"/>
      <c r="AH5" s="323"/>
      <c r="AI5" s="323"/>
      <c r="AJ5" s="323"/>
      <c r="AK5" s="323"/>
      <c r="AL5" s="323"/>
    </row>
    <row r="7" spans="1:38" ht="12.75" customHeight="1" x14ac:dyDescent="0.2">
      <c r="A7" t="s">
        <v>575</v>
      </c>
      <c r="D7" s="301" t="s">
        <v>576</v>
      </c>
      <c r="E7" s="301"/>
      <c r="F7" s="301"/>
      <c r="G7" s="301"/>
      <c r="H7" s="301"/>
      <c r="I7" s="301"/>
      <c r="J7" s="15"/>
      <c r="K7" s="302" t="str">
        <f>_xlfn.CONCAT(Data!B414,IF(Data!B417=TRUE,"No Medication Allergies.",""))</f>
        <v/>
      </c>
      <c r="L7" s="302"/>
      <c r="M7" s="302"/>
      <c r="N7" s="302"/>
      <c r="O7" s="302"/>
      <c r="P7" s="302"/>
      <c r="Q7" s="302"/>
      <c r="R7" s="302"/>
      <c r="S7" s="302"/>
      <c r="T7" s="302"/>
      <c r="U7" s="302"/>
      <c r="V7" s="302"/>
      <c r="W7" s="302"/>
      <c r="X7" s="302"/>
      <c r="Y7" s="302"/>
      <c r="Z7" s="302"/>
      <c r="AA7" s="302"/>
      <c r="AB7" s="302"/>
      <c r="AC7" s="302"/>
      <c r="AD7" s="302"/>
      <c r="AE7" s="302"/>
      <c r="AF7" s="302"/>
      <c r="AG7" s="302"/>
      <c r="AH7" s="302"/>
      <c r="AI7" s="302"/>
      <c r="AJ7" s="302"/>
      <c r="AK7" s="302"/>
      <c r="AL7" s="302"/>
    </row>
    <row r="8" spans="1:38" ht="12.75" customHeight="1" x14ac:dyDescent="0.2">
      <c r="D8" s="301" t="s">
        <v>577</v>
      </c>
      <c r="E8" s="301"/>
      <c r="F8" s="301"/>
      <c r="G8" s="301"/>
      <c r="H8" s="301"/>
      <c r="I8" s="301"/>
      <c r="J8" s="15"/>
      <c r="K8" s="303" t="str">
        <f>_xlfn.CONCAT(Data!B415,IF(Data!B418=TRUE,"No Food Allergies.",""))</f>
        <v/>
      </c>
      <c r="L8" s="303"/>
      <c r="M8" s="303"/>
      <c r="N8" s="303"/>
      <c r="O8" s="303"/>
      <c r="P8" s="303"/>
      <c r="Q8" s="303"/>
      <c r="R8" s="303"/>
      <c r="S8" s="303"/>
      <c r="T8" s="303"/>
      <c r="U8" s="303"/>
      <c r="V8" s="303"/>
      <c r="W8" s="303"/>
      <c r="X8" s="303"/>
      <c r="Y8" s="303"/>
      <c r="Z8" s="303"/>
      <c r="AA8" s="303"/>
      <c r="AB8" s="303"/>
      <c r="AC8" s="303"/>
      <c r="AD8" s="303"/>
      <c r="AE8" s="303"/>
      <c r="AF8" s="303"/>
      <c r="AG8" s="303"/>
      <c r="AH8" s="303"/>
      <c r="AI8" s="303"/>
      <c r="AJ8" s="303"/>
      <c r="AK8" s="303"/>
      <c r="AL8" s="303"/>
    </row>
    <row r="9" spans="1:38" ht="12.75" customHeight="1" x14ac:dyDescent="0.2">
      <c r="D9" s="301" t="s">
        <v>578</v>
      </c>
      <c r="E9" s="301"/>
      <c r="F9" s="301"/>
      <c r="G9" s="301"/>
      <c r="H9" s="301"/>
      <c r="I9" s="301"/>
      <c r="J9" s="15"/>
      <c r="K9" s="264" t="str">
        <f>_xlfn.CONCAT(Data!B416,IF(Data!B419=TRUE,"No Environmental Allergies",""))</f>
        <v/>
      </c>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4"/>
    </row>
    <row r="10" spans="1:38" x14ac:dyDescent="0.2">
      <c r="A10" s="261" t="s">
        <v>2888</v>
      </c>
      <c r="B10" s="261"/>
      <c r="C10" s="261"/>
      <c r="D10" s="261"/>
      <c r="E10" s="261"/>
      <c r="F10" s="261"/>
      <c r="G10" s="261"/>
      <c r="H10" s="261"/>
      <c r="I10" s="261"/>
      <c r="J10" s="261"/>
      <c r="K10" s="261"/>
      <c r="L10" s="261"/>
      <c r="M10" s="261"/>
      <c r="N10" s="261"/>
      <c r="O10" s="261"/>
      <c r="P10" s="261"/>
      <c r="Q10" s="261"/>
      <c r="R10" s="261"/>
      <c r="S10" s="261"/>
      <c r="T10" s="261"/>
      <c r="U10" s="261"/>
      <c r="V10" s="261"/>
      <c r="W10" s="261"/>
      <c r="X10" s="261"/>
      <c r="Y10" s="261"/>
      <c r="Z10" s="261"/>
      <c r="AA10" s="261"/>
      <c r="AB10" s="261"/>
      <c r="AC10" s="261"/>
      <c r="AD10" s="261"/>
      <c r="AE10" s="261"/>
      <c r="AF10" s="261"/>
      <c r="AG10" s="261"/>
      <c r="AH10" s="261"/>
      <c r="AI10" s="261"/>
      <c r="AJ10" s="261"/>
      <c r="AK10" s="261"/>
      <c r="AL10" s="261"/>
    </row>
    <row r="11" spans="1:38" x14ac:dyDescent="0.2">
      <c r="C11" s="287" t="s">
        <v>155</v>
      </c>
      <c r="D11" s="288"/>
      <c r="E11" s="288"/>
      <c r="F11" s="288"/>
      <c r="G11" s="288"/>
      <c r="H11" s="288"/>
      <c r="I11" s="288"/>
      <c r="J11" s="288"/>
      <c r="K11" s="288"/>
      <c r="L11" s="288"/>
      <c r="M11" s="288"/>
      <c r="N11" s="289"/>
      <c r="O11" s="287" t="s">
        <v>156</v>
      </c>
      <c r="P11" s="288"/>
      <c r="Q11" s="288"/>
      <c r="R11" s="289"/>
      <c r="S11" s="287" t="s">
        <v>110</v>
      </c>
      <c r="T11" s="288"/>
      <c r="U11" s="288"/>
      <c r="V11" s="289"/>
      <c r="W11" s="287" t="s">
        <v>157</v>
      </c>
      <c r="X11" s="288"/>
      <c r="Y11" s="288"/>
      <c r="Z11" s="289"/>
      <c r="AA11" s="287" t="s">
        <v>158</v>
      </c>
      <c r="AB11" s="288"/>
      <c r="AC11" s="289"/>
      <c r="AD11" s="254" t="s">
        <v>2887</v>
      </c>
      <c r="AE11" s="254"/>
      <c r="AF11" s="254"/>
      <c r="AG11" s="337" t="s">
        <v>102</v>
      </c>
      <c r="AH11" s="337"/>
      <c r="AI11" s="337"/>
      <c r="AJ11" s="337"/>
      <c r="AK11" s="337"/>
      <c r="AL11" s="337"/>
    </row>
    <row r="12" spans="1:38" x14ac:dyDescent="0.2">
      <c r="A12" s="240">
        <v>26</v>
      </c>
      <c r="B12" s="240"/>
      <c r="C12" s="263">
        <f>MedicationFull!A28</f>
        <v>0</v>
      </c>
      <c r="D12" s="264"/>
      <c r="E12" s="264"/>
      <c r="F12" s="264"/>
      <c r="G12" s="264"/>
      <c r="H12" s="264"/>
      <c r="I12" s="264"/>
      <c r="J12" s="264"/>
      <c r="K12" s="264"/>
      <c r="L12" s="264"/>
      <c r="M12" s="264"/>
      <c r="N12" s="265"/>
      <c r="O12" s="327">
        <f>MedicationFull!B28</f>
        <v>0</v>
      </c>
      <c r="P12" s="325"/>
      <c r="Q12" s="325"/>
      <c r="R12" s="326"/>
      <c r="S12" s="324" t="str">
        <f>UPPER(MedicationFull!C28)</f>
        <v/>
      </c>
      <c r="T12" s="325"/>
      <c r="U12" s="325"/>
      <c r="V12" s="326"/>
      <c r="W12" s="324" t="str">
        <f>UPPER(MedicationFull!D28)</f>
        <v/>
      </c>
      <c r="X12" s="325"/>
      <c r="Y12" s="325"/>
      <c r="Z12" s="326"/>
      <c r="AA12" s="324" t="str">
        <f>UPPER(MedicationFull!E28)</f>
        <v/>
      </c>
      <c r="AB12" s="325"/>
      <c r="AC12" s="326"/>
      <c r="AD12" s="329" t="str">
        <f>IF(MedicationFull!F28="New","N","")&amp;IF(MedicationFull!F28="Current","CU","")&amp;IF(MedicationFull!F28="Change","CH","")&amp;IF(MedicationFull!F28="Discontinued","DX","")</f>
        <v/>
      </c>
      <c r="AE12" s="329"/>
      <c r="AF12" s="329"/>
      <c r="AG12" s="328">
        <f>MedicationFull!G28</f>
        <v>0</v>
      </c>
      <c r="AH12" s="328"/>
      <c r="AI12" s="328"/>
      <c r="AJ12" s="328"/>
      <c r="AK12" s="328"/>
      <c r="AL12" s="328"/>
    </row>
    <row r="13" spans="1:38" x14ac:dyDescent="0.2">
      <c r="A13" s="240">
        <v>27</v>
      </c>
      <c r="B13" s="240"/>
      <c r="C13" s="263">
        <f>MedicationFull!A29</f>
        <v>0</v>
      </c>
      <c r="D13" s="264"/>
      <c r="E13" s="264"/>
      <c r="F13" s="264"/>
      <c r="G13" s="264"/>
      <c r="H13" s="264"/>
      <c r="I13" s="264"/>
      <c r="J13" s="264"/>
      <c r="K13" s="264"/>
      <c r="L13" s="264"/>
      <c r="M13" s="264"/>
      <c r="N13" s="265"/>
      <c r="O13" s="327">
        <f>MedicationFull!B29</f>
        <v>0</v>
      </c>
      <c r="P13" s="325"/>
      <c r="Q13" s="325"/>
      <c r="R13" s="326"/>
      <c r="S13" s="324" t="str">
        <f>UPPER(MedicationFull!C29)</f>
        <v/>
      </c>
      <c r="T13" s="325"/>
      <c r="U13" s="325"/>
      <c r="V13" s="326"/>
      <c r="W13" s="324" t="str">
        <f>UPPER(MedicationFull!D29)</f>
        <v/>
      </c>
      <c r="X13" s="325"/>
      <c r="Y13" s="325"/>
      <c r="Z13" s="326"/>
      <c r="AA13" s="324" t="str">
        <f>UPPER(MedicationFull!E29)</f>
        <v/>
      </c>
      <c r="AB13" s="325"/>
      <c r="AC13" s="326"/>
      <c r="AD13" s="329" t="str">
        <f>IF(MedicationFull!F29="New","N","")&amp;IF(MedicationFull!F29="Current","CU","")&amp;IF(MedicationFull!F29="Change","CH","")&amp;IF(MedicationFull!F29="Discontinued","DX","")</f>
        <v/>
      </c>
      <c r="AE13" s="329"/>
      <c r="AF13" s="329"/>
      <c r="AG13" s="328">
        <f>MedicationFull!G29</f>
        <v>0</v>
      </c>
      <c r="AH13" s="328"/>
      <c r="AI13" s="328"/>
      <c r="AJ13" s="328"/>
      <c r="AK13" s="328"/>
      <c r="AL13" s="328"/>
    </row>
    <row r="14" spans="1:38" x14ac:dyDescent="0.2">
      <c r="A14" s="240">
        <v>28</v>
      </c>
      <c r="B14" s="240"/>
      <c r="C14" s="263">
        <f>MedicationFull!A30</f>
        <v>0</v>
      </c>
      <c r="D14" s="264"/>
      <c r="E14" s="264"/>
      <c r="F14" s="264"/>
      <c r="G14" s="264"/>
      <c r="H14" s="264"/>
      <c r="I14" s="264"/>
      <c r="J14" s="264"/>
      <c r="K14" s="264"/>
      <c r="L14" s="264"/>
      <c r="M14" s="264"/>
      <c r="N14" s="265"/>
      <c r="O14" s="327">
        <f>MedicationFull!B30</f>
        <v>0</v>
      </c>
      <c r="P14" s="325"/>
      <c r="Q14" s="325"/>
      <c r="R14" s="326"/>
      <c r="S14" s="324" t="str">
        <f>UPPER(MedicationFull!C30)</f>
        <v/>
      </c>
      <c r="T14" s="325"/>
      <c r="U14" s="325"/>
      <c r="V14" s="326"/>
      <c r="W14" s="324" t="str">
        <f>UPPER(MedicationFull!D30)</f>
        <v/>
      </c>
      <c r="X14" s="325"/>
      <c r="Y14" s="325"/>
      <c r="Z14" s="326"/>
      <c r="AA14" s="324" t="str">
        <f>UPPER(MedicationFull!E30)</f>
        <v/>
      </c>
      <c r="AB14" s="325"/>
      <c r="AC14" s="326"/>
      <c r="AD14" s="329" t="str">
        <f>IF(MedicationFull!F30="New","N","")&amp;IF(MedicationFull!F30="Current","CU","")&amp;IF(MedicationFull!F30="Change","CH","")&amp;IF(MedicationFull!F30="Discontinued","DX","")</f>
        <v/>
      </c>
      <c r="AE14" s="329"/>
      <c r="AF14" s="329"/>
      <c r="AG14" s="328">
        <f>MedicationFull!G30</f>
        <v>0</v>
      </c>
      <c r="AH14" s="328"/>
      <c r="AI14" s="328"/>
      <c r="AJ14" s="328"/>
      <c r="AK14" s="328"/>
      <c r="AL14" s="328"/>
    </row>
    <row r="15" spans="1:38" x14ac:dyDescent="0.2">
      <c r="A15" s="240">
        <v>29</v>
      </c>
      <c r="B15" s="240"/>
      <c r="C15" s="263">
        <f>MedicationFull!A31</f>
        <v>0</v>
      </c>
      <c r="D15" s="264"/>
      <c r="E15" s="264"/>
      <c r="F15" s="264"/>
      <c r="G15" s="264"/>
      <c r="H15" s="264"/>
      <c r="I15" s="264"/>
      <c r="J15" s="264"/>
      <c r="K15" s="264"/>
      <c r="L15" s="264"/>
      <c r="M15" s="264"/>
      <c r="N15" s="265"/>
      <c r="O15" s="327">
        <f>MedicationFull!B31</f>
        <v>0</v>
      </c>
      <c r="P15" s="325"/>
      <c r="Q15" s="325"/>
      <c r="R15" s="326"/>
      <c r="S15" s="324" t="str">
        <f>UPPER(MedicationFull!C31)</f>
        <v/>
      </c>
      <c r="T15" s="325"/>
      <c r="U15" s="325"/>
      <c r="V15" s="326"/>
      <c r="W15" s="324" t="str">
        <f>UPPER(MedicationFull!D31)</f>
        <v/>
      </c>
      <c r="X15" s="325"/>
      <c r="Y15" s="325"/>
      <c r="Z15" s="326"/>
      <c r="AA15" s="324" t="str">
        <f>UPPER(MedicationFull!E31)</f>
        <v/>
      </c>
      <c r="AB15" s="325"/>
      <c r="AC15" s="326"/>
      <c r="AD15" s="329" t="str">
        <f>IF(MedicationFull!F31="New","N","")&amp;IF(MedicationFull!F31="Current","CU","")&amp;IF(MedicationFull!F31="Change","CH","")&amp;IF(MedicationFull!F31="Discontinued","DX","")</f>
        <v/>
      </c>
      <c r="AE15" s="329"/>
      <c r="AF15" s="329"/>
      <c r="AG15" s="328">
        <f>MedicationFull!G31</f>
        <v>0</v>
      </c>
      <c r="AH15" s="328"/>
      <c r="AI15" s="328"/>
      <c r="AJ15" s="328"/>
      <c r="AK15" s="328"/>
      <c r="AL15" s="328"/>
    </row>
    <row r="16" spans="1:38" x14ac:dyDescent="0.2">
      <c r="A16" s="240">
        <v>30</v>
      </c>
      <c r="B16" s="240"/>
      <c r="C16" s="263">
        <f>MedicationFull!A32</f>
        <v>0</v>
      </c>
      <c r="D16" s="264"/>
      <c r="E16" s="264"/>
      <c r="F16" s="264"/>
      <c r="G16" s="264"/>
      <c r="H16" s="264"/>
      <c r="I16" s="264"/>
      <c r="J16" s="264"/>
      <c r="K16" s="264"/>
      <c r="L16" s="264"/>
      <c r="M16" s="264"/>
      <c r="N16" s="265"/>
      <c r="O16" s="327">
        <f>MedicationFull!B32</f>
        <v>0</v>
      </c>
      <c r="P16" s="325"/>
      <c r="Q16" s="325"/>
      <c r="R16" s="326"/>
      <c r="S16" s="324" t="str">
        <f>UPPER(MedicationFull!C32)</f>
        <v/>
      </c>
      <c r="T16" s="325"/>
      <c r="U16" s="325"/>
      <c r="V16" s="326"/>
      <c r="W16" s="324" t="str">
        <f>UPPER(MedicationFull!D32)</f>
        <v/>
      </c>
      <c r="X16" s="325"/>
      <c r="Y16" s="325"/>
      <c r="Z16" s="326"/>
      <c r="AA16" s="324" t="str">
        <f>UPPER(MedicationFull!E32)</f>
        <v/>
      </c>
      <c r="AB16" s="325"/>
      <c r="AC16" s="326"/>
      <c r="AD16" s="329" t="str">
        <f>IF(MedicationFull!F32="New","N","")&amp;IF(MedicationFull!F32="Current","CU","")&amp;IF(MedicationFull!F32="Change","CH","")&amp;IF(MedicationFull!F32="Discontinued","DX","")</f>
        <v/>
      </c>
      <c r="AE16" s="329"/>
      <c r="AF16" s="329"/>
      <c r="AG16" s="328">
        <f>MedicationFull!G32</f>
        <v>0</v>
      </c>
      <c r="AH16" s="328"/>
      <c r="AI16" s="328"/>
      <c r="AJ16" s="328"/>
      <c r="AK16" s="328"/>
      <c r="AL16" s="328"/>
    </row>
    <row r="17" spans="1:38" x14ac:dyDescent="0.2">
      <c r="A17" s="240">
        <v>31</v>
      </c>
      <c r="B17" s="240"/>
      <c r="C17" s="263">
        <f>MedicationFull!A33</f>
        <v>0</v>
      </c>
      <c r="D17" s="264"/>
      <c r="E17" s="264"/>
      <c r="F17" s="264"/>
      <c r="G17" s="264"/>
      <c r="H17" s="264"/>
      <c r="I17" s="264"/>
      <c r="J17" s="264"/>
      <c r="K17" s="264"/>
      <c r="L17" s="264"/>
      <c r="M17" s="264"/>
      <c r="N17" s="265"/>
      <c r="O17" s="327">
        <f>MedicationFull!B33</f>
        <v>0</v>
      </c>
      <c r="P17" s="325"/>
      <c r="Q17" s="325"/>
      <c r="R17" s="326"/>
      <c r="S17" s="324" t="str">
        <f>UPPER(MedicationFull!C33)</f>
        <v/>
      </c>
      <c r="T17" s="325"/>
      <c r="U17" s="325"/>
      <c r="V17" s="326"/>
      <c r="W17" s="324" t="str">
        <f>UPPER(MedicationFull!D33)</f>
        <v/>
      </c>
      <c r="X17" s="325"/>
      <c r="Y17" s="325"/>
      <c r="Z17" s="326"/>
      <c r="AA17" s="324" t="str">
        <f>UPPER(MedicationFull!E33)</f>
        <v/>
      </c>
      <c r="AB17" s="325"/>
      <c r="AC17" s="326"/>
      <c r="AD17" s="329" t="str">
        <f>IF(MedicationFull!F33="New","N","")&amp;IF(MedicationFull!F33="Current","CU","")&amp;IF(MedicationFull!F33="Change","CH","")&amp;IF(MedicationFull!F33="Discontinued","DX","")</f>
        <v/>
      </c>
      <c r="AE17" s="329"/>
      <c r="AF17" s="329"/>
      <c r="AG17" s="328">
        <f>MedicationFull!G33</f>
        <v>0</v>
      </c>
      <c r="AH17" s="328"/>
      <c r="AI17" s="328"/>
      <c r="AJ17" s="328"/>
      <c r="AK17" s="328"/>
      <c r="AL17" s="328"/>
    </row>
    <row r="18" spans="1:38" x14ac:dyDescent="0.2">
      <c r="A18" s="240">
        <v>32</v>
      </c>
      <c r="B18" s="240"/>
      <c r="C18" s="263">
        <f>MedicationFull!A34</f>
        <v>0</v>
      </c>
      <c r="D18" s="264"/>
      <c r="E18" s="264"/>
      <c r="F18" s="264"/>
      <c r="G18" s="264"/>
      <c r="H18" s="264"/>
      <c r="I18" s="264"/>
      <c r="J18" s="264"/>
      <c r="K18" s="264"/>
      <c r="L18" s="264"/>
      <c r="M18" s="264"/>
      <c r="N18" s="265"/>
      <c r="O18" s="327">
        <f>MedicationFull!B34</f>
        <v>0</v>
      </c>
      <c r="P18" s="325"/>
      <c r="Q18" s="325"/>
      <c r="R18" s="326"/>
      <c r="S18" s="324" t="str">
        <f>UPPER(MedicationFull!C34)</f>
        <v/>
      </c>
      <c r="T18" s="325"/>
      <c r="U18" s="325"/>
      <c r="V18" s="326"/>
      <c r="W18" s="324" t="str">
        <f>UPPER(MedicationFull!D34)</f>
        <v/>
      </c>
      <c r="X18" s="325"/>
      <c r="Y18" s="325"/>
      <c r="Z18" s="326"/>
      <c r="AA18" s="324" t="str">
        <f>UPPER(MedicationFull!E34)</f>
        <v/>
      </c>
      <c r="AB18" s="325"/>
      <c r="AC18" s="326"/>
      <c r="AD18" s="329" t="str">
        <f>IF(MedicationFull!F34="New","N","")&amp;IF(MedicationFull!F34="Current","CU","")&amp;IF(MedicationFull!F34="Change","CH","")&amp;IF(MedicationFull!F34="Discontinued","DX","")</f>
        <v/>
      </c>
      <c r="AE18" s="329"/>
      <c r="AF18" s="329"/>
      <c r="AG18" s="328">
        <f>MedicationFull!G34</f>
        <v>0</v>
      </c>
      <c r="AH18" s="328"/>
      <c r="AI18" s="328"/>
      <c r="AJ18" s="328"/>
      <c r="AK18" s="328"/>
      <c r="AL18" s="328"/>
    </row>
    <row r="19" spans="1:38" x14ac:dyDescent="0.2">
      <c r="A19" s="240">
        <v>33</v>
      </c>
      <c r="B19" s="240"/>
      <c r="C19" s="263">
        <f>MedicationFull!A35</f>
        <v>0</v>
      </c>
      <c r="D19" s="264"/>
      <c r="E19" s="264"/>
      <c r="F19" s="264"/>
      <c r="G19" s="264"/>
      <c r="H19" s="264"/>
      <c r="I19" s="264"/>
      <c r="J19" s="264"/>
      <c r="K19" s="264"/>
      <c r="L19" s="264"/>
      <c r="M19" s="264"/>
      <c r="N19" s="265"/>
      <c r="O19" s="327">
        <f>MedicationFull!B35</f>
        <v>0</v>
      </c>
      <c r="P19" s="325"/>
      <c r="Q19" s="325"/>
      <c r="R19" s="326"/>
      <c r="S19" s="324" t="str">
        <f>UPPER(MedicationFull!C35)</f>
        <v/>
      </c>
      <c r="T19" s="325"/>
      <c r="U19" s="325"/>
      <c r="V19" s="326"/>
      <c r="W19" s="324" t="str">
        <f>UPPER(MedicationFull!D35)</f>
        <v/>
      </c>
      <c r="X19" s="325"/>
      <c r="Y19" s="325"/>
      <c r="Z19" s="326"/>
      <c r="AA19" s="324" t="str">
        <f>UPPER(MedicationFull!E35)</f>
        <v/>
      </c>
      <c r="AB19" s="325"/>
      <c r="AC19" s="326"/>
      <c r="AD19" s="329" t="str">
        <f>IF(MedicationFull!F35="New","N","")&amp;IF(MedicationFull!F35="Current","CU","")&amp;IF(MedicationFull!F35="Change","CH","")&amp;IF(MedicationFull!F35="Discontinued","DX","")</f>
        <v/>
      </c>
      <c r="AE19" s="329"/>
      <c r="AF19" s="329"/>
      <c r="AG19" s="328">
        <f>MedicationFull!G35</f>
        <v>0</v>
      </c>
      <c r="AH19" s="328"/>
      <c r="AI19" s="328"/>
      <c r="AJ19" s="328"/>
      <c r="AK19" s="328"/>
      <c r="AL19" s="328"/>
    </row>
    <row r="20" spans="1:38" x14ac:dyDescent="0.2">
      <c r="A20" s="240">
        <v>34</v>
      </c>
      <c r="B20" s="240"/>
      <c r="C20" s="263">
        <f>MedicationFull!A36</f>
        <v>0</v>
      </c>
      <c r="D20" s="264"/>
      <c r="E20" s="264"/>
      <c r="F20" s="264"/>
      <c r="G20" s="264"/>
      <c r="H20" s="264"/>
      <c r="I20" s="264"/>
      <c r="J20" s="264"/>
      <c r="K20" s="264"/>
      <c r="L20" s="264"/>
      <c r="M20" s="264"/>
      <c r="N20" s="265"/>
      <c r="O20" s="327">
        <f>MedicationFull!B36</f>
        <v>0</v>
      </c>
      <c r="P20" s="325"/>
      <c r="Q20" s="325"/>
      <c r="R20" s="326"/>
      <c r="S20" s="324" t="str">
        <f>UPPER(MedicationFull!C36)</f>
        <v/>
      </c>
      <c r="T20" s="325"/>
      <c r="U20" s="325"/>
      <c r="V20" s="326"/>
      <c r="W20" s="324" t="str">
        <f>UPPER(MedicationFull!D36)</f>
        <v/>
      </c>
      <c r="X20" s="325"/>
      <c r="Y20" s="325"/>
      <c r="Z20" s="326"/>
      <c r="AA20" s="324" t="str">
        <f>UPPER(MedicationFull!E36)</f>
        <v/>
      </c>
      <c r="AB20" s="325"/>
      <c r="AC20" s="326"/>
      <c r="AD20" s="329" t="str">
        <f>IF(MedicationFull!F36="New","N","")&amp;IF(MedicationFull!F36="Current","CU","")&amp;IF(MedicationFull!F36="Change","CH","")&amp;IF(MedicationFull!F36="Discontinued","DX","")</f>
        <v/>
      </c>
      <c r="AE20" s="329"/>
      <c r="AF20" s="329"/>
      <c r="AG20" s="328">
        <f>MedicationFull!G36</f>
        <v>0</v>
      </c>
      <c r="AH20" s="328"/>
      <c r="AI20" s="328"/>
      <c r="AJ20" s="328"/>
      <c r="AK20" s="328"/>
      <c r="AL20" s="328"/>
    </row>
    <row r="21" spans="1:38" x14ac:dyDescent="0.2">
      <c r="A21" s="240">
        <v>35</v>
      </c>
      <c r="B21" s="240"/>
      <c r="C21" s="263">
        <f>MedicationFull!A37</f>
        <v>0</v>
      </c>
      <c r="D21" s="264"/>
      <c r="E21" s="264"/>
      <c r="F21" s="264"/>
      <c r="G21" s="264"/>
      <c r="H21" s="264"/>
      <c r="I21" s="264"/>
      <c r="J21" s="264"/>
      <c r="K21" s="264"/>
      <c r="L21" s="264"/>
      <c r="M21" s="264"/>
      <c r="N21" s="265"/>
      <c r="O21" s="327">
        <f>MedicationFull!B37</f>
        <v>0</v>
      </c>
      <c r="P21" s="325"/>
      <c r="Q21" s="325"/>
      <c r="R21" s="326"/>
      <c r="S21" s="324" t="str">
        <f>UPPER(MedicationFull!C37)</f>
        <v/>
      </c>
      <c r="T21" s="325"/>
      <c r="U21" s="325"/>
      <c r="V21" s="326"/>
      <c r="W21" s="324" t="str">
        <f>UPPER(MedicationFull!D37)</f>
        <v/>
      </c>
      <c r="X21" s="325"/>
      <c r="Y21" s="325"/>
      <c r="Z21" s="326"/>
      <c r="AA21" s="324" t="str">
        <f>UPPER(MedicationFull!E37)</f>
        <v/>
      </c>
      <c r="AB21" s="325"/>
      <c r="AC21" s="326"/>
      <c r="AD21" s="329" t="str">
        <f>IF(MedicationFull!F37="New","N","")&amp;IF(MedicationFull!F37="Current","CU","")&amp;IF(MedicationFull!F37="Change","CH","")&amp;IF(MedicationFull!F37="Discontinued","DX","")</f>
        <v/>
      </c>
      <c r="AE21" s="329"/>
      <c r="AF21" s="329"/>
      <c r="AG21" s="328">
        <f>MedicationFull!G37</f>
        <v>0</v>
      </c>
      <c r="AH21" s="328"/>
      <c r="AI21" s="328"/>
      <c r="AJ21" s="328"/>
      <c r="AK21" s="328"/>
      <c r="AL21" s="328"/>
    </row>
    <row r="22" spans="1:38" x14ac:dyDescent="0.2">
      <c r="A22" s="240">
        <v>36</v>
      </c>
      <c r="B22" s="240"/>
      <c r="C22" s="263">
        <f>MedicationFull!A38</f>
        <v>0</v>
      </c>
      <c r="D22" s="264"/>
      <c r="E22" s="264"/>
      <c r="F22" s="264"/>
      <c r="G22" s="264"/>
      <c r="H22" s="264"/>
      <c r="I22" s="264"/>
      <c r="J22" s="264"/>
      <c r="K22" s="264"/>
      <c r="L22" s="264"/>
      <c r="M22" s="264"/>
      <c r="N22" s="265"/>
      <c r="O22" s="327">
        <f>MedicationFull!B38</f>
        <v>0</v>
      </c>
      <c r="P22" s="325"/>
      <c r="Q22" s="325"/>
      <c r="R22" s="326"/>
      <c r="S22" s="324" t="str">
        <f>UPPER(MedicationFull!C38)</f>
        <v/>
      </c>
      <c r="T22" s="325"/>
      <c r="U22" s="325"/>
      <c r="V22" s="326"/>
      <c r="W22" s="324" t="str">
        <f>UPPER(MedicationFull!D38)</f>
        <v/>
      </c>
      <c r="X22" s="325"/>
      <c r="Y22" s="325"/>
      <c r="Z22" s="326"/>
      <c r="AA22" s="324" t="str">
        <f>UPPER(MedicationFull!E38)</f>
        <v/>
      </c>
      <c r="AB22" s="325"/>
      <c r="AC22" s="326"/>
      <c r="AD22" s="329" t="str">
        <f>IF(MedicationFull!F38="New","N","")&amp;IF(MedicationFull!F38="Current","CU","")&amp;IF(MedicationFull!F38="Change","CH","")&amp;IF(MedicationFull!F38="Discontinued","DX","")</f>
        <v/>
      </c>
      <c r="AE22" s="329"/>
      <c r="AF22" s="329"/>
      <c r="AG22" s="328">
        <f>MedicationFull!G38</f>
        <v>0</v>
      </c>
      <c r="AH22" s="328"/>
      <c r="AI22" s="328"/>
      <c r="AJ22" s="328"/>
      <c r="AK22" s="328"/>
      <c r="AL22" s="328"/>
    </row>
    <row r="23" spans="1:38" x14ac:dyDescent="0.2">
      <c r="A23" s="240">
        <v>37</v>
      </c>
      <c r="B23" s="240"/>
      <c r="C23" s="263">
        <f>MedicationFull!A39</f>
        <v>0</v>
      </c>
      <c r="D23" s="264"/>
      <c r="E23" s="264"/>
      <c r="F23" s="264"/>
      <c r="G23" s="264"/>
      <c r="H23" s="264"/>
      <c r="I23" s="264"/>
      <c r="J23" s="264"/>
      <c r="K23" s="264"/>
      <c r="L23" s="264"/>
      <c r="M23" s="264"/>
      <c r="N23" s="265"/>
      <c r="O23" s="327">
        <f>MedicationFull!B39</f>
        <v>0</v>
      </c>
      <c r="P23" s="325"/>
      <c r="Q23" s="325"/>
      <c r="R23" s="326"/>
      <c r="S23" s="324" t="str">
        <f>UPPER(MedicationFull!C39)</f>
        <v/>
      </c>
      <c r="T23" s="325"/>
      <c r="U23" s="325"/>
      <c r="V23" s="326"/>
      <c r="W23" s="324" t="str">
        <f>UPPER(MedicationFull!D39)</f>
        <v/>
      </c>
      <c r="X23" s="325"/>
      <c r="Y23" s="325"/>
      <c r="Z23" s="326"/>
      <c r="AA23" s="324" t="str">
        <f>UPPER(MedicationFull!E39)</f>
        <v/>
      </c>
      <c r="AB23" s="325"/>
      <c r="AC23" s="326"/>
      <c r="AD23" s="329" t="str">
        <f>IF(MedicationFull!F39="New","N","")&amp;IF(MedicationFull!F39="Current","CU","")&amp;IF(MedicationFull!F39="Change","CH","")&amp;IF(MedicationFull!F39="Discontinued","DX","")</f>
        <v/>
      </c>
      <c r="AE23" s="329"/>
      <c r="AF23" s="329"/>
      <c r="AG23" s="328">
        <f>MedicationFull!G39</f>
        <v>0</v>
      </c>
      <c r="AH23" s="328"/>
      <c r="AI23" s="328"/>
      <c r="AJ23" s="328"/>
      <c r="AK23" s="328"/>
      <c r="AL23" s="328"/>
    </row>
    <row r="24" spans="1:38" x14ac:dyDescent="0.2">
      <c r="A24" s="240">
        <v>38</v>
      </c>
      <c r="B24" s="240"/>
      <c r="C24" s="263">
        <f>MedicationFull!A40</f>
        <v>0</v>
      </c>
      <c r="D24" s="264"/>
      <c r="E24" s="264"/>
      <c r="F24" s="264"/>
      <c r="G24" s="264"/>
      <c r="H24" s="264"/>
      <c r="I24" s="264"/>
      <c r="J24" s="264"/>
      <c r="K24" s="264"/>
      <c r="L24" s="264"/>
      <c r="M24" s="264"/>
      <c r="N24" s="265"/>
      <c r="O24" s="327">
        <f>MedicationFull!B40</f>
        <v>0</v>
      </c>
      <c r="P24" s="325"/>
      <c r="Q24" s="325"/>
      <c r="R24" s="326"/>
      <c r="S24" s="324" t="str">
        <f>UPPER(MedicationFull!C40)</f>
        <v/>
      </c>
      <c r="T24" s="325"/>
      <c r="U24" s="325"/>
      <c r="V24" s="326"/>
      <c r="W24" s="324" t="str">
        <f>UPPER(MedicationFull!D40)</f>
        <v/>
      </c>
      <c r="X24" s="325"/>
      <c r="Y24" s="325"/>
      <c r="Z24" s="326"/>
      <c r="AA24" s="324" t="str">
        <f>UPPER(MedicationFull!E40)</f>
        <v/>
      </c>
      <c r="AB24" s="325"/>
      <c r="AC24" s="326"/>
      <c r="AD24" s="329" t="str">
        <f>IF(MedicationFull!F40="New","N","")&amp;IF(MedicationFull!F40="Current","CU","")&amp;IF(MedicationFull!F40="Change","CH","")&amp;IF(MedicationFull!F40="Discontinued","DX","")</f>
        <v/>
      </c>
      <c r="AE24" s="329"/>
      <c r="AF24" s="329"/>
      <c r="AG24" s="328">
        <f>MedicationFull!G40</f>
        <v>0</v>
      </c>
      <c r="AH24" s="328"/>
      <c r="AI24" s="328"/>
      <c r="AJ24" s="328"/>
      <c r="AK24" s="328"/>
      <c r="AL24" s="328"/>
    </row>
    <row r="25" spans="1:38" x14ac:dyDescent="0.2">
      <c r="A25" s="240">
        <v>39</v>
      </c>
      <c r="B25" s="240"/>
      <c r="C25" s="263">
        <f>MedicationFull!A41</f>
        <v>0</v>
      </c>
      <c r="D25" s="264"/>
      <c r="E25" s="264"/>
      <c r="F25" s="264"/>
      <c r="G25" s="264"/>
      <c r="H25" s="264"/>
      <c r="I25" s="264"/>
      <c r="J25" s="264"/>
      <c r="K25" s="264"/>
      <c r="L25" s="264"/>
      <c r="M25" s="264"/>
      <c r="N25" s="265"/>
      <c r="O25" s="327">
        <f>MedicationFull!B41</f>
        <v>0</v>
      </c>
      <c r="P25" s="325"/>
      <c r="Q25" s="325"/>
      <c r="R25" s="326"/>
      <c r="S25" s="324" t="str">
        <f>UPPER(MedicationFull!C41)</f>
        <v/>
      </c>
      <c r="T25" s="325"/>
      <c r="U25" s="325"/>
      <c r="V25" s="326"/>
      <c r="W25" s="324" t="str">
        <f>UPPER(MedicationFull!D41)</f>
        <v/>
      </c>
      <c r="X25" s="325"/>
      <c r="Y25" s="325"/>
      <c r="Z25" s="326"/>
      <c r="AA25" s="324" t="str">
        <f>UPPER(MedicationFull!E41)</f>
        <v/>
      </c>
      <c r="AB25" s="325"/>
      <c r="AC25" s="326"/>
      <c r="AD25" s="329" t="str">
        <f>IF(MedicationFull!F41="New","N","")&amp;IF(MedicationFull!F41="Current","CU","")&amp;IF(MedicationFull!F41="Change","CH","")&amp;IF(MedicationFull!F41="Discontinued","DX","")</f>
        <v/>
      </c>
      <c r="AE25" s="329"/>
      <c r="AF25" s="329"/>
      <c r="AG25" s="328">
        <f>MedicationFull!G41</f>
        <v>0</v>
      </c>
      <c r="AH25" s="328"/>
      <c r="AI25" s="328"/>
      <c r="AJ25" s="328"/>
      <c r="AK25" s="328"/>
      <c r="AL25" s="328"/>
    </row>
    <row r="26" spans="1:38" x14ac:dyDescent="0.2">
      <c r="A26" s="240">
        <v>40</v>
      </c>
      <c r="B26" s="240"/>
      <c r="C26" s="263">
        <f>MedicationFull!A42</f>
        <v>0</v>
      </c>
      <c r="D26" s="264"/>
      <c r="E26" s="264"/>
      <c r="F26" s="264"/>
      <c r="G26" s="264"/>
      <c r="H26" s="264"/>
      <c r="I26" s="264"/>
      <c r="J26" s="264"/>
      <c r="K26" s="264"/>
      <c r="L26" s="264"/>
      <c r="M26" s="264"/>
      <c r="N26" s="265"/>
      <c r="O26" s="327">
        <f>MedicationFull!B42</f>
        <v>0</v>
      </c>
      <c r="P26" s="325"/>
      <c r="Q26" s="325"/>
      <c r="R26" s="326"/>
      <c r="S26" s="324" t="str">
        <f>UPPER(MedicationFull!C42)</f>
        <v/>
      </c>
      <c r="T26" s="325"/>
      <c r="U26" s="325"/>
      <c r="V26" s="326"/>
      <c r="W26" s="324" t="str">
        <f>UPPER(MedicationFull!D42)</f>
        <v/>
      </c>
      <c r="X26" s="325"/>
      <c r="Y26" s="325"/>
      <c r="Z26" s="326"/>
      <c r="AA26" s="324" t="str">
        <f>UPPER(MedicationFull!E42)</f>
        <v/>
      </c>
      <c r="AB26" s="325"/>
      <c r="AC26" s="326"/>
      <c r="AD26" s="329" t="str">
        <f>IF(MedicationFull!F42="New","N","")&amp;IF(MedicationFull!F42="Current","CU","")&amp;IF(MedicationFull!F42="Change","CH","")&amp;IF(MedicationFull!F42="Discontinued","DX","")</f>
        <v/>
      </c>
      <c r="AE26" s="329"/>
      <c r="AF26" s="329"/>
      <c r="AG26" s="328">
        <f>MedicationFull!G42</f>
        <v>0</v>
      </c>
      <c r="AH26" s="328"/>
      <c r="AI26" s="328"/>
      <c r="AJ26" s="328"/>
      <c r="AK26" s="328"/>
      <c r="AL26" s="328"/>
    </row>
    <row r="27" spans="1:38" x14ac:dyDescent="0.2">
      <c r="A27" s="240">
        <v>41</v>
      </c>
      <c r="B27" s="240"/>
      <c r="C27" s="263">
        <f>MedicationFull!A43</f>
        <v>0</v>
      </c>
      <c r="D27" s="264"/>
      <c r="E27" s="264"/>
      <c r="F27" s="264"/>
      <c r="G27" s="264"/>
      <c r="H27" s="264"/>
      <c r="I27" s="264"/>
      <c r="J27" s="264"/>
      <c r="K27" s="264"/>
      <c r="L27" s="264"/>
      <c r="M27" s="264"/>
      <c r="N27" s="265"/>
      <c r="O27" s="327">
        <f>MedicationFull!B43</f>
        <v>0</v>
      </c>
      <c r="P27" s="325"/>
      <c r="Q27" s="325"/>
      <c r="R27" s="326"/>
      <c r="S27" s="324" t="str">
        <f>UPPER(MedicationFull!C43)</f>
        <v/>
      </c>
      <c r="T27" s="325"/>
      <c r="U27" s="325"/>
      <c r="V27" s="326"/>
      <c r="W27" s="324" t="str">
        <f>UPPER(MedicationFull!D43)</f>
        <v/>
      </c>
      <c r="X27" s="325"/>
      <c r="Y27" s="325"/>
      <c r="Z27" s="326"/>
      <c r="AA27" s="324" t="str">
        <f>UPPER(MedicationFull!E43)</f>
        <v/>
      </c>
      <c r="AB27" s="325"/>
      <c r="AC27" s="326"/>
      <c r="AD27" s="329" t="str">
        <f>IF(MedicationFull!F43="New","N","")&amp;IF(MedicationFull!F43="Current","CU","")&amp;IF(MedicationFull!F43="Change","CH","")&amp;IF(MedicationFull!F43="Discontinued","DX","")</f>
        <v/>
      </c>
      <c r="AE27" s="329"/>
      <c r="AF27" s="329"/>
      <c r="AG27" s="328">
        <f>MedicationFull!G43</f>
        <v>0</v>
      </c>
      <c r="AH27" s="328"/>
      <c r="AI27" s="328"/>
      <c r="AJ27" s="328"/>
      <c r="AK27" s="328"/>
      <c r="AL27" s="328"/>
    </row>
    <row r="28" spans="1:38" x14ac:dyDescent="0.2">
      <c r="A28" s="240">
        <v>42</v>
      </c>
      <c r="B28" s="240"/>
      <c r="C28" s="263">
        <f>MedicationFull!A44</f>
        <v>0</v>
      </c>
      <c r="D28" s="264"/>
      <c r="E28" s="264"/>
      <c r="F28" s="264"/>
      <c r="G28" s="264"/>
      <c r="H28" s="264"/>
      <c r="I28" s="264"/>
      <c r="J28" s="264"/>
      <c r="K28" s="264"/>
      <c r="L28" s="264"/>
      <c r="M28" s="264"/>
      <c r="N28" s="265"/>
      <c r="O28" s="327">
        <f>MedicationFull!B44</f>
        <v>0</v>
      </c>
      <c r="P28" s="325"/>
      <c r="Q28" s="325"/>
      <c r="R28" s="326"/>
      <c r="S28" s="324" t="str">
        <f>UPPER(MedicationFull!C44)</f>
        <v/>
      </c>
      <c r="T28" s="325"/>
      <c r="U28" s="325"/>
      <c r="V28" s="326"/>
      <c r="W28" s="324" t="str">
        <f>UPPER(MedicationFull!D44)</f>
        <v/>
      </c>
      <c r="X28" s="325"/>
      <c r="Y28" s="325"/>
      <c r="Z28" s="326"/>
      <c r="AA28" s="324" t="str">
        <f>UPPER(MedicationFull!E44)</f>
        <v/>
      </c>
      <c r="AB28" s="325"/>
      <c r="AC28" s="326"/>
      <c r="AD28" s="329" t="str">
        <f>IF(MedicationFull!F44="New","N","")&amp;IF(MedicationFull!F44="Current","CU","")&amp;IF(MedicationFull!F44="Change","CH","")&amp;IF(MedicationFull!F44="Discontinued","DX","")</f>
        <v/>
      </c>
      <c r="AE28" s="329"/>
      <c r="AF28" s="329"/>
      <c r="AG28" s="328">
        <f>MedicationFull!G44</f>
        <v>0</v>
      </c>
      <c r="AH28" s="328"/>
      <c r="AI28" s="328"/>
      <c r="AJ28" s="328"/>
      <c r="AK28" s="328"/>
      <c r="AL28" s="328"/>
    </row>
    <row r="29" spans="1:38" x14ac:dyDescent="0.2">
      <c r="A29" s="240">
        <v>43</v>
      </c>
      <c r="B29" s="240"/>
      <c r="C29" s="263">
        <f>MedicationFull!A45</f>
        <v>0</v>
      </c>
      <c r="D29" s="264"/>
      <c r="E29" s="264"/>
      <c r="F29" s="264"/>
      <c r="G29" s="264"/>
      <c r="H29" s="264"/>
      <c r="I29" s="264"/>
      <c r="J29" s="264"/>
      <c r="K29" s="264"/>
      <c r="L29" s="264"/>
      <c r="M29" s="264"/>
      <c r="N29" s="265"/>
      <c r="O29" s="327">
        <f>MedicationFull!B45</f>
        <v>0</v>
      </c>
      <c r="P29" s="325"/>
      <c r="Q29" s="325"/>
      <c r="R29" s="326"/>
      <c r="S29" s="324" t="str">
        <f>UPPER(MedicationFull!C45)</f>
        <v/>
      </c>
      <c r="T29" s="325"/>
      <c r="U29" s="325"/>
      <c r="V29" s="326"/>
      <c r="W29" s="324" t="str">
        <f>UPPER(MedicationFull!D45)</f>
        <v/>
      </c>
      <c r="X29" s="325"/>
      <c r="Y29" s="325"/>
      <c r="Z29" s="326"/>
      <c r="AA29" s="324" t="str">
        <f>UPPER(MedicationFull!E45)</f>
        <v/>
      </c>
      <c r="AB29" s="325"/>
      <c r="AC29" s="326"/>
      <c r="AD29" s="329" t="str">
        <f>IF(MedicationFull!F45="New","N","")&amp;IF(MedicationFull!F45="Current","CU","")&amp;IF(MedicationFull!F45="Change","CH","")&amp;IF(MedicationFull!F45="Discontinued","DX","")</f>
        <v/>
      </c>
      <c r="AE29" s="329"/>
      <c r="AF29" s="329"/>
      <c r="AG29" s="328">
        <f>MedicationFull!G45</f>
        <v>0</v>
      </c>
      <c r="AH29" s="328"/>
      <c r="AI29" s="328"/>
      <c r="AJ29" s="328"/>
      <c r="AK29" s="328"/>
      <c r="AL29" s="328"/>
    </row>
    <row r="30" spans="1:38" x14ac:dyDescent="0.2">
      <c r="A30" s="240">
        <v>44</v>
      </c>
      <c r="B30" s="240"/>
      <c r="C30" s="263">
        <f>MedicationFull!A46</f>
        <v>0</v>
      </c>
      <c r="D30" s="264"/>
      <c r="E30" s="264"/>
      <c r="F30" s="264"/>
      <c r="G30" s="264"/>
      <c r="H30" s="264"/>
      <c r="I30" s="264"/>
      <c r="J30" s="264"/>
      <c r="K30" s="264"/>
      <c r="L30" s="264"/>
      <c r="M30" s="264"/>
      <c r="N30" s="265"/>
      <c r="O30" s="327">
        <f>MedicationFull!B46</f>
        <v>0</v>
      </c>
      <c r="P30" s="325"/>
      <c r="Q30" s="325"/>
      <c r="R30" s="326"/>
      <c r="S30" s="324" t="str">
        <f>UPPER(MedicationFull!C46)</f>
        <v/>
      </c>
      <c r="T30" s="325"/>
      <c r="U30" s="325"/>
      <c r="V30" s="326"/>
      <c r="W30" s="324" t="str">
        <f>UPPER(MedicationFull!D46)</f>
        <v/>
      </c>
      <c r="X30" s="325"/>
      <c r="Y30" s="325"/>
      <c r="Z30" s="326"/>
      <c r="AA30" s="324" t="str">
        <f>UPPER(MedicationFull!E46)</f>
        <v/>
      </c>
      <c r="AB30" s="325"/>
      <c r="AC30" s="326"/>
      <c r="AD30" s="329" t="str">
        <f>IF(MedicationFull!F46="New","N","")&amp;IF(MedicationFull!F46="Current","CU","")&amp;IF(MedicationFull!F46="Change","CH","")&amp;IF(MedicationFull!F46="Discontinued","DX","")</f>
        <v/>
      </c>
      <c r="AE30" s="329"/>
      <c r="AF30" s="329"/>
      <c r="AG30" s="328">
        <f>MedicationFull!G46</f>
        <v>0</v>
      </c>
      <c r="AH30" s="328"/>
      <c r="AI30" s="328"/>
      <c r="AJ30" s="328"/>
      <c r="AK30" s="328"/>
      <c r="AL30" s="328"/>
    </row>
    <row r="31" spans="1:38" x14ac:dyDescent="0.2">
      <c r="A31" s="240">
        <v>45</v>
      </c>
      <c r="B31" s="240"/>
      <c r="C31" s="263">
        <f>MedicationFull!A47</f>
        <v>0</v>
      </c>
      <c r="D31" s="264"/>
      <c r="E31" s="264"/>
      <c r="F31" s="264"/>
      <c r="G31" s="264"/>
      <c r="H31" s="264"/>
      <c r="I31" s="264"/>
      <c r="J31" s="264"/>
      <c r="K31" s="264"/>
      <c r="L31" s="264"/>
      <c r="M31" s="264"/>
      <c r="N31" s="265"/>
      <c r="O31" s="327">
        <f>MedicationFull!B47</f>
        <v>0</v>
      </c>
      <c r="P31" s="325"/>
      <c r="Q31" s="325"/>
      <c r="R31" s="326"/>
      <c r="S31" s="324" t="str">
        <f>UPPER(MedicationFull!C47)</f>
        <v/>
      </c>
      <c r="T31" s="325"/>
      <c r="U31" s="325"/>
      <c r="V31" s="326"/>
      <c r="W31" s="324" t="str">
        <f>UPPER(MedicationFull!D47)</f>
        <v/>
      </c>
      <c r="X31" s="325"/>
      <c r="Y31" s="325"/>
      <c r="Z31" s="326"/>
      <c r="AA31" s="324" t="str">
        <f>UPPER(MedicationFull!E47)</f>
        <v/>
      </c>
      <c r="AB31" s="325"/>
      <c r="AC31" s="326"/>
      <c r="AD31" s="329" t="str">
        <f>IF(MedicationFull!F47="New","N","")&amp;IF(MedicationFull!F47="Current","CU","")&amp;IF(MedicationFull!F47="Change","CH","")&amp;IF(MedicationFull!F47="Discontinued","DX","")</f>
        <v/>
      </c>
      <c r="AE31" s="329"/>
      <c r="AF31" s="329"/>
      <c r="AG31" s="328">
        <f>MedicationFull!G47</f>
        <v>0</v>
      </c>
      <c r="AH31" s="328"/>
      <c r="AI31" s="328"/>
      <c r="AJ31" s="328"/>
      <c r="AK31" s="328"/>
      <c r="AL31" s="328"/>
    </row>
    <row r="32" spans="1:38" x14ac:dyDescent="0.2">
      <c r="A32" s="240">
        <v>46</v>
      </c>
      <c r="B32" s="240"/>
      <c r="C32" s="263">
        <f>MedicationFull!A48</f>
        <v>0</v>
      </c>
      <c r="D32" s="264"/>
      <c r="E32" s="264"/>
      <c r="F32" s="264"/>
      <c r="G32" s="264"/>
      <c r="H32" s="264"/>
      <c r="I32" s="264"/>
      <c r="J32" s="264"/>
      <c r="K32" s="264"/>
      <c r="L32" s="264"/>
      <c r="M32" s="264"/>
      <c r="N32" s="265"/>
      <c r="O32" s="327">
        <f>MedicationFull!B48</f>
        <v>0</v>
      </c>
      <c r="P32" s="325"/>
      <c r="Q32" s="325"/>
      <c r="R32" s="326"/>
      <c r="S32" s="324" t="str">
        <f>UPPER(MedicationFull!C48)</f>
        <v/>
      </c>
      <c r="T32" s="325"/>
      <c r="U32" s="325"/>
      <c r="V32" s="326"/>
      <c r="W32" s="324" t="str">
        <f>UPPER(MedicationFull!D48)</f>
        <v/>
      </c>
      <c r="X32" s="325"/>
      <c r="Y32" s="325"/>
      <c r="Z32" s="326"/>
      <c r="AA32" s="324" t="str">
        <f>UPPER(MedicationFull!E48)</f>
        <v/>
      </c>
      <c r="AB32" s="325"/>
      <c r="AC32" s="326"/>
      <c r="AD32" s="329" t="str">
        <f>IF(MedicationFull!F48="New","N","")&amp;IF(MedicationFull!F48="Current","CU","")&amp;IF(MedicationFull!F48="Change","CH","")&amp;IF(MedicationFull!F48="Discontinued","DX","")</f>
        <v/>
      </c>
      <c r="AE32" s="329"/>
      <c r="AF32" s="329"/>
      <c r="AG32" s="328">
        <f>MedicationFull!G48</f>
        <v>0</v>
      </c>
      <c r="AH32" s="328"/>
      <c r="AI32" s="328"/>
      <c r="AJ32" s="328"/>
      <c r="AK32" s="328"/>
      <c r="AL32" s="328"/>
    </row>
    <row r="33" spans="1:38" x14ac:dyDescent="0.2">
      <c r="A33" s="240">
        <v>47</v>
      </c>
      <c r="B33" s="240"/>
      <c r="C33" s="263">
        <f>MedicationFull!A49</f>
        <v>0</v>
      </c>
      <c r="D33" s="264"/>
      <c r="E33" s="264"/>
      <c r="F33" s="264"/>
      <c r="G33" s="264"/>
      <c r="H33" s="264"/>
      <c r="I33" s="264"/>
      <c r="J33" s="264"/>
      <c r="K33" s="264"/>
      <c r="L33" s="264"/>
      <c r="M33" s="264"/>
      <c r="N33" s="265"/>
      <c r="O33" s="327">
        <f>MedicationFull!B49</f>
        <v>0</v>
      </c>
      <c r="P33" s="325"/>
      <c r="Q33" s="325"/>
      <c r="R33" s="326"/>
      <c r="S33" s="324" t="str">
        <f>UPPER(MedicationFull!C49)</f>
        <v/>
      </c>
      <c r="T33" s="325"/>
      <c r="U33" s="325"/>
      <c r="V33" s="326"/>
      <c r="W33" s="324" t="str">
        <f>UPPER(MedicationFull!D49)</f>
        <v/>
      </c>
      <c r="X33" s="325"/>
      <c r="Y33" s="325"/>
      <c r="Z33" s="326"/>
      <c r="AA33" s="324" t="str">
        <f>UPPER(MedicationFull!E49)</f>
        <v/>
      </c>
      <c r="AB33" s="325"/>
      <c r="AC33" s="326"/>
      <c r="AD33" s="329" t="str">
        <f>IF(MedicationFull!F49="New","N","")&amp;IF(MedicationFull!F49="Current","CU","")&amp;IF(MedicationFull!F49="Change","CH","")&amp;IF(MedicationFull!F49="Discontinued","DX","")</f>
        <v/>
      </c>
      <c r="AE33" s="329"/>
      <c r="AF33" s="329"/>
      <c r="AG33" s="328">
        <f>MedicationFull!G49</f>
        <v>0</v>
      </c>
      <c r="AH33" s="328"/>
      <c r="AI33" s="328"/>
      <c r="AJ33" s="328"/>
      <c r="AK33" s="328"/>
      <c r="AL33" s="328"/>
    </row>
    <row r="34" spans="1:38" x14ac:dyDescent="0.2">
      <c r="A34" s="240">
        <v>48</v>
      </c>
      <c r="B34" s="240"/>
      <c r="C34" s="263">
        <f>MedicationFull!A50</f>
        <v>0</v>
      </c>
      <c r="D34" s="264"/>
      <c r="E34" s="264"/>
      <c r="F34" s="264"/>
      <c r="G34" s="264"/>
      <c r="H34" s="264"/>
      <c r="I34" s="264"/>
      <c r="J34" s="264"/>
      <c r="K34" s="264"/>
      <c r="L34" s="264"/>
      <c r="M34" s="264"/>
      <c r="N34" s="265"/>
      <c r="O34" s="327">
        <f>MedicationFull!B50</f>
        <v>0</v>
      </c>
      <c r="P34" s="325"/>
      <c r="Q34" s="325"/>
      <c r="R34" s="326"/>
      <c r="S34" s="324" t="str">
        <f>UPPER(MedicationFull!C50)</f>
        <v/>
      </c>
      <c r="T34" s="325"/>
      <c r="U34" s="325"/>
      <c r="V34" s="326"/>
      <c r="W34" s="324" t="str">
        <f>UPPER(MedicationFull!D50)</f>
        <v/>
      </c>
      <c r="X34" s="325"/>
      <c r="Y34" s="325"/>
      <c r="Z34" s="326"/>
      <c r="AA34" s="324" t="str">
        <f>UPPER(MedicationFull!E50)</f>
        <v/>
      </c>
      <c r="AB34" s="325"/>
      <c r="AC34" s="326"/>
      <c r="AD34" s="329" t="str">
        <f>IF(MedicationFull!F50="New","N","")&amp;IF(MedicationFull!F50="Current","CU","")&amp;IF(MedicationFull!F50="Change","CH","")&amp;IF(MedicationFull!F50="Discontinued","DX","")</f>
        <v/>
      </c>
      <c r="AE34" s="329"/>
      <c r="AF34" s="329"/>
      <c r="AG34" s="328">
        <f>MedicationFull!G50</f>
        <v>0</v>
      </c>
      <c r="AH34" s="328"/>
      <c r="AI34" s="328"/>
      <c r="AJ34" s="328"/>
      <c r="AK34" s="328"/>
      <c r="AL34" s="328"/>
    </row>
    <row r="35" spans="1:38" x14ac:dyDescent="0.2">
      <c r="A35" s="240">
        <v>49</v>
      </c>
      <c r="B35" s="240"/>
      <c r="C35" s="263">
        <f>MedicationFull!A51</f>
        <v>0</v>
      </c>
      <c r="D35" s="264"/>
      <c r="E35" s="264"/>
      <c r="F35" s="264"/>
      <c r="G35" s="264"/>
      <c r="H35" s="264"/>
      <c r="I35" s="264"/>
      <c r="J35" s="264"/>
      <c r="K35" s="264"/>
      <c r="L35" s="264"/>
      <c r="M35" s="264"/>
      <c r="N35" s="265"/>
      <c r="O35" s="327">
        <f>MedicationFull!B51</f>
        <v>0</v>
      </c>
      <c r="P35" s="325"/>
      <c r="Q35" s="325"/>
      <c r="R35" s="326"/>
      <c r="S35" s="324" t="str">
        <f>UPPER(MedicationFull!C51)</f>
        <v/>
      </c>
      <c r="T35" s="325"/>
      <c r="U35" s="325"/>
      <c r="V35" s="326"/>
      <c r="W35" s="324" t="str">
        <f>UPPER(MedicationFull!D51)</f>
        <v/>
      </c>
      <c r="X35" s="325"/>
      <c r="Y35" s="325"/>
      <c r="Z35" s="326"/>
      <c r="AA35" s="324" t="str">
        <f>UPPER(MedicationFull!E51)</f>
        <v/>
      </c>
      <c r="AB35" s="325"/>
      <c r="AC35" s="326"/>
      <c r="AD35" s="329" t="str">
        <f>IF(MedicationFull!F51="New","N","")&amp;IF(MedicationFull!F51="Current","CU","")&amp;IF(MedicationFull!F51="Change","CH","")&amp;IF(MedicationFull!F51="Discontinued","DX","")</f>
        <v/>
      </c>
      <c r="AE35" s="329"/>
      <c r="AF35" s="329"/>
      <c r="AG35" s="328">
        <f>MedicationFull!G51</f>
        <v>0</v>
      </c>
      <c r="AH35" s="328"/>
      <c r="AI35" s="328"/>
      <c r="AJ35" s="328"/>
      <c r="AK35" s="328"/>
      <c r="AL35" s="328"/>
    </row>
    <row r="36" spans="1:38" x14ac:dyDescent="0.2">
      <c r="A36" s="240">
        <v>50</v>
      </c>
      <c r="B36" s="240"/>
      <c r="C36" s="263">
        <f>MedicationFull!A52</f>
        <v>0</v>
      </c>
      <c r="D36" s="264"/>
      <c r="E36" s="264"/>
      <c r="F36" s="264"/>
      <c r="G36" s="264"/>
      <c r="H36" s="264"/>
      <c r="I36" s="264"/>
      <c r="J36" s="264"/>
      <c r="K36" s="264"/>
      <c r="L36" s="264"/>
      <c r="M36" s="264"/>
      <c r="N36" s="265"/>
      <c r="O36" s="327">
        <f>MedicationFull!B52</f>
        <v>0</v>
      </c>
      <c r="P36" s="325"/>
      <c r="Q36" s="325"/>
      <c r="R36" s="326"/>
      <c r="S36" s="324" t="str">
        <f>UPPER(MedicationFull!C52)</f>
        <v/>
      </c>
      <c r="T36" s="325"/>
      <c r="U36" s="325"/>
      <c r="V36" s="326"/>
      <c r="W36" s="324" t="str">
        <f>UPPER(MedicationFull!D52)</f>
        <v/>
      </c>
      <c r="X36" s="325"/>
      <c r="Y36" s="325"/>
      <c r="Z36" s="326"/>
      <c r="AA36" s="324" t="str">
        <f>UPPER(MedicationFull!E52)</f>
        <v/>
      </c>
      <c r="AB36" s="325"/>
      <c r="AC36" s="326"/>
      <c r="AD36" s="329" t="str">
        <f>IF(MedicationFull!F52="New","N","")&amp;IF(MedicationFull!F52="Current","CU","")&amp;IF(MedicationFull!F52="Change","CH","")&amp;IF(MedicationFull!F52="Discontinued","DX","")</f>
        <v/>
      </c>
      <c r="AE36" s="329"/>
      <c r="AF36" s="329"/>
      <c r="AG36" s="328">
        <f>MedicationFull!G52</f>
        <v>0</v>
      </c>
      <c r="AH36" s="328"/>
      <c r="AI36" s="328"/>
      <c r="AJ36" s="328"/>
      <c r="AK36" s="328"/>
      <c r="AL36" s="328"/>
    </row>
    <row r="37" spans="1:38" ht="13.5" thickBot="1" x14ac:dyDescent="0.25"/>
    <row r="38" spans="1:38" ht="24" customHeight="1" x14ac:dyDescent="0.2">
      <c r="B38" s="330" t="s">
        <v>2896</v>
      </c>
      <c r="C38" s="331"/>
      <c r="D38" s="331"/>
      <c r="E38" s="331"/>
      <c r="F38" s="331"/>
      <c r="G38" s="331" t="s">
        <v>1465</v>
      </c>
      <c r="H38" s="331"/>
      <c r="I38" s="331"/>
      <c r="J38" s="331"/>
      <c r="K38" s="331"/>
      <c r="L38" s="331"/>
      <c r="M38" s="331"/>
      <c r="N38" s="332" t="s">
        <v>1427</v>
      </c>
      <c r="O38" s="332"/>
      <c r="P38" s="332"/>
      <c r="Q38" s="332"/>
      <c r="R38" s="332"/>
      <c r="S38" s="332"/>
      <c r="T38" s="332"/>
      <c r="U38" s="332"/>
      <c r="V38" s="332"/>
      <c r="W38" s="332"/>
      <c r="X38" s="332"/>
      <c r="Y38" s="332" t="s">
        <v>2897</v>
      </c>
      <c r="Z38" s="332"/>
      <c r="AA38" s="332"/>
      <c r="AB38" s="332"/>
      <c r="AC38" s="332"/>
      <c r="AD38" s="332"/>
      <c r="AE38" s="332"/>
      <c r="AF38" s="332"/>
      <c r="AG38" s="332"/>
      <c r="AH38" s="332" t="s">
        <v>2956</v>
      </c>
      <c r="AI38" s="332"/>
      <c r="AJ38" s="332"/>
      <c r="AK38" s="334"/>
    </row>
    <row r="39" spans="1:38" x14ac:dyDescent="0.2">
      <c r="B39" s="311">
        <f>IF(Data!B1653="",Data!B34,Data!B1653)</f>
        <v>0</v>
      </c>
      <c r="C39" s="312"/>
      <c r="D39" s="312"/>
      <c r="E39" s="312"/>
      <c r="F39" s="312"/>
      <c r="G39" s="315">
        <f>IF(Data!B1658="",Data!B175,Data!B1658)</f>
        <v>0</v>
      </c>
      <c r="H39" s="315"/>
      <c r="I39" s="315"/>
      <c r="J39" s="315"/>
      <c r="K39" s="315"/>
      <c r="L39" s="315"/>
      <c r="M39" s="315"/>
      <c r="N39" s="317"/>
      <c r="O39" s="317"/>
      <c r="P39" s="317"/>
      <c r="Q39" s="317"/>
      <c r="R39" s="317"/>
      <c r="S39" s="317"/>
      <c r="T39" s="317"/>
      <c r="U39" s="317"/>
      <c r="V39" s="317"/>
      <c r="W39" s="317"/>
      <c r="X39" s="317"/>
      <c r="Y39" s="254"/>
      <c r="Z39" s="254"/>
      <c r="AA39" s="254"/>
      <c r="AB39" s="254"/>
      <c r="AC39" s="254"/>
      <c r="AD39" s="254"/>
      <c r="AE39" s="254"/>
      <c r="AF39" s="254"/>
      <c r="AG39" s="254"/>
      <c r="AH39" s="254"/>
      <c r="AI39" s="254"/>
      <c r="AJ39" s="254"/>
      <c r="AK39" s="320"/>
    </row>
    <row r="40" spans="1:38" x14ac:dyDescent="0.2">
      <c r="B40" s="311"/>
      <c r="C40" s="312"/>
      <c r="D40" s="312"/>
      <c r="E40" s="312"/>
      <c r="F40" s="312"/>
      <c r="G40" s="315"/>
      <c r="H40" s="315"/>
      <c r="I40" s="315"/>
      <c r="J40" s="315"/>
      <c r="K40" s="315"/>
      <c r="L40" s="315"/>
      <c r="M40" s="315"/>
      <c r="N40" s="317"/>
      <c r="O40" s="317"/>
      <c r="P40" s="317"/>
      <c r="Q40" s="317"/>
      <c r="R40" s="317"/>
      <c r="S40" s="317"/>
      <c r="T40" s="317"/>
      <c r="U40" s="317"/>
      <c r="V40" s="317"/>
      <c r="W40" s="317"/>
      <c r="X40" s="317"/>
      <c r="Y40" s="254"/>
      <c r="Z40" s="254"/>
      <c r="AA40" s="254"/>
      <c r="AB40" s="254"/>
      <c r="AC40" s="254"/>
      <c r="AD40" s="254"/>
      <c r="AE40" s="254"/>
      <c r="AF40" s="254"/>
      <c r="AG40" s="254"/>
      <c r="AH40" s="254"/>
      <c r="AI40" s="254"/>
      <c r="AJ40" s="254"/>
      <c r="AK40" s="320"/>
    </row>
    <row r="41" spans="1:38" x14ac:dyDescent="0.2">
      <c r="B41" s="311">
        <v>0</v>
      </c>
      <c r="C41" s="312"/>
      <c r="D41" s="312"/>
      <c r="E41" s="312"/>
      <c r="F41" s="312"/>
      <c r="G41" s="315"/>
      <c r="H41" s="315"/>
      <c r="I41" s="315"/>
      <c r="J41" s="315"/>
      <c r="K41" s="315"/>
      <c r="L41" s="315"/>
      <c r="M41" s="315"/>
      <c r="N41" s="317"/>
      <c r="O41" s="317"/>
      <c r="P41" s="317"/>
      <c r="Q41" s="317"/>
      <c r="R41" s="317"/>
      <c r="S41" s="317"/>
      <c r="T41" s="317"/>
      <c r="U41" s="317"/>
      <c r="V41" s="317"/>
      <c r="W41" s="317"/>
      <c r="X41" s="317"/>
      <c r="Y41" s="254"/>
      <c r="Z41" s="254"/>
      <c r="AA41" s="254"/>
      <c r="AB41" s="254"/>
      <c r="AC41" s="254"/>
      <c r="AD41" s="254"/>
      <c r="AE41" s="254"/>
      <c r="AF41" s="254"/>
      <c r="AG41" s="254"/>
      <c r="AH41" s="254"/>
      <c r="AI41" s="254"/>
      <c r="AJ41" s="254"/>
      <c r="AK41" s="320"/>
    </row>
    <row r="42" spans="1:38" x14ac:dyDescent="0.2">
      <c r="B42" s="311"/>
      <c r="C42" s="312"/>
      <c r="D42" s="312"/>
      <c r="E42" s="312"/>
      <c r="F42" s="312"/>
      <c r="G42" s="315"/>
      <c r="H42" s="315"/>
      <c r="I42" s="315"/>
      <c r="J42" s="315"/>
      <c r="K42" s="315"/>
      <c r="L42" s="315"/>
      <c r="M42" s="315"/>
      <c r="N42" s="317"/>
      <c r="O42" s="317"/>
      <c r="P42" s="317"/>
      <c r="Q42" s="317"/>
      <c r="R42" s="317"/>
      <c r="S42" s="317"/>
      <c r="T42" s="317"/>
      <c r="U42" s="317"/>
      <c r="V42" s="317"/>
      <c r="W42" s="317"/>
      <c r="X42" s="317"/>
      <c r="Y42" s="254"/>
      <c r="Z42" s="254"/>
      <c r="AA42" s="254"/>
      <c r="AB42" s="254"/>
      <c r="AC42" s="254"/>
      <c r="AD42" s="254"/>
      <c r="AE42" s="254"/>
      <c r="AF42" s="254"/>
      <c r="AG42" s="254"/>
      <c r="AH42" s="254"/>
      <c r="AI42" s="254"/>
      <c r="AJ42" s="254"/>
      <c r="AK42" s="320"/>
    </row>
    <row r="43" spans="1:38" x14ac:dyDescent="0.2">
      <c r="B43" s="311"/>
      <c r="C43" s="312"/>
      <c r="D43" s="312"/>
      <c r="E43" s="312"/>
      <c r="F43" s="312"/>
      <c r="G43" s="315"/>
      <c r="H43" s="315"/>
      <c r="I43" s="315"/>
      <c r="J43" s="315"/>
      <c r="K43" s="315"/>
      <c r="L43" s="315"/>
      <c r="M43" s="315"/>
      <c r="N43" s="317"/>
      <c r="O43" s="317"/>
      <c r="P43" s="317"/>
      <c r="Q43" s="317"/>
      <c r="R43" s="317"/>
      <c r="S43" s="317"/>
      <c r="T43" s="317"/>
      <c r="U43" s="317"/>
      <c r="V43" s="317"/>
      <c r="W43" s="317"/>
      <c r="X43" s="317"/>
      <c r="Y43" s="254"/>
      <c r="Z43" s="254"/>
      <c r="AA43" s="254"/>
      <c r="AB43" s="254"/>
      <c r="AC43" s="254"/>
      <c r="AD43" s="254"/>
      <c r="AE43" s="254"/>
      <c r="AF43" s="254"/>
      <c r="AG43" s="254"/>
      <c r="AH43" s="254"/>
      <c r="AI43" s="254"/>
      <c r="AJ43" s="254"/>
      <c r="AK43" s="320"/>
    </row>
    <row r="44" spans="1:38" x14ac:dyDescent="0.2">
      <c r="B44" s="311"/>
      <c r="C44" s="312"/>
      <c r="D44" s="312"/>
      <c r="E44" s="312"/>
      <c r="F44" s="312"/>
      <c r="G44" s="315"/>
      <c r="H44" s="315"/>
      <c r="I44" s="315"/>
      <c r="J44" s="315"/>
      <c r="K44" s="315"/>
      <c r="L44" s="315"/>
      <c r="M44" s="315"/>
      <c r="N44" s="317"/>
      <c r="O44" s="317"/>
      <c r="P44" s="317"/>
      <c r="Q44" s="317"/>
      <c r="R44" s="317"/>
      <c r="S44" s="317"/>
      <c r="T44" s="317"/>
      <c r="U44" s="317"/>
      <c r="V44" s="317"/>
      <c r="W44" s="317"/>
      <c r="X44" s="317"/>
      <c r="Y44" s="254"/>
      <c r="Z44" s="254"/>
      <c r="AA44" s="254"/>
      <c r="AB44" s="254"/>
      <c r="AC44" s="254"/>
      <c r="AD44" s="254"/>
      <c r="AE44" s="254"/>
      <c r="AF44" s="254"/>
      <c r="AG44" s="254"/>
      <c r="AH44" s="254"/>
      <c r="AI44" s="254"/>
      <c r="AJ44" s="254"/>
      <c r="AK44" s="320"/>
    </row>
    <row r="45" spans="1:38" x14ac:dyDescent="0.2">
      <c r="B45" s="311"/>
      <c r="C45" s="312"/>
      <c r="D45" s="312"/>
      <c r="E45" s="312"/>
      <c r="F45" s="312"/>
      <c r="G45" s="315"/>
      <c r="H45" s="315"/>
      <c r="I45" s="315"/>
      <c r="J45" s="315"/>
      <c r="K45" s="315"/>
      <c r="L45" s="315"/>
      <c r="M45" s="315"/>
      <c r="N45" s="317"/>
      <c r="O45" s="317"/>
      <c r="P45" s="317"/>
      <c r="Q45" s="317"/>
      <c r="R45" s="317"/>
      <c r="S45" s="317"/>
      <c r="T45" s="317"/>
      <c r="U45" s="317"/>
      <c r="V45" s="317"/>
      <c r="W45" s="317"/>
      <c r="X45" s="317"/>
      <c r="Y45" s="254"/>
      <c r="Z45" s="254"/>
      <c r="AA45" s="254"/>
      <c r="AB45" s="254"/>
      <c r="AC45" s="254"/>
      <c r="AD45" s="254"/>
      <c r="AE45" s="254"/>
      <c r="AF45" s="254"/>
      <c r="AG45" s="254"/>
      <c r="AH45" s="254"/>
      <c r="AI45" s="254"/>
      <c r="AJ45" s="254"/>
      <c r="AK45" s="320"/>
    </row>
    <row r="46" spans="1:38" x14ac:dyDescent="0.2">
      <c r="B46" s="311"/>
      <c r="C46" s="312"/>
      <c r="D46" s="312"/>
      <c r="E46" s="312"/>
      <c r="F46" s="312"/>
      <c r="G46" s="315"/>
      <c r="H46" s="315"/>
      <c r="I46" s="315"/>
      <c r="J46" s="315"/>
      <c r="K46" s="315"/>
      <c r="L46" s="315"/>
      <c r="M46" s="315"/>
      <c r="N46" s="317"/>
      <c r="O46" s="317"/>
      <c r="P46" s="317"/>
      <c r="Q46" s="317"/>
      <c r="R46" s="317"/>
      <c r="S46" s="317"/>
      <c r="T46" s="317"/>
      <c r="U46" s="317"/>
      <c r="V46" s="317"/>
      <c r="W46" s="317"/>
      <c r="X46" s="317"/>
      <c r="Y46" s="254"/>
      <c r="Z46" s="254"/>
      <c r="AA46" s="254"/>
      <c r="AB46" s="254"/>
      <c r="AC46" s="254"/>
      <c r="AD46" s="254"/>
      <c r="AE46" s="254"/>
      <c r="AF46" s="254"/>
      <c r="AG46" s="254"/>
      <c r="AH46" s="254"/>
      <c r="AI46" s="254"/>
      <c r="AJ46" s="254"/>
      <c r="AK46" s="320"/>
    </row>
    <row r="47" spans="1:38" x14ac:dyDescent="0.2">
      <c r="B47" s="311"/>
      <c r="C47" s="312"/>
      <c r="D47" s="312"/>
      <c r="E47" s="312"/>
      <c r="F47" s="312"/>
      <c r="G47" s="315"/>
      <c r="H47" s="315"/>
      <c r="I47" s="315"/>
      <c r="J47" s="315"/>
      <c r="K47" s="315"/>
      <c r="L47" s="315"/>
      <c r="M47" s="315"/>
      <c r="N47" s="317"/>
      <c r="O47" s="317"/>
      <c r="P47" s="317"/>
      <c r="Q47" s="317"/>
      <c r="R47" s="317"/>
      <c r="S47" s="317"/>
      <c r="T47" s="317"/>
      <c r="U47" s="317"/>
      <c r="V47" s="317"/>
      <c r="W47" s="317"/>
      <c r="X47" s="317"/>
      <c r="Y47" s="254"/>
      <c r="Z47" s="254"/>
      <c r="AA47" s="254"/>
      <c r="AB47" s="254"/>
      <c r="AC47" s="254"/>
      <c r="AD47" s="254"/>
      <c r="AE47" s="254"/>
      <c r="AF47" s="254"/>
      <c r="AG47" s="254"/>
      <c r="AH47" s="254"/>
      <c r="AI47" s="254"/>
      <c r="AJ47" s="254"/>
      <c r="AK47" s="320"/>
    </row>
    <row r="48" spans="1:38" ht="13.5" thickBot="1" x14ac:dyDescent="0.25">
      <c r="B48" s="313"/>
      <c r="C48" s="314"/>
      <c r="D48" s="314"/>
      <c r="E48" s="314"/>
      <c r="F48" s="314"/>
      <c r="G48" s="316"/>
      <c r="H48" s="316"/>
      <c r="I48" s="316"/>
      <c r="J48" s="316"/>
      <c r="K48" s="316"/>
      <c r="L48" s="316"/>
      <c r="M48" s="316"/>
      <c r="N48" s="318"/>
      <c r="O48" s="318"/>
      <c r="P48" s="318"/>
      <c r="Q48" s="318"/>
      <c r="R48" s="318"/>
      <c r="S48" s="318"/>
      <c r="T48" s="318"/>
      <c r="U48" s="318"/>
      <c r="V48" s="318"/>
      <c r="W48" s="318"/>
      <c r="X48" s="318"/>
      <c r="Y48" s="319"/>
      <c r="Z48" s="319"/>
      <c r="AA48" s="319"/>
      <c r="AB48" s="319"/>
      <c r="AC48" s="319"/>
      <c r="AD48" s="319"/>
      <c r="AE48" s="319"/>
      <c r="AF48" s="319"/>
      <c r="AG48" s="319"/>
      <c r="AH48" s="319"/>
      <c r="AI48" s="319"/>
      <c r="AJ48" s="319"/>
      <c r="AK48" s="321"/>
    </row>
  </sheetData>
  <mergeCells count="255">
    <mergeCell ref="AD25:AF25"/>
    <mergeCell ref="AD26:AF26"/>
    <mergeCell ref="W35:Z35"/>
    <mergeCell ref="AG20:AL20"/>
    <mergeCell ref="AG21:AL21"/>
    <mergeCell ref="AG22:AL22"/>
    <mergeCell ref="AG23:AL23"/>
    <mergeCell ref="AG24:AL24"/>
    <mergeCell ref="AG25:AL25"/>
    <mergeCell ref="AG26:AL26"/>
    <mergeCell ref="AG27:AL27"/>
    <mergeCell ref="AG28:AL28"/>
    <mergeCell ref="AG32:AL32"/>
    <mergeCell ref="AG33:AL33"/>
    <mergeCell ref="AA34:AC34"/>
    <mergeCell ref="AD34:AF34"/>
    <mergeCell ref="W30:Z30"/>
    <mergeCell ref="W31:Z31"/>
    <mergeCell ref="W32:Z32"/>
    <mergeCell ref="AA21:AC21"/>
    <mergeCell ref="AA22:AC22"/>
    <mergeCell ref="W22:Z22"/>
    <mergeCell ref="W26:Z26"/>
    <mergeCell ref="W27:Z27"/>
    <mergeCell ref="Y38:AG38"/>
    <mergeCell ref="O35:R35"/>
    <mergeCell ref="O36:R36"/>
    <mergeCell ref="N38:X38"/>
    <mergeCell ref="AG29:AL29"/>
    <mergeCell ref="AG30:AL30"/>
    <mergeCell ref="AG31:AL31"/>
    <mergeCell ref="AG34:AL34"/>
    <mergeCell ref="AA36:AC36"/>
    <mergeCell ref="AD35:AF35"/>
    <mergeCell ref="AD36:AF36"/>
    <mergeCell ref="C33:N33"/>
    <mergeCell ref="O33:R33"/>
    <mergeCell ref="S33:V33"/>
    <mergeCell ref="W33:Z33"/>
    <mergeCell ref="AA32:AC32"/>
    <mergeCell ref="C29:N29"/>
    <mergeCell ref="AG36:AL36"/>
    <mergeCell ref="W36:Z36"/>
    <mergeCell ref="AG35:AL35"/>
    <mergeCell ref="AD32:AF32"/>
    <mergeCell ref="AA35:AC35"/>
    <mergeCell ref="AA33:AC33"/>
    <mergeCell ref="AD33:AF33"/>
    <mergeCell ref="S36:V36"/>
    <mergeCell ref="S34:V34"/>
    <mergeCell ref="W34:Z34"/>
    <mergeCell ref="S35:V35"/>
    <mergeCell ref="AA23:AC23"/>
    <mergeCell ref="AA24:AC24"/>
    <mergeCell ref="AD23:AF23"/>
    <mergeCell ref="AD24:AF24"/>
    <mergeCell ref="AA25:AC25"/>
    <mergeCell ref="AA26:AC26"/>
    <mergeCell ref="AD31:AF31"/>
    <mergeCell ref="W24:Z24"/>
    <mergeCell ref="W25:Z25"/>
    <mergeCell ref="AA30:AC30"/>
    <mergeCell ref="AA29:AC29"/>
    <mergeCell ref="AD29:AF29"/>
    <mergeCell ref="AD30:AF30"/>
    <mergeCell ref="AA27:AC27"/>
    <mergeCell ref="AA28:AC28"/>
    <mergeCell ref="AD27:AF27"/>
    <mergeCell ref="AD28:AF28"/>
    <mergeCell ref="AA31:AC31"/>
    <mergeCell ref="S27:V27"/>
    <mergeCell ref="S28:V28"/>
    <mergeCell ref="A34:B34"/>
    <mergeCell ref="A36:B36"/>
    <mergeCell ref="A35:B35"/>
    <mergeCell ref="C34:N34"/>
    <mergeCell ref="C35:N35"/>
    <mergeCell ref="C36:N36"/>
    <mergeCell ref="O34:R34"/>
    <mergeCell ref="A30:B30"/>
    <mergeCell ref="A32:B32"/>
    <mergeCell ref="A31:B31"/>
    <mergeCell ref="C30:N30"/>
    <mergeCell ref="C31:N31"/>
    <mergeCell ref="C32:N32"/>
    <mergeCell ref="S30:V30"/>
    <mergeCell ref="S31:V31"/>
    <mergeCell ref="S32:V32"/>
    <mergeCell ref="O30:R30"/>
    <mergeCell ref="O31:R31"/>
    <mergeCell ref="O32:R32"/>
    <mergeCell ref="O27:R27"/>
    <mergeCell ref="O28:R28"/>
    <mergeCell ref="O29:R29"/>
    <mergeCell ref="W13:Z13"/>
    <mergeCell ref="W14:Z14"/>
    <mergeCell ref="W15:Z15"/>
    <mergeCell ref="O15:R15"/>
    <mergeCell ref="S17:V17"/>
    <mergeCell ref="S18:V18"/>
    <mergeCell ref="S19:V19"/>
    <mergeCell ref="O16:R16"/>
    <mergeCell ref="W17:Z17"/>
    <mergeCell ref="O17:R17"/>
    <mergeCell ref="O18:R18"/>
    <mergeCell ref="O19:R19"/>
    <mergeCell ref="W16:Z16"/>
    <mergeCell ref="O14:R14"/>
    <mergeCell ref="S13:V13"/>
    <mergeCell ref="S14:V14"/>
    <mergeCell ref="S15:V15"/>
    <mergeCell ref="W28:Z28"/>
    <mergeCell ref="S25:V25"/>
    <mergeCell ref="S26:V26"/>
    <mergeCell ref="S29:V29"/>
    <mergeCell ref="O20:R20"/>
    <mergeCell ref="A22:B22"/>
    <mergeCell ref="A24:B24"/>
    <mergeCell ref="A23:B23"/>
    <mergeCell ref="C22:N22"/>
    <mergeCell ref="C23:N23"/>
    <mergeCell ref="C24:N24"/>
    <mergeCell ref="O22:R22"/>
    <mergeCell ref="A26:B26"/>
    <mergeCell ref="C26:N26"/>
    <mergeCell ref="A25:B25"/>
    <mergeCell ref="O23:R23"/>
    <mergeCell ref="O24:R24"/>
    <mergeCell ref="O25:R25"/>
    <mergeCell ref="O26:R26"/>
    <mergeCell ref="C25:N25"/>
    <mergeCell ref="S24:V24"/>
    <mergeCell ref="W29:Z29"/>
    <mergeCell ref="S21:V21"/>
    <mergeCell ref="W21:Z21"/>
    <mergeCell ref="AG15:AL15"/>
    <mergeCell ref="AA19:AC19"/>
    <mergeCell ref="AA20:AC20"/>
    <mergeCell ref="AD19:AF19"/>
    <mergeCell ref="AD20:AF20"/>
    <mergeCell ref="AA13:AC13"/>
    <mergeCell ref="AA14:AC14"/>
    <mergeCell ref="AD13:AF13"/>
    <mergeCell ref="AD14:AF14"/>
    <mergeCell ref="AA15:AC15"/>
    <mergeCell ref="AA16:AC16"/>
    <mergeCell ref="AD15:AF15"/>
    <mergeCell ref="AD16:AF16"/>
    <mergeCell ref="AA17:AC17"/>
    <mergeCell ref="AA18:AC18"/>
    <mergeCell ref="AD17:AF17"/>
    <mergeCell ref="AD18:AF18"/>
    <mergeCell ref="AG13:AL13"/>
    <mergeCell ref="AG14:AL14"/>
    <mergeCell ref="W23:Z23"/>
    <mergeCell ref="S22:V22"/>
    <mergeCell ref="S23:V23"/>
    <mergeCell ref="O21:R21"/>
    <mergeCell ref="AG16:AL16"/>
    <mergeCell ref="AG17:AL17"/>
    <mergeCell ref="AG18:AL18"/>
    <mergeCell ref="AG19:AL19"/>
    <mergeCell ref="S20:V20"/>
    <mergeCell ref="W20:Z20"/>
    <mergeCell ref="AD21:AF21"/>
    <mergeCell ref="AD22:AF22"/>
    <mergeCell ref="S16:V16"/>
    <mergeCell ref="AD11:AF11"/>
    <mergeCell ref="AD12:AF12"/>
    <mergeCell ref="A10:AL10"/>
    <mergeCell ref="C11:N11"/>
    <mergeCell ref="C12:N12"/>
    <mergeCell ref="O11:R11"/>
    <mergeCell ref="O12:R12"/>
    <mergeCell ref="S11:V11"/>
    <mergeCell ref="S12:V12"/>
    <mergeCell ref="W11:Z11"/>
    <mergeCell ref="W12:Z12"/>
    <mergeCell ref="AG11:AL11"/>
    <mergeCell ref="AG12:AL12"/>
    <mergeCell ref="A12:B12"/>
    <mergeCell ref="AA11:AC11"/>
    <mergeCell ref="AA12:AC12"/>
    <mergeCell ref="C19:N19"/>
    <mergeCell ref="C20:N20"/>
    <mergeCell ref="C21:N21"/>
    <mergeCell ref="F2:W2"/>
    <mergeCell ref="AA2:AH2"/>
    <mergeCell ref="AD3:AL3"/>
    <mergeCell ref="AE4:AL4"/>
    <mergeCell ref="H3:T3"/>
    <mergeCell ref="G4:Q4"/>
    <mergeCell ref="U4:AB4"/>
    <mergeCell ref="G5:Q5"/>
    <mergeCell ref="U5:AB5"/>
    <mergeCell ref="AE5:AL5"/>
    <mergeCell ref="D7:I7"/>
    <mergeCell ref="K7:AL7"/>
    <mergeCell ref="D8:I8"/>
    <mergeCell ref="K8:AL8"/>
    <mergeCell ref="D9:I9"/>
    <mergeCell ref="K9:AL9"/>
    <mergeCell ref="C13:N13"/>
    <mergeCell ref="C14:N14"/>
    <mergeCell ref="C15:N15"/>
    <mergeCell ref="C16:N16"/>
    <mergeCell ref="O13:R13"/>
    <mergeCell ref="A16:B16"/>
    <mergeCell ref="AH47:AK48"/>
    <mergeCell ref="Y39:AG40"/>
    <mergeCell ref="Y41:AG42"/>
    <mergeCell ref="Y43:AG44"/>
    <mergeCell ref="Y45:AG46"/>
    <mergeCell ref="Y47:AG48"/>
    <mergeCell ref="B39:F40"/>
    <mergeCell ref="B41:F42"/>
    <mergeCell ref="B43:F44"/>
    <mergeCell ref="B45:F46"/>
    <mergeCell ref="B47:F48"/>
    <mergeCell ref="G39:M40"/>
    <mergeCell ref="G41:M42"/>
    <mergeCell ref="G43:M44"/>
    <mergeCell ref="N47:X48"/>
    <mergeCell ref="N43:X44"/>
    <mergeCell ref="N45:X46"/>
    <mergeCell ref="AH38:AK38"/>
    <mergeCell ref="AH39:AK40"/>
    <mergeCell ref="AH41:AK42"/>
    <mergeCell ref="AH43:AK44"/>
    <mergeCell ref="AH45:AK46"/>
    <mergeCell ref="W19:Z19"/>
    <mergeCell ref="AA1:AL1"/>
    <mergeCell ref="A13:B13"/>
    <mergeCell ref="A14:B14"/>
    <mergeCell ref="G45:M46"/>
    <mergeCell ref="G47:M48"/>
    <mergeCell ref="A15:B15"/>
    <mergeCell ref="A17:B17"/>
    <mergeCell ref="A28:B28"/>
    <mergeCell ref="A27:B27"/>
    <mergeCell ref="C27:N27"/>
    <mergeCell ref="C28:N28"/>
    <mergeCell ref="A29:B29"/>
    <mergeCell ref="A33:B33"/>
    <mergeCell ref="B38:F38"/>
    <mergeCell ref="N39:X40"/>
    <mergeCell ref="N41:X42"/>
    <mergeCell ref="G38:M38"/>
    <mergeCell ref="A21:B21"/>
    <mergeCell ref="A18:B18"/>
    <mergeCell ref="A20:B20"/>
    <mergeCell ref="A19:B19"/>
    <mergeCell ref="C17:N17"/>
    <mergeCell ref="C18:N18"/>
    <mergeCell ref="W18:Z18"/>
  </mergeCells>
  <pageMargins left="0.25" right="0.25" top="0.75" bottom="0.75" header="0.3" footer="0.3"/>
  <pageSetup orientation="portrait" r:id="rId1"/>
  <headerFooter>
    <oddHeader>&amp;L&amp;G&amp;RMedication Profile Continued</oddHeader>
    <oddFooter>&amp;LINT.DS&amp;C3088 Mercer University Drive Suite 100 Atlanta, GA 30341
678-310-6305 Fax 404-935-6110&amp;RPP.M</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A339-63C2-47FD-B031-7F9D52785665}">
  <sheetPr codeName="Sheet81">
    <tabColor theme="5" tint="-0.249977111117893"/>
  </sheetPr>
  <dimension ref="A1:AN100"/>
  <sheetViews>
    <sheetView showZeros="0" view="pageLayout" zoomScaleNormal="100" workbookViewId="0">
      <selection activeCell="I2" sqref="I2:AG2"/>
    </sheetView>
  </sheetViews>
  <sheetFormatPr defaultColWidth="2.7109375" defaultRowHeight="12.75" x14ac:dyDescent="0.2"/>
  <sheetData>
    <row r="1" spans="1:39" x14ac:dyDescent="0.2">
      <c r="A1" t="s">
        <v>3216</v>
      </c>
      <c r="E1" s="300" t="str">
        <f>IF(OR(Data!B917=TRUE,Data!B929=TRUE),"AT RISK FOR SKIN BREAKDOWN","")&amp;IF(Data!B917=TRUE," -Bedbound","")&amp;IF(Data!B929=TRUE," -Chairbound","")&amp;IF(Data!B1610="Yes","  **LATEX ALLERGY**","")&amp;IF(AND(Data!B1644="Yes",Data!B1645="Yes"),"**DNR ON FILE**","")</f>
        <v/>
      </c>
      <c r="F1" s="300"/>
      <c r="G1" s="300"/>
      <c r="H1" s="300"/>
      <c r="I1" s="300"/>
      <c r="J1" s="300"/>
      <c r="K1" s="300"/>
      <c r="L1" s="300"/>
      <c r="M1" s="300"/>
      <c r="N1" s="300"/>
      <c r="O1" s="300"/>
      <c r="P1" s="300"/>
      <c r="Q1" s="300"/>
      <c r="R1" s="300"/>
      <c r="S1" s="300"/>
      <c r="T1" s="300"/>
      <c r="U1" s="300"/>
      <c r="V1" s="300"/>
      <c r="W1" s="300"/>
      <c r="X1" s="300"/>
      <c r="Y1" s="300"/>
      <c r="Z1" s="300"/>
      <c r="AA1" s="300"/>
      <c r="AB1" s="300"/>
      <c r="AC1" s="300"/>
      <c r="AD1" s="300"/>
      <c r="AE1" s="300"/>
      <c r="AF1" s="300"/>
      <c r="AG1" s="300"/>
      <c r="AH1" s="300"/>
      <c r="AI1" s="300"/>
      <c r="AJ1" s="300"/>
      <c r="AK1" s="300"/>
      <c r="AL1" s="300"/>
    </row>
    <row r="2" spans="1:39" x14ac:dyDescent="0.2">
      <c r="A2" t="s">
        <v>1094</v>
      </c>
      <c r="I2" s="240" t="str">
        <f>IF(Data!B178=TRUE,"Medicaid","")&amp;IF(Data!B179=TRUE,"  Personal Care, ","")&amp;IF(Data!B180=TRUE," Companion Care","")&amp;IF(Data!B1604=TRUE,"Skilled Nursing","")</f>
        <v/>
      </c>
      <c r="J2" s="240"/>
      <c r="K2" s="240"/>
      <c r="L2" s="240"/>
      <c r="M2" s="240"/>
      <c r="N2" s="240"/>
      <c r="O2" s="240"/>
      <c r="P2" s="240"/>
      <c r="Q2" s="240"/>
      <c r="R2" s="240"/>
      <c r="S2" s="240"/>
      <c r="T2" s="240"/>
      <c r="U2" s="240"/>
      <c r="V2" s="240"/>
      <c r="W2" s="240"/>
      <c r="X2" s="240"/>
      <c r="Y2" s="240"/>
      <c r="Z2" s="240"/>
      <c r="AA2" s="240"/>
      <c r="AB2" s="240"/>
      <c r="AC2" s="240"/>
      <c r="AD2" s="240"/>
      <c r="AE2" s="240"/>
      <c r="AF2" s="240"/>
      <c r="AG2" s="240"/>
    </row>
    <row r="3" spans="1:39" x14ac:dyDescent="0.2">
      <c r="A3" t="s">
        <v>336</v>
      </c>
      <c r="E3" s="240" t="str">
        <f>_xlfn.CONCAT(Data!B2,", ",Data!B3," ",Data!B4)</f>
        <v xml:space="preserve">,  </v>
      </c>
      <c r="F3" s="240"/>
      <c r="G3" s="240"/>
      <c r="H3" s="240"/>
      <c r="I3" s="240"/>
      <c r="J3" s="240"/>
      <c r="K3" s="240"/>
      <c r="L3" s="240"/>
      <c r="M3" s="240"/>
      <c r="N3" s="240"/>
      <c r="O3" s="240"/>
      <c r="P3" s="240"/>
      <c r="Q3" s="240"/>
      <c r="R3" s="240"/>
      <c r="S3" s="240"/>
      <c r="U3" t="s">
        <v>371</v>
      </c>
      <c r="W3" s="350">
        <f>Data!B14</f>
        <v>0</v>
      </c>
      <c r="X3" s="350"/>
      <c r="Y3" s="350"/>
      <c r="Z3" s="350"/>
      <c r="AA3" s="16"/>
      <c r="AB3" s="16" t="s">
        <v>772</v>
      </c>
      <c r="AH3" s="350">
        <f>Data!B34</f>
        <v>0</v>
      </c>
      <c r="AI3" s="350"/>
      <c r="AJ3" s="350"/>
      <c r="AK3" s="350"/>
      <c r="AL3" s="350"/>
      <c r="AM3" s="99"/>
    </row>
    <row r="4" spans="1:39" x14ac:dyDescent="0.2">
      <c r="A4" t="s">
        <v>582</v>
      </c>
      <c r="F4" s="350">
        <f>Data!B33</f>
        <v>0</v>
      </c>
      <c r="G4" s="350"/>
      <c r="H4" s="350"/>
      <c r="I4" s="350"/>
      <c r="J4" s="350"/>
      <c r="K4" t="s">
        <v>639</v>
      </c>
      <c r="Q4" s="350">
        <f>Data!B35</f>
        <v>0</v>
      </c>
      <c r="R4" s="350"/>
      <c r="S4" s="350"/>
      <c r="T4" s="350"/>
      <c r="U4" s="350"/>
      <c r="V4" s="350"/>
      <c r="AB4" t="s">
        <v>1089</v>
      </c>
      <c r="AH4" s="350">
        <f>Data!B36</f>
        <v>365</v>
      </c>
      <c r="AI4" s="295"/>
      <c r="AJ4" s="295"/>
      <c r="AK4" s="295"/>
      <c r="AL4" s="295"/>
    </row>
    <row r="5" spans="1:39" x14ac:dyDescent="0.2">
      <c r="A5" t="s">
        <v>602</v>
      </c>
      <c r="G5" s="240">
        <f>Data!B172</f>
        <v>0</v>
      </c>
      <c r="H5" s="240"/>
      <c r="I5" s="240"/>
      <c r="J5" s="240"/>
      <c r="K5" s="240"/>
      <c r="L5" s="240"/>
      <c r="M5" s="240"/>
      <c r="N5" s="240"/>
      <c r="O5" s="240"/>
      <c r="P5" s="240"/>
      <c r="Q5" s="240"/>
      <c r="R5" t="s">
        <v>773</v>
      </c>
      <c r="AA5" s="240">
        <f>Data!B176</f>
        <v>0</v>
      </c>
      <c r="AB5" s="240"/>
      <c r="AC5" s="240"/>
      <c r="AD5" t="s">
        <v>1090</v>
      </c>
      <c r="AH5" s="266"/>
      <c r="AI5" s="266"/>
      <c r="AJ5" s="266"/>
      <c r="AK5" s="266"/>
      <c r="AL5" s="266"/>
    </row>
    <row r="6" spans="1:39" x14ac:dyDescent="0.2">
      <c r="A6" t="s">
        <v>1091</v>
      </c>
      <c r="D6" s="240">
        <f>Data!B333</f>
        <v>0</v>
      </c>
      <c r="E6" s="240"/>
      <c r="F6" s="240"/>
      <c r="H6" t="s">
        <v>1092</v>
      </c>
      <c r="M6" s="240">
        <f>Data!B660</f>
        <v>0</v>
      </c>
      <c r="N6" s="240"/>
      <c r="O6" s="240"/>
      <c r="Q6" t="s">
        <v>1093</v>
      </c>
      <c r="U6" s="240">
        <f>Data!B466</f>
        <v>0</v>
      </c>
      <c r="V6" s="240"/>
      <c r="W6" s="240"/>
      <c r="Y6" t="s">
        <v>656</v>
      </c>
      <c r="AB6" s="240" t="str">
        <f>IF(Data!B467="","N/A",Data!B467)</f>
        <v>N/A</v>
      </c>
      <c r="AC6" s="240"/>
      <c r="AD6" s="240"/>
      <c r="AE6" s="240"/>
      <c r="AF6" s="240"/>
      <c r="AG6" s="240"/>
      <c r="AH6" s="240"/>
      <c r="AI6" s="240"/>
      <c r="AJ6" s="240"/>
      <c r="AK6" s="240"/>
    </row>
    <row r="7" spans="1:39" x14ac:dyDescent="0.2">
      <c r="A7" t="s">
        <v>571</v>
      </c>
      <c r="G7" s="338">
        <f>Data!B87</f>
        <v>0</v>
      </c>
      <c r="H7" s="338"/>
      <c r="I7" s="338"/>
      <c r="J7" s="338"/>
      <c r="K7" s="338"/>
      <c r="L7" s="338"/>
      <c r="M7" s="338"/>
      <c r="N7" s="338"/>
      <c r="O7" s="338"/>
      <c r="P7" s="338"/>
      <c r="Q7" s="338"/>
      <c r="R7" t="s">
        <v>573</v>
      </c>
      <c r="X7" s="354" t="str">
        <f>Data!B93&amp;" "&amp;Data!D88</f>
        <v xml:space="preserve"> </v>
      </c>
      <c r="Y7" s="354"/>
      <c r="Z7" s="354"/>
      <c r="AA7" s="354"/>
      <c r="AB7" s="354"/>
      <c r="AC7" s="354"/>
      <c r="AD7" s="354"/>
      <c r="AE7" t="s">
        <v>675</v>
      </c>
      <c r="AG7" s="354">
        <f>Data!B94</f>
        <v>0</v>
      </c>
      <c r="AH7" s="354"/>
      <c r="AI7" s="354"/>
      <c r="AJ7" s="354"/>
      <c r="AK7" s="354"/>
      <c r="AL7" s="354"/>
    </row>
    <row r="8" spans="1:39" x14ac:dyDescent="0.2">
      <c r="A8" t="s">
        <v>572</v>
      </c>
      <c r="G8" s="338">
        <f>Data!B409</f>
        <v>0</v>
      </c>
      <c r="H8" s="338"/>
      <c r="I8" s="338"/>
      <c r="J8" s="338"/>
      <c r="K8" s="338"/>
      <c r="L8" s="338"/>
      <c r="M8" s="338"/>
      <c r="N8" s="338"/>
      <c r="O8" s="338"/>
      <c r="P8" s="338"/>
      <c r="Q8" s="338"/>
      <c r="R8" t="s">
        <v>574</v>
      </c>
      <c r="X8" s="355">
        <f>Data!B410</f>
        <v>0</v>
      </c>
      <c r="Y8" s="355"/>
      <c r="Z8" s="355"/>
      <c r="AA8" s="355"/>
      <c r="AB8" s="355"/>
      <c r="AC8" s="355"/>
      <c r="AD8" s="355"/>
      <c r="AE8" s="141" t="s">
        <v>675</v>
      </c>
      <c r="AF8" s="141"/>
      <c r="AG8" s="355">
        <f>Data!B411</f>
        <v>0</v>
      </c>
      <c r="AH8" s="355"/>
      <c r="AI8" s="355"/>
      <c r="AJ8" s="355"/>
      <c r="AK8" s="355"/>
      <c r="AL8" s="355"/>
    </row>
    <row r="9" spans="1:39" x14ac:dyDescent="0.2">
      <c r="A9" t="s">
        <v>1115</v>
      </c>
      <c r="F9" s="21" t="str">
        <f>IF(Data!B226=TRUE,"P","")</f>
        <v/>
      </c>
      <c r="G9" t="s">
        <v>107</v>
      </c>
      <c r="J9" s="21" t="str">
        <f>IF(Data!B227=TRUE,"P","")</f>
        <v/>
      </c>
      <c r="K9" t="s">
        <v>108</v>
      </c>
      <c r="N9" s="21" t="str">
        <f>IF(Data!B228=TRUE,"P","")</f>
        <v/>
      </c>
      <c r="O9" t="s">
        <v>56</v>
      </c>
      <c r="R9" s="21" t="str">
        <f>IF(Data!B230=TRUE,"P","")</f>
        <v/>
      </c>
      <c r="S9" t="s">
        <v>195</v>
      </c>
      <c r="V9" s="21" t="str">
        <f>IF(Data!B231=TRUE,"P","")</f>
        <v/>
      </c>
      <c r="W9" t="s">
        <v>1116</v>
      </c>
    </row>
    <row r="10" spans="1:39" x14ac:dyDescent="0.2">
      <c r="A10" s="340" t="s">
        <v>1095</v>
      </c>
      <c r="B10" s="340"/>
      <c r="C10" s="340"/>
      <c r="D10" s="340"/>
      <c r="E10" s="340"/>
      <c r="F10" s="340"/>
      <c r="G10" s="340"/>
      <c r="H10" s="340"/>
      <c r="I10" s="340"/>
      <c r="J10" s="340"/>
      <c r="K10" s="340"/>
      <c r="L10" s="340"/>
      <c r="M10" s="340"/>
      <c r="N10" s="340"/>
      <c r="O10" s="340"/>
      <c r="P10" s="340"/>
      <c r="Q10" s="340"/>
      <c r="R10" s="340"/>
      <c r="S10" s="340"/>
      <c r="T10" s="340"/>
      <c r="U10" s="340"/>
      <c r="V10" s="340"/>
      <c r="W10" s="340"/>
      <c r="X10" s="340"/>
      <c r="Y10" s="340"/>
      <c r="Z10" s="340"/>
      <c r="AA10" s="340"/>
      <c r="AB10" s="340"/>
      <c r="AC10" s="340"/>
      <c r="AD10" s="340"/>
      <c r="AE10" s="340"/>
      <c r="AF10" s="340"/>
      <c r="AG10" s="340"/>
      <c r="AH10" s="340"/>
      <c r="AI10" s="340"/>
      <c r="AJ10" s="340"/>
      <c r="AK10" s="340"/>
      <c r="AL10" s="340"/>
    </row>
    <row r="11" spans="1:39" x14ac:dyDescent="0.2">
      <c r="A11" s="291" t="s">
        <v>2894</v>
      </c>
      <c r="B11" s="291"/>
      <c r="C11" s="291"/>
      <c r="D11" s="291"/>
      <c r="E11" s="291"/>
      <c r="F11" s="291"/>
      <c r="G11" s="291"/>
      <c r="H11" s="291"/>
      <c r="I11" s="291"/>
      <c r="J11" s="219">
        <f>Data!E361</f>
        <v>0</v>
      </c>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8"/>
    </row>
    <row r="12" spans="1:39" x14ac:dyDescent="0.2">
      <c r="A12" s="344" t="s">
        <v>934</v>
      </c>
      <c r="B12" s="344"/>
      <c r="C12" s="344"/>
      <c r="D12" s="344"/>
      <c r="E12" s="344"/>
      <c r="F12" s="344"/>
      <c r="G12" s="344"/>
      <c r="H12" s="344"/>
      <c r="I12" s="344"/>
      <c r="J12" s="344"/>
      <c r="K12" s="344"/>
      <c r="L12" s="344"/>
      <c r="M12" s="344"/>
      <c r="N12" s="344"/>
      <c r="O12" s="344"/>
      <c r="P12" s="344"/>
      <c r="Q12" s="344"/>
      <c r="R12" s="344"/>
      <c r="S12" s="344"/>
      <c r="T12" s="344"/>
      <c r="U12" s="344"/>
      <c r="X12" s="16" t="s">
        <v>938</v>
      </c>
      <c r="AB12" t="str">
        <f>SCHDualMPP!B27&amp;" days per week"</f>
        <v>0 days per week</v>
      </c>
    </row>
    <row r="13" spans="1:39" x14ac:dyDescent="0.2">
      <c r="A13" s="344" t="s">
        <v>630</v>
      </c>
      <c r="B13" s="344"/>
      <c r="C13" s="344"/>
      <c r="D13" s="344" t="s">
        <v>624</v>
      </c>
      <c r="E13" s="344"/>
      <c r="F13" s="344"/>
      <c r="G13" s="344" t="s">
        <v>932</v>
      </c>
      <c r="H13" s="344"/>
      <c r="I13" s="344"/>
      <c r="J13" s="344" t="s">
        <v>626</v>
      </c>
      <c r="K13" s="344"/>
      <c r="L13" s="344"/>
      <c r="M13" s="344" t="s">
        <v>933</v>
      </c>
      <c r="N13" s="344"/>
      <c r="O13" s="344"/>
      <c r="P13" s="344" t="s">
        <v>628</v>
      </c>
      <c r="Q13" s="344"/>
      <c r="R13" s="344"/>
      <c r="S13" s="344" t="s">
        <v>629</v>
      </c>
      <c r="T13" s="344"/>
      <c r="U13" s="344"/>
      <c r="X13" s="16" t="s">
        <v>935</v>
      </c>
      <c r="AB13" t="s">
        <v>939</v>
      </c>
    </row>
    <row r="14" spans="1:39" x14ac:dyDescent="0.2">
      <c r="A14" s="353" t="str">
        <f>_xlfn.CONCAT(IF(Data!B1769&lt;&gt;"",Data!B1769,""),IF(Data!B1783&lt;&gt;"",", "&amp;Data!B1783,""),IF(Data!B1797&lt;&gt;"",", "&amp;Data!B1797,""))</f>
        <v/>
      </c>
      <c r="B14" s="353"/>
      <c r="C14" s="353"/>
      <c r="D14" s="353" t="str">
        <f>_xlfn.CONCAT(IF(Data!B1770&lt;&gt;"",Data!B1770,""),IF(Data!B1784&lt;&gt;"",", "&amp;Data!B1784,""),IF(Data!B1798&lt;&gt;"",", "&amp;Data!B1798,""))</f>
        <v/>
      </c>
      <c r="E14" s="353"/>
      <c r="F14" s="353"/>
      <c r="G14" s="353" t="str">
        <f>_xlfn.CONCAT(IF(Data!B1771&lt;&gt;"",Data!B1771,""),IF(Data!B1785&lt;&gt;"",", "&amp;Data!B1785,""),IF(Data!B1799&lt;&gt;"",", "&amp;Data!B1799,""))</f>
        <v/>
      </c>
      <c r="H14" s="353"/>
      <c r="I14" s="353"/>
      <c r="J14" s="353" t="str">
        <f>_xlfn.CONCAT(IF(Data!B1772&lt;&gt;"",Data!B1772,""),IF(Data!B1786&lt;&gt;"",", "&amp;Data!B1786,""),IF(Data!B1800&lt;&gt;"",", "&amp;Data!B1800,""))</f>
        <v/>
      </c>
      <c r="K14" s="353"/>
      <c r="L14" s="353"/>
      <c r="M14" s="353" t="str">
        <f>_xlfn.CONCAT(IF(Data!B1773&lt;&gt;"",Data!B1773,""),IF(Data!B1787&lt;&gt;"",", "&amp;Data!B1787,""),IF(Data!B1801&lt;&gt;"",", "&amp;Data!B1801,""))</f>
        <v/>
      </c>
      <c r="N14" s="353"/>
      <c r="O14" s="353"/>
      <c r="P14" s="353" t="str">
        <f>_xlfn.CONCAT(IF(Data!B1774&lt;&gt;"",Data!B1774,""),IF(Data!B1788&lt;&gt;"",", "&amp;Data!B1788,""),IF(Data!B1802&lt;&gt;"",", "&amp;Data!B1802,""))</f>
        <v/>
      </c>
      <c r="Q14" s="353"/>
      <c r="R14" s="353"/>
      <c r="S14" s="353" t="str">
        <f>_xlfn.CONCAT(IF(Data!B1775&lt;&gt;"",Data!B1775,""),IF(Data!B1789&lt;&gt;"",", "&amp;Data!B1789,""),IF(Data!B1803&lt;&gt;"",", "&amp;Data!B1803,""))</f>
        <v/>
      </c>
      <c r="T14" s="353"/>
      <c r="U14" s="353"/>
      <c r="X14" s="16" t="s">
        <v>936</v>
      </c>
      <c r="AB14" t="s">
        <v>939</v>
      </c>
    </row>
    <row r="15" spans="1:39" x14ac:dyDescent="0.2">
      <c r="A15" s="353"/>
      <c r="B15" s="353"/>
      <c r="C15" s="353"/>
      <c r="D15" s="353"/>
      <c r="E15" s="353"/>
      <c r="F15" s="353"/>
      <c r="G15" s="353"/>
      <c r="H15" s="353"/>
      <c r="I15" s="353"/>
      <c r="J15" s="353"/>
      <c r="K15" s="353"/>
      <c r="L15" s="353"/>
      <c r="M15" s="353"/>
      <c r="N15" s="353"/>
      <c r="O15" s="353"/>
      <c r="P15" s="353"/>
      <c r="Q15" s="353"/>
      <c r="R15" s="353"/>
      <c r="S15" s="353"/>
      <c r="T15" s="353"/>
      <c r="U15" s="353"/>
      <c r="X15" s="16" t="s">
        <v>937</v>
      </c>
      <c r="AF15" s="351">
        <f>SCHDualMPP!F10</f>
        <v>0</v>
      </c>
      <c r="AG15" s="295"/>
      <c r="AH15" s="295"/>
      <c r="AI15" s="295"/>
    </row>
    <row r="16" spans="1:39" x14ac:dyDescent="0.2">
      <c r="A16" s="353"/>
      <c r="B16" s="353"/>
      <c r="C16" s="353"/>
      <c r="D16" s="353"/>
      <c r="E16" s="353"/>
      <c r="F16" s="353"/>
      <c r="G16" s="353"/>
      <c r="H16" s="353"/>
      <c r="I16" s="353"/>
      <c r="J16" s="353"/>
      <c r="K16" s="353"/>
      <c r="L16" s="353"/>
      <c r="M16" s="353"/>
      <c r="N16" s="353"/>
      <c r="O16" s="353"/>
      <c r="P16" s="353"/>
      <c r="Q16" s="353"/>
      <c r="R16" s="353"/>
      <c r="S16" s="353"/>
      <c r="T16" s="353"/>
      <c r="U16" s="353"/>
      <c r="X16" s="16" t="s">
        <v>583</v>
      </c>
      <c r="AC16" s="240">
        <f>Data!B185</f>
        <v>0</v>
      </c>
      <c r="AD16" s="240"/>
      <c r="AE16" s="240"/>
      <c r="AF16" s="240"/>
      <c r="AG16" s="240"/>
      <c r="AH16" s="240"/>
      <c r="AI16" s="240"/>
      <c r="AJ16" s="240"/>
    </row>
    <row r="17" spans="1:38" ht="25.5" customHeight="1" x14ac:dyDescent="0.2">
      <c r="A17" t="s">
        <v>1047</v>
      </c>
      <c r="G17" s="352" t="str">
        <f>_xlfn.CONCAT(IF(Data!B352=TRUE,"Days and hours cannot change without case manager approval.",""),IF(Data!B353=TRUE," Times cannot change without CM approval.",""),IF(Data!B355=TRUE,"Client is cognitively able to change schedule with advance notice.",""),IF(Data!B356=TRUE,"Only family can change schedule due to cognitive impairment with notice.",""))</f>
        <v/>
      </c>
      <c r="H17" s="352"/>
      <c r="I17" s="352"/>
      <c r="J17" s="352"/>
      <c r="K17" s="352"/>
      <c r="L17" s="352"/>
      <c r="M17" s="352"/>
      <c r="N17" s="352"/>
      <c r="O17" s="352"/>
      <c r="P17" s="352"/>
      <c r="Q17" s="352"/>
      <c r="R17" s="352"/>
      <c r="S17" s="352"/>
      <c r="T17" s="352"/>
      <c r="U17" s="352"/>
      <c r="V17" s="352"/>
      <c r="W17" s="352"/>
      <c r="X17" s="352"/>
      <c r="Y17" s="352"/>
      <c r="Z17" s="352"/>
      <c r="AA17" s="352"/>
      <c r="AB17" s="352"/>
      <c r="AC17" s="352"/>
      <c r="AD17" s="352"/>
      <c r="AE17" s="352"/>
      <c r="AF17" s="352"/>
      <c r="AG17" s="352"/>
      <c r="AH17" s="352"/>
      <c r="AI17" s="352"/>
      <c r="AJ17" s="352"/>
      <c r="AK17" s="352"/>
      <c r="AL17" s="352"/>
    </row>
    <row r="18" spans="1:38" x14ac:dyDescent="0.2">
      <c r="A18" s="340" t="s">
        <v>680</v>
      </c>
      <c r="B18" s="340"/>
      <c r="C18" s="340"/>
      <c r="D18" s="340"/>
      <c r="E18" s="340"/>
      <c r="F18" s="340"/>
      <c r="G18" s="340"/>
      <c r="H18" s="340"/>
      <c r="I18" s="340"/>
      <c r="J18" s="340"/>
      <c r="K18" s="340"/>
      <c r="L18" s="340"/>
      <c r="M18" s="340"/>
      <c r="N18" s="340"/>
      <c r="O18" s="340"/>
      <c r="P18" s="340"/>
      <c r="Q18" s="340"/>
      <c r="R18" s="340"/>
      <c r="S18" s="340"/>
      <c r="T18" s="340"/>
      <c r="U18" s="340"/>
      <c r="V18" s="340"/>
      <c r="W18" s="340"/>
      <c r="X18" s="340"/>
      <c r="Y18" s="340"/>
      <c r="Z18" s="340"/>
      <c r="AA18" s="340"/>
      <c r="AB18" s="340"/>
      <c r="AC18" s="340"/>
      <c r="AD18" s="340"/>
      <c r="AE18" s="340"/>
      <c r="AF18" s="340"/>
      <c r="AG18" s="340"/>
      <c r="AH18" s="340"/>
      <c r="AI18" s="340"/>
      <c r="AJ18" s="340"/>
      <c r="AK18" s="340"/>
      <c r="AL18" s="340"/>
    </row>
    <row r="19" spans="1:38" x14ac:dyDescent="0.2">
      <c r="A19" s="309" t="str">
        <f>ppm.specific!G13</f>
        <v/>
      </c>
      <c r="B19" s="309"/>
      <c r="C19" s="309"/>
      <c r="D19" s="309"/>
      <c r="E19" s="309"/>
      <c r="F19" s="309"/>
      <c r="G19" s="309"/>
      <c r="H19" s="309"/>
      <c r="I19" s="309"/>
      <c r="J19" s="309"/>
      <c r="K19" s="309"/>
      <c r="L19" s="309"/>
      <c r="M19" s="309"/>
      <c r="N19" s="309"/>
      <c r="O19" s="309"/>
      <c r="P19" s="309"/>
      <c r="Q19" s="309"/>
      <c r="R19" s="309"/>
      <c r="S19" s="309"/>
      <c r="T19" s="309"/>
      <c r="U19" s="309"/>
      <c r="V19" s="309"/>
      <c r="W19" s="309"/>
      <c r="X19" s="309"/>
      <c r="Y19" s="309"/>
      <c r="Z19" s="309"/>
      <c r="AA19" s="309"/>
      <c r="AB19" s="309"/>
      <c r="AC19" s="309"/>
      <c r="AD19" s="309"/>
      <c r="AE19" s="309"/>
      <c r="AF19" s="309"/>
      <c r="AG19" s="309"/>
      <c r="AH19" s="309"/>
      <c r="AI19" s="309"/>
      <c r="AJ19" s="309"/>
      <c r="AK19" s="309"/>
      <c r="AL19" s="309"/>
    </row>
    <row r="20" spans="1:38" x14ac:dyDescent="0.2">
      <c r="A20" s="309"/>
      <c r="B20" s="309"/>
      <c r="C20" s="309"/>
      <c r="D20" s="309"/>
      <c r="E20" s="309"/>
      <c r="F20" s="309"/>
      <c r="G20" s="309"/>
      <c r="H20" s="309"/>
      <c r="I20" s="309"/>
      <c r="J20" s="309"/>
      <c r="K20" s="309"/>
      <c r="L20" s="309"/>
      <c r="M20" s="309"/>
      <c r="N20" s="309"/>
      <c r="O20" s="309"/>
      <c r="P20" s="309"/>
      <c r="Q20" s="309"/>
      <c r="R20" s="309"/>
      <c r="S20" s="309"/>
      <c r="T20" s="309"/>
      <c r="U20" s="309"/>
      <c r="V20" s="309"/>
      <c r="W20" s="309"/>
      <c r="X20" s="309"/>
      <c r="Y20" s="309"/>
      <c r="Z20" s="309"/>
      <c r="AA20" s="309"/>
      <c r="AB20" s="309"/>
      <c r="AC20" s="309"/>
      <c r="AD20" s="309"/>
      <c r="AE20" s="309"/>
      <c r="AF20" s="309"/>
      <c r="AG20" s="309"/>
      <c r="AH20" s="309"/>
      <c r="AI20" s="309"/>
      <c r="AJ20" s="309"/>
      <c r="AK20" s="309"/>
      <c r="AL20" s="309"/>
    </row>
    <row r="21" spans="1:38" ht="9" customHeight="1" x14ac:dyDescent="0.2">
      <c r="A21" s="309"/>
      <c r="B21" s="309"/>
      <c r="C21" s="309"/>
      <c r="D21" s="309"/>
      <c r="E21" s="309"/>
      <c r="F21" s="309"/>
      <c r="G21" s="309"/>
      <c r="H21" s="309"/>
      <c r="I21" s="309"/>
      <c r="J21" s="309"/>
      <c r="K21" s="309"/>
      <c r="L21" s="309"/>
      <c r="M21" s="309"/>
      <c r="N21" s="309"/>
      <c r="O21" s="309"/>
      <c r="P21" s="309"/>
      <c r="Q21" s="309"/>
      <c r="R21" s="309"/>
      <c r="S21" s="309"/>
      <c r="T21" s="309"/>
      <c r="U21" s="309"/>
      <c r="V21" s="309"/>
      <c r="W21" s="309"/>
      <c r="X21" s="309"/>
      <c r="Y21" s="309"/>
      <c r="Z21" s="309"/>
      <c r="AA21" s="309"/>
      <c r="AB21" s="309"/>
      <c r="AC21" s="309"/>
      <c r="AD21" s="309"/>
      <c r="AE21" s="309"/>
      <c r="AF21" s="309"/>
      <c r="AG21" s="309"/>
      <c r="AH21" s="309"/>
      <c r="AI21" s="309"/>
      <c r="AJ21" s="309"/>
      <c r="AK21" s="309"/>
      <c r="AL21" s="309"/>
    </row>
    <row r="22" spans="1:38" x14ac:dyDescent="0.2">
      <c r="A22" t="s">
        <v>1048</v>
      </c>
      <c r="F22" s="338" t="str">
        <f>IF(DxListFull!A2="","N/A",DxListFull!A2&amp;" ("&amp;DxListFull!B2&amp;")")</f>
        <v>N/A</v>
      </c>
      <c r="G22" s="338"/>
      <c r="H22" s="338"/>
      <c r="I22" s="338"/>
      <c r="J22" s="338"/>
      <c r="K22" s="338"/>
      <c r="L22" s="338"/>
      <c r="M22" s="338"/>
      <c r="N22" s="338"/>
      <c r="O22" s="338"/>
      <c r="P22" t="s">
        <v>1051</v>
      </c>
      <c r="T22" s="338" t="str">
        <f>IF(DxListFull!D2="","N/A",DxListFull!D2)</f>
        <v>N/A</v>
      </c>
      <c r="U22" s="338"/>
      <c r="V22" s="338"/>
      <c r="W22" s="338"/>
      <c r="X22" s="338"/>
      <c r="Y22" s="338"/>
      <c r="Z22" s="338"/>
      <c r="AA22" s="338"/>
      <c r="AB22" s="338"/>
      <c r="AC22" s="338"/>
      <c r="AD22" s="338"/>
      <c r="AE22" s="338"/>
      <c r="AF22" s="338"/>
      <c r="AG22" s="338"/>
      <c r="AH22" s="338"/>
      <c r="AI22" s="338"/>
      <c r="AJ22" s="338"/>
      <c r="AK22" s="37"/>
      <c r="AL22" s="37"/>
    </row>
    <row r="23" spans="1:38" x14ac:dyDescent="0.2">
      <c r="A23" t="s">
        <v>1049</v>
      </c>
      <c r="F23" s="338" t="str">
        <f>IF(DxListFull!A3="","N/A",DxListFull!A3&amp;" ("&amp;DxListFull!B3&amp;")")</f>
        <v>N/A</v>
      </c>
      <c r="G23" s="338"/>
      <c r="H23" s="338"/>
      <c r="I23" s="338"/>
      <c r="J23" s="338"/>
      <c r="K23" s="338"/>
      <c r="L23" s="338"/>
      <c r="M23" s="338"/>
      <c r="N23" s="338"/>
      <c r="O23" s="338"/>
      <c r="P23" t="s">
        <v>1051</v>
      </c>
      <c r="T23" s="338" t="str">
        <f>IF(DxListFull!D3="","N/A",DxListFull!D3)</f>
        <v>N/A</v>
      </c>
      <c r="U23" s="338"/>
      <c r="V23" s="338"/>
      <c r="W23" s="338"/>
      <c r="X23" s="338"/>
      <c r="Y23" s="338"/>
      <c r="Z23" s="338"/>
      <c r="AA23" s="338"/>
      <c r="AB23" s="338"/>
      <c r="AC23" s="338"/>
      <c r="AD23" s="338"/>
      <c r="AE23" s="338"/>
      <c r="AF23" s="338"/>
      <c r="AG23" s="338"/>
      <c r="AH23" s="338"/>
      <c r="AI23" s="338"/>
      <c r="AJ23" s="338"/>
      <c r="AK23" s="37"/>
      <c r="AL23" s="37"/>
    </row>
    <row r="24" spans="1:38" x14ac:dyDescent="0.2">
      <c r="A24" t="s">
        <v>1050</v>
      </c>
      <c r="F24" s="338" t="str">
        <f>IF(DxListFull!A4="","N/A",DxListFull!A4&amp;" ("&amp;DxListFull!B4&amp;")")</f>
        <v>N/A</v>
      </c>
      <c r="G24" s="338"/>
      <c r="H24" s="338"/>
      <c r="I24" s="338"/>
      <c r="J24" s="338"/>
      <c r="K24" s="338"/>
      <c r="L24" s="338"/>
      <c r="M24" s="338"/>
      <c r="N24" s="338"/>
      <c r="O24" s="338"/>
      <c r="P24" t="s">
        <v>1051</v>
      </c>
      <c r="T24" s="338" t="str">
        <f>IF(DxListFull!D4="","N/A",DxListFull!D4)</f>
        <v>N/A</v>
      </c>
      <c r="U24" s="338"/>
      <c r="V24" s="338"/>
      <c r="W24" s="338"/>
      <c r="X24" s="338"/>
      <c r="Y24" s="338"/>
      <c r="Z24" s="338"/>
      <c r="AA24" s="338"/>
      <c r="AB24" s="338"/>
      <c r="AC24" s="338"/>
      <c r="AD24" s="338"/>
      <c r="AE24" s="338"/>
      <c r="AF24" s="338"/>
      <c r="AG24" s="338"/>
      <c r="AH24" s="338"/>
      <c r="AI24" s="338"/>
      <c r="AJ24" s="338"/>
      <c r="AK24" s="37"/>
      <c r="AL24" s="37"/>
    </row>
    <row r="25" spans="1:38" x14ac:dyDescent="0.2">
      <c r="A25" s="340" t="s">
        <v>907</v>
      </c>
      <c r="B25" s="340"/>
      <c r="C25" s="340"/>
      <c r="D25" s="340"/>
      <c r="E25" s="340"/>
      <c r="F25" s="340"/>
      <c r="G25" s="340"/>
      <c r="H25" s="340"/>
      <c r="I25" s="340"/>
      <c r="J25" s="340"/>
      <c r="K25" s="340"/>
      <c r="L25" s="340"/>
      <c r="M25" s="340"/>
      <c r="N25" s="340"/>
      <c r="O25" s="340"/>
      <c r="P25" s="340"/>
      <c r="Q25" s="340"/>
      <c r="R25" s="340"/>
      <c r="S25" s="340"/>
      <c r="T25" s="340"/>
      <c r="U25" s="340"/>
      <c r="V25" s="340"/>
      <c r="W25" s="340"/>
      <c r="X25" s="340"/>
      <c r="Y25" s="340"/>
      <c r="Z25" s="340"/>
      <c r="AA25" s="340"/>
      <c r="AB25" s="340"/>
      <c r="AC25" s="340"/>
      <c r="AD25" s="340"/>
      <c r="AE25" s="340"/>
      <c r="AF25" s="340"/>
      <c r="AG25" s="340"/>
      <c r="AH25" s="340"/>
      <c r="AI25" s="340"/>
      <c r="AJ25" s="340"/>
      <c r="AK25" s="340"/>
      <c r="AL25" s="340"/>
    </row>
    <row r="26" spans="1:38" x14ac:dyDescent="0.2">
      <c r="A26" s="260" t="str">
        <f>ppm.specific!G7</f>
        <v/>
      </c>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c r="AE26" s="260"/>
      <c r="AF26" s="260"/>
      <c r="AG26" s="260"/>
      <c r="AH26" s="260"/>
      <c r="AI26" s="260"/>
      <c r="AJ26" s="260"/>
      <c r="AK26" s="260"/>
      <c r="AL26" s="260"/>
    </row>
    <row r="27" spans="1:38" x14ac:dyDescent="0.2">
      <c r="A27" s="260"/>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row>
    <row r="28" spans="1:38" x14ac:dyDescent="0.2">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c r="AE28" s="260"/>
      <c r="AF28" s="260"/>
      <c r="AG28" s="260"/>
      <c r="AH28" s="260"/>
      <c r="AI28" s="260"/>
      <c r="AJ28" s="260"/>
      <c r="AK28" s="260"/>
      <c r="AL28" s="260"/>
    </row>
    <row r="29" spans="1:38" x14ac:dyDescent="0.2">
      <c r="A29" t="s">
        <v>3200</v>
      </c>
      <c r="K29" s="295">
        <f>Data!B166</f>
        <v>0</v>
      </c>
      <c r="L29" s="295"/>
      <c r="M29" s="295"/>
      <c r="N29" s="295"/>
      <c r="O29" s="295"/>
      <c r="P29" s="295"/>
      <c r="Q29" s="295"/>
      <c r="R29" s="295"/>
      <c r="S29" s="295"/>
      <c r="T29" s="295"/>
      <c r="U29" s="295"/>
      <c r="V29" s="295"/>
      <c r="W29" s="295"/>
      <c r="X29" s="295"/>
      <c r="Y29" s="295"/>
      <c r="Z29" s="295"/>
      <c r="AA29" s="295"/>
      <c r="AB29" s="295"/>
      <c r="AC29" s="295"/>
      <c r="AD29" s="295"/>
      <c r="AE29" s="295"/>
      <c r="AF29" s="295"/>
      <c r="AG29" s="295"/>
      <c r="AH29" s="295"/>
      <c r="AI29" s="295"/>
      <c r="AJ29" s="295"/>
      <c r="AK29" s="295"/>
      <c r="AL29" s="295"/>
    </row>
    <row r="30" spans="1:38" x14ac:dyDescent="0.2">
      <c r="A30" s="340" t="s">
        <v>1096</v>
      </c>
      <c r="B30" s="340"/>
      <c r="C30" s="340"/>
      <c r="D30" s="340"/>
      <c r="E30" s="340"/>
      <c r="F30" s="340"/>
      <c r="G30" s="340"/>
      <c r="H30" s="340"/>
      <c r="I30" s="340"/>
      <c r="J30" s="340"/>
      <c r="K30" s="340"/>
      <c r="L30" s="340"/>
      <c r="M30" s="340"/>
      <c r="N30" s="340"/>
      <c r="O30" s="340"/>
      <c r="P30" s="340"/>
      <c r="Q30" s="340"/>
      <c r="R30" s="340"/>
      <c r="S30" s="340"/>
      <c r="T30" s="340"/>
      <c r="U30" s="340"/>
      <c r="V30" s="340"/>
      <c r="W30" s="340"/>
      <c r="X30" s="340"/>
      <c r="Y30" s="340"/>
      <c r="Z30" s="340"/>
      <c r="AA30" s="340"/>
      <c r="AB30" s="340"/>
      <c r="AC30" s="340"/>
      <c r="AD30" s="340"/>
      <c r="AE30" s="340"/>
      <c r="AF30" s="340"/>
      <c r="AG30" s="340"/>
      <c r="AH30" s="340"/>
      <c r="AI30" s="340"/>
      <c r="AJ30" s="340"/>
      <c r="AK30" s="340"/>
      <c r="AL30" s="340"/>
    </row>
    <row r="31" spans="1:38" x14ac:dyDescent="0.2">
      <c r="A31" t="s">
        <v>1097</v>
      </c>
    </row>
    <row r="32" spans="1:38" x14ac:dyDescent="0.2">
      <c r="A32" t="s">
        <v>1052</v>
      </c>
      <c r="I32" s="240">
        <f>IF(Data!B417=TRUE,"No Medication Allergies",Data!B414)</f>
        <v>0</v>
      </c>
      <c r="J32" s="240"/>
      <c r="K32" s="240"/>
      <c r="L32" s="240"/>
      <c r="M32" s="240"/>
      <c r="N32" s="240"/>
      <c r="O32" s="240"/>
      <c r="P32" s="240"/>
      <c r="Q32" s="240"/>
      <c r="R32" s="240"/>
      <c r="S32" s="240"/>
      <c r="T32" s="240"/>
      <c r="U32" s="240"/>
      <c r="V32" s="240"/>
      <c r="W32" s="240"/>
      <c r="X32" s="240"/>
      <c r="Y32" s="240"/>
    </row>
    <row r="33" spans="1:39" x14ac:dyDescent="0.2">
      <c r="A33" t="s">
        <v>1053</v>
      </c>
      <c r="I33" s="240">
        <f>IF(Data!B418=TRUE,"No Food Allergies",Data!B415)</f>
        <v>0</v>
      </c>
      <c r="J33" s="240"/>
      <c r="K33" s="240"/>
      <c r="L33" s="240"/>
      <c r="M33" s="240"/>
      <c r="N33" s="240"/>
      <c r="O33" s="240"/>
      <c r="P33" s="240"/>
      <c r="Q33" s="240"/>
      <c r="R33" s="240"/>
      <c r="S33" s="240"/>
      <c r="T33" s="240"/>
      <c r="U33" s="240"/>
      <c r="V33" s="240"/>
      <c r="W33" s="240"/>
      <c r="X33" s="240"/>
      <c r="Y33" s="240"/>
    </row>
    <row r="34" spans="1:39" x14ac:dyDescent="0.2">
      <c r="A34" t="s">
        <v>1054</v>
      </c>
      <c r="I34" s="240">
        <f>IF(Data!B419=TRUE,"No Environmental Allergies",Data!B416)</f>
        <v>0</v>
      </c>
      <c r="J34" s="240"/>
      <c r="K34" s="240"/>
      <c r="L34" s="240"/>
      <c r="M34" s="240"/>
      <c r="N34" s="240"/>
      <c r="O34" s="240"/>
      <c r="P34" s="240"/>
      <c r="Q34" s="240"/>
      <c r="R34" s="240"/>
      <c r="S34" s="240"/>
      <c r="T34" s="240"/>
      <c r="U34" s="240"/>
      <c r="V34" s="240"/>
      <c r="W34" s="240"/>
      <c r="X34" s="240"/>
      <c r="Y34" s="240"/>
    </row>
    <row r="35" spans="1:39" x14ac:dyDescent="0.2">
      <c r="A35" s="340" t="s">
        <v>823</v>
      </c>
      <c r="B35" s="340"/>
      <c r="C35" s="340"/>
      <c r="D35" s="340"/>
      <c r="E35" s="340"/>
      <c r="F35" s="340"/>
      <c r="G35" s="340"/>
      <c r="H35" s="340"/>
      <c r="I35" s="340"/>
      <c r="J35" s="340"/>
      <c r="K35" s="340"/>
      <c r="L35" s="340"/>
      <c r="M35" s="340"/>
      <c r="N35" s="340"/>
      <c r="O35" s="340"/>
      <c r="P35" s="340"/>
      <c r="Q35" s="340"/>
      <c r="R35" s="340"/>
      <c r="S35" s="340"/>
      <c r="T35" s="340"/>
      <c r="U35" s="340"/>
      <c r="V35" s="340"/>
      <c r="W35" s="340"/>
      <c r="X35" s="340"/>
      <c r="Y35" s="340"/>
      <c r="Z35" s="340"/>
      <c r="AA35" s="340"/>
      <c r="AB35" s="340"/>
      <c r="AC35" s="340"/>
      <c r="AD35" s="340"/>
      <c r="AE35" s="340"/>
      <c r="AF35" s="340"/>
      <c r="AG35" s="340"/>
      <c r="AH35" s="340"/>
      <c r="AI35" s="340"/>
      <c r="AJ35" s="340"/>
      <c r="AK35" s="340"/>
      <c r="AL35" s="340"/>
    </row>
    <row r="36" spans="1:39" x14ac:dyDescent="0.2">
      <c r="A36" t="str">
        <f>IF(Data!D198="Yes","Client has had the following surgeries:","Client has no surgical history.")</f>
        <v>Client has no surgical history.</v>
      </c>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row>
    <row r="37" spans="1:39" x14ac:dyDescent="0.2">
      <c r="A37" s="260" t="str">
        <f>_xlfn.CONCAT(IF(Data!B201="","",Data!B201&amp;" ("&amp;Data!D201&amp;")"),IF(Data!B202="","",Data!B202&amp;" ("&amp;Data!D202&amp;")"),IF(Data!B203="","",Data!B203&amp;" ("&amp;Data!D203&amp;")"),IF(Data!B204="","",Data!B204&amp;" ("&amp;Data!D204&amp;")"),IF(Data!B205="","",Data!B205&amp;" ("&amp;Data!D205&amp;")"),IF(Data!B206="","",Data!B206&amp;" ("&amp;Data!D206&amp;")"),IF(Data!B207="","",Data!B207&amp;" ("&amp;Data!D207&amp;")"),IF(Data!B208="","",Data!B208&amp;" ("&amp;Data!D208&amp;")"))</f>
        <v/>
      </c>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c r="AI37" s="260"/>
      <c r="AJ37" s="260"/>
      <c r="AK37" s="260"/>
      <c r="AL37" s="260"/>
    </row>
    <row r="38" spans="1:39" ht="19.5" customHeight="1" x14ac:dyDescent="0.2">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0"/>
      <c r="AF38" s="260"/>
      <c r="AG38" s="260"/>
      <c r="AH38" s="260"/>
      <c r="AI38" s="260"/>
      <c r="AJ38" s="260"/>
      <c r="AK38" s="260"/>
      <c r="AL38" s="260"/>
    </row>
    <row r="39" spans="1:39" x14ac:dyDescent="0.2">
      <c r="A39" s="340" t="s">
        <v>1098</v>
      </c>
      <c r="B39" s="340"/>
      <c r="C39" s="340"/>
      <c r="D39" s="340"/>
      <c r="E39" s="340"/>
      <c r="F39" s="340"/>
      <c r="G39" s="340"/>
      <c r="H39" s="340"/>
      <c r="I39" s="340"/>
      <c r="J39" s="340"/>
      <c r="K39" s="340"/>
      <c r="L39" s="340"/>
      <c r="M39" s="340"/>
      <c r="N39" s="340"/>
      <c r="O39" s="340"/>
      <c r="P39" s="340"/>
      <c r="Q39" s="340"/>
      <c r="R39" s="340"/>
      <c r="S39" s="340"/>
      <c r="T39" s="340"/>
      <c r="U39" s="340"/>
      <c r="V39" s="340"/>
      <c r="W39" s="340"/>
      <c r="X39" s="340"/>
      <c r="Y39" s="340"/>
      <c r="Z39" s="340"/>
      <c r="AA39" s="340"/>
      <c r="AB39" s="340"/>
      <c r="AC39" s="340"/>
      <c r="AD39" s="340"/>
      <c r="AE39" s="340"/>
      <c r="AF39" s="340"/>
      <c r="AG39" s="340"/>
      <c r="AH39" s="340"/>
      <c r="AI39" s="340"/>
      <c r="AJ39" s="340"/>
      <c r="AK39" s="340"/>
      <c r="AL39" s="340"/>
    </row>
    <row r="40" spans="1:39" x14ac:dyDescent="0.2">
      <c r="A40" t="str">
        <f>IF(Data!B996="Yes","Client is receiving the following medical treatments:","Client is not receiving any medical treatments.")</f>
        <v>Client is not receiving any medical treatments.</v>
      </c>
    </row>
    <row r="41" spans="1:39" x14ac:dyDescent="0.2">
      <c r="A41" s="260" t="str">
        <f>IF(Data!B997=TRUE,"Physical Therapy ("&amp;Data!B998&amp;"-Schedule: "&amp;Data!B999&amp;")","")&amp;IF(Data!B1000=TRUE,"Occupational Therapy ("&amp;Data!B1001&amp;"-Schedule: "&amp;Data!B1002&amp;")","")&amp;IF(Data!B1003=TRUE,"  Speech Therapy ("&amp;Data!B1004&amp;"-Schedule: "&amp;Data!B1005&amp;")","")&amp;IF(Data!B1006=TRUE,"  Infusion Therapy ("&amp;Data!B1007&amp;"-Schedule: "&amp;Data!B1008&amp;")","")&amp;IF(Data!B1009=TRUE,"  Home Health ("&amp;Data!B1010&amp;"-Schedule: "&amp;Data!B1011&amp;")","")&amp;IF(Data!B1012=TRUE,"  Hospice ("&amp;Data!B1013&amp;"-Schedule: "&amp;Data!B1014&amp;")","")&amp;IF(Data!E997=TRUE," Chemotherapy ("&amp;Data!E998&amp;"-Schedule: "&amp;Data!E999&amp;")","")&amp;IF(Data!E1000=TRUE," Radiation ("&amp;Data!E1001&amp;"-Schedule: "&amp;Data!E1002&amp;")","")&amp;IF(Data!E1003=TRUE," Dialysis ("&amp;Data!E1004&amp;"-Schedule: "&amp;Data!E1005&amp;")","")&amp;IF(Data!E1006=TRUE," Acupuncture ("&amp;Data!E1007&amp;"-Schedule: "&amp;Data!E1008&amp;")","")&amp;IF(Data!B1424=TRUE," "&amp;Data!B1425&amp;" -Schedule: "&amp;Data!B1426,"")</f>
        <v/>
      </c>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c r="AE41" s="260"/>
      <c r="AF41" s="260"/>
      <c r="AG41" s="260"/>
      <c r="AH41" s="260"/>
      <c r="AI41" s="260"/>
      <c r="AJ41" s="260"/>
      <c r="AK41" s="260"/>
      <c r="AL41" s="260"/>
    </row>
    <row r="42" spans="1:39" x14ac:dyDescent="0.2">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c r="AE42" s="260"/>
      <c r="AF42" s="260"/>
      <c r="AG42" s="260"/>
      <c r="AH42" s="260"/>
      <c r="AI42" s="260"/>
      <c r="AJ42" s="260"/>
      <c r="AK42" s="260"/>
      <c r="AL42" s="260"/>
    </row>
    <row r="43" spans="1:39" x14ac:dyDescent="0.2">
      <c r="A43" t="s">
        <v>1099</v>
      </c>
      <c r="D43" t="str">
        <f>IF(Data!B852="Yes","Client has wounds on "&amp;Data!B853&amp;" which are being treated by "&amp;Data!B855&amp;".","Client has no wounds.")</f>
        <v>Client has no wounds.</v>
      </c>
    </row>
    <row r="44" spans="1:39" x14ac:dyDescent="0.2">
      <c r="A44" s="340" t="s">
        <v>209</v>
      </c>
      <c r="B44" s="340"/>
      <c r="C44" s="340"/>
      <c r="D44" s="340"/>
      <c r="E44" s="340"/>
      <c r="F44" s="340"/>
      <c r="G44" s="340"/>
      <c r="H44" s="340"/>
      <c r="I44" s="340"/>
      <c r="J44" s="340"/>
      <c r="K44" s="340"/>
      <c r="L44" s="340"/>
      <c r="M44" s="340"/>
      <c r="N44" s="340"/>
      <c r="O44" s="340"/>
      <c r="P44" s="340"/>
      <c r="Q44" s="340"/>
      <c r="R44" s="340"/>
      <c r="S44" s="340"/>
      <c r="T44" s="340"/>
      <c r="U44" s="340"/>
      <c r="V44" s="340"/>
      <c r="W44" s="340"/>
      <c r="X44" s="340"/>
      <c r="Y44" s="340"/>
      <c r="Z44" s="340"/>
      <c r="AA44" s="340"/>
      <c r="AB44" s="340"/>
      <c r="AC44" s="340"/>
      <c r="AD44" s="340"/>
      <c r="AE44" s="340"/>
      <c r="AF44" s="340"/>
      <c r="AG44" s="340"/>
      <c r="AH44" s="340"/>
      <c r="AI44" s="340"/>
      <c r="AJ44" s="340"/>
      <c r="AK44" s="340"/>
      <c r="AL44" s="340"/>
    </row>
    <row r="45" spans="1:39" x14ac:dyDescent="0.2">
      <c r="A45" t="s">
        <v>865</v>
      </c>
      <c r="F45" s="338" t="str">
        <f>_xlfn.CONCAT(IF(Data!B1440=TRUE,"Low Sodium",""),IF(Data!B1439=TRUE," -Diabetic",""),IF(Data!B1441=TRUE," -Low Fat",""),IF(Data!B1442=TRUE," -Low Cholesterol",""),IF(Data!B1443=TRUE," -Renal",""),IF(Data!B1444=TRUE," -Low Sugar",""),IF(Data!B1445=TRUE," -Soft Food",""),IF(Data!B1446=TRUE," -No Spicy Food",""),IF(Data!B1447=TRUE," -Mechanical",""),IF(Data!B1448=TRUE," -Thickened Liquids",""),IF(Data!B1449=TRUE," -"&amp;Data!B1450,""),IF(Data!B1472=TRUE," -Regular",""))</f>
        <v/>
      </c>
      <c r="G45" s="338"/>
      <c r="H45" s="338"/>
      <c r="I45" s="338"/>
      <c r="J45" s="338"/>
      <c r="K45" s="338"/>
      <c r="L45" s="338"/>
      <c r="M45" s="338"/>
      <c r="N45" s="338"/>
      <c r="O45" s="338"/>
      <c r="P45" s="338"/>
      <c r="Q45" s="338"/>
      <c r="R45" s="338"/>
      <c r="S45" s="338"/>
      <c r="T45" s="338"/>
      <c r="U45" s="338"/>
      <c r="V45" s="338"/>
      <c r="W45" s="338"/>
      <c r="X45" s="338"/>
      <c r="Y45" s="338"/>
      <c r="Z45" s="338"/>
      <c r="AA45" s="338"/>
      <c r="AB45" s="338"/>
      <c r="AC45" s="338"/>
      <c r="AD45" s="338"/>
      <c r="AE45" s="338"/>
      <c r="AF45" s="338"/>
      <c r="AG45" s="338"/>
      <c r="AH45" s="338"/>
      <c r="AI45" s="338"/>
      <c r="AJ45" s="338"/>
      <c r="AK45" s="338"/>
      <c r="AL45" s="338"/>
    </row>
    <row r="46" spans="1:39" x14ac:dyDescent="0.2">
      <c r="A46" t="s">
        <v>866</v>
      </c>
      <c r="F46" s="338" t="str">
        <f>_xlfn.CONCAT(IF(Data!B1452=TRUE,"Low Sodium",""),IF(Data!B1451=TRUE," -Diabetic",""),IF(Data!B1453=TRUE," -Low Fat",""),IF(Data!B1454=TRUE," -Low Cholesterol",""),IF(Data!B1455=TRUE," -Renal",""),IF(Data!B1456=TRUE," -Low Sugar",""),IF(Data!B1457=TRUE," -Soft Food",""),IF(Data!B1458=TRUE," -No Spicy Food",""),IF(Data!B1459=TRUE," -Mechanical",""),IF(Data!B1460=TRUE," -Thickened Liquids",""),IF(Data!B1461=TRUE," -"&amp;Data!B1462,""),IF(Data!B1473=TRUE," -Regular",""),IF(AND(Data!B1451=FALSE,Data!B1452=FALSE,Data!B1453=FALSE,Data!B1454=FALSE,Data!B1455=FALSE,Data!B1456=FALSE,Data!B1457=FALSE,Data!B1458=FALSE,Data!B1459=FALSE,Data!B1460=FALSE,Data!B1461=FALSE,Data!B1473=FALSE),"N/A",""))</f>
        <v>N/A</v>
      </c>
      <c r="G46" s="338"/>
      <c r="H46" s="338"/>
      <c r="I46" s="338"/>
      <c r="J46" s="338"/>
      <c r="K46" s="338"/>
      <c r="L46" s="338"/>
      <c r="M46" s="338"/>
      <c r="N46" s="338"/>
      <c r="O46" s="338"/>
      <c r="P46" s="338"/>
      <c r="Q46" s="338"/>
      <c r="R46" s="338"/>
      <c r="S46" s="338"/>
      <c r="T46" s="338"/>
      <c r="U46" s="338"/>
      <c r="V46" s="338"/>
      <c r="W46" s="338"/>
      <c r="X46" s="338"/>
      <c r="Y46" s="338"/>
      <c r="Z46" s="338"/>
      <c r="AA46" s="338"/>
      <c r="AB46" s="338"/>
      <c r="AC46" s="338"/>
      <c r="AD46" s="338"/>
      <c r="AE46" s="338"/>
      <c r="AF46" s="338"/>
      <c r="AG46" s="338"/>
      <c r="AH46" s="338"/>
      <c r="AI46" s="338"/>
      <c r="AJ46" s="338"/>
      <c r="AK46" s="338"/>
      <c r="AL46" s="338"/>
    </row>
    <row r="47" spans="1:39" ht="12.75" customHeight="1" x14ac:dyDescent="0.2">
      <c r="A47" t="s">
        <v>1055</v>
      </c>
      <c r="H47" s="338" t="str">
        <f>IF(Data!B659="","N/A",Data!B659)</f>
        <v>N/A</v>
      </c>
      <c r="I47" s="338"/>
      <c r="J47" s="338"/>
      <c r="K47" s="338"/>
      <c r="L47" s="338"/>
      <c r="M47" s="338"/>
      <c r="N47" s="338"/>
      <c r="O47" s="338"/>
      <c r="P47" s="338"/>
      <c r="Q47" s="338"/>
      <c r="R47" s="338"/>
      <c r="S47" s="338"/>
      <c r="T47" s="338"/>
      <c r="U47" s="338"/>
      <c r="V47" s="338"/>
      <c r="W47" s="338"/>
      <c r="X47" s="338"/>
      <c r="Y47" s="338"/>
      <c r="Z47" s="338"/>
      <c r="AA47" s="338"/>
      <c r="AB47" s="338"/>
      <c r="AC47" s="338"/>
      <c r="AD47" s="338"/>
      <c r="AE47" s="338"/>
      <c r="AF47" s="338"/>
      <c r="AG47" s="338"/>
      <c r="AH47" s="338"/>
      <c r="AI47" s="338"/>
      <c r="AJ47" s="338"/>
      <c r="AK47" s="338"/>
      <c r="AL47" s="338"/>
      <c r="AM47" s="14"/>
    </row>
    <row r="48" spans="1:39" x14ac:dyDescent="0.2">
      <c r="A48" t="s">
        <v>1100</v>
      </c>
      <c r="H48" s="338" t="str">
        <f>IF(Data!B658="","N/A",Data!B658)</f>
        <v>N/A</v>
      </c>
      <c r="I48" s="338"/>
      <c r="J48" s="338"/>
      <c r="K48" s="338"/>
      <c r="L48" s="338"/>
      <c r="M48" s="338"/>
      <c r="N48" s="338"/>
      <c r="O48" s="338"/>
      <c r="P48" s="338"/>
      <c r="Q48" s="338"/>
      <c r="R48" s="338"/>
      <c r="S48" s="338"/>
      <c r="T48" s="338"/>
      <c r="U48" s="338"/>
      <c r="V48" s="338"/>
      <c r="W48" s="338"/>
      <c r="X48" s="338"/>
      <c r="Y48" s="338"/>
      <c r="Z48" s="338"/>
      <c r="AA48" s="338"/>
      <c r="AB48" s="338"/>
      <c r="AC48" s="338"/>
      <c r="AD48" s="338"/>
      <c r="AE48" s="338"/>
      <c r="AF48" s="338"/>
      <c r="AG48" s="338"/>
      <c r="AH48" s="338"/>
      <c r="AI48" s="338"/>
      <c r="AJ48" s="338"/>
      <c r="AK48" s="338"/>
      <c r="AL48" s="338"/>
      <c r="AM48" s="14"/>
    </row>
    <row r="49" spans="1:39" x14ac:dyDescent="0.2">
      <c r="A49" t="s">
        <v>867</v>
      </c>
      <c r="J49" s="295">
        <f>Data!B653</f>
        <v>0</v>
      </c>
      <c r="K49" s="295"/>
      <c r="L49" s="295"/>
      <c r="M49" s="295"/>
      <c r="N49" s="295"/>
      <c r="O49" s="295"/>
      <c r="P49" s="295"/>
      <c r="Q49" s="295"/>
      <c r="R49" s="295"/>
      <c r="S49" s="295"/>
      <c r="T49" s="295"/>
      <c r="U49" t="s">
        <v>1101</v>
      </c>
      <c r="V49" s="14"/>
      <c r="W49" s="14"/>
      <c r="X49" s="14"/>
      <c r="Y49" s="14"/>
      <c r="Z49" s="14"/>
      <c r="AA49" s="14"/>
      <c r="AB49" s="14"/>
      <c r="AC49" s="14"/>
      <c r="AD49" s="260" t="str">
        <f>IF(Data!B654="","N/A",Data!B654)&amp;IF(Data!B655="",""," -"&amp;Data!B655)</f>
        <v>N/A</v>
      </c>
      <c r="AE49" s="260"/>
      <c r="AF49" s="260"/>
      <c r="AG49" s="260"/>
      <c r="AH49" s="260"/>
      <c r="AI49" s="260"/>
      <c r="AJ49" s="260"/>
      <c r="AK49" s="260"/>
      <c r="AL49" s="260"/>
      <c r="AM49" s="14"/>
    </row>
    <row r="50" spans="1:39" ht="23.25" customHeight="1" x14ac:dyDescent="0.2">
      <c r="A50" s="349" t="s">
        <v>1056</v>
      </c>
      <c r="B50" s="349"/>
      <c r="C50" s="349"/>
      <c r="D50" s="349"/>
      <c r="E50" s="349"/>
      <c r="F50" s="349"/>
      <c r="G50" s="349"/>
      <c r="H50" s="349"/>
      <c r="I50" s="349"/>
      <c r="J50" s="349"/>
      <c r="K50" s="349"/>
      <c r="L50" s="349"/>
      <c r="M50" s="349"/>
      <c r="N50" s="349"/>
      <c r="O50" s="349"/>
      <c r="P50" s="349"/>
      <c r="Q50" s="349"/>
      <c r="R50" s="349"/>
      <c r="S50" s="349"/>
      <c r="T50" s="349"/>
      <c r="U50" s="349"/>
      <c r="V50" s="349"/>
      <c r="W50" s="349"/>
      <c r="X50" s="349"/>
      <c r="Y50" s="349"/>
      <c r="Z50" s="349"/>
      <c r="AA50" s="349"/>
      <c r="AB50" s="349"/>
      <c r="AC50" s="349"/>
      <c r="AD50" s="349"/>
      <c r="AE50" s="349"/>
      <c r="AF50" s="349"/>
      <c r="AG50" s="349"/>
      <c r="AH50" s="349"/>
      <c r="AI50" s="349"/>
      <c r="AJ50" s="349"/>
      <c r="AK50" s="349"/>
      <c r="AL50" s="349"/>
      <c r="AM50" s="14"/>
    </row>
    <row r="51" spans="1:39" x14ac:dyDescent="0.2">
      <c r="A51" t="s">
        <v>3217</v>
      </c>
      <c r="B51" s="142"/>
      <c r="C51" s="142"/>
      <c r="D51" s="142"/>
      <c r="E51" s="142"/>
      <c r="F51" s="142"/>
      <c r="G51" s="142"/>
      <c r="H51" s="142"/>
      <c r="I51" s="142"/>
      <c r="J51" s="142"/>
      <c r="K51" s="142"/>
      <c r="L51" s="142"/>
      <c r="M51" s="142"/>
      <c r="N51" s="142"/>
      <c r="O51" s="142"/>
      <c r="P51" s="142"/>
      <c r="Q51" s="142"/>
      <c r="R51" s="142"/>
      <c r="S51" s="142"/>
      <c r="T51" s="142"/>
      <c r="U51" s="142"/>
      <c r="V51" s="142"/>
      <c r="W51" s="142"/>
      <c r="X51" s="142"/>
      <c r="Y51" s="142"/>
      <c r="Z51" s="142"/>
      <c r="AA51" s="142"/>
      <c r="AB51" s="142"/>
      <c r="AC51" s="142"/>
      <c r="AD51" s="142"/>
      <c r="AE51" s="142"/>
      <c r="AF51" s="142"/>
      <c r="AG51" s="142"/>
      <c r="AH51" s="142"/>
      <c r="AI51" s="142"/>
      <c r="AJ51" s="142"/>
      <c r="AK51" s="142"/>
      <c r="AL51" s="142"/>
      <c r="AM51" s="14"/>
    </row>
    <row r="52" spans="1:39" x14ac:dyDescent="0.2">
      <c r="A52" t="s">
        <v>336</v>
      </c>
      <c r="E52" s="240" t="str">
        <f>_xlfn.CONCAT(Data!B2,", ",Data!B3," ",Data!B4)</f>
        <v xml:space="preserve">,  </v>
      </c>
      <c r="F52" s="240"/>
      <c r="G52" s="240"/>
      <c r="H52" s="240"/>
      <c r="I52" s="240"/>
      <c r="J52" s="240"/>
      <c r="K52" s="240"/>
      <c r="L52" s="240"/>
      <c r="M52" s="240"/>
      <c r="N52" s="240"/>
      <c r="O52" s="240"/>
      <c r="P52" s="240"/>
      <c r="Q52" s="240"/>
      <c r="R52" s="240"/>
      <c r="S52" s="240"/>
      <c r="U52" t="s">
        <v>371</v>
      </c>
      <c r="W52" s="350">
        <f>Data!B14</f>
        <v>0</v>
      </c>
      <c r="X52" s="350"/>
      <c r="Y52" s="350"/>
      <c r="Z52" s="350"/>
      <c r="AA52" s="16"/>
      <c r="AB52" s="16" t="s">
        <v>772</v>
      </c>
      <c r="AH52" s="350">
        <f>Data!B34</f>
        <v>0</v>
      </c>
      <c r="AI52" s="295"/>
      <c r="AJ52" s="295"/>
      <c r="AK52" s="295"/>
      <c r="AL52" s="295"/>
    </row>
    <row r="53" spans="1:39" x14ac:dyDescent="0.2">
      <c r="A53" s="340" t="s">
        <v>3201</v>
      </c>
      <c r="B53" s="340"/>
      <c r="C53" s="340"/>
      <c r="D53" s="340"/>
      <c r="E53" s="340"/>
      <c r="F53" s="340"/>
      <c r="G53" s="340"/>
      <c r="H53" s="340"/>
      <c r="I53" s="340"/>
      <c r="J53" s="340"/>
      <c r="K53" s="340"/>
      <c r="L53" s="340"/>
      <c r="M53" s="340"/>
      <c r="N53" s="340"/>
      <c r="O53" s="340"/>
      <c r="P53" s="340"/>
      <c r="Q53" s="340"/>
      <c r="R53" s="340"/>
      <c r="S53" s="340"/>
      <c r="T53" s="340"/>
      <c r="U53" s="340"/>
      <c r="V53" s="340"/>
      <c r="W53" s="340"/>
      <c r="X53" s="340"/>
      <c r="Y53" s="340"/>
      <c r="Z53" s="340"/>
      <c r="AA53" s="340"/>
      <c r="AB53" s="340"/>
      <c r="AC53" s="340"/>
      <c r="AD53" s="340"/>
      <c r="AE53" s="340"/>
      <c r="AF53" s="340"/>
      <c r="AG53" s="340"/>
      <c r="AH53" s="340"/>
      <c r="AI53" s="340"/>
      <c r="AJ53" s="340"/>
      <c r="AK53" s="340"/>
      <c r="AL53" s="340"/>
    </row>
    <row r="54" spans="1:39" x14ac:dyDescent="0.2">
      <c r="A54" t="str">
        <f>IF(Data!B1611="No","No medical procedure history.","Medical procedures are listed below.")</f>
        <v>Medical procedures are listed below.</v>
      </c>
      <c r="M54" s="14"/>
      <c r="N54" s="14"/>
      <c r="O54" s="14"/>
      <c r="P54" s="14"/>
      <c r="Q54" s="14"/>
      <c r="R54" s="14"/>
      <c r="S54" s="14"/>
      <c r="T54" s="14"/>
      <c r="U54" s="14"/>
      <c r="V54" s="14"/>
      <c r="W54" s="14"/>
      <c r="X54" s="14"/>
      <c r="Y54" s="14"/>
      <c r="Z54" s="14"/>
      <c r="AA54" s="14"/>
      <c r="AB54" s="14"/>
      <c r="AC54" s="14"/>
      <c r="AD54" s="14"/>
      <c r="AE54" s="14"/>
      <c r="AF54" s="14"/>
      <c r="AG54" s="14"/>
      <c r="AH54" s="14"/>
      <c r="AI54" s="14"/>
      <c r="AJ54" s="14"/>
      <c r="AK54" s="14"/>
      <c r="AL54" s="14"/>
    </row>
    <row r="55" spans="1:39" x14ac:dyDescent="0.2">
      <c r="A55" s="260" t="str">
        <f>_xlfn.CONCAT(IF(Data!B1612&lt;&gt;"",Data!B1612&amp;" ("&amp;TEXT(Data!D1612,"mm/dd/yyyy")&amp;")",""),IF(Data!B1613&lt;&gt;"",", "&amp;Data!B1613&amp;" ("&amp;TEXT(Data!D1613,"mm/dd/yyyy")&amp;")",""),IF(Data!B1614&lt;&gt;"",", "&amp;Data!B1614&amp;" ("&amp;TEXT(Data!D1614,"mm/dd/yyyy")&amp;")",""),IF(Data!B1615&lt;&gt;"",", "&amp;Data!B1615&amp;" ("&amp;TEXT(Data!D1615,"mm/dd/yyyy")&amp;")",""),IF(Data!B1616&lt;&gt;"",", "&amp;Data!B1616&amp;" ("&amp;TEXT(Data!D1616,"mm/dd/yyyy")&amp;")",""),IF(Data!B1617&lt;&gt;"",", "&amp;Data!B1617&amp;" ("&amp;TEXT(Data!D1617,"mm/dd/yyyy")&amp;")",""),IF(Data!B1618&lt;&gt;"",", "&amp;Data!B1618&amp;" ("&amp;TEXT(Data!D1618,"mm/dd/yyyy")&amp;")",""),IF(Data!B1619&lt;&gt;"",", "&amp;Data!B1619&amp;" ("&amp;TEXT(Data!D1619,"mm/dd/yyyy")&amp;")",""))</f>
        <v/>
      </c>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c r="AE55" s="260"/>
      <c r="AF55" s="260"/>
      <c r="AG55" s="260"/>
      <c r="AH55" s="260"/>
      <c r="AI55" s="260"/>
      <c r="AJ55" s="260"/>
      <c r="AK55" s="260"/>
      <c r="AL55" s="260"/>
    </row>
    <row r="56" spans="1:39" x14ac:dyDescent="0.2">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c r="AE56" s="260"/>
      <c r="AF56" s="260"/>
      <c r="AG56" s="260"/>
      <c r="AH56" s="260"/>
      <c r="AI56" s="260"/>
      <c r="AJ56" s="260"/>
      <c r="AK56" s="260"/>
      <c r="AL56" s="260"/>
    </row>
    <row r="57" spans="1:39" ht="13.5" customHeight="1" x14ac:dyDescent="0.2">
      <c r="A57" s="340" t="s">
        <v>1102</v>
      </c>
      <c r="B57" s="340"/>
      <c r="C57" s="340"/>
      <c r="D57" s="340"/>
      <c r="E57" s="340"/>
      <c r="F57" s="340"/>
      <c r="G57" s="340"/>
      <c r="H57" s="340"/>
      <c r="I57" s="340"/>
      <c r="J57" s="340"/>
      <c r="K57" s="340"/>
      <c r="L57" s="340"/>
      <c r="M57" s="340"/>
      <c r="N57" s="340"/>
      <c r="O57" s="340"/>
      <c r="P57" s="340"/>
      <c r="Q57" s="340"/>
      <c r="R57" s="340"/>
      <c r="S57" s="340"/>
      <c r="T57" s="340"/>
      <c r="U57" s="340"/>
      <c r="V57" s="340"/>
      <c r="W57" s="340"/>
      <c r="X57" s="340"/>
      <c r="Y57" s="340"/>
      <c r="Z57" s="340"/>
      <c r="AA57" s="340"/>
      <c r="AB57" s="340"/>
      <c r="AC57" s="340"/>
      <c r="AD57" s="340"/>
      <c r="AE57" s="340"/>
      <c r="AF57" s="340"/>
      <c r="AG57" s="340"/>
      <c r="AH57" s="340"/>
      <c r="AI57" s="340"/>
      <c r="AJ57" s="340"/>
      <c r="AK57" s="340"/>
      <c r="AL57" s="340"/>
    </row>
    <row r="58" spans="1:39" x14ac:dyDescent="0.2">
      <c r="A58" t="s">
        <v>1104</v>
      </c>
      <c r="F58" s="240" t="str">
        <f>IF(Data!B741="Yes","Client has a "&amp;Data!B742&amp;" catheter.","Client does not have a catheter.")</f>
        <v>Client does not have a catheter.</v>
      </c>
      <c r="G58" s="240"/>
      <c r="H58" s="240"/>
      <c r="I58" s="240"/>
      <c r="J58" s="240"/>
      <c r="K58" s="240"/>
      <c r="L58" s="240"/>
      <c r="M58" s="240"/>
      <c r="N58" s="240"/>
      <c r="O58" s="240"/>
      <c r="P58" s="240"/>
      <c r="Q58" s="240"/>
      <c r="R58" s="240"/>
      <c r="T58" t="s">
        <v>1103</v>
      </c>
      <c r="Y58" s="240" t="str">
        <f>IF(Data!B719="Yes","Client requires a bowel program.","Client does not require a bowel program.")</f>
        <v>Client does not require a bowel program.</v>
      </c>
      <c r="Z58" s="240"/>
      <c r="AA58" s="240"/>
      <c r="AB58" s="240"/>
      <c r="AC58" s="240"/>
      <c r="AD58" s="240"/>
      <c r="AE58" s="240"/>
      <c r="AF58" s="240"/>
      <c r="AG58" s="240"/>
      <c r="AH58" s="240"/>
      <c r="AI58" s="240"/>
      <c r="AJ58" s="240"/>
      <c r="AK58" s="240"/>
      <c r="AL58" s="240"/>
    </row>
    <row r="59" spans="1:39" x14ac:dyDescent="0.2">
      <c r="A59" t="s">
        <v>873</v>
      </c>
      <c r="F59" s="240" t="str">
        <f>IF(Data!B743="","N/A",Data!B743)</f>
        <v>N/A</v>
      </c>
      <c r="G59" s="240"/>
      <c r="H59" s="240"/>
      <c r="I59" s="240"/>
      <c r="J59" s="240"/>
      <c r="K59" s="240"/>
      <c r="L59" s="240"/>
      <c r="M59" s="240"/>
      <c r="N59" s="240"/>
      <c r="O59" s="240"/>
      <c r="P59" s="240"/>
      <c r="Q59" s="240"/>
      <c r="R59" s="240"/>
      <c r="T59" t="s">
        <v>1105</v>
      </c>
      <c r="Y59" s="240" t="str">
        <f>IF(Data!B720="","N/A",Data!B720)</f>
        <v>N/A</v>
      </c>
      <c r="Z59" s="240"/>
      <c r="AA59" s="240"/>
      <c r="AB59" s="240"/>
      <c r="AC59" s="240"/>
      <c r="AD59" s="240"/>
      <c r="AE59" s="240"/>
      <c r="AF59" s="240"/>
      <c r="AG59" s="240"/>
      <c r="AH59" s="240"/>
      <c r="AI59" s="240"/>
      <c r="AJ59" s="240"/>
      <c r="AK59" s="240"/>
      <c r="AL59" s="240"/>
    </row>
    <row r="60" spans="1:39" x14ac:dyDescent="0.2">
      <c r="T60" t="s">
        <v>1106</v>
      </c>
      <c r="X60" s="240" t="str">
        <f>IF(Data!B721="","N/A",Data!B721)</f>
        <v>N/A</v>
      </c>
      <c r="Y60" s="240"/>
      <c r="Z60" s="240"/>
      <c r="AA60" s="240"/>
      <c r="AB60" s="240"/>
      <c r="AC60" s="240"/>
      <c r="AD60" s="240"/>
      <c r="AE60" s="240"/>
      <c r="AF60" s="240"/>
      <c r="AG60" s="240"/>
      <c r="AH60" s="240"/>
      <c r="AI60" s="240"/>
      <c r="AJ60" s="240"/>
      <c r="AK60" s="240"/>
      <c r="AL60" s="240"/>
    </row>
    <row r="61" spans="1:39" x14ac:dyDescent="0.2">
      <c r="A61" s="340" t="s">
        <v>1107</v>
      </c>
      <c r="B61" s="340"/>
      <c r="C61" s="340"/>
      <c r="D61" s="340"/>
      <c r="E61" s="340"/>
      <c r="F61" s="340"/>
      <c r="G61" s="340"/>
      <c r="H61" s="340"/>
      <c r="I61" s="340"/>
      <c r="J61" s="340"/>
      <c r="K61" s="340"/>
      <c r="L61" s="340"/>
      <c r="M61" s="340"/>
      <c r="N61" s="340"/>
      <c r="O61" s="340"/>
      <c r="P61" s="340"/>
      <c r="Q61" s="340"/>
      <c r="R61" s="340"/>
      <c r="S61" s="340"/>
      <c r="T61" s="340"/>
      <c r="U61" s="340"/>
      <c r="V61" s="340"/>
      <c r="W61" s="340"/>
      <c r="X61" s="340"/>
      <c r="Y61" s="340"/>
      <c r="Z61" s="340"/>
      <c r="AA61" s="340"/>
      <c r="AB61" s="340"/>
      <c r="AC61" s="340"/>
      <c r="AD61" s="340"/>
      <c r="AE61" s="340"/>
      <c r="AF61" s="340"/>
      <c r="AG61" s="340"/>
      <c r="AH61" s="340"/>
      <c r="AI61" s="340"/>
      <c r="AJ61" s="340"/>
      <c r="AK61" s="340"/>
      <c r="AL61" s="340"/>
    </row>
    <row r="62" spans="1:39" x14ac:dyDescent="0.2">
      <c r="A62" t="s">
        <v>1108</v>
      </c>
      <c r="F62" s="260">
        <f>Data!B307</f>
        <v>0</v>
      </c>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c r="AE62" s="260"/>
      <c r="AF62" s="260"/>
      <c r="AG62" s="260"/>
      <c r="AH62" s="260"/>
      <c r="AI62" s="260"/>
      <c r="AJ62" s="260"/>
      <c r="AK62" s="260"/>
      <c r="AL62" s="260"/>
    </row>
    <row r="63" spans="1:39" ht="23.25" customHeight="1" x14ac:dyDescent="0.2">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c r="AE63" s="260"/>
      <c r="AF63" s="260"/>
      <c r="AG63" s="260"/>
      <c r="AH63" s="260"/>
      <c r="AI63" s="260"/>
      <c r="AJ63" s="260"/>
      <c r="AK63" s="260"/>
      <c r="AL63" s="260"/>
    </row>
    <row r="64" spans="1:39" ht="12.75" customHeight="1" x14ac:dyDescent="0.2">
      <c r="A64" t="s">
        <v>1109</v>
      </c>
      <c r="F64" s="260" t="s">
        <v>1110</v>
      </c>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c r="AE64" s="260"/>
      <c r="AF64" s="260"/>
      <c r="AG64" s="260"/>
      <c r="AH64" s="260"/>
      <c r="AI64" s="260"/>
      <c r="AJ64" s="260"/>
      <c r="AK64" s="260"/>
      <c r="AL64" s="260"/>
    </row>
    <row r="65" spans="1:40" x14ac:dyDescent="0.2">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c r="AE65" s="260"/>
      <c r="AF65" s="260"/>
      <c r="AG65" s="260"/>
      <c r="AH65" s="260"/>
      <c r="AI65" s="260"/>
      <c r="AJ65" s="260"/>
      <c r="AK65" s="260"/>
      <c r="AL65" s="260"/>
    </row>
    <row r="66" spans="1:40" x14ac:dyDescent="0.2">
      <c r="A66" t="s">
        <v>1057</v>
      </c>
      <c r="E66" s="240" t="s">
        <v>1060</v>
      </c>
      <c r="F66" s="240"/>
      <c r="G66" s="240"/>
      <c r="H66" s="240"/>
      <c r="I66" s="240"/>
      <c r="J66" s="240"/>
      <c r="K66" s="240"/>
      <c r="L66" s="240"/>
      <c r="M66" s="240"/>
      <c r="N66" s="240"/>
      <c r="O66" s="240"/>
      <c r="P66" s="240"/>
      <c r="Q66" s="240"/>
      <c r="R66" s="240"/>
      <c r="S66" s="240"/>
      <c r="T66" s="240"/>
      <c r="U66" s="240"/>
      <c r="V66" s="240"/>
      <c r="W66" s="240"/>
      <c r="X66" s="240"/>
      <c r="Y66" s="240"/>
      <c r="Z66" s="240"/>
      <c r="AA66" s="240"/>
      <c r="AB66" s="240"/>
      <c r="AC66" s="240"/>
      <c r="AD66" s="240"/>
      <c r="AE66" s="240"/>
      <c r="AF66" s="240"/>
      <c r="AG66" s="240"/>
      <c r="AH66" s="240"/>
      <c r="AI66" s="240"/>
      <c r="AJ66" s="240"/>
      <c r="AK66" s="240"/>
      <c r="AL66" s="240"/>
    </row>
    <row r="67" spans="1:40" x14ac:dyDescent="0.2">
      <c r="A67" t="s">
        <v>1058</v>
      </c>
      <c r="E67" s="240" t="s">
        <v>1061</v>
      </c>
      <c r="F67" s="240"/>
      <c r="G67" s="240"/>
      <c r="H67" s="240"/>
      <c r="I67" s="240"/>
      <c r="J67" s="240"/>
      <c r="K67" s="240"/>
      <c r="L67" s="240"/>
      <c r="M67" s="240"/>
      <c r="N67" s="240"/>
      <c r="O67" s="240"/>
      <c r="P67" s="240"/>
      <c r="Q67" s="240"/>
      <c r="R67" s="240"/>
      <c r="S67" s="240"/>
      <c r="T67" s="240"/>
      <c r="U67" s="240"/>
      <c r="V67" s="240"/>
      <c r="W67" s="240"/>
      <c r="X67" s="240"/>
      <c r="Y67" s="240"/>
      <c r="Z67" s="240"/>
      <c r="AA67" s="240"/>
      <c r="AB67" s="240"/>
      <c r="AC67" s="240"/>
      <c r="AD67" s="240"/>
      <c r="AE67" s="240"/>
      <c r="AF67" s="240"/>
      <c r="AG67" s="240"/>
      <c r="AH67" s="240"/>
      <c r="AI67" s="240"/>
      <c r="AJ67" s="240"/>
      <c r="AK67" s="240"/>
      <c r="AL67" s="240"/>
    </row>
    <row r="68" spans="1:40" x14ac:dyDescent="0.2">
      <c r="A68" t="s">
        <v>1059</v>
      </c>
      <c r="E68" s="240" t="s">
        <v>1062</v>
      </c>
      <c r="F68" s="240"/>
      <c r="G68" s="240"/>
      <c r="H68" s="240"/>
      <c r="I68" s="240"/>
      <c r="J68" s="240"/>
      <c r="K68" s="240"/>
      <c r="L68" s="240"/>
      <c r="M68" s="240"/>
      <c r="N68" s="240"/>
      <c r="O68" s="240"/>
      <c r="P68" s="240"/>
      <c r="Q68" s="240"/>
      <c r="R68" s="240"/>
      <c r="S68" s="240"/>
      <c r="T68" s="240"/>
      <c r="U68" s="240"/>
      <c r="V68" s="240"/>
      <c r="W68" s="240"/>
      <c r="X68" s="240"/>
      <c r="Y68" s="240"/>
      <c r="Z68" s="240"/>
      <c r="AA68" s="240"/>
      <c r="AB68" s="240"/>
      <c r="AC68" s="240"/>
      <c r="AD68" s="240"/>
      <c r="AE68" s="240"/>
      <c r="AF68" s="240"/>
      <c r="AG68" s="240"/>
      <c r="AH68" s="240"/>
      <c r="AI68" s="240"/>
      <c r="AJ68" s="240"/>
      <c r="AK68" s="240"/>
      <c r="AL68" s="240"/>
    </row>
    <row r="69" spans="1:40" x14ac:dyDescent="0.2">
      <c r="A69" t="s">
        <v>1111</v>
      </c>
      <c r="F69" s="260" t="str">
        <f>"Discharge will occur at client's or company's request or when PSS services are no longer appropriate.
Client wishes after discharge:"&amp;" 1st -"&amp;Data!B322&amp;" 2nd -"&amp;Data!B324</f>
        <v>Discharge will occur at client's or company's request or when PSS services are no longer appropriate.
Client wishes after discharge: 1st - 2nd -</v>
      </c>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c r="AE69" s="260"/>
      <c r="AF69" s="260"/>
      <c r="AG69" s="260"/>
      <c r="AH69" s="260"/>
      <c r="AI69" s="260"/>
      <c r="AJ69" s="260"/>
      <c r="AK69" s="260"/>
      <c r="AL69" s="260"/>
    </row>
    <row r="70" spans="1:40" x14ac:dyDescent="0.2">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c r="AE70" s="260"/>
      <c r="AF70" s="260"/>
      <c r="AG70" s="260"/>
      <c r="AH70" s="260"/>
      <c r="AI70" s="260"/>
      <c r="AJ70" s="260"/>
      <c r="AK70" s="260"/>
      <c r="AL70" s="260"/>
    </row>
    <row r="71" spans="1:40" x14ac:dyDescent="0.2">
      <c r="A71" s="340" t="s">
        <v>1112</v>
      </c>
      <c r="B71" s="340"/>
      <c r="C71" s="340"/>
      <c r="D71" s="340"/>
      <c r="E71" s="340"/>
      <c r="F71" s="340"/>
      <c r="G71" s="340"/>
      <c r="H71" s="340"/>
      <c r="I71" s="340"/>
      <c r="J71" s="340"/>
      <c r="K71" s="340"/>
      <c r="L71" s="340"/>
      <c r="M71" s="340"/>
      <c r="N71" s="340"/>
      <c r="O71" s="340"/>
      <c r="P71" s="340"/>
      <c r="Q71" s="340"/>
      <c r="R71" s="340"/>
      <c r="S71" s="340"/>
      <c r="T71" s="340"/>
      <c r="U71" s="340"/>
      <c r="V71" s="340"/>
      <c r="W71" s="340"/>
      <c r="X71" s="340"/>
      <c r="Y71" s="340"/>
      <c r="Z71" s="340"/>
      <c r="AA71" s="340"/>
      <c r="AB71" s="340"/>
      <c r="AC71" s="340"/>
      <c r="AD71" s="340"/>
      <c r="AE71" s="340"/>
      <c r="AF71" s="340"/>
      <c r="AG71" s="340"/>
      <c r="AH71" s="340"/>
      <c r="AI71" s="340"/>
      <c r="AJ71" s="340"/>
      <c r="AK71" s="340"/>
      <c r="AL71" s="340"/>
    </row>
    <row r="72" spans="1:40" x14ac:dyDescent="0.2">
      <c r="A72" t="s">
        <v>1113</v>
      </c>
      <c r="G72" s="260">
        <f>Data!B308</f>
        <v>0</v>
      </c>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c r="AE72" s="260"/>
      <c r="AF72" s="260"/>
      <c r="AG72" s="260"/>
      <c r="AH72" s="260"/>
      <c r="AI72" s="260"/>
      <c r="AJ72" s="260"/>
      <c r="AK72" s="260"/>
      <c r="AL72" s="260"/>
    </row>
    <row r="73" spans="1:40" ht="23.25" customHeight="1" x14ac:dyDescent="0.2">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c r="AE73" s="260"/>
      <c r="AF73" s="260"/>
      <c r="AG73" s="260"/>
      <c r="AH73" s="260"/>
      <c r="AI73" s="260"/>
      <c r="AJ73" s="260"/>
      <c r="AK73" s="260"/>
      <c r="AL73" s="260"/>
    </row>
    <row r="74" spans="1:40" x14ac:dyDescent="0.2">
      <c r="A74" t="s">
        <v>1114</v>
      </c>
      <c r="J74" s="240" t="str">
        <f>IF(Data!B192="","N/A",Data!B192)</f>
        <v>N/A</v>
      </c>
      <c r="K74" s="240"/>
      <c r="L74" s="240"/>
      <c r="M74" s="240"/>
      <c r="N74" s="240"/>
      <c r="O74" s="240"/>
      <c r="P74" s="240"/>
      <c r="Q74" s="240"/>
      <c r="R74" s="240"/>
      <c r="S74" s="240"/>
      <c r="T74" s="240"/>
      <c r="U74" s="240"/>
      <c r="V74" s="240"/>
      <c r="W74" s="240"/>
      <c r="X74" s="240"/>
      <c r="Y74" s="240"/>
      <c r="Z74" s="240"/>
      <c r="AA74" s="240"/>
      <c r="AB74" s="240"/>
      <c r="AC74" s="240"/>
      <c r="AD74" s="240"/>
      <c r="AE74" s="240"/>
      <c r="AF74" s="240"/>
      <c r="AG74" s="240"/>
      <c r="AH74" s="240"/>
      <c r="AI74" s="240"/>
      <c r="AJ74" s="240"/>
      <c r="AK74" s="240"/>
      <c r="AL74" s="240"/>
    </row>
    <row r="75" spans="1:40" x14ac:dyDescent="0.2">
      <c r="A75" s="21" t="str">
        <f>IF(Data!B251=TRUE,"P","")</f>
        <v>P</v>
      </c>
      <c r="B75" t="s">
        <v>1063</v>
      </c>
    </row>
    <row r="76" spans="1:40" x14ac:dyDescent="0.2">
      <c r="A76" s="21" t="str">
        <f>IF(Data!B252=TRUE,"P","")</f>
        <v>P</v>
      </c>
      <c r="B76" t="s">
        <v>1064</v>
      </c>
    </row>
    <row r="77" spans="1:40" x14ac:dyDescent="0.2">
      <c r="A77" s="21" t="str">
        <f>IF(Data!B253=TRUE,"P","")</f>
        <v>P</v>
      </c>
      <c r="B77" t="s">
        <v>2988</v>
      </c>
    </row>
    <row r="78" spans="1:40" x14ac:dyDescent="0.2">
      <c r="A78" s="340" t="s">
        <v>1070</v>
      </c>
      <c r="B78" s="340"/>
      <c r="C78" s="340"/>
      <c r="D78" s="340"/>
      <c r="E78" s="340"/>
      <c r="F78" s="340"/>
      <c r="G78" s="340"/>
      <c r="H78" s="340"/>
      <c r="I78" s="340"/>
      <c r="J78" s="340"/>
      <c r="K78" s="340"/>
      <c r="L78" s="340"/>
      <c r="M78" s="340"/>
      <c r="N78" s="340"/>
      <c r="O78" s="340"/>
      <c r="P78" s="340"/>
      <c r="Q78" s="340"/>
      <c r="R78" s="340"/>
      <c r="S78" s="340"/>
      <c r="T78" s="340"/>
      <c r="U78" s="340"/>
      <c r="V78" s="340"/>
      <c r="W78" s="340"/>
      <c r="X78" s="340"/>
      <c r="Y78" s="340"/>
      <c r="Z78" s="340"/>
      <c r="AA78" s="340"/>
      <c r="AB78" s="340"/>
      <c r="AC78" s="340"/>
      <c r="AD78" s="340"/>
      <c r="AE78" s="340"/>
      <c r="AF78" s="340"/>
      <c r="AG78" s="340"/>
      <c r="AH78" s="340"/>
      <c r="AI78" s="340"/>
      <c r="AJ78" s="340"/>
      <c r="AK78" s="340"/>
      <c r="AL78" s="340"/>
    </row>
    <row r="79" spans="1:40" ht="12.75" customHeight="1" x14ac:dyDescent="0.2">
      <c r="A79" s="344" t="s">
        <v>438</v>
      </c>
      <c r="B79" s="344"/>
      <c r="C79" s="344"/>
      <c r="D79" s="344"/>
      <c r="E79" s="344"/>
      <c r="F79" s="345" t="s">
        <v>120</v>
      </c>
      <c r="G79" s="346"/>
      <c r="H79" s="346"/>
      <c r="I79" s="346"/>
      <c r="J79" s="346"/>
      <c r="K79" s="346"/>
      <c r="L79" s="346"/>
      <c r="M79" s="346"/>
      <c r="N79" s="347"/>
      <c r="O79" s="344" t="s">
        <v>439</v>
      </c>
      <c r="P79" s="344"/>
      <c r="Q79" s="344"/>
      <c r="R79" s="344"/>
      <c r="S79" s="344"/>
      <c r="T79" s="344" t="s">
        <v>1069</v>
      </c>
      <c r="U79" s="344"/>
      <c r="V79" s="344"/>
      <c r="W79" s="344"/>
      <c r="X79" s="344"/>
      <c r="Y79" s="344"/>
      <c r="Z79" s="344"/>
      <c r="AA79" s="344"/>
      <c r="AB79" s="344"/>
      <c r="AC79" s="344"/>
      <c r="AD79" s="344"/>
      <c r="AE79" s="344"/>
      <c r="AF79" s="348" t="s">
        <v>1117</v>
      </c>
      <c r="AG79" s="348"/>
      <c r="AH79" s="348"/>
      <c r="AI79" s="348"/>
      <c r="AJ79" s="348"/>
      <c r="AK79" s="348"/>
      <c r="AL79" s="348"/>
      <c r="AM79" s="5"/>
      <c r="AN79" s="5"/>
    </row>
    <row r="80" spans="1:40" x14ac:dyDescent="0.2">
      <c r="A80" s="254" t="s">
        <v>1065</v>
      </c>
      <c r="B80" s="254"/>
      <c r="C80" s="254"/>
      <c r="D80" s="254"/>
      <c r="E80" s="254"/>
      <c r="F80" s="341">
        <f>Data!B481</f>
        <v>0</v>
      </c>
      <c r="G80" s="342"/>
      <c r="H80" s="342"/>
      <c r="I80" s="342"/>
      <c r="J80" s="342"/>
      <c r="K80" s="342"/>
      <c r="L80" s="342"/>
      <c r="M80" s="342"/>
      <c r="N80" s="343"/>
      <c r="O80" s="337">
        <f>Data!B482</f>
        <v>0</v>
      </c>
      <c r="P80" s="337"/>
      <c r="Q80" s="337"/>
      <c r="R80" s="337"/>
      <c r="S80" s="341"/>
      <c r="T80" s="337" t="str">
        <f>Data!B483&amp;" "&amp;Data!B484</f>
        <v xml:space="preserve"> </v>
      </c>
      <c r="U80" s="337"/>
      <c r="V80" s="337"/>
      <c r="W80" s="337"/>
      <c r="X80" s="337"/>
      <c r="Y80" s="337"/>
      <c r="Z80" s="337"/>
      <c r="AA80" s="337"/>
      <c r="AB80" s="337"/>
      <c r="AC80" s="337"/>
      <c r="AD80" s="337"/>
      <c r="AE80" s="337"/>
      <c r="AF80" s="348"/>
      <c r="AG80" s="348"/>
      <c r="AH80" s="348"/>
      <c r="AI80" s="348"/>
      <c r="AJ80" s="348"/>
      <c r="AK80" s="348"/>
      <c r="AL80" s="348"/>
      <c r="AM80" s="5"/>
      <c r="AN80" s="5"/>
    </row>
    <row r="81" spans="1:40" x14ac:dyDescent="0.2">
      <c r="A81" s="254" t="s">
        <v>1066</v>
      </c>
      <c r="B81" s="254"/>
      <c r="C81" s="254"/>
      <c r="D81" s="254"/>
      <c r="E81" s="254"/>
      <c r="F81" s="341">
        <f>Data!B495</f>
        <v>0</v>
      </c>
      <c r="G81" s="342"/>
      <c r="H81" s="342"/>
      <c r="I81" s="342"/>
      <c r="J81" s="342"/>
      <c r="K81" s="342"/>
      <c r="L81" s="342"/>
      <c r="M81" s="342"/>
      <c r="N81" s="343"/>
      <c r="O81" s="337">
        <f>Data!B496</f>
        <v>0</v>
      </c>
      <c r="P81" s="337"/>
      <c r="Q81" s="337"/>
      <c r="R81" s="337"/>
      <c r="S81" s="341"/>
      <c r="T81" s="337"/>
      <c r="U81" s="337"/>
      <c r="V81" s="337"/>
      <c r="W81" s="337"/>
      <c r="X81" s="337"/>
      <c r="Y81" s="337"/>
      <c r="Z81" s="337"/>
      <c r="AA81" s="337"/>
      <c r="AB81" s="337"/>
      <c r="AC81" s="337"/>
      <c r="AD81" s="337"/>
      <c r="AE81" s="337"/>
      <c r="AF81" s="348"/>
      <c r="AG81" s="348"/>
      <c r="AH81" s="348"/>
      <c r="AI81" s="348"/>
      <c r="AJ81" s="348"/>
      <c r="AK81" s="348"/>
      <c r="AL81" s="348"/>
      <c r="AM81" s="5"/>
      <c r="AN81" s="5"/>
    </row>
    <row r="82" spans="1:40" x14ac:dyDescent="0.2">
      <c r="A82" s="254" t="s">
        <v>177</v>
      </c>
      <c r="B82" s="254"/>
      <c r="C82" s="254"/>
      <c r="D82" s="254"/>
      <c r="E82" s="254"/>
      <c r="F82" s="341">
        <f>Data!B506</f>
        <v>0</v>
      </c>
      <c r="G82" s="342"/>
      <c r="H82" s="342"/>
      <c r="I82" s="342"/>
      <c r="J82" s="342"/>
      <c r="K82" s="342"/>
      <c r="L82" s="342"/>
      <c r="M82" s="342"/>
      <c r="N82" s="343"/>
      <c r="O82" s="337">
        <f>Data!B507</f>
        <v>0</v>
      </c>
      <c r="P82" s="337"/>
      <c r="Q82" s="337"/>
      <c r="R82" s="337"/>
      <c r="S82" s="341"/>
      <c r="T82" s="337" t="str">
        <f>Data!B508&amp;" "&amp;Data!B509</f>
        <v xml:space="preserve"> </v>
      </c>
      <c r="U82" s="337"/>
      <c r="V82" s="337"/>
      <c r="W82" s="337"/>
      <c r="X82" s="337"/>
      <c r="Y82" s="337"/>
      <c r="Z82" s="337"/>
      <c r="AA82" s="337"/>
      <c r="AB82" s="337"/>
      <c r="AC82" s="337"/>
      <c r="AD82" s="337"/>
      <c r="AE82" s="337"/>
      <c r="AF82" s="348"/>
      <c r="AG82" s="348"/>
      <c r="AH82" s="348"/>
      <c r="AI82" s="348"/>
      <c r="AJ82" s="348"/>
      <c r="AK82" s="348"/>
      <c r="AL82" s="348"/>
      <c r="AM82" s="5"/>
      <c r="AN82" s="5"/>
    </row>
    <row r="83" spans="1:40" x14ac:dyDescent="0.2">
      <c r="A83" s="254" t="s">
        <v>178</v>
      </c>
      <c r="B83" s="254"/>
      <c r="C83" s="254"/>
      <c r="D83" s="254"/>
      <c r="E83" s="254"/>
      <c r="F83" s="341">
        <f>Data!B518</f>
        <v>0</v>
      </c>
      <c r="G83" s="342"/>
      <c r="H83" s="342"/>
      <c r="I83" s="342"/>
      <c r="J83" s="342"/>
      <c r="K83" s="342"/>
      <c r="L83" s="342"/>
      <c r="M83" s="342"/>
      <c r="N83" s="343"/>
      <c r="O83" s="337">
        <f>Data!B519</f>
        <v>0</v>
      </c>
      <c r="P83" s="337"/>
      <c r="Q83" s="337"/>
      <c r="R83" s="337"/>
      <c r="S83" s="341"/>
      <c r="T83" s="337" t="str">
        <f>Data!B520&amp;" "&amp;Data!B521</f>
        <v xml:space="preserve"> </v>
      </c>
      <c r="U83" s="337"/>
      <c r="V83" s="337"/>
      <c r="W83" s="337"/>
      <c r="X83" s="337"/>
      <c r="Y83" s="337"/>
      <c r="Z83" s="337"/>
      <c r="AA83" s="337"/>
      <c r="AB83" s="337"/>
      <c r="AC83" s="337"/>
      <c r="AD83" s="337"/>
      <c r="AE83" s="337"/>
      <c r="AF83" s="348"/>
      <c r="AG83" s="348"/>
      <c r="AH83" s="348"/>
      <c r="AI83" s="348"/>
      <c r="AJ83" s="348"/>
      <c r="AK83" s="348"/>
      <c r="AL83" s="348"/>
      <c r="AM83" s="5"/>
      <c r="AN83" s="5"/>
    </row>
    <row r="84" spans="1:40" x14ac:dyDescent="0.2">
      <c r="A84" s="254" t="s">
        <v>1067</v>
      </c>
      <c r="B84" s="254"/>
      <c r="C84" s="254"/>
      <c r="D84" s="254"/>
      <c r="E84" s="254"/>
      <c r="F84" s="341">
        <f>Data!B715</f>
        <v>0</v>
      </c>
      <c r="G84" s="342"/>
      <c r="H84" s="342"/>
      <c r="I84" s="342"/>
      <c r="J84" s="342"/>
      <c r="K84" s="342"/>
      <c r="L84" s="342"/>
      <c r="M84" s="342"/>
      <c r="N84" s="343"/>
      <c r="O84" s="337" t="s">
        <v>1071</v>
      </c>
      <c r="P84" s="337"/>
      <c r="Q84" s="337"/>
      <c r="R84" s="337"/>
      <c r="S84" s="341"/>
      <c r="T84" s="337"/>
      <c r="U84" s="337"/>
      <c r="V84" s="337"/>
      <c r="W84" s="337"/>
      <c r="X84" s="337"/>
      <c r="Y84" s="337"/>
      <c r="Z84" s="337"/>
      <c r="AA84" s="337"/>
      <c r="AB84" s="337"/>
      <c r="AC84" s="337"/>
      <c r="AD84" s="337"/>
      <c r="AE84" s="337"/>
      <c r="AF84" s="348"/>
      <c r="AG84" s="348"/>
      <c r="AH84" s="348"/>
      <c r="AI84" s="348"/>
      <c r="AJ84" s="348"/>
      <c r="AK84" s="348"/>
      <c r="AL84" s="348"/>
      <c r="AM84" s="5"/>
      <c r="AN84" s="5"/>
    </row>
    <row r="85" spans="1:40" x14ac:dyDescent="0.2">
      <c r="A85" s="254" t="s">
        <v>179</v>
      </c>
      <c r="B85" s="254"/>
      <c r="C85" s="254"/>
      <c r="D85" s="254"/>
      <c r="E85" s="254"/>
      <c r="F85" s="341">
        <f>Data!B541</f>
        <v>0</v>
      </c>
      <c r="G85" s="342"/>
      <c r="H85" s="342"/>
      <c r="I85" s="342"/>
      <c r="J85" s="342"/>
      <c r="K85" s="342"/>
      <c r="L85" s="342"/>
      <c r="M85" s="342"/>
      <c r="N85" s="343"/>
      <c r="O85" s="337">
        <f>Data!B542</f>
        <v>0</v>
      </c>
      <c r="P85" s="337"/>
      <c r="Q85" s="337"/>
      <c r="R85" s="337"/>
      <c r="S85" s="341"/>
      <c r="T85" s="337">
        <f>Data!B536</f>
        <v>0</v>
      </c>
      <c r="U85" s="337"/>
      <c r="V85" s="337"/>
      <c r="W85" s="337"/>
      <c r="X85" s="337"/>
      <c r="Y85" s="337"/>
      <c r="Z85" s="337"/>
      <c r="AA85" s="337"/>
      <c r="AB85" s="337"/>
      <c r="AC85" s="337"/>
      <c r="AD85" s="337"/>
      <c r="AE85" s="337"/>
      <c r="AF85" s="348"/>
      <c r="AG85" s="348"/>
      <c r="AH85" s="348"/>
      <c r="AI85" s="348"/>
      <c r="AJ85" s="348"/>
      <c r="AK85" s="348"/>
      <c r="AL85" s="348"/>
    </row>
    <row r="86" spans="1:40" x14ac:dyDescent="0.2">
      <c r="A86" s="254" t="s">
        <v>1068</v>
      </c>
      <c r="B86" s="254"/>
      <c r="C86" s="254"/>
      <c r="D86" s="254"/>
      <c r="E86" s="254"/>
      <c r="F86" s="341" t="str">
        <f>Data!B468&amp;IF(OR(Data!B1320=TRUE,Data!B1321=TRUE),"  Unable to get on scale.","")</f>
        <v/>
      </c>
      <c r="G86" s="342"/>
      <c r="H86" s="342"/>
      <c r="I86" s="342"/>
      <c r="J86" s="342"/>
      <c r="K86" s="342"/>
      <c r="L86" s="342"/>
      <c r="M86" s="342"/>
      <c r="N86" s="343"/>
      <c r="O86" s="337" t="str">
        <f>IF(Data!B469="","N/A",Data!B469)</f>
        <v>N/A</v>
      </c>
      <c r="P86" s="337"/>
      <c r="Q86" s="337"/>
      <c r="R86" s="337"/>
      <c r="S86" s="341"/>
      <c r="T86" s="337" t="str">
        <f>Data!B470&amp;" "&amp;Data!B471</f>
        <v xml:space="preserve"> </v>
      </c>
      <c r="U86" s="337"/>
      <c r="V86" s="337"/>
      <c r="W86" s="337"/>
      <c r="X86" s="337"/>
      <c r="Y86" s="337"/>
      <c r="Z86" s="337"/>
      <c r="AA86" s="337"/>
      <c r="AB86" s="337"/>
      <c r="AC86" s="337"/>
      <c r="AD86" s="337"/>
      <c r="AE86" s="337"/>
      <c r="AF86" s="348"/>
      <c r="AG86" s="348"/>
      <c r="AH86" s="348"/>
      <c r="AI86" s="348"/>
      <c r="AJ86" s="348"/>
      <c r="AK86" s="348"/>
      <c r="AL86" s="348"/>
    </row>
    <row r="87" spans="1:40" x14ac:dyDescent="0.2">
      <c r="A87" s="340" t="s">
        <v>678</v>
      </c>
      <c r="B87" s="340"/>
      <c r="C87" s="340"/>
      <c r="D87" s="340"/>
      <c r="E87" s="340"/>
      <c r="F87" s="340"/>
      <c r="G87" s="340"/>
      <c r="H87" s="340"/>
      <c r="I87" s="340"/>
      <c r="J87" s="340"/>
      <c r="K87" s="340"/>
      <c r="L87" s="340"/>
      <c r="M87" s="340"/>
      <c r="N87" s="340"/>
      <c r="O87" s="340"/>
      <c r="P87" s="340"/>
      <c r="Q87" s="340"/>
      <c r="R87" s="340"/>
      <c r="S87" s="340"/>
      <c r="T87" s="340"/>
      <c r="U87" s="340"/>
      <c r="V87" s="340"/>
      <c r="W87" s="340"/>
      <c r="X87" s="340"/>
      <c r="Y87" s="340"/>
      <c r="Z87" s="340"/>
      <c r="AA87" s="340"/>
      <c r="AB87" s="340"/>
      <c r="AC87" s="340"/>
      <c r="AD87" s="340"/>
      <c r="AE87" s="340"/>
      <c r="AF87" s="340"/>
      <c r="AG87" s="340"/>
      <c r="AH87" s="340"/>
      <c r="AI87" s="340"/>
      <c r="AJ87" s="340"/>
      <c r="AK87" s="340"/>
      <c r="AL87" s="340"/>
    </row>
    <row r="88" spans="1:40" x14ac:dyDescent="0.2">
      <c r="A88" t="s">
        <v>342</v>
      </c>
      <c r="D88" s="240">
        <f>Data!B43</f>
        <v>0</v>
      </c>
      <c r="E88" s="240"/>
      <c r="F88" s="240"/>
      <c r="G88" s="240"/>
      <c r="H88" s="240"/>
      <c r="I88" s="240"/>
      <c r="J88" s="240"/>
      <c r="K88" s="240"/>
      <c r="L88" s="240"/>
      <c r="M88" s="240"/>
      <c r="N88" s="240"/>
      <c r="O88" s="240"/>
      <c r="P88" s="240"/>
      <c r="Q88" s="240"/>
      <c r="R88" s="240"/>
      <c r="T88" t="s">
        <v>342</v>
      </c>
      <c r="W88" s="240" t="str">
        <f>IF(Data!B55="","N/A",Data!B55)</f>
        <v>N/A</v>
      </c>
      <c r="X88" s="240"/>
      <c r="Y88" s="240"/>
      <c r="Z88" s="240"/>
      <c r="AA88" s="240"/>
      <c r="AB88" s="240"/>
      <c r="AC88" s="240"/>
      <c r="AD88" s="240"/>
      <c r="AE88" s="240"/>
      <c r="AF88" s="240"/>
      <c r="AG88" s="240"/>
      <c r="AH88" s="240"/>
      <c r="AI88" s="240"/>
      <c r="AJ88" s="240"/>
      <c r="AK88" s="240"/>
      <c r="AL88" s="240"/>
    </row>
    <row r="89" spans="1:40" x14ac:dyDescent="0.2">
      <c r="A89" t="s">
        <v>348</v>
      </c>
      <c r="D89" s="338" t="str">
        <f>_xlfn.CONCAT(IF(Data!B45&lt;&gt;"","Home: "&amp;TEXT(Data!B45,"(###) ###-####")&amp;" ","No home phone.  "),IF(Data!B46&lt;&gt;"","Cell: "&amp;TEXT(Data!B46,"(###) ###-####")&amp;" "," No cell phone."))</f>
        <v>No home phone.   No cell phone.</v>
      </c>
      <c r="E89" s="338"/>
      <c r="F89" s="338"/>
      <c r="G89" s="338"/>
      <c r="H89" s="338"/>
      <c r="I89" s="338"/>
      <c r="J89" s="338"/>
      <c r="K89" s="338"/>
      <c r="L89" s="338"/>
      <c r="M89" s="338"/>
      <c r="N89" s="338"/>
      <c r="O89" s="338"/>
      <c r="P89" s="338"/>
      <c r="Q89" s="338"/>
      <c r="R89" s="338"/>
      <c r="T89" t="s">
        <v>348</v>
      </c>
      <c r="W89" s="338" t="str">
        <f>IF(Data!B55="","N/A",IF(Data!B57&lt;&gt;"","Home: "&amp;TEXT(Data!B57,"(###) ###-####")&amp;" ","No home phone.  ")&amp;IF(Data!B58&lt;&gt;"","Cell: "&amp;TEXT(Data!B58,"(###) ###-####")&amp;" "," No cell phone."))</f>
        <v>N/A</v>
      </c>
      <c r="X89" s="338"/>
      <c r="Y89" s="338"/>
      <c r="Z89" s="338"/>
      <c r="AA89" s="338"/>
      <c r="AB89" s="338"/>
      <c r="AC89" s="338"/>
      <c r="AD89" s="338"/>
      <c r="AE89" s="338"/>
      <c r="AF89" s="338"/>
      <c r="AG89" s="338"/>
      <c r="AH89" s="338"/>
      <c r="AI89" s="338"/>
      <c r="AJ89" s="338"/>
      <c r="AK89" s="338"/>
      <c r="AL89" s="338"/>
    </row>
    <row r="90" spans="1:40" x14ac:dyDescent="0.2">
      <c r="A90" t="s">
        <v>344</v>
      </c>
      <c r="D90" s="240">
        <f>Data!B48</f>
        <v>0</v>
      </c>
      <c r="E90" s="240"/>
      <c r="F90" s="240"/>
      <c r="G90" s="240"/>
      <c r="H90" s="240"/>
      <c r="I90" s="240"/>
      <c r="J90" s="240"/>
      <c r="K90" s="240"/>
      <c r="L90" s="240"/>
      <c r="M90" s="240"/>
      <c r="N90" s="240"/>
      <c r="O90" s="240"/>
      <c r="P90" s="240"/>
      <c r="Q90" s="240"/>
      <c r="R90" s="240"/>
      <c r="T90" t="s">
        <v>344</v>
      </c>
      <c r="W90" s="240" t="str">
        <f>IF(Data!B60="","N/A",Data!B60)</f>
        <v>N/A</v>
      </c>
      <c r="X90" s="240"/>
      <c r="Y90" s="240"/>
      <c r="Z90" s="240"/>
      <c r="AA90" s="240"/>
      <c r="AB90" s="240"/>
      <c r="AC90" s="240"/>
      <c r="AD90" s="240"/>
      <c r="AE90" s="240"/>
      <c r="AF90" s="240"/>
      <c r="AG90" s="240"/>
      <c r="AH90" s="240"/>
      <c r="AI90" s="240"/>
      <c r="AJ90" s="240"/>
      <c r="AK90" s="240"/>
      <c r="AL90" s="240"/>
    </row>
    <row r="91" spans="1:40" x14ac:dyDescent="0.2">
      <c r="A91" s="340" t="s">
        <v>1118</v>
      </c>
      <c r="B91" s="340"/>
      <c r="C91" s="340"/>
      <c r="D91" s="340"/>
      <c r="E91" s="340"/>
      <c r="F91" s="340"/>
      <c r="G91" s="340"/>
      <c r="H91" s="340"/>
      <c r="I91" s="340"/>
      <c r="J91" s="340"/>
      <c r="K91" s="340"/>
      <c r="L91" s="340"/>
      <c r="M91" s="340"/>
      <c r="N91" s="340"/>
      <c r="O91" s="340"/>
      <c r="P91" s="340"/>
      <c r="Q91" s="340"/>
      <c r="R91" s="340"/>
      <c r="S91" s="340"/>
      <c r="T91" s="340"/>
      <c r="U91" s="340"/>
      <c r="V91" s="340"/>
      <c r="W91" s="340"/>
      <c r="X91" s="340"/>
      <c r="Y91" s="340"/>
      <c r="Z91" s="340"/>
      <c r="AA91" s="340"/>
      <c r="AB91" s="340"/>
      <c r="AC91" s="340"/>
      <c r="AD91" s="340"/>
      <c r="AE91" s="340"/>
      <c r="AF91" s="340"/>
      <c r="AG91" s="340"/>
      <c r="AH91" s="340"/>
      <c r="AI91" s="340"/>
      <c r="AJ91" s="340"/>
      <c r="AK91" s="340"/>
      <c r="AL91" s="340"/>
    </row>
    <row r="92" spans="1:40" x14ac:dyDescent="0.2">
      <c r="A92" t="s">
        <v>1119</v>
      </c>
      <c r="F92" s="338" t="str">
        <f>_xlfn.CONCAT(IF(Data!B270=TRUE,"Monitor for changes in ability to drive safely.",""),IF(Data!B274=TRUE," Provide transportation as needed per rules.",""),IF(Data!B272="Aide's Car"," Use Aide's car.","Use client's car."),IF(Data!B185="Medicaid"," Dr Appts must use Medicaid Trans.","")," ",Data!B1352)</f>
        <v xml:space="preserve">Use client's car. </v>
      </c>
      <c r="G92" s="338"/>
      <c r="H92" s="338"/>
      <c r="I92" s="338"/>
      <c r="J92" s="338"/>
      <c r="K92" s="338"/>
      <c r="L92" s="338"/>
      <c r="M92" s="338"/>
      <c r="N92" s="338"/>
      <c r="O92" s="338"/>
      <c r="P92" s="338"/>
      <c r="Q92" s="338"/>
      <c r="R92" s="338"/>
      <c r="S92" s="338"/>
      <c r="T92" s="338"/>
      <c r="U92" s="338"/>
      <c r="V92" s="338"/>
      <c r="W92" s="338"/>
      <c r="X92" s="338"/>
      <c r="Y92" s="338"/>
      <c r="Z92" s="338"/>
      <c r="AA92" s="338"/>
      <c r="AB92" s="338"/>
      <c r="AC92" s="338"/>
      <c r="AD92" s="338"/>
      <c r="AE92" s="338"/>
      <c r="AF92" s="338"/>
      <c r="AG92" s="338"/>
      <c r="AH92" s="338"/>
      <c r="AI92" s="338"/>
      <c r="AJ92" s="338"/>
      <c r="AK92" s="338"/>
      <c r="AL92" s="338"/>
    </row>
    <row r="93" spans="1:40" x14ac:dyDescent="0.2">
      <c r="A93" t="s">
        <v>1120</v>
      </c>
      <c r="F93" s="338" t="str">
        <f>_xlfn.CONCAT(IF(Data!B283="Independent","Monitor for changes in ability to complete housework safely.",""),IF(OR(Data!B283="Hands On Assist",Data!B283="Standby Assist")," Assist client with housekeeping tasks keeping to client's areas and belongings only.",""),IF(Data!B283="Dependent"," Aide should keep home clean and free from fall hazards. Client's area and belongings only.","")," ",Data!B1353)</f>
        <v xml:space="preserve"> </v>
      </c>
      <c r="G93" s="338"/>
      <c r="H93" s="338"/>
      <c r="I93" s="338"/>
      <c r="J93" s="338"/>
      <c r="K93" s="338"/>
      <c r="L93" s="338"/>
      <c r="M93" s="338"/>
      <c r="N93" s="338"/>
      <c r="O93" s="338"/>
      <c r="P93" s="338"/>
      <c r="Q93" s="338"/>
      <c r="R93" s="338"/>
      <c r="S93" s="338"/>
      <c r="T93" s="338"/>
      <c r="U93" s="338"/>
      <c r="V93" s="338"/>
      <c r="W93" s="338"/>
      <c r="X93" s="338"/>
      <c r="Y93" s="338"/>
      <c r="Z93" s="338"/>
      <c r="AA93" s="338"/>
      <c r="AB93" s="338"/>
      <c r="AC93" s="338"/>
      <c r="AD93" s="338"/>
      <c r="AE93" s="338"/>
      <c r="AF93" s="338"/>
      <c r="AG93" s="338"/>
      <c r="AH93" s="338"/>
      <c r="AI93" s="338"/>
      <c r="AJ93" s="338"/>
      <c r="AK93" s="338"/>
      <c r="AL93" s="338"/>
    </row>
    <row r="94" spans="1:40" x14ac:dyDescent="0.2">
      <c r="A94" t="s">
        <v>1121</v>
      </c>
      <c r="F94" s="338" t="str">
        <f>_xlfn.CONCAT(IF(Data!B160=TRUE,"Remind client to wear hearing aids. Keep aids charged and close to client.",""),IF(Data!B573="None"," Monitor for changes in hearing."," Speak slowly and clearly directly to client."),IF(Data!B195="No", " Provide translation.","")," ",Data!B1354)</f>
        <v xml:space="preserve"> Speak slowly and clearly directly to client. </v>
      </c>
      <c r="G94" s="338"/>
      <c r="H94" s="338"/>
      <c r="I94" s="338"/>
      <c r="J94" s="338"/>
      <c r="K94" s="338"/>
      <c r="L94" s="338"/>
      <c r="M94" s="338"/>
      <c r="N94" s="338"/>
      <c r="O94" s="338"/>
      <c r="P94" s="338"/>
      <c r="Q94" s="338"/>
      <c r="R94" s="338"/>
      <c r="S94" s="338"/>
      <c r="T94" s="338"/>
      <c r="U94" s="338"/>
      <c r="V94" s="338"/>
      <c r="W94" s="338"/>
      <c r="X94" s="338"/>
      <c r="Y94" s="338"/>
      <c r="Z94" s="338"/>
      <c r="AA94" s="338"/>
      <c r="AB94" s="338"/>
      <c r="AC94" s="338"/>
      <c r="AD94" s="338"/>
      <c r="AE94" s="338"/>
      <c r="AF94" s="338"/>
      <c r="AG94" s="338"/>
      <c r="AH94" s="338"/>
      <c r="AI94" s="338"/>
      <c r="AJ94" s="338"/>
      <c r="AK94" s="338"/>
      <c r="AL94" s="338"/>
    </row>
    <row r="95" spans="1:40" x14ac:dyDescent="0.2">
      <c r="A95" t="s">
        <v>1122</v>
      </c>
      <c r="F95" s="338" t="str">
        <f>_xlfn.CONCAT(IF(Data!B155=TRUE,"Remind client to wear glasses. Keep glasses clean and close to client.",""),IF(Data!B590="None"," Monitor for changes in vision."," Keep home clear from hazards."),IF(Data!B195="No"," Provide translation.","")," ",Data!B1355)</f>
        <v xml:space="preserve"> Keep home clear from hazards. </v>
      </c>
      <c r="G95" s="338"/>
      <c r="H95" s="338"/>
      <c r="I95" s="338"/>
      <c r="J95" s="338"/>
      <c r="K95" s="338"/>
      <c r="L95" s="338"/>
      <c r="M95" s="338"/>
      <c r="N95" s="338"/>
      <c r="O95" s="338"/>
      <c r="P95" s="338"/>
      <c r="Q95" s="338"/>
      <c r="R95" s="338"/>
      <c r="S95" s="338"/>
      <c r="T95" s="338"/>
      <c r="U95" s="338"/>
      <c r="V95" s="338"/>
      <c r="W95" s="338"/>
      <c r="X95" s="338"/>
      <c r="Y95" s="338"/>
      <c r="Z95" s="338"/>
      <c r="AA95" s="338"/>
      <c r="AB95" s="338"/>
      <c r="AC95" s="338"/>
      <c r="AD95" s="338"/>
      <c r="AE95" s="338"/>
      <c r="AF95" s="338"/>
      <c r="AG95" s="338"/>
      <c r="AH95" s="338"/>
      <c r="AI95" s="338"/>
      <c r="AJ95" s="338"/>
      <c r="AK95" s="338"/>
      <c r="AL95" s="338"/>
    </row>
    <row r="96" spans="1:40" x14ac:dyDescent="0.2">
      <c r="A96" t="s">
        <v>1123</v>
      </c>
      <c r="F96" s="338" t="str">
        <f>_xlfn.CONCAT(IF(OR(Data!B752=TRUE,Data!B753=TRUE),"Monitor for SOB and Cyanosis or changes to breathing patterns.","Monitor for changes in breathing."),IF(Data!B466="Yes"," Remind client to wear oxygen and monitor equipment.","")," ",Data!B1356,IF(Data!B794=TRUE," Keep inhalers close to client.",""))</f>
        <v xml:space="preserve">Monitor for changes in breathing. </v>
      </c>
      <c r="G96" s="338"/>
      <c r="H96" s="338"/>
      <c r="I96" s="338"/>
      <c r="J96" s="338"/>
      <c r="K96" s="338"/>
      <c r="L96" s="338"/>
      <c r="M96" s="338"/>
      <c r="N96" s="338"/>
      <c r="O96" s="338"/>
      <c r="P96" s="338"/>
      <c r="Q96" s="338"/>
      <c r="R96" s="338"/>
      <c r="S96" s="338"/>
      <c r="T96" s="338"/>
      <c r="U96" s="338"/>
      <c r="V96" s="338"/>
      <c r="W96" s="338"/>
      <c r="X96" s="338"/>
      <c r="Y96" s="338"/>
      <c r="Z96" s="338"/>
      <c r="AA96" s="338"/>
      <c r="AB96" s="338"/>
      <c r="AC96" s="338"/>
      <c r="AD96" s="338"/>
      <c r="AE96" s="338"/>
      <c r="AF96" s="338"/>
      <c r="AG96" s="338"/>
      <c r="AH96" s="338"/>
      <c r="AI96" s="338"/>
      <c r="AJ96" s="338"/>
      <c r="AK96" s="338"/>
      <c r="AL96" s="338"/>
    </row>
    <row r="97" spans="1:38" x14ac:dyDescent="0.2">
      <c r="A97" t="s">
        <v>1124</v>
      </c>
      <c r="F97" s="338" t="str">
        <f>_xlfn.CONCAT(IF(Data!B836="Independent","Monitor for changes in speech and report significant changes."," Allow client time to formulate speech and monitor for significant changes."),IF(Data!B195="No"," Provide translation.","")," ",Data!B1357)</f>
        <v xml:space="preserve"> Allow client time to formulate speech and monitor for significant changes. </v>
      </c>
      <c r="G97" s="338"/>
      <c r="H97" s="338"/>
      <c r="I97" s="338"/>
      <c r="J97" s="338"/>
      <c r="K97" s="338"/>
      <c r="L97" s="338"/>
      <c r="M97" s="338"/>
      <c r="N97" s="338"/>
      <c r="O97" s="338"/>
      <c r="P97" s="338"/>
      <c r="Q97" s="338"/>
      <c r="R97" s="338"/>
      <c r="S97" s="338"/>
      <c r="T97" s="338"/>
      <c r="U97" s="338"/>
      <c r="V97" s="338"/>
      <c r="W97" s="338"/>
      <c r="X97" s="338"/>
      <c r="Y97" s="338"/>
      <c r="Z97" s="338"/>
      <c r="AA97" s="338"/>
      <c r="AB97" s="338"/>
      <c r="AC97" s="338"/>
      <c r="AD97" s="338"/>
      <c r="AE97" s="338"/>
      <c r="AF97" s="338"/>
      <c r="AG97" s="338"/>
      <c r="AH97" s="338"/>
      <c r="AI97" s="338"/>
      <c r="AJ97" s="338"/>
      <c r="AK97" s="338"/>
      <c r="AL97" s="338"/>
    </row>
    <row r="98" spans="1:38" x14ac:dyDescent="0.2">
      <c r="A98" t="s">
        <v>1125</v>
      </c>
      <c r="F98" s="338" t="str">
        <f>_xlfn.CONCAT(IF(Data!B896="Independent","Monitor for abnormal changes in mood or thought process.  Provide emotional support, mental stimulation and supervision as needed.","Provide cues, emotional support, mental stimulation, supervision and redirection as needed. Report significant changes."),IF(Data!B876=TRUE," Client cannot be left alone.","")," ",Data!B1358)</f>
        <v xml:space="preserve">Provide cues, emotional support, mental stimulation, supervision and redirection as needed. Report significant changes. </v>
      </c>
      <c r="G98" s="338"/>
      <c r="H98" s="338"/>
      <c r="I98" s="338"/>
      <c r="J98" s="338"/>
      <c r="K98" s="338"/>
      <c r="L98" s="338"/>
      <c r="M98" s="338"/>
      <c r="N98" s="338"/>
      <c r="O98" s="338"/>
      <c r="P98" s="338"/>
      <c r="Q98" s="338"/>
      <c r="R98" s="338"/>
      <c r="S98" s="338"/>
      <c r="T98" s="338"/>
      <c r="U98" s="338"/>
      <c r="V98" s="338"/>
      <c r="W98" s="338"/>
      <c r="X98" s="338"/>
      <c r="Y98" s="338"/>
      <c r="Z98" s="338"/>
      <c r="AA98" s="338"/>
      <c r="AB98" s="338"/>
      <c r="AC98" s="338"/>
      <c r="AD98" s="338"/>
      <c r="AE98" s="338"/>
      <c r="AF98" s="338"/>
      <c r="AG98" s="338"/>
      <c r="AH98" s="338"/>
      <c r="AI98" s="338"/>
      <c r="AJ98" s="338"/>
      <c r="AK98" s="338"/>
      <c r="AL98" s="338"/>
    </row>
    <row r="99" spans="1:38" x14ac:dyDescent="0.2">
      <c r="A99" t="s">
        <v>1126</v>
      </c>
      <c r="F99" s="338" t="str">
        <f>_xlfn.CONCAT(IF(Data!B911="Independent","Monitor for changes in ability to use telephone. Keep phone near client.","Keep phone near client."),IF(Data!B195="No"," Provide translation.","")," ",Data!B1359,IF(AND(Data!B907="Yes",Data!B908="Yes"),"Provide total assistance with telephone.","Provide assistance with telephone."))</f>
        <v>Keep phone near client. Provide assistance with telephone.</v>
      </c>
      <c r="G99" s="338"/>
      <c r="H99" s="338"/>
      <c r="I99" s="338"/>
      <c r="J99" s="338"/>
      <c r="K99" s="338"/>
      <c r="L99" s="338"/>
      <c r="M99" s="338"/>
      <c r="N99" s="338"/>
      <c r="O99" s="338"/>
      <c r="P99" s="338"/>
      <c r="Q99" s="338"/>
      <c r="R99" s="338"/>
      <c r="S99" s="338"/>
      <c r="T99" s="338"/>
      <c r="U99" s="338"/>
      <c r="V99" s="338"/>
      <c r="W99" s="338"/>
      <c r="X99" s="338"/>
      <c r="Y99" s="338"/>
      <c r="Z99" s="338"/>
      <c r="AA99" s="338"/>
      <c r="AB99" s="338"/>
      <c r="AC99" s="338"/>
      <c r="AD99" s="338"/>
      <c r="AE99" s="338"/>
      <c r="AF99" s="338"/>
      <c r="AG99" s="338"/>
      <c r="AH99" s="338"/>
      <c r="AI99" s="338"/>
      <c r="AJ99" s="338"/>
      <c r="AK99" s="338"/>
      <c r="AL99" s="338"/>
    </row>
    <row r="100" spans="1:38" x14ac:dyDescent="0.2">
      <c r="A100" s="339" t="str">
        <f>_xlfn.CONCAT(IF(Data!B1715=TRUE,"Client is safe to be alone.",""),IF(Data!B1714=TRUE,"Client is safe to be alone but is recommended to have supervision from friends/family due to cognitive/mobility deficits.",""),IF(Data!B876=TRUE,"Client is not safe to be alone.  Family/friends should provide supervision when caregiver is not scheduled.",""))</f>
        <v/>
      </c>
      <c r="B100" s="339"/>
      <c r="C100" s="339"/>
      <c r="D100" s="339"/>
      <c r="E100" s="339"/>
      <c r="F100" s="339"/>
      <c r="G100" s="339"/>
      <c r="H100" s="339"/>
      <c r="I100" s="339"/>
      <c r="J100" s="339"/>
      <c r="K100" s="339"/>
      <c r="L100" s="339"/>
      <c r="M100" s="339"/>
      <c r="N100" s="339"/>
      <c r="O100" s="339"/>
      <c r="P100" s="339"/>
      <c r="Q100" s="339"/>
      <c r="R100" s="339"/>
      <c r="S100" s="339"/>
      <c r="T100" s="339"/>
      <c r="U100" s="339"/>
      <c r="V100" s="339"/>
      <c r="W100" s="339"/>
      <c r="X100" s="339"/>
      <c r="Y100" s="339"/>
      <c r="Z100" s="339"/>
      <c r="AA100" s="339"/>
      <c r="AB100" s="339"/>
      <c r="AC100" s="339"/>
      <c r="AD100" s="339"/>
      <c r="AE100" s="339"/>
      <c r="AF100" s="339"/>
      <c r="AG100" s="339"/>
      <c r="AH100" s="339"/>
      <c r="AI100" s="339"/>
      <c r="AJ100" s="339"/>
      <c r="AK100" s="339"/>
      <c r="AL100" s="339"/>
    </row>
  </sheetData>
  <mergeCells count="141">
    <mergeCell ref="D6:F6"/>
    <mergeCell ref="M6:O6"/>
    <mergeCell ref="U6:W6"/>
    <mergeCell ref="AB6:AK6"/>
    <mergeCell ref="E1:AL1"/>
    <mergeCell ref="I2:AG2"/>
    <mergeCell ref="E3:S3"/>
    <mergeCell ref="W3:Z3"/>
    <mergeCell ref="AH3:AL3"/>
    <mergeCell ref="F4:J4"/>
    <mergeCell ref="Q4:V4"/>
    <mergeCell ref="AH4:AL4"/>
    <mergeCell ref="G7:Q7"/>
    <mergeCell ref="X7:AD7"/>
    <mergeCell ref="AG7:AL7"/>
    <mergeCell ref="G8:Q8"/>
    <mergeCell ref="X8:AD8"/>
    <mergeCell ref="AG8:AL8"/>
    <mergeCell ref="G5:Q5"/>
    <mergeCell ref="AA5:AC5"/>
    <mergeCell ref="AH5:AL5"/>
    <mergeCell ref="S13:U13"/>
    <mergeCell ref="A14:C16"/>
    <mergeCell ref="D14:F16"/>
    <mergeCell ref="G14:I16"/>
    <mergeCell ref="J14:L16"/>
    <mergeCell ref="M14:O16"/>
    <mergeCell ref="P14:R16"/>
    <mergeCell ref="S14:U16"/>
    <mergeCell ref="A10:AL10"/>
    <mergeCell ref="A11:I11"/>
    <mergeCell ref="J11:AK11"/>
    <mergeCell ref="A12:U12"/>
    <mergeCell ref="A13:C13"/>
    <mergeCell ref="D13:F13"/>
    <mergeCell ref="G13:I13"/>
    <mergeCell ref="J13:L13"/>
    <mergeCell ref="M13:O13"/>
    <mergeCell ref="P13:R13"/>
    <mergeCell ref="F23:O23"/>
    <mergeCell ref="T23:AJ23"/>
    <mergeCell ref="F24:O24"/>
    <mergeCell ref="T24:AJ24"/>
    <mergeCell ref="A25:AL25"/>
    <mergeCell ref="A26:AL28"/>
    <mergeCell ref="AF15:AI15"/>
    <mergeCell ref="AC16:AJ16"/>
    <mergeCell ref="G17:AL17"/>
    <mergeCell ref="A18:AL18"/>
    <mergeCell ref="A19:AL21"/>
    <mergeCell ref="F22:O22"/>
    <mergeCell ref="T22:AJ22"/>
    <mergeCell ref="A37:AL38"/>
    <mergeCell ref="A39:AL39"/>
    <mergeCell ref="A41:AL42"/>
    <mergeCell ref="A44:AL44"/>
    <mergeCell ref="F45:AL45"/>
    <mergeCell ref="F46:AL46"/>
    <mergeCell ref="K29:AL29"/>
    <mergeCell ref="A30:AL30"/>
    <mergeCell ref="I32:Y32"/>
    <mergeCell ref="I33:Y33"/>
    <mergeCell ref="I34:Y34"/>
    <mergeCell ref="A35:AL35"/>
    <mergeCell ref="A53:AL53"/>
    <mergeCell ref="A55:AL56"/>
    <mergeCell ref="A57:AL57"/>
    <mergeCell ref="F58:R58"/>
    <mergeCell ref="Y58:AL58"/>
    <mergeCell ref="F59:R59"/>
    <mergeCell ref="Y59:AL59"/>
    <mergeCell ref="H47:AL47"/>
    <mergeCell ref="H48:AL48"/>
    <mergeCell ref="J49:T49"/>
    <mergeCell ref="AD49:AL49"/>
    <mergeCell ref="A50:AL50"/>
    <mergeCell ref="E52:S52"/>
    <mergeCell ref="W52:Z52"/>
    <mergeCell ref="AH52:AL52"/>
    <mergeCell ref="E68:AL68"/>
    <mergeCell ref="F69:AL70"/>
    <mergeCell ref="A71:AL71"/>
    <mergeCell ref="G72:AL73"/>
    <mergeCell ref="J74:AL74"/>
    <mergeCell ref="A78:AL78"/>
    <mergeCell ref="X60:AL60"/>
    <mergeCell ref="A61:AL61"/>
    <mergeCell ref="F62:AL63"/>
    <mergeCell ref="F64:AL65"/>
    <mergeCell ref="E66:AL66"/>
    <mergeCell ref="E67:AL67"/>
    <mergeCell ref="A79:E79"/>
    <mergeCell ref="F79:N79"/>
    <mergeCell ref="O79:S79"/>
    <mergeCell ref="T79:AE79"/>
    <mergeCell ref="AF79:AL86"/>
    <mergeCell ref="A80:E80"/>
    <mergeCell ref="F80:N80"/>
    <mergeCell ref="O80:S80"/>
    <mergeCell ref="T80:AE80"/>
    <mergeCell ref="A81:E81"/>
    <mergeCell ref="A83:E83"/>
    <mergeCell ref="F83:N83"/>
    <mergeCell ref="O83:S83"/>
    <mergeCell ref="T83:AE83"/>
    <mergeCell ref="A84:E84"/>
    <mergeCell ref="F84:N84"/>
    <mergeCell ref="O84:S84"/>
    <mergeCell ref="T84:AE84"/>
    <mergeCell ref="F81:N81"/>
    <mergeCell ref="O81:S81"/>
    <mergeCell ref="T81:AE81"/>
    <mergeCell ref="A82:E82"/>
    <mergeCell ref="F82:N82"/>
    <mergeCell ref="O82:S82"/>
    <mergeCell ref="T82:AE82"/>
    <mergeCell ref="A87:AL87"/>
    <mergeCell ref="D88:R88"/>
    <mergeCell ref="W88:AL88"/>
    <mergeCell ref="D89:R89"/>
    <mergeCell ref="W89:AL89"/>
    <mergeCell ref="D90:R90"/>
    <mergeCell ref="W90:AL90"/>
    <mergeCell ref="A85:E85"/>
    <mergeCell ref="F85:N85"/>
    <mergeCell ref="O85:S85"/>
    <mergeCell ref="T85:AE85"/>
    <mergeCell ref="A86:E86"/>
    <mergeCell ref="F86:N86"/>
    <mergeCell ref="O86:S86"/>
    <mergeCell ref="T86:AE86"/>
    <mergeCell ref="F97:AL97"/>
    <mergeCell ref="F98:AL98"/>
    <mergeCell ref="F99:AL99"/>
    <mergeCell ref="A100:AL100"/>
    <mergeCell ref="A91:AL91"/>
    <mergeCell ref="F92:AL92"/>
    <mergeCell ref="F93:AL93"/>
    <mergeCell ref="F94:AL94"/>
    <mergeCell ref="F95:AL95"/>
    <mergeCell ref="F96:AL96"/>
  </mergeCells>
  <pageMargins left="0.25" right="0.25" top="0.75" bottom="0.75" header="0.3" footer="0.3"/>
  <pageSetup orientation="portrait" verticalDpi="1200" r:id="rId1"/>
  <headerFooter>
    <oddHeader>&amp;L&amp;G&amp;RClient Care Plan (5 Page Document)
RN Initials__________</oddHeader>
    <oddFooter>&amp;LINT.PS&amp;C3088 Mercer University Drive Suite 100 Atlanta, GA 30341
678-310-6305 Fax 404-935-6110&amp;RPP.M</oddFoot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8">
    <tabColor theme="5" tint="-0.249977111117893"/>
  </sheetPr>
  <dimension ref="A1:AN100"/>
  <sheetViews>
    <sheetView showZeros="0" view="pageLayout" zoomScaleNormal="100" workbookViewId="0">
      <selection activeCell="E3" sqref="E3:S3"/>
    </sheetView>
  </sheetViews>
  <sheetFormatPr defaultColWidth="2.7109375" defaultRowHeight="12.75" x14ac:dyDescent="0.2"/>
  <sheetData>
    <row r="1" spans="1:39" x14ac:dyDescent="0.2">
      <c r="A1" t="s">
        <v>3216</v>
      </c>
      <c r="E1" s="300" t="str">
        <f>IF(OR(Data!B917=TRUE,Data!B929=TRUE),"AT RISK FOR SKIN BREAKDOWN","")&amp;IF(Data!B917=TRUE," -Bedbound","")&amp;IF(Data!B929=TRUE," -Chairbound","")&amp;IF(Data!B1610="Yes","  **LATEX ALLERGY**","")&amp;IF(AND(Data!B1644="Yes",Data!B1645="Yes"),"**DNR ON FILE**","")</f>
        <v/>
      </c>
      <c r="F1" s="300"/>
      <c r="G1" s="300"/>
      <c r="H1" s="300"/>
      <c r="I1" s="300"/>
      <c r="J1" s="300"/>
      <c r="K1" s="300"/>
      <c r="L1" s="300"/>
      <c r="M1" s="300"/>
      <c r="N1" s="300"/>
      <c r="O1" s="300"/>
      <c r="P1" s="300"/>
      <c r="Q1" s="300"/>
      <c r="R1" s="300"/>
      <c r="S1" s="300"/>
      <c r="T1" s="300"/>
      <c r="U1" s="300"/>
      <c r="V1" s="300"/>
      <c r="W1" s="300"/>
      <c r="X1" s="300"/>
      <c r="Y1" s="300"/>
      <c r="Z1" s="300"/>
      <c r="AA1" s="300"/>
      <c r="AB1" s="300"/>
      <c r="AC1" s="300"/>
      <c r="AD1" s="300"/>
      <c r="AE1" s="300"/>
      <c r="AF1" s="300"/>
      <c r="AG1" s="300"/>
      <c r="AH1" s="300"/>
      <c r="AI1" s="300"/>
      <c r="AJ1" s="300"/>
      <c r="AK1" s="300"/>
      <c r="AL1" s="300"/>
    </row>
    <row r="2" spans="1:39" x14ac:dyDescent="0.2">
      <c r="A2" t="s">
        <v>1094</v>
      </c>
      <c r="I2" s="240" t="str">
        <f>IF(Data!B178=TRUE,"Medicaid","")&amp;IF(Data!B179=TRUE,"  Personal Care, ","")&amp;IF(Data!B180=TRUE," Companion Care","")&amp;IF(Data!B1604=TRUE,"Skilled Nursing","")</f>
        <v/>
      </c>
      <c r="J2" s="240"/>
      <c r="K2" s="240"/>
      <c r="L2" s="240"/>
      <c r="M2" s="240"/>
      <c r="N2" s="240"/>
      <c r="O2" s="240"/>
      <c r="P2" s="240"/>
      <c r="Q2" s="240"/>
      <c r="R2" s="240"/>
      <c r="S2" s="240"/>
      <c r="T2" s="240"/>
      <c r="U2" s="240"/>
      <c r="V2" s="240"/>
      <c r="W2" s="240"/>
      <c r="X2" s="240"/>
      <c r="Y2" s="240"/>
      <c r="Z2" s="240"/>
      <c r="AA2" s="240"/>
      <c r="AB2" s="240"/>
      <c r="AC2" s="240"/>
      <c r="AD2" s="240"/>
      <c r="AE2" s="240"/>
      <c r="AF2" s="240"/>
      <c r="AG2" s="240"/>
    </row>
    <row r="3" spans="1:39" x14ac:dyDescent="0.2">
      <c r="A3" t="s">
        <v>336</v>
      </c>
      <c r="E3" s="240" t="str">
        <f>_xlfn.CONCAT(Data!B2,", ",Data!B3," ",Data!B4)</f>
        <v xml:space="preserve">,  </v>
      </c>
      <c r="F3" s="240"/>
      <c r="G3" s="240"/>
      <c r="H3" s="240"/>
      <c r="I3" s="240"/>
      <c r="J3" s="240"/>
      <c r="K3" s="240"/>
      <c r="L3" s="240"/>
      <c r="M3" s="240"/>
      <c r="N3" s="240"/>
      <c r="O3" s="240"/>
      <c r="P3" s="240"/>
      <c r="Q3" s="240"/>
      <c r="R3" s="240"/>
      <c r="S3" s="240"/>
      <c r="U3" t="s">
        <v>371</v>
      </c>
      <c r="W3" s="350">
        <f>Data!B14</f>
        <v>0</v>
      </c>
      <c r="X3" s="350"/>
      <c r="Y3" s="350"/>
      <c r="Z3" s="350"/>
      <c r="AA3" s="16"/>
      <c r="AB3" s="16" t="s">
        <v>772</v>
      </c>
      <c r="AH3" s="350">
        <f>Data!B34</f>
        <v>0</v>
      </c>
      <c r="AI3" s="350"/>
      <c r="AJ3" s="350"/>
      <c r="AK3" s="350"/>
      <c r="AL3" s="350"/>
      <c r="AM3" s="99"/>
    </row>
    <row r="4" spans="1:39" x14ac:dyDescent="0.2">
      <c r="A4" t="s">
        <v>582</v>
      </c>
      <c r="F4" s="350">
        <f>Data!B33</f>
        <v>0</v>
      </c>
      <c r="G4" s="350"/>
      <c r="H4" s="350"/>
      <c r="I4" s="350"/>
      <c r="J4" s="350"/>
      <c r="K4" t="s">
        <v>639</v>
      </c>
      <c r="Q4" s="350">
        <f>Data!B35</f>
        <v>0</v>
      </c>
      <c r="R4" s="350"/>
      <c r="S4" s="350"/>
      <c r="T4" s="350"/>
      <c r="U4" s="350"/>
      <c r="V4" s="350"/>
      <c r="AB4" t="s">
        <v>1089</v>
      </c>
      <c r="AH4" s="350">
        <f>Data!B36</f>
        <v>365</v>
      </c>
      <c r="AI4" s="295"/>
      <c r="AJ4" s="295"/>
      <c r="AK4" s="295"/>
      <c r="AL4" s="295"/>
    </row>
    <row r="5" spans="1:39" x14ac:dyDescent="0.2">
      <c r="A5" t="s">
        <v>602</v>
      </c>
      <c r="G5" s="240">
        <f>Data!B172</f>
        <v>0</v>
      </c>
      <c r="H5" s="240"/>
      <c r="I5" s="240"/>
      <c r="J5" s="240"/>
      <c r="K5" s="240"/>
      <c r="L5" s="240"/>
      <c r="M5" s="240"/>
      <c r="N5" s="240"/>
      <c r="O5" s="240"/>
      <c r="P5" s="240"/>
      <c r="Q5" s="240"/>
      <c r="R5" t="s">
        <v>773</v>
      </c>
      <c r="AA5" s="240">
        <f>Data!B176</f>
        <v>0</v>
      </c>
      <c r="AB5" s="240"/>
      <c r="AC5" s="240"/>
      <c r="AD5" t="s">
        <v>1090</v>
      </c>
      <c r="AH5" s="266"/>
      <c r="AI5" s="266"/>
      <c r="AJ5" s="266"/>
      <c r="AK5" s="266"/>
      <c r="AL5" s="266"/>
    </row>
    <row r="6" spans="1:39" x14ac:dyDescent="0.2">
      <c r="A6" t="s">
        <v>1091</v>
      </c>
      <c r="D6" s="240">
        <f>Data!B333</f>
        <v>0</v>
      </c>
      <c r="E6" s="240"/>
      <c r="F6" s="240"/>
      <c r="H6" t="s">
        <v>1092</v>
      </c>
      <c r="M6" s="240">
        <f>Data!B660</f>
        <v>0</v>
      </c>
      <c r="N6" s="240"/>
      <c r="O6" s="240"/>
      <c r="Q6" t="s">
        <v>1093</v>
      </c>
      <c r="U6" s="240">
        <f>Data!B466</f>
        <v>0</v>
      </c>
      <c r="V6" s="240"/>
      <c r="W6" s="240"/>
      <c r="Y6" t="s">
        <v>656</v>
      </c>
      <c r="AB6" s="240" t="str">
        <f>IF(Data!B467="","N/A",Data!B467)</f>
        <v>N/A</v>
      </c>
      <c r="AC6" s="240"/>
      <c r="AD6" s="240"/>
      <c r="AE6" s="240"/>
      <c r="AF6" s="240"/>
      <c r="AG6" s="240"/>
      <c r="AH6" s="240"/>
      <c r="AI6" s="240"/>
      <c r="AJ6" s="240"/>
      <c r="AK6" s="240"/>
    </row>
    <row r="7" spans="1:39" x14ac:dyDescent="0.2">
      <c r="A7" t="s">
        <v>571</v>
      </c>
      <c r="G7" s="338">
        <f>Data!B87</f>
        <v>0</v>
      </c>
      <c r="H7" s="338"/>
      <c r="I7" s="338"/>
      <c r="J7" s="338"/>
      <c r="K7" s="338"/>
      <c r="L7" s="338"/>
      <c r="M7" s="338"/>
      <c r="N7" s="338"/>
      <c r="O7" s="338"/>
      <c r="P7" s="338"/>
      <c r="Q7" s="338"/>
      <c r="R7" t="s">
        <v>573</v>
      </c>
      <c r="X7" s="354" t="str">
        <f>Data!B93&amp;" "&amp;Data!D88</f>
        <v xml:space="preserve"> </v>
      </c>
      <c r="Y7" s="354"/>
      <c r="Z7" s="354"/>
      <c r="AA7" s="354"/>
      <c r="AB7" s="354"/>
      <c r="AC7" s="354"/>
      <c r="AD7" s="354"/>
      <c r="AE7" t="s">
        <v>675</v>
      </c>
      <c r="AG7" s="354">
        <f>Data!B94</f>
        <v>0</v>
      </c>
      <c r="AH7" s="354"/>
      <c r="AI7" s="354"/>
      <c r="AJ7" s="354"/>
      <c r="AK7" s="354"/>
      <c r="AL7" s="354"/>
    </row>
    <row r="8" spans="1:39" x14ac:dyDescent="0.2">
      <c r="A8" t="s">
        <v>572</v>
      </c>
      <c r="G8" s="338">
        <f>Data!B409</f>
        <v>0</v>
      </c>
      <c r="H8" s="338"/>
      <c r="I8" s="338"/>
      <c r="J8" s="338"/>
      <c r="K8" s="338"/>
      <c r="L8" s="338"/>
      <c r="M8" s="338"/>
      <c r="N8" s="338"/>
      <c r="O8" s="338"/>
      <c r="P8" s="338"/>
      <c r="Q8" s="338"/>
      <c r="R8" t="s">
        <v>574</v>
      </c>
      <c r="X8" s="355">
        <f>Data!B410</f>
        <v>0</v>
      </c>
      <c r="Y8" s="355"/>
      <c r="Z8" s="355"/>
      <c r="AA8" s="355"/>
      <c r="AB8" s="355"/>
      <c r="AC8" s="355"/>
      <c r="AD8" s="355"/>
      <c r="AE8" s="141" t="s">
        <v>675</v>
      </c>
      <c r="AF8" s="141"/>
      <c r="AG8" s="355">
        <f>Data!B411</f>
        <v>0</v>
      </c>
      <c r="AH8" s="355"/>
      <c r="AI8" s="355"/>
      <c r="AJ8" s="355"/>
      <c r="AK8" s="355"/>
      <c r="AL8" s="355"/>
    </row>
    <row r="9" spans="1:39" x14ac:dyDescent="0.2">
      <c r="A9" t="s">
        <v>1115</v>
      </c>
      <c r="F9" s="21" t="str">
        <f>IF(Data!B226=TRUE,"P","")</f>
        <v/>
      </c>
      <c r="G9" t="s">
        <v>107</v>
      </c>
      <c r="J9" s="21" t="str">
        <f>IF(Data!B227=TRUE,"P","")</f>
        <v/>
      </c>
      <c r="K9" t="s">
        <v>108</v>
      </c>
      <c r="N9" s="21" t="str">
        <f>IF(Data!B228=TRUE,"P","")</f>
        <v/>
      </c>
      <c r="O9" t="s">
        <v>56</v>
      </c>
      <c r="R9" s="21" t="str">
        <f>IF(Data!B230=TRUE,"P","")</f>
        <v/>
      </c>
      <c r="S9" t="s">
        <v>195</v>
      </c>
      <c r="V9" s="21" t="str">
        <f>IF(Data!B231=TRUE,"P","")</f>
        <v/>
      </c>
      <c r="W9" t="s">
        <v>1116</v>
      </c>
    </row>
    <row r="10" spans="1:39" x14ac:dyDescent="0.2">
      <c r="A10" s="340" t="s">
        <v>1095</v>
      </c>
      <c r="B10" s="340"/>
      <c r="C10" s="340"/>
      <c r="D10" s="340"/>
      <c r="E10" s="340"/>
      <c r="F10" s="340"/>
      <c r="G10" s="340"/>
      <c r="H10" s="340"/>
      <c r="I10" s="340"/>
      <c r="J10" s="340"/>
      <c r="K10" s="340"/>
      <c r="L10" s="340"/>
      <c r="M10" s="340"/>
      <c r="N10" s="340"/>
      <c r="O10" s="340"/>
      <c r="P10" s="340"/>
      <c r="Q10" s="340"/>
      <c r="R10" s="340"/>
      <c r="S10" s="340"/>
      <c r="T10" s="340"/>
      <c r="U10" s="340"/>
      <c r="V10" s="340"/>
      <c r="W10" s="340"/>
      <c r="X10" s="340"/>
      <c r="Y10" s="340"/>
      <c r="Z10" s="340"/>
      <c r="AA10" s="340"/>
      <c r="AB10" s="340"/>
      <c r="AC10" s="340"/>
      <c r="AD10" s="340"/>
      <c r="AE10" s="340"/>
      <c r="AF10" s="340"/>
      <c r="AG10" s="340"/>
      <c r="AH10" s="340"/>
      <c r="AI10" s="340"/>
      <c r="AJ10" s="340"/>
      <c r="AK10" s="340"/>
      <c r="AL10" s="340"/>
    </row>
    <row r="11" spans="1:39" x14ac:dyDescent="0.2">
      <c r="A11" s="291" t="s">
        <v>2894</v>
      </c>
      <c r="B11" s="291"/>
      <c r="C11" s="291"/>
      <c r="D11" s="291"/>
      <c r="E11" s="291"/>
      <c r="F11" s="291"/>
      <c r="G11" s="291"/>
      <c r="H11" s="291"/>
      <c r="I11" s="291"/>
      <c r="J11" s="219">
        <f>Data!E361</f>
        <v>0</v>
      </c>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8"/>
    </row>
    <row r="12" spans="1:39" x14ac:dyDescent="0.2">
      <c r="A12" s="344" t="s">
        <v>934</v>
      </c>
      <c r="B12" s="344"/>
      <c r="C12" s="344"/>
      <c r="D12" s="344"/>
      <c r="E12" s="344"/>
      <c r="F12" s="344"/>
      <c r="G12" s="344"/>
      <c r="H12" s="344"/>
      <c r="I12" s="344"/>
      <c r="J12" s="344"/>
      <c r="K12" s="344"/>
      <c r="L12" s="344"/>
      <c r="M12" s="344"/>
      <c r="N12" s="344"/>
      <c r="O12" s="344"/>
      <c r="P12" s="344"/>
      <c r="Q12" s="344"/>
      <c r="R12" s="344"/>
      <c r="S12" s="344"/>
      <c r="T12" s="344"/>
      <c r="U12" s="344"/>
      <c r="X12" s="16" t="s">
        <v>938</v>
      </c>
      <c r="AB12" t="str">
        <f>schtest!C36&amp;" days per week"</f>
        <v>0 days per week</v>
      </c>
    </row>
    <row r="13" spans="1:39" x14ac:dyDescent="0.2">
      <c r="A13" s="344" t="s">
        <v>630</v>
      </c>
      <c r="B13" s="344"/>
      <c r="C13" s="344"/>
      <c r="D13" s="344" t="s">
        <v>624</v>
      </c>
      <c r="E13" s="344"/>
      <c r="F13" s="344"/>
      <c r="G13" s="344" t="s">
        <v>932</v>
      </c>
      <c r="H13" s="344"/>
      <c r="I13" s="344"/>
      <c r="J13" s="344" t="s">
        <v>626</v>
      </c>
      <c r="K13" s="344"/>
      <c r="L13" s="344"/>
      <c r="M13" s="344" t="s">
        <v>933</v>
      </c>
      <c r="N13" s="344"/>
      <c r="O13" s="344"/>
      <c r="P13" s="344" t="s">
        <v>628</v>
      </c>
      <c r="Q13" s="344"/>
      <c r="R13" s="344"/>
      <c r="S13" s="344" t="s">
        <v>629</v>
      </c>
      <c r="T13" s="344"/>
      <c r="U13" s="344"/>
      <c r="X13" s="16" t="s">
        <v>935</v>
      </c>
      <c r="AB13" t="s">
        <v>939</v>
      </c>
    </row>
    <row r="14" spans="1:39" x14ac:dyDescent="0.2">
      <c r="A14" s="353" t="str">
        <f>_xlfn.CONCAT(Data!B367,IF(Data!B380="","",", "&amp;Data!B381),IF(Data!B394="","",", "&amp;Data!B394))</f>
        <v/>
      </c>
      <c r="B14" s="353"/>
      <c r="C14" s="353"/>
      <c r="D14" s="353" t="str">
        <f>_xlfn.CONCAT(Data!B369,IF(Data!B383="","",", "&amp;Data!B383),IF(Data!B397="","",", "&amp;Data!B397))</f>
        <v/>
      </c>
      <c r="E14" s="353"/>
      <c r="F14" s="353"/>
      <c r="G14" s="353" t="str">
        <f>_xlfn.CONCAT(Data!B371,IF(Data!B385="","",", "&amp;Data!B385),IF(Data!B399="","",", "&amp;Data!B399))</f>
        <v/>
      </c>
      <c r="H14" s="353"/>
      <c r="I14" s="353"/>
      <c r="J14" s="353" t="str">
        <f>_xlfn.CONCAT(Data!B373,IF(Data!B387="","",", "&amp;Data!B387),IF(Data!B401="","",", "&amp;Data!B401))</f>
        <v/>
      </c>
      <c r="K14" s="353"/>
      <c r="L14" s="353"/>
      <c r="M14" s="353" t="str">
        <f>_xlfn.CONCAT(Data!B375,IF(Data!B389="","",", "&amp;Data!B389),IF(Data!B403="","",", "&amp;Data!B403))</f>
        <v/>
      </c>
      <c r="N14" s="353"/>
      <c r="O14" s="353"/>
      <c r="P14" s="353" t="str">
        <f>_xlfn.CONCAT(Data!B377,IF(Data!B391="","",", "&amp;Data!B391),IF(Data!B405="","",", "&amp;Data!B405))</f>
        <v/>
      </c>
      <c r="Q14" s="353"/>
      <c r="R14" s="353"/>
      <c r="S14" s="353" t="str">
        <f>_xlfn.CONCAT(Data!B379,IF(Data!B393="","",", "&amp;Data!B393),IF(Data!B407="","",", "&amp;Data!B407))</f>
        <v/>
      </c>
      <c r="T14" s="353"/>
      <c r="U14" s="353"/>
      <c r="X14" s="16" t="s">
        <v>936</v>
      </c>
      <c r="AB14" t="s">
        <v>939</v>
      </c>
    </row>
    <row r="15" spans="1:39" x14ac:dyDescent="0.2">
      <c r="A15" s="353"/>
      <c r="B15" s="353"/>
      <c r="C15" s="353"/>
      <c r="D15" s="353"/>
      <c r="E15" s="353"/>
      <c r="F15" s="353"/>
      <c r="G15" s="353"/>
      <c r="H15" s="353"/>
      <c r="I15" s="353"/>
      <c r="J15" s="353"/>
      <c r="K15" s="353"/>
      <c r="L15" s="353"/>
      <c r="M15" s="353"/>
      <c r="N15" s="353"/>
      <c r="O15" s="353"/>
      <c r="P15" s="353"/>
      <c r="Q15" s="353"/>
      <c r="R15" s="353"/>
      <c r="S15" s="353"/>
      <c r="T15" s="353"/>
      <c r="U15" s="353"/>
      <c r="X15" s="16" t="s">
        <v>937</v>
      </c>
      <c r="AF15" s="351">
        <f>Data!G407</f>
        <v>0</v>
      </c>
      <c r="AG15" s="295"/>
      <c r="AH15" s="295"/>
      <c r="AI15" s="295"/>
    </row>
    <row r="16" spans="1:39" x14ac:dyDescent="0.2">
      <c r="A16" s="353"/>
      <c r="B16" s="353"/>
      <c r="C16" s="353"/>
      <c r="D16" s="353"/>
      <c r="E16" s="353"/>
      <c r="F16" s="353"/>
      <c r="G16" s="353"/>
      <c r="H16" s="353"/>
      <c r="I16" s="353"/>
      <c r="J16" s="353"/>
      <c r="K16" s="353"/>
      <c r="L16" s="353"/>
      <c r="M16" s="353"/>
      <c r="N16" s="353"/>
      <c r="O16" s="353"/>
      <c r="P16" s="353"/>
      <c r="Q16" s="353"/>
      <c r="R16" s="353"/>
      <c r="S16" s="353"/>
      <c r="T16" s="353"/>
      <c r="U16" s="353"/>
      <c r="X16" s="16" t="s">
        <v>583</v>
      </c>
      <c r="AC16" s="240">
        <f>Data!B185</f>
        <v>0</v>
      </c>
      <c r="AD16" s="240"/>
      <c r="AE16" s="240"/>
      <c r="AF16" s="240"/>
      <c r="AG16" s="240"/>
      <c r="AH16" s="240"/>
      <c r="AI16" s="240"/>
      <c r="AJ16" s="240"/>
    </row>
    <row r="17" spans="1:38" ht="25.5" customHeight="1" x14ac:dyDescent="0.2">
      <c r="A17" t="s">
        <v>1047</v>
      </c>
      <c r="G17" s="352" t="str">
        <f>_xlfn.CONCAT(IF(Data!B352=TRUE,"Days and hours cannot change without case manager approval.",""),IF(Data!B353=TRUE," Times cannot change without CM approval.",""),IF(Data!B355=TRUE,"Client is cognitively able to change schedule with advance notice. Times may change at client's request.",""),IF(Data!B356=TRUE,"Only family can change schedule due to cognitive impairment with notice. Times may change at family's request.",""))</f>
        <v/>
      </c>
      <c r="H17" s="352"/>
      <c r="I17" s="352"/>
      <c r="J17" s="352"/>
      <c r="K17" s="352"/>
      <c r="L17" s="352"/>
      <c r="M17" s="352"/>
      <c r="N17" s="352"/>
      <c r="O17" s="352"/>
      <c r="P17" s="352"/>
      <c r="Q17" s="352"/>
      <c r="R17" s="352"/>
      <c r="S17" s="352"/>
      <c r="T17" s="352"/>
      <c r="U17" s="352"/>
      <c r="V17" s="352"/>
      <c r="W17" s="352"/>
      <c r="X17" s="352"/>
      <c r="Y17" s="352"/>
      <c r="Z17" s="352"/>
      <c r="AA17" s="352"/>
      <c r="AB17" s="352"/>
      <c r="AC17" s="352"/>
      <c r="AD17" s="352"/>
      <c r="AE17" s="352"/>
      <c r="AF17" s="352"/>
      <c r="AG17" s="352"/>
      <c r="AH17" s="352"/>
      <c r="AI17" s="352"/>
      <c r="AJ17" s="352"/>
      <c r="AK17" s="352"/>
      <c r="AL17" s="352"/>
    </row>
    <row r="18" spans="1:38" x14ac:dyDescent="0.2">
      <c r="A18" s="340" t="s">
        <v>680</v>
      </c>
      <c r="B18" s="340"/>
      <c r="C18" s="340"/>
      <c r="D18" s="340"/>
      <c r="E18" s="340"/>
      <c r="F18" s="340"/>
      <c r="G18" s="340"/>
      <c r="H18" s="340"/>
      <c r="I18" s="340"/>
      <c r="J18" s="340"/>
      <c r="K18" s="340"/>
      <c r="L18" s="340"/>
      <c r="M18" s="340"/>
      <c r="N18" s="340"/>
      <c r="O18" s="340"/>
      <c r="P18" s="340"/>
      <c r="Q18" s="340"/>
      <c r="R18" s="340"/>
      <c r="S18" s="340"/>
      <c r="T18" s="340"/>
      <c r="U18" s="340"/>
      <c r="V18" s="340"/>
      <c r="W18" s="340"/>
      <c r="X18" s="340"/>
      <c r="Y18" s="340"/>
      <c r="Z18" s="340"/>
      <c r="AA18" s="340"/>
      <c r="AB18" s="340"/>
      <c r="AC18" s="340"/>
      <c r="AD18" s="340"/>
      <c r="AE18" s="340"/>
      <c r="AF18" s="340"/>
      <c r="AG18" s="340"/>
      <c r="AH18" s="340"/>
      <c r="AI18" s="340"/>
      <c r="AJ18" s="340"/>
      <c r="AK18" s="340"/>
      <c r="AL18" s="340"/>
    </row>
    <row r="19" spans="1:38" x14ac:dyDescent="0.2">
      <c r="A19" s="309" t="str">
        <f>ppm.specific!G13</f>
        <v/>
      </c>
      <c r="B19" s="309"/>
      <c r="C19" s="309"/>
      <c r="D19" s="309"/>
      <c r="E19" s="309"/>
      <c r="F19" s="309"/>
      <c r="G19" s="309"/>
      <c r="H19" s="309"/>
      <c r="I19" s="309"/>
      <c r="J19" s="309"/>
      <c r="K19" s="309"/>
      <c r="L19" s="309"/>
      <c r="M19" s="309"/>
      <c r="N19" s="309"/>
      <c r="O19" s="309"/>
      <c r="P19" s="309"/>
      <c r="Q19" s="309"/>
      <c r="R19" s="309"/>
      <c r="S19" s="309"/>
      <c r="T19" s="309"/>
      <c r="U19" s="309"/>
      <c r="V19" s="309"/>
      <c r="W19" s="309"/>
      <c r="X19" s="309"/>
      <c r="Y19" s="309"/>
      <c r="Z19" s="309"/>
      <c r="AA19" s="309"/>
      <c r="AB19" s="309"/>
      <c r="AC19" s="309"/>
      <c r="AD19" s="309"/>
      <c r="AE19" s="309"/>
      <c r="AF19" s="309"/>
      <c r="AG19" s="309"/>
      <c r="AH19" s="309"/>
      <c r="AI19" s="309"/>
      <c r="AJ19" s="309"/>
      <c r="AK19" s="309"/>
      <c r="AL19" s="309"/>
    </row>
    <row r="20" spans="1:38" x14ac:dyDescent="0.2">
      <c r="A20" s="309"/>
      <c r="B20" s="309"/>
      <c r="C20" s="309"/>
      <c r="D20" s="309"/>
      <c r="E20" s="309"/>
      <c r="F20" s="309"/>
      <c r="G20" s="309"/>
      <c r="H20" s="309"/>
      <c r="I20" s="309"/>
      <c r="J20" s="309"/>
      <c r="K20" s="309"/>
      <c r="L20" s="309"/>
      <c r="M20" s="309"/>
      <c r="N20" s="309"/>
      <c r="O20" s="309"/>
      <c r="P20" s="309"/>
      <c r="Q20" s="309"/>
      <c r="R20" s="309"/>
      <c r="S20" s="309"/>
      <c r="T20" s="309"/>
      <c r="U20" s="309"/>
      <c r="V20" s="309"/>
      <c r="W20" s="309"/>
      <c r="X20" s="309"/>
      <c r="Y20" s="309"/>
      <c r="Z20" s="309"/>
      <c r="AA20" s="309"/>
      <c r="AB20" s="309"/>
      <c r="AC20" s="309"/>
      <c r="AD20" s="309"/>
      <c r="AE20" s="309"/>
      <c r="AF20" s="309"/>
      <c r="AG20" s="309"/>
      <c r="AH20" s="309"/>
      <c r="AI20" s="309"/>
      <c r="AJ20" s="309"/>
      <c r="AK20" s="309"/>
      <c r="AL20" s="309"/>
    </row>
    <row r="21" spans="1:38" ht="9" customHeight="1" x14ac:dyDescent="0.2">
      <c r="A21" s="309"/>
      <c r="B21" s="309"/>
      <c r="C21" s="309"/>
      <c r="D21" s="309"/>
      <c r="E21" s="309"/>
      <c r="F21" s="309"/>
      <c r="G21" s="309"/>
      <c r="H21" s="309"/>
      <c r="I21" s="309"/>
      <c r="J21" s="309"/>
      <c r="K21" s="309"/>
      <c r="L21" s="309"/>
      <c r="M21" s="309"/>
      <c r="N21" s="309"/>
      <c r="O21" s="309"/>
      <c r="P21" s="309"/>
      <c r="Q21" s="309"/>
      <c r="R21" s="309"/>
      <c r="S21" s="309"/>
      <c r="T21" s="309"/>
      <c r="U21" s="309"/>
      <c r="V21" s="309"/>
      <c r="W21" s="309"/>
      <c r="X21" s="309"/>
      <c r="Y21" s="309"/>
      <c r="Z21" s="309"/>
      <c r="AA21" s="309"/>
      <c r="AB21" s="309"/>
      <c r="AC21" s="309"/>
      <c r="AD21" s="309"/>
      <c r="AE21" s="309"/>
      <c r="AF21" s="309"/>
      <c r="AG21" s="309"/>
      <c r="AH21" s="309"/>
      <c r="AI21" s="309"/>
      <c r="AJ21" s="309"/>
      <c r="AK21" s="309"/>
      <c r="AL21" s="309"/>
    </row>
    <row r="22" spans="1:38" x14ac:dyDescent="0.2">
      <c r="A22" t="s">
        <v>1048</v>
      </c>
      <c r="F22" s="338" t="str">
        <f>IF(DxListFull!A2="","N/A",DxListFull!A2&amp;" ("&amp;DxListFull!B2&amp;")")</f>
        <v>N/A</v>
      </c>
      <c r="G22" s="338"/>
      <c r="H22" s="338"/>
      <c r="I22" s="338"/>
      <c r="J22" s="338"/>
      <c r="K22" s="338"/>
      <c r="L22" s="338"/>
      <c r="M22" s="338"/>
      <c r="N22" s="338"/>
      <c r="O22" s="338"/>
      <c r="P22" t="s">
        <v>1051</v>
      </c>
      <c r="T22" s="338" t="str">
        <f>IF(DxListFull!D2="","N/A",DxListFull!D2)</f>
        <v>N/A</v>
      </c>
      <c r="U22" s="338"/>
      <c r="V22" s="338"/>
      <c r="W22" s="338"/>
      <c r="X22" s="338"/>
      <c r="Y22" s="338"/>
      <c r="Z22" s="338"/>
      <c r="AA22" s="338"/>
      <c r="AB22" s="338"/>
      <c r="AC22" s="338"/>
      <c r="AD22" s="338"/>
      <c r="AE22" s="338"/>
      <c r="AF22" s="338"/>
      <c r="AG22" s="338"/>
      <c r="AH22" s="338"/>
      <c r="AI22" s="338"/>
      <c r="AJ22" s="338"/>
      <c r="AK22" s="37"/>
      <c r="AL22" s="37"/>
    </row>
    <row r="23" spans="1:38" x14ac:dyDescent="0.2">
      <c r="A23" t="s">
        <v>1049</v>
      </c>
      <c r="F23" s="338" t="str">
        <f>IF(DxListFull!A3="","N/A",DxListFull!A3&amp;" ("&amp;DxListFull!B3&amp;")")</f>
        <v>N/A</v>
      </c>
      <c r="G23" s="338"/>
      <c r="H23" s="338"/>
      <c r="I23" s="338"/>
      <c r="J23" s="338"/>
      <c r="K23" s="338"/>
      <c r="L23" s="338"/>
      <c r="M23" s="338"/>
      <c r="N23" s="338"/>
      <c r="O23" s="338"/>
      <c r="P23" t="s">
        <v>1051</v>
      </c>
      <c r="T23" s="338" t="str">
        <f>IF(DxListFull!D3="","N/A",DxListFull!D3)</f>
        <v>N/A</v>
      </c>
      <c r="U23" s="338"/>
      <c r="V23" s="338"/>
      <c r="W23" s="338"/>
      <c r="X23" s="338"/>
      <c r="Y23" s="338"/>
      <c r="Z23" s="338"/>
      <c r="AA23" s="338"/>
      <c r="AB23" s="338"/>
      <c r="AC23" s="338"/>
      <c r="AD23" s="338"/>
      <c r="AE23" s="338"/>
      <c r="AF23" s="338"/>
      <c r="AG23" s="338"/>
      <c r="AH23" s="338"/>
      <c r="AI23" s="338"/>
      <c r="AJ23" s="338"/>
      <c r="AK23" s="37"/>
      <c r="AL23" s="37"/>
    </row>
    <row r="24" spans="1:38" x14ac:dyDescent="0.2">
      <c r="A24" t="s">
        <v>1050</v>
      </c>
      <c r="F24" s="338" t="str">
        <f>IF(DxListFull!A4="","N/A",DxListFull!A4&amp;" ("&amp;DxListFull!B4&amp;")")</f>
        <v>N/A</v>
      </c>
      <c r="G24" s="338"/>
      <c r="H24" s="338"/>
      <c r="I24" s="338"/>
      <c r="J24" s="338"/>
      <c r="K24" s="338"/>
      <c r="L24" s="338"/>
      <c r="M24" s="338"/>
      <c r="N24" s="338"/>
      <c r="O24" s="338"/>
      <c r="P24" t="s">
        <v>1051</v>
      </c>
      <c r="T24" s="338" t="str">
        <f>IF(DxListFull!D4="","N/A",DxListFull!D4)</f>
        <v>N/A</v>
      </c>
      <c r="U24" s="338"/>
      <c r="V24" s="338"/>
      <c r="W24" s="338"/>
      <c r="X24" s="338"/>
      <c r="Y24" s="338"/>
      <c r="Z24" s="338"/>
      <c r="AA24" s="338"/>
      <c r="AB24" s="338"/>
      <c r="AC24" s="338"/>
      <c r="AD24" s="338"/>
      <c r="AE24" s="338"/>
      <c r="AF24" s="338"/>
      <c r="AG24" s="338"/>
      <c r="AH24" s="338"/>
      <c r="AI24" s="338"/>
      <c r="AJ24" s="338"/>
      <c r="AK24" s="37"/>
      <c r="AL24" s="37"/>
    </row>
    <row r="25" spans="1:38" x14ac:dyDescent="0.2">
      <c r="A25" s="340" t="s">
        <v>907</v>
      </c>
      <c r="B25" s="340"/>
      <c r="C25" s="340"/>
      <c r="D25" s="340"/>
      <c r="E25" s="340"/>
      <c r="F25" s="340"/>
      <c r="G25" s="340"/>
      <c r="H25" s="340"/>
      <c r="I25" s="340"/>
      <c r="J25" s="340"/>
      <c r="K25" s="340"/>
      <c r="L25" s="340"/>
      <c r="M25" s="340"/>
      <c r="N25" s="340"/>
      <c r="O25" s="340"/>
      <c r="P25" s="340"/>
      <c r="Q25" s="340"/>
      <c r="R25" s="340"/>
      <c r="S25" s="340"/>
      <c r="T25" s="340"/>
      <c r="U25" s="340"/>
      <c r="V25" s="340"/>
      <c r="W25" s="340"/>
      <c r="X25" s="340"/>
      <c r="Y25" s="340"/>
      <c r="Z25" s="340"/>
      <c r="AA25" s="340"/>
      <c r="AB25" s="340"/>
      <c r="AC25" s="340"/>
      <c r="AD25" s="340"/>
      <c r="AE25" s="340"/>
      <c r="AF25" s="340"/>
      <c r="AG25" s="340"/>
      <c r="AH25" s="340"/>
      <c r="AI25" s="340"/>
      <c r="AJ25" s="340"/>
      <c r="AK25" s="340"/>
      <c r="AL25" s="340"/>
    </row>
    <row r="26" spans="1:38" x14ac:dyDescent="0.2">
      <c r="A26" s="260" t="str">
        <f>ppm.specific!G7</f>
        <v/>
      </c>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c r="AE26" s="260"/>
      <c r="AF26" s="260"/>
      <c r="AG26" s="260"/>
      <c r="AH26" s="260"/>
      <c r="AI26" s="260"/>
      <c r="AJ26" s="260"/>
      <c r="AK26" s="260"/>
      <c r="AL26" s="260"/>
    </row>
    <row r="27" spans="1:38" x14ac:dyDescent="0.2">
      <c r="A27" s="260"/>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row>
    <row r="28" spans="1:38" x14ac:dyDescent="0.2">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c r="AE28" s="260"/>
      <c r="AF28" s="260"/>
      <c r="AG28" s="260"/>
      <c r="AH28" s="260"/>
      <c r="AI28" s="260"/>
      <c r="AJ28" s="260"/>
      <c r="AK28" s="260"/>
      <c r="AL28" s="260"/>
    </row>
    <row r="29" spans="1:38" x14ac:dyDescent="0.2">
      <c r="A29" t="s">
        <v>3200</v>
      </c>
      <c r="K29" s="295">
        <f>Data!B166</f>
        <v>0</v>
      </c>
      <c r="L29" s="295"/>
      <c r="M29" s="295"/>
      <c r="N29" s="295"/>
      <c r="O29" s="295"/>
      <c r="P29" s="295"/>
      <c r="Q29" s="295"/>
      <c r="R29" s="295"/>
      <c r="S29" s="295"/>
      <c r="T29" s="295"/>
      <c r="U29" s="295"/>
      <c r="V29" s="295"/>
      <c r="W29" s="295"/>
      <c r="X29" s="295"/>
      <c r="Y29" s="295"/>
      <c r="Z29" s="295"/>
      <c r="AA29" s="295"/>
      <c r="AB29" s="295"/>
      <c r="AC29" s="295"/>
      <c r="AD29" s="295"/>
      <c r="AE29" s="295"/>
      <c r="AF29" s="295"/>
      <c r="AG29" s="295"/>
      <c r="AH29" s="295"/>
      <c r="AI29" s="295"/>
      <c r="AJ29" s="295"/>
      <c r="AK29" s="295"/>
      <c r="AL29" s="295"/>
    </row>
    <row r="30" spans="1:38" x14ac:dyDescent="0.2">
      <c r="A30" s="340" t="s">
        <v>1096</v>
      </c>
      <c r="B30" s="340"/>
      <c r="C30" s="340"/>
      <c r="D30" s="340"/>
      <c r="E30" s="340"/>
      <c r="F30" s="340"/>
      <c r="G30" s="340"/>
      <c r="H30" s="340"/>
      <c r="I30" s="340"/>
      <c r="J30" s="340"/>
      <c r="K30" s="340"/>
      <c r="L30" s="340"/>
      <c r="M30" s="340"/>
      <c r="N30" s="340"/>
      <c r="O30" s="340"/>
      <c r="P30" s="340"/>
      <c r="Q30" s="340"/>
      <c r="R30" s="340"/>
      <c r="S30" s="340"/>
      <c r="T30" s="340"/>
      <c r="U30" s="340"/>
      <c r="V30" s="340"/>
      <c r="W30" s="340"/>
      <c r="X30" s="340"/>
      <c r="Y30" s="340"/>
      <c r="Z30" s="340"/>
      <c r="AA30" s="340"/>
      <c r="AB30" s="340"/>
      <c r="AC30" s="340"/>
      <c r="AD30" s="340"/>
      <c r="AE30" s="340"/>
      <c r="AF30" s="340"/>
      <c r="AG30" s="340"/>
      <c r="AH30" s="340"/>
      <c r="AI30" s="340"/>
      <c r="AJ30" s="340"/>
      <c r="AK30" s="340"/>
      <c r="AL30" s="340"/>
    </row>
    <row r="31" spans="1:38" x14ac:dyDescent="0.2">
      <c r="A31" t="s">
        <v>1097</v>
      </c>
    </row>
    <row r="32" spans="1:38" x14ac:dyDescent="0.2">
      <c r="A32" t="s">
        <v>1052</v>
      </c>
      <c r="I32" s="240">
        <f>IF(Data!B417=TRUE,"No Medication Allergies",Data!B414)</f>
        <v>0</v>
      </c>
      <c r="J32" s="240"/>
      <c r="K32" s="240"/>
      <c r="L32" s="240"/>
      <c r="M32" s="240"/>
      <c r="N32" s="240"/>
      <c r="O32" s="240"/>
      <c r="P32" s="240"/>
      <c r="Q32" s="240"/>
      <c r="R32" s="240"/>
      <c r="S32" s="240"/>
      <c r="T32" s="240"/>
      <c r="U32" s="240"/>
      <c r="V32" s="240"/>
      <c r="W32" s="240"/>
      <c r="X32" s="240"/>
      <c r="Y32" s="240"/>
    </row>
    <row r="33" spans="1:39" x14ac:dyDescent="0.2">
      <c r="A33" t="s">
        <v>1053</v>
      </c>
      <c r="I33" s="240">
        <f>IF(Data!B418=TRUE,"No Food Allergies",Data!B415)</f>
        <v>0</v>
      </c>
      <c r="J33" s="240"/>
      <c r="K33" s="240"/>
      <c r="L33" s="240"/>
      <c r="M33" s="240"/>
      <c r="N33" s="240"/>
      <c r="O33" s="240"/>
      <c r="P33" s="240"/>
      <c r="Q33" s="240"/>
      <c r="R33" s="240"/>
      <c r="S33" s="240"/>
      <c r="T33" s="240"/>
      <c r="U33" s="240"/>
      <c r="V33" s="240"/>
      <c r="W33" s="240"/>
      <c r="X33" s="240"/>
      <c r="Y33" s="240"/>
    </row>
    <row r="34" spans="1:39" x14ac:dyDescent="0.2">
      <c r="A34" t="s">
        <v>1054</v>
      </c>
      <c r="I34" s="240">
        <f>IF(Data!B419=TRUE,"No Environmental Allergies",Data!B416)</f>
        <v>0</v>
      </c>
      <c r="J34" s="240"/>
      <c r="K34" s="240"/>
      <c r="L34" s="240"/>
      <c r="M34" s="240"/>
      <c r="N34" s="240"/>
      <c r="O34" s="240"/>
      <c r="P34" s="240"/>
      <c r="Q34" s="240"/>
      <c r="R34" s="240"/>
      <c r="S34" s="240"/>
      <c r="T34" s="240"/>
      <c r="U34" s="240"/>
      <c r="V34" s="240"/>
      <c r="W34" s="240"/>
      <c r="X34" s="240"/>
      <c r="Y34" s="240"/>
    </row>
    <row r="35" spans="1:39" x14ac:dyDescent="0.2">
      <c r="A35" s="340" t="s">
        <v>823</v>
      </c>
      <c r="B35" s="340"/>
      <c r="C35" s="340"/>
      <c r="D35" s="340"/>
      <c r="E35" s="340"/>
      <c r="F35" s="340"/>
      <c r="G35" s="340"/>
      <c r="H35" s="340"/>
      <c r="I35" s="340"/>
      <c r="J35" s="340"/>
      <c r="K35" s="340"/>
      <c r="L35" s="340"/>
      <c r="M35" s="340"/>
      <c r="N35" s="340"/>
      <c r="O35" s="340"/>
      <c r="P35" s="340"/>
      <c r="Q35" s="340"/>
      <c r="R35" s="340"/>
      <c r="S35" s="340"/>
      <c r="T35" s="340"/>
      <c r="U35" s="340"/>
      <c r="V35" s="340"/>
      <c r="W35" s="340"/>
      <c r="X35" s="340"/>
      <c r="Y35" s="340"/>
      <c r="Z35" s="340"/>
      <c r="AA35" s="340"/>
      <c r="AB35" s="340"/>
      <c r="AC35" s="340"/>
      <c r="AD35" s="340"/>
      <c r="AE35" s="340"/>
      <c r="AF35" s="340"/>
      <c r="AG35" s="340"/>
      <c r="AH35" s="340"/>
      <c r="AI35" s="340"/>
      <c r="AJ35" s="340"/>
      <c r="AK35" s="340"/>
      <c r="AL35" s="340"/>
    </row>
    <row r="36" spans="1:39" x14ac:dyDescent="0.2">
      <c r="A36" t="str">
        <f>IF(Data!D198="Yes","Client has had the following surgeries:","Client has no surgical history.")</f>
        <v>Client has no surgical history.</v>
      </c>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row>
    <row r="37" spans="1:39" x14ac:dyDescent="0.2">
      <c r="A37" s="260" t="str">
        <f>_xlfn.CONCAT(IF(Data!B201="","",Data!B201&amp;" ("&amp;Data!D201&amp;")"),IF(Data!B202="","",Data!B202&amp;" ("&amp;Data!D202&amp;")"),IF(Data!B203="","",Data!B203&amp;" ("&amp;Data!D203&amp;")"),IF(Data!B204="","",Data!B204&amp;" ("&amp;Data!D204&amp;")"),IF(Data!B205="","",Data!B205&amp;" ("&amp;Data!D205&amp;")"),IF(Data!B206="","",Data!B206&amp;" ("&amp;Data!D206&amp;")"),IF(Data!B207="","",Data!B207&amp;" ("&amp;Data!D207&amp;")"),IF(Data!B208="","",Data!B208&amp;" ("&amp;Data!D208&amp;")"))</f>
        <v/>
      </c>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c r="AI37" s="260"/>
      <c r="AJ37" s="260"/>
      <c r="AK37" s="260"/>
      <c r="AL37" s="260"/>
    </row>
    <row r="38" spans="1:39" ht="19.5" customHeight="1" x14ac:dyDescent="0.2">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0"/>
      <c r="AF38" s="260"/>
      <c r="AG38" s="260"/>
      <c r="AH38" s="260"/>
      <c r="AI38" s="260"/>
      <c r="AJ38" s="260"/>
      <c r="AK38" s="260"/>
      <c r="AL38" s="260"/>
    </row>
    <row r="39" spans="1:39" x14ac:dyDescent="0.2">
      <c r="A39" s="340" t="s">
        <v>1098</v>
      </c>
      <c r="B39" s="340"/>
      <c r="C39" s="340"/>
      <c r="D39" s="340"/>
      <c r="E39" s="340"/>
      <c r="F39" s="340"/>
      <c r="G39" s="340"/>
      <c r="H39" s="340"/>
      <c r="I39" s="340"/>
      <c r="J39" s="340"/>
      <c r="K39" s="340"/>
      <c r="L39" s="340"/>
      <c r="M39" s="340"/>
      <c r="N39" s="340"/>
      <c r="O39" s="340"/>
      <c r="P39" s="340"/>
      <c r="Q39" s="340"/>
      <c r="R39" s="340"/>
      <c r="S39" s="340"/>
      <c r="T39" s="340"/>
      <c r="U39" s="340"/>
      <c r="V39" s="340"/>
      <c r="W39" s="340"/>
      <c r="X39" s="340"/>
      <c r="Y39" s="340"/>
      <c r="Z39" s="340"/>
      <c r="AA39" s="340"/>
      <c r="AB39" s="340"/>
      <c r="AC39" s="340"/>
      <c r="AD39" s="340"/>
      <c r="AE39" s="340"/>
      <c r="AF39" s="340"/>
      <c r="AG39" s="340"/>
      <c r="AH39" s="340"/>
      <c r="AI39" s="340"/>
      <c r="AJ39" s="340"/>
      <c r="AK39" s="340"/>
      <c r="AL39" s="340"/>
    </row>
    <row r="40" spans="1:39" x14ac:dyDescent="0.2">
      <c r="A40" t="str">
        <f>IF(Data!B996="Yes","Client is receiving the following medical treatments:","Client is not receiving any medical treatments.")</f>
        <v>Client is not receiving any medical treatments.</v>
      </c>
    </row>
    <row r="41" spans="1:39" x14ac:dyDescent="0.2">
      <c r="A41" s="260" t="str">
        <f>IF(Data!B997=TRUE,"Physical Therapy ("&amp;Data!B998&amp;"-Schedule: "&amp;Data!B999&amp;")","")&amp;IF(Data!B1000=TRUE,"Occupational Therapy ("&amp;Data!B1001&amp;"-Schedule: "&amp;Data!B1002&amp;")","")&amp;IF(Data!B1003=TRUE,"  Speech Therapy ("&amp;Data!B1004&amp;"-Schedule: "&amp;Data!B1005&amp;")","")&amp;IF(Data!B1006=TRUE,"  Infusion Therapy ("&amp;Data!B1007&amp;"-Schedule: "&amp;Data!B1008&amp;")","")&amp;IF(Data!B1009=TRUE,"  Home Health ("&amp;Data!B1010&amp;"-Schedule: "&amp;Data!B1011&amp;")","")&amp;IF(Data!B1012=TRUE,"  Hospice ("&amp;Data!B1013&amp;"-Schedule: "&amp;Data!B1014&amp;")","")&amp;IF(Data!E997=TRUE," Chemotherapy ("&amp;Data!E998&amp;"-Schedule: "&amp;Data!E999&amp;")","")&amp;IF(Data!E1000=TRUE," Radiation ("&amp;Data!E1001&amp;"-Schedule: "&amp;Data!E1002&amp;")","")&amp;IF(Data!E1003=TRUE," Dialysis ("&amp;Data!E1004&amp;"-Schedule: "&amp;Data!E1005&amp;")","")&amp;IF(Data!E1006=TRUE," Acupuncture ("&amp;Data!E1007&amp;"-Schedule: "&amp;Data!E1008&amp;")","")&amp;IF(Data!B1424=TRUE," "&amp;Data!B1425&amp;" -Schedule: "&amp;Data!B1426,"")</f>
        <v/>
      </c>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c r="AE41" s="260"/>
      <c r="AF41" s="260"/>
      <c r="AG41" s="260"/>
      <c r="AH41" s="260"/>
      <c r="AI41" s="260"/>
      <c r="AJ41" s="260"/>
      <c r="AK41" s="260"/>
      <c r="AL41" s="260"/>
    </row>
    <row r="42" spans="1:39" x14ac:dyDescent="0.2">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c r="AE42" s="260"/>
      <c r="AF42" s="260"/>
      <c r="AG42" s="260"/>
      <c r="AH42" s="260"/>
      <c r="AI42" s="260"/>
      <c r="AJ42" s="260"/>
      <c r="AK42" s="260"/>
      <c r="AL42" s="260"/>
    </row>
    <row r="43" spans="1:39" x14ac:dyDescent="0.2">
      <c r="A43" t="s">
        <v>1099</v>
      </c>
      <c r="D43" s="338" t="str">
        <f>IF(Data!B852="Yes","Client has wounds on "&amp;Data!B853&amp;" which are being treated by "&amp;Data!B855&amp;".","Client has no wounds.")</f>
        <v>Client has no wounds.</v>
      </c>
      <c r="E43" s="338"/>
      <c r="F43" s="338"/>
      <c r="G43" s="338"/>
      <c r="H43" s="338"/>
      <c r="I43" s="338"/>
      <c r="J43" s="338"/>
      <c r="K43" s="338"/>
      <c r="L43" s="338"/>
      <c r="M43" s="338"/>
      <c r="N43" s="338"/>
      <c r="O43" s="338"/>
      <c r="P43" s="338"/>
      <c r="Q43" s="338"/>
      <c r="R43" s="338"/>
      <c r="S43" s="338"/>
      <c r="T43" s="338"/>
      <c r="U43" s="338"/>
      <c r="V43" s="338"/>
      <c r="W43" s="338"/>
      <c r="X43" s="338"/>
      <c r="Y43" s="338"/>
      <c r="Z43" s="338"/>
      <c r="AA43" s="338"/>
      <c r="AB43" s="338"/>
      <c r="AC43" s="338"/>
      <c r="AD43" s="338"/>
      <c r="AE43" s="338"/>
      <c r="AF43" s="338"/>
      <c r="AG43" s="338"/>
      <c r="AH43" s="338"/>
      <c r="AI43" s="338"/>
      <c r="AJ43" s="338"/>
      <c r="AK43" s="338"/>
      <c r="AL43" s="338"/>
    </row>
    <row r="44" spans="1:39" x14ac:dyDescent="0.2">
      <c r="A44" s="340" t="s">
        <v>209</v>
      </c>
      <c r="B44" s="340"/>
      <c r="C44" s="340"/>
      <c r="D44" s="340"/>
      <c r="E44" s="340"/>
      <c r="F44" s="340"/>
      <c r="G44" s="340"/>
      <c r="H44" s="340"/>
      <c r="I44" s="340"/>
      <c r="J44" s="340"/>
      <c r="K44" s="340"/>
      <c r="L44" s="340"/>
      <c r="M44" s="340"/>
      <c r="N44" s="340"/>
      <c r="O44" s="340"/>
      <c r="P44" s="340"/>
      <c r="Q44" s="340"/>
      <c r="R44" s="340"/>
      <c r="S44" s="340"/>
      <c r="T44" s="340"/>
      <c r="U44" s="340"/>
      <c r="V44" s="340"/>
      <c r="W44" s="340"/>
      <c r="X44" s="340"/>
      <c r="Y44" s="340"/>
      <c r="Z44" s="340"/>
      <c r="AA44" s="340"/>
      <c r="AB44" s="340"/>
      <c r="AC44" s="340"/>
      <c r="AD44" s="340"/>
      <c r="AE44" s="340"/>
      <c r="AF44" s="340"/>
      <c r="AG44" s="340"/>
      <c r="AH44" s="340"/>
      <c r="AI44" s="340"/>
      <c r="AJ44" s="340"/>
      <c r="AK44" s="340"/>
      <c r="AL44" s="340"/>
    </row>
    <row r="45" spans="1:39" x14ac:dyDescent="0.2">
      <c r="A45" t="s">
        <v>865</v>
      </c>
      <c r="F45" s="338" t="str">
        <f>_xlfn.CONCAT(IF(Data!B1440=TRUE,"Low Sodium",""),IF(Data!B1439=TRUE," -Diabetic",""),IF(Data!B1441=TRUE," -Low Fat",""),IF(Data!B1442=TRUE," -Low Cholesterol",""),IF(Data!B1443=TRUE," -Renal",""),IF(Data!B1444=TRUE," -Low Sugar",""),IF(Data!B1445=TRUE," -Soft Food",""),IF(Data!B1446=TRUE," -No Spicy Food",""),IF(Data!B1447=TRUE," -Mechanical",""),IF(Data!B1448=TRUE," -Thickened Liquids",""),IF(Data!B1449=TRUE," -"&amp;Data!B1450,""),IF(Data!B1472=TRUE," -Regular",""))</f>
        <v/>
      </c>
      <c r="G45" s="338"/>
      <c r="H45" s="338"/>
      <c r="I45" s="338"/>
      <c r="J45" s="338"/>
      <c r="K45" s="338"/>
      <c r="L45" s="338"/>
      <c r="M45" s="338"/>
      <c r="N45" s="338"/>
      <c r="O45" s="338"/>
      <c r="P45" s="338"/>
      <c r="Q45" s="338"/>
      <c r="R45" s="338"/>
      <c r="S45" s="338"/>
      <c r="T45" s="338"/>
      <c r="U45" s="338"/>
      <c r="V45" s="338"/>
      <c r="W45" s="338"/>
      <c r="X45" s="338"/>
      <c r="Y45" s="338"/>
      <c r="Z45" s="338"/>
      <c r="AA45" s="338"/>
      <c r="AB45" s="338"/>
      <c r="AC45" s="338"/>
      <c r="AD45" s="338"/>
      <c r="AE45" s="338"/>
      <c r="AF45" s="338"/>
      <c r="AG45" s="338"/>
      <c r="AH45" s="338"/>
      <c r="AI45" s="338"/>
      <c r="AJ45" s="338"/>
      <c r="AK45" s="338"/>
      <c r="AL45" s="338"/>
    </row>
    <row r="46" spans="1:39" x14ac:dyDescent="0.2">
      <c r="A46" t="s">
        <v>866</v>
      </c>
      <c r="F46" s="338" t="str">
        <f>_xlfn.CONCAT(IF(Data!B1452=TRUE,"Low Sodium",""),IF(Data!B1451=TRUE," -Diabetic",""),IF(Data!B1453=TRUE," -Low Fat",""),IF(Data!B1454=TRUE," -Low Cholesterol",""),IF(Data!B1455=TRUE," -Renal",""),IF(Data!B1456=TRUE," -Low Sugar",""),IF(Data!B1457=TRUE," -Soft Food",""),IF(Data!B1458=TRUE," -No Spicy Food",""),IF(Data!B1459=TRUE," -Mechanical",""),IF(Data!B1460=TRUE," -Thickened Liquids",""),IF(Data!B1461=TRUE," -"&amp;Data!B1462,""),IF(Data!B1473=TRUE," -Regular",""),IF(AND(Data!B1451=FALSE,Data!B1452=FALSE,Data!B1453=FALSE,Data!B1454=FALSE,Data!B1455=FALSE,Data!B1456=FALSE,Data!B1457=FALSE,Data!B1458=FALSE,Data!B1459=FALSE,Data!B1460=FALSE,Data!B1461=FALSE,Data!B1473=FALSE),"N/A",""))</f>
        <v>N/A</v>
      </c>
      <c r="G46" s="338"/>
      <c r="H46" s="338"/>
      <c r="I46" s="338"/>
      <c r="J46" s="338"/>
      <c r="K46" s="338"/>
      <c r="L46" s="338"/>
      <c r="M46" s="338"/>
      <c r="N46" s="338"/>
      <c r="O46" s="338"/>
      <c r="P46" s="338"/>
      <c r="Q46" s="338"/>
      <c r="R46" s="338"/>
      <c r="S46" s="338"/>
      <c r="T46" s="338"/>
      <c r="U46" s="338"/>
      <c r="V46" s="338"/>
      <c r="W46" s="338"/>
      <c r="X46" s="338"/>
      <c r="Y46" s="338"/>
      <c r="Z46" s="338"/>
      <c r="AA46" s="338"/>
      <c r="AB46" s="338"/>
      <c r="AC46" s="338"/>
      <c r="AD46" s="338"/>
      <c r="AE46" s="338"/>
      <c r="AF46" s="338"/>
      <c r="AG46" s="338"/>
      <c r="AH46" s="338"/>
      <c r="AI46" s="338"/>
      <c r="AJ46" s="338"/>
      <c r="AK46" s="338"/>
      <c r="AL46" s="338"/>
    </row>
    <row r="47" spans="1:39" ht="12.75" customHeight="1" x14ac:dyDescent="0.2">
      <c r="A47" t="s">
        <v>1055</v>
      </c>
      <c r="H47" s="338" t="str">
        <f>IF(Data!B659="","N/A",Data!B659)</f>
        <v>N/A</v>
      </c>
      <c r="I47" s="338"/>
      <c r="J47" s="338"/>
      <c r="K47" s="338"/>
      <c r="L47" s="338"/>
      <c r="M47" s="338"/>
      <c r="N47" s="338"/>
      <c r="O47" s="338"/>
      <c r="P47" s="338"/>
      <c r="Q47" s="338"/>
      <c r="R47" s="338"/>
      <c r="S47" s="338"/>
      <c r="T47" s="338"/>
      <c r="U47" s="338"/>
      <c r="V47" s="338"/>
      <c r="W47" s="338"/>
      <c r="X47" s="338"/>
      <c r="Y47" s="338"/>
      <c r="Z47" s="338"/>
      <c r="AA47" s="338"/>
      <c r="AB47" s="338"/>
      <c r="AC47" s="338"/>
      <c r="AD47" s="338"/>
      <c r="AE47" s="338"/>
      <c r="AF47" s="338"/>
      <c r="AG47" s="338"/>
      <c r="AH47" s="338"/>
      <c r="AI47" s="338"/>
      <c r="AJ47" s="338"/>
      <c r="AK47" s="338"/>
      <c r="AL47" s="338"/>
      <c r="AM47" s="14"/>
    </row>
    <row r="48" spans="1:39" x14ac:dyDescent="0.2">
      <c r="A48" t="s">
        <v>1100</v>
      </c>
      <c r="H48" s="338" t="str">
        <f>IF(Data!B658="","N/A",Data!B658)</f>
        <v>N/A</v>
      </c>
      <c r="I48" s="338"/>
      <c r="J48" s="338"/>
      <c r="K48" s="338"/>
      <c r="L48" s="338"/>
      <c r="M48" s="338"/>
      <c r="N48" s="338"/>
      <c r="O48" s="338"/>
      <c r="P48" s="338"/>
      <c r="Q48" s="338"/>
      <c r="R48" s="338"/>
      <c r="S48" s="338"/>
      <c r="T48" s="338"/>
      <c r="U48" s="338"/>
      <c r="V48" s="338"/>
      <c r="W48" s="338"/>
      <c r="X48" s="338"/>
      <c r="Y48" s="338"/>
      <c r="Z48" s="338"/>
      <c r="AA48" s="338"/>
      <c r="AB48" s="338"/>
      <c r="AC48" s="338"/>
      <c r="AD48" s="338"/>
      <c r="AE48" s="338"/>
      <c r="AF48" s="338"/>
      <c r="AG48" s="338"/>
      <c r="AH48" s="338"/>
      <c r="AI48" s="338"/>
      <c r="AJ48" s="338"/>
      <c r="AK48" s="338"/>
      <c r="AL48" s="338"/>
      <c r="AM48" s="14"/>
    </row>
    <row r="49" spans="1:39" x14ac:dyDescent="0.2">
      <c r="A49" t="s">
        <v>867</v>
      </c>
      <c r="J49" s="295">
        <f>Data!B653</f>
        <v>0</v>
      </c>
      <c r="K49" s="295"/>
      <c r="L49" s="295"/>
      <c r="M49" s="295"/>
      <c r="N49" s="295"/>
      <c r="O49" s="295"/>
      <c r="P49" s="295"/>
      <c r="Q49" s="295"/>
      <c r="R49" s="295"/>
      <c r="S49" s="295"/>
      <c r="T49" s="295"/>
      <c r="U49" t="s">
        <v>1101</v>
      </c>
      <c r="V49" s="14"/>
      <c r="W49" s="14"/>
      <c r="X49" s="14"/>
      <c r="Y49" s="14"/>
      <c r="Z49" s="14"/>
      <c r="AA49" s="14"/>
      <c r="AB49" s="14"/>
      <c r="AC49" s="14"/>
      <c r="AD49" s="260" t="str">
        <f>IF(Data!B654="","N/A",Data!B654)&amp;IF(Data!B655="",""," -"&amp;Data!B655)</f>
        <v>N/A</v>
      </c>
      <c r="AE49" s="260"/>
      <c r="AF49" s="260"/>
      <c r="AG49" s="260"/>
      <c r="AH49" s="260"/>
      <c r="AI49" s="260"/>
      <c r="AJ49" s="260"/>
      <c r="AK49" s="260"/>
      <c r="AL49" s="260"/>
      <c r="AM49" s="14"/>
    </row>
    <row r="50" spans="1:39" ht="23.25" customHeight="1" x14ac:dyDescent="0.2">
      <c r="A50" s="349" t="s">
        <v>1056</v>
      </c>
      <c r="B50" s="349"/>
      <c r="C50" s="349"/>
      <c r="D50" s="349"/>
      <c r="E50" s="349"/>
      <c r="F50" s="349"/>
      <c r="G50" s="349"/>
      <c r="H50" s="349"/>
      <c r="I50" s="349"/>
      <c r="J50" s="349"/>
      <c r="K50" s="349"/>
      <c r="L50" s="349"/>
      <c r="M50" s="349"/>
      <c r="N50" s="349"/>
      <c r="O50" s="349"/>
      <c r="P50" s="349"/>
      <c r="Q50" s="349"/>
      <c r="R50" s="349"/>
      <c r="S50" s="349"/>
      <c r="T50" s="349"/>
      <c r="U50" s="349"/>
      <c r="V50" s="349"/>
      <c r="W50" s="349"/>
      <c r="X50" s="349"/>
      <c r="Y50" s="349"/>
      <c r="Z50" s="349"/>
      <c r="AA50" s="349"/>
      <c r="AB50" s="349"/>
      <c r="AC50" s="349"/>
      <c r="AD50" s="349"/>
      <c r="AE50" s="349"/>
      <c r="AF50" s="349"/>
      <c r="AG50" s="349"/>
      <c r="AH50" s="349"/>
      <c r="AI50" s="349"/>
      <c r="AJ50" s="349"/>
      <c r="AK50" s="349"/>
      <c r="AL50" s="349"/>
      <c r="AM50" s="14"/>
    </row>
    <row r="51" spans="1:39" x14ac:dyDescent="0.2">
      <c r="A51" t="s">
        <v>3217</v>
      </c>
      <c r="B51" s="142"/>
      <c r="C51" s="142"/>
      <c r="D51" s="142"/>
      <c r="E51" s="142"/>
      <c r="F51" s="142"/>
      <c r="G51" s="142"/>
      <c r="H51" s="142"/>
      <c r="I51" s="142"/>
      <c r="J51" s="142"/>
      <c r="K51" s="142"/>
      <c r="L51" s="142"/>
      <c r="M51" s="142"/>
      <c r="N51" s="142"/>
      <c r="O51" s="142"/>
      <c r="P51" s="142"/>
      <c r="Q51" s="142"/>
      <c r="R51" s="142"/>
      <c r="S51" s="142"/>
      <c r="T51" s="142"/>
      <c r="U51" s="142"/>
      <c r="V51" s="142"/>
      <c r="W51" s="142"/>
      <c r="X51" s="142"/>
      <c r="Y51" s="142"/>
      <c r="Z51" s="142"/>
      <c r="AA51" s="142"/>
      <c r="AB51" s="142"/>
      <c r="AC51" s="142"/>
      <c r="AD51" s="142"/>
      <c r="AE51" s="142"/>
      <c r="AF51" s="142"/>
      <c r="AG51" s="142"/>
      <c r="AH51" s="142"/>
      <c r="AI51" s="142"/>
      <c r="AJ51" s="142"/>
      <c r="AK51" s="142"/>
      <c r="AL51" s="142"/>
      <c r="AM51" s="14"/>
    </row>
    <row r="52" spans="1:39" x14ac:dyDescent="0.2">
      <c r="A52" t="s">
        <v>336</v>
      </c>
      <c r="E52" s="240" t="str">
        <f>_xlfn.CONCAT(Data!B2,", ",Data!B3," ",Data!B4)</f>
        <v xml:space="preserve">,  </v>
      </c>
      <c r="F52" s="240"/>
      <c r="G52" s="240"/>
      <c r="H52" s="240"/>
      <c r="I52" s="240"/>
      <c r="J52" s="240"/>
      <c r="K52" s="240"/>
      <c r="L52" s="240"/>
      <c r="M52" s="240"/>
      <c r="N52" s="240"/>
      <c r="O52" s="240"/>
      <c r="P52" s="240"/>
      <c r="Q52" s="240"/>
      <c r="R52" s="240"/>
      <c r="S52" s="240"/>
      <c r="U52" t="s">
        <v>371</v>
      </c>
      <c r="W52" s="350">
        <f>Data!B14</f>
        <v>0</v>
      </c>
      <c r="X52" s="350"/>
      <c r="Y52" s="350"/>
      <c r="Z52" s="350"/>
      <c r="AA52" s="16"/>
      <c r="AB52" s="16" t="s">
        <v>772</v>
      </c>
      <c r="AH52" s="350">
        <f>Data!B34</f>
        <v>0</v>
      </c>
      <c r="AI52" s="295"/>
      <c r="AJ52" s="295"/>
      <c r="AK52" s="295"/>
      <c r="AL52" s="295"/>
    </row>
    <row r="53" spans="1:39" x14ac:dyDescent="0.2">
      <c r="A53" s="340" t="s">
        <v>3201</v>
      </c>
      <c r="B53" s="340"/>
      <c r="C53" s="340"/>
      <c r="D53" s="340"/>
      <c r="E53" s="340"/>
      <c r="F53" s="340"/>
      <c r="G53" s="340"/>
      <c r="H53" s="340"/>
      <c r="I53" s="340"/>
      <c r="J53" s="340"/>
      <c r="K53" s="340"/>
      <c r="L53" s="340"/>
      <c r="M53" s="340"/>
      <c r="N53" s="340"/>
      <c r="O53" s="340"/>
      <c r="P53" s="340"/>
      <c r="Q53" s="340"/>
      <c r="R53" s="340"/>
      <c r="S53" s="340"/>
      <c r="T53" s="340"/>
      <c r="U53" s="340"/>
      <c r="V53" s="340"/>
      <c r="W53" s="340"/>
      <c r="X53" s="340"/>
      <c r="Y53" s="340"/>
      <c r="Z53" s="340"/>
      <c r="AA53" s="340"/>
      <c r="AB53" s="340"/>
      <c r="AC53" s="340"/>
      <c r="AD53" s="340"/>
      <c r="AE53" s="340"/>
      <c r="AF53" s="340"/>
      <c r="AG53" s="340"/>
      <c r="AH53" s="340"/>
      <c r="AI53" s="340"/>
      <c r="AJ53" s="340"/>
      <c r="AK53" s="340"/>
      <c r="AL53" s="340"/>
    </row>
    <row r="54" spans="1:39" x14ac:dyDescent="0.2">
      <c r="A54" t="str">
        <f>IF(Data!B1611="No","No medical procedure history.","Medical procedures are listed below.")</f>
        <v>Medical procedures are listed below.</v>
      </c>
      <c r="M54" s="14"/>
      <c r="N54" s="14"/>
      <c r="O54" s="14"/>
      <c r="P54" s="14"/>
      <c r="Q54" s="14"/>
      <c r="R54" s="14"/>
      <c r="S54" s="14"/>
      <c r="T54" s="14"/>
      <c r="U54" s="14"/>
      <c r="V54" s="14"/>
      <c r="W54" s="14"/>
      <c r="X54" s="14"/>
      <c r="Y54" s="14"/>
      <c r="Z54" s="14"/>
      <c r="AA54" s="14"/>
      <c r="AB54" s="14"/>
      <c r="AC54" s="14"/>
      <c r="AD54" s="14"/>
      <c r="AE54" s="14"/>
      <c r="AF54" s="14"/>
      <c r="AG54" s="14"/>
      <c r="AH54" s="14"/>
      <c r="AI54" s="14"/>
      <c r="AJ54" s="14"/>
      <c r="AK54" s="14"/>
      <c r="AL54" s="14"/>
    </row>
    <row r="55" spans="1:39" x14ac:dyDescent="0.2">
      <c r="A55" s="260" t="str">
        <f>_xlfn.CONCAT(IF(Data!B1612&lt;&gt;"",Data!B1612&amp;" ("&amp;TEXT(Data!D1612,"mm/dd/yyyy")&amp;")",""),IF(Data!B1613&lt;&gt;"",", "&amp;Data!B1613&amp;" ("&amp;TEXT(Data!D1613,"mm/dd/yyyy")&amp;")",""),IF(Data!B1614&lt;&gt;"",", "&amp;Data!B1614&amp;" ("&amp;TEXT(Data!D1614,"mm/dd/yyyy")&amp;")",""),IF(Data!B1615&lt;&gt;"",", "&amp;Data!B1615&amp;" ("&amp;TEXT(Data!D1615,"mm/dd/yyyy")&amp;")",""),IF(Data!B1616&lt;&gt;"",", "&amp;Data!B1616&amp;" ("&amp;TEXT(Data!D1616,"mm/dd/yyyy")&amp;")",""),IF(Data!B1617&lt;&gt;"",", "&amp;Data!B1617&amp;" ("&amp;TEXT(Data!D1617,"mm/dd/yyyy")&amp;")",""),IF(Data!B1618&lt;&gt;"",", "&amp;Data!B1618&amp;" ("&amp;TEXT(Data!D1618,"mm/dd/yyyy")&amp;")",""),IF(Data!B1619&lt;&gt;"",", "&amp;Data!B1619&amp;" ("&amp;TEXT(Data!D1619,"mm/dd/yyyy")&amp;")",""))</f>
        <v/>
      </c>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c r="AE55" s="260"/>
      <c r="AF55" s="260"/>
      <c r="AG55" s="260"/>
      <c r="AH55" s="260"/>
      <c r="AI55" s="260"/>
      <c r="AJ55" s="260"/>
      <c r="AK55" s="260"/>
      <c r="AL55" s="260"/>
    </row>
    <row r="56" spans="1:39" x14ac:dyDescent="0.2">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c r="AE56" s="260"/>
      <c r="AF56" s="260"/>
      <c r="AG56" s="260"/>
      <c r="AH56" s="260"/>
      <c r="AI56" s="260"/>
      <c r="AJ56" s="260"/>
      <c r="AK56" s="260"/>
      <c r="AL56" s="260"/>
    </row>
    <row r="57" spans="1:39" ht="13.5" customHeight="1" x14ac:dyDescent="0.2">
      <c r="A57" s="340" t="s">
        <v>1102</v>
      </c>
      <c r="B57" s="340"/>
      <c r="C57" s="340"/>
      <c r="D57" s="340"/>
      <c r="E57" s="340"/>
      <c r="F57" s="340"/>
      <c r="G57" s="340"/>
      <c r="H57" s="340"/>
      <c r="I57" s="340"/>
      <c r="J57" s="340"/>
      <c r="K57" s="340"/>
      <c r="L57" s="340"/>
      <c r="M57" s="340"/>
      <c r="N57" s="340"/>
      <c r="O57" s="340"/>
      <c r="P57" s="340"/>
      <c r="Q57" s="340"/>
      <c r="R57" s="340"/>
      <c r="S57" s="340"/>
      <c r="T57" s="340"/>
      <c r="U57" s="340"/>
      <c r="V57" s="340"/>
      <c r="W57" s="340"/>
      <c r="X57" s="340"/>
      <c r="Y57" s="340"/>
      <c r="Z57" s="340"/>
      <c r="AA57" s="340"/>
      <c r="AB57" s="340"/>
      <c r="AC57" s="340"/>
      <c r="AD57" s="340"/>
      <c r="AE57" s="340"/>
      <c r="AF57" s="340"/>
      <c r="AG57" s="340"/>
      <c r="AH57" s="340"/>
      <c r="AI57" s="340"/>
      <c r="AJ57" s="340"/>
      <c r="AK57" s="340"/>
      <c r="AL57" s="340"/>
    </row>
    <row r="58" spans="1:39" x14ac:dyDescent="0.2">
      <c r="A58" t="s">
        <v>1104</v>
      </c>
      <c r="F58" s="240" t="str">
        <f>IF(Data!B741="Yes","Client has a "&amp;Data!B742&amp;" catheter.","Client does not have a catheter.")</f>
        <v>Client does not have a catheter.</v>
      </c>
      <c r="G58" s="240"/>
      <c r="H58" s="240"/>
      <c r="I58" s="240"/>
      <c r="J58" s="240"/>
      <c r="K58" s="240"/>
      <c r="L58" s="240"/>
      <c r="M58" s="240"/>
      <c r="N58" s="240"/>
      <c r="O58" s="240"/>
      <c r="P58" s="240"/>
      <c r="Q58" s="240"/>
      <c r="R58" s="240"/>
      <c r="T58" t="s">
        <v>1103</v>
      </c>
      <c r="Y58" s="240" t="str">
        <f>IF(Data!B719="Yes","Client requires a bowel program.","Client does not require a bowel program.")</f>
        <v>Client does not require a bowel program.</v>
      </c>
      <c r="Z58" s="240"/>
      <c r="AA58" s="240"/>
      <c r="AB58" s="240"/>
      <c r="AC58" s="240"/>
      <c r="AD58" s="240"/>
      <c r="AE58" s="240"/>
      <c r="AF58" s="240"/>
      <c r="AG58" s="240"/>
      <c r="AH58" s="240"/>
      <c r="AI58" s="240"/>
      <c r="AJ58" s="240"/>
      <c r="AK58" s="240"/>
      <c r="AL58" s="240"/>
    </row>
    <row r="59" spans="1:39" x14ac:dyDescent="0.2">
      <c r="A59" t="s">
        <v>873</v>
      </c>
      <c r="F59" s="240" t="str">
        <f>IF(Data!B743="","N/A",Data!B743)</f>
        <v>N/A</v>
      </c>
      <c r="G59" s="240"/>
      <c r="H59" s="240"/>
      <c r="I59" s="240"/>
      <c r="J59" s="240"/>
      <c r="K59" s="240"/>
      <c r="L59" s="240"/>
      <c r="M59" s="240"/>
      <c r="N59" s="240"/>
      <c r="O59" s="240"/>
      <c r="P59" s="240"/>
      <c r="Q59" s="240"/>
      <c r="R59" s="240"/>
      <c r="T59" t="s">
        <v>1105</v>
      </c>
      <c r="Y59" s="240" t="str">
        <f>IF(Data!B720="","N/A",Data!B720)</f>
        <v>N/A</v>
      </c>
      <c r="Z59" s="240"/>
      <c r="AA59" s="240"/>
      <c r="AB59" s="240"/>
      <c r="AC59" s="240"/>
      <c r="AD59" s="240"/>
      <c r="AE59" s="240"/>
      <c r="AF59" s="240"/>
      <c r="AG59" s="240"/>
      <c r="AH59" s="240"/>
      <c r="AI59" s="240"/>
      <c r="AJ59" s="240"/>
      <c r="AK59" s="240"/>
      <c r="AL59" s="240"/>
    </row>
    <row r="60" spans="1:39" x14ac:dyDescent="0.2">
      <c r="T60" t="s">
        <v>1106</v>
      </c>
      <c r="X60" s="240" t="str">
        <f>IF(Data!B721="","N/A",Data!B721)</f>
        <v>N/A</v>
      </c>
      <c r="Y60" s="240"/>
      <c r="Z60" s="240"/>
      <c r="AA60" s="240"/>
      <c r="AB60" s="240"/>
      <c r="AC60" s="240"/>
      <c r="AD60" s="240"/>
      <c r="AE60" s="240"/>
      <c r="AF60" s="240"/>
      <c r="AG60" s="240"/>
      <c r="AH60" s="240"/>
      <c r="AI60" s="240"/>
      <c r="AJ60" s="240"/>
      <c r="AK60" s="240"/>
      <c r="AL60" s="240"/>
    </row>
    <row r="61" spans="1:39" x14ac:dyDescent="0.2">
      <c r="A61" s="340" t="s">
        <v>1107</v>
      </c>
      <c r="B61" s="340"/>
      <c r="C61" s="340"/>
      <c r="D61" s="340"/>
      <c r="E61" s="340"/>
      <c r="F61" s="340"/>
      <c r="G61" s="340"/>
      <c r="H61" s="340"/>
      <c r="I61" s="340"/>
      <c r="J61" s="340"/>
      <c r="K61" s="340"/>
      <c r="L61" s="340"/>
      <c r="M61" s="340"/>
      <c r="N61" s="340"/>
      <c r="O61" s="340"/>
      <c r="P61" s="340"/>
      <c r="Q61" s="340"/>
      <c r="R61" s="340"/>
      <c r="S61" s="340"/>
      <c r="T61" s="340"/>
      <c r="U61" s="340"/>
      <c r="V61" s="340"/>
      <c r="W61" s="340"/>
      <c r="X61" s="340"/>
      <c r="Y61" s="340"/>
      <c r="Z61" s="340"/>
      <c r="AA61" s="340"/>
      <c r="AB61" s="340"/>
      <c r="AC61" s="340"/>
      <c r="AD61" s="340"/>
      <c r="AE61" s="340"/>
      <c r="AF61" s="340"/>
      <c r="AG61" s="340"/>
      <c r="AH61" s="340"/>
      <c r="AI61" s="340"/>
      <c r="AJ61" s="340"/>
      <c r="AK61" s="340"/>
      <c r="AL61" s="340"/>
    </row>
    <row r="62" spans="1:39" x14ac:dyDescent="0.2">
      <c r="A62" t="s">
        <v>1108</v>
      </c>
      <c r="F62" s="260">
        <f>Data!B307</f>
        <v>0</v>
      </c>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c r="AE62" s="260"/>
      <c r="AF62" s="260"/>
      <c r="AG62" s="260"/>
      <c r="AH62" s="260"/>
      <c r="AI62" s="260"/>
      <c r="AJ62" s="260"/>
      <c r="AK62" s="260"/>
      <c r="AL62" s="260"/>
    </row>
    <row r="63" spans="1:39" ht="23.25" customHeight="1" x14ac:dyDescent="0.2">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c r="AE63" s="260"/>
      <c r="AF63" s="260"/>
      <c r="AG63" s="260"/>
      <c r="AH63" s="260"/>
      <c r="AI63" s="260"/>
      <c r="AJ63" s="260"/>
      <c r="AK63" s="260"/>
      <c r="AL63" s="260"/>
    </row>
    <row r="64" spans="1:39" ht="12.75" customHeight="1" x14ac:dyDescent="0.2">
      <c r="A64" t="s">
        <v>1109</v>
      </c>
      <c r="F64" s="260" t="s">
        <v>1110</v>
      </c>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c r="AE64" s="260"/>
      <c r="AF64" s="260"/>
      <c r="AG64" s="260"/>
      <c r="AH64" s="260"/>
      <c r="AI64" s="260"/>
      <c r="AJ64" s="260"/>
      <c r="AK64" s="260"/>
      <c r="AL64" s="260"/>
    </row>
    <row r="65" spans="1:40" x14ac:dyDescent="0.2">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c r="AE65" s="260"/>
      <c r="AF65" s="260"/>
      <c r="AG65" s="260"/>
      <c r="AH65" s="260"/>
      <c r="AI65" s="260"/>
      <c r="AJ65" s="260"/>
      <c r="AK65" s="260"/>
      <c r="AL65" s="260"/>
    </row>
    <row r="66" spans="1:40" x14ac:dyDescent="0.2">
      <c r="A66" t="s">
        <v>1057</v>
      </c>
      <c r="E66" s="240" t="s">
        <v>1060</v>
      </c>
      <c r="F66" s="240"/>
      <c r="G66" s="240"/>
      <c r="H66" s="240"/>
      <c r="I66" s="240"/>
      <c r="J66" s="240"/>
      <c r="K66" s="240"/>
      <c r="L66" s="240"/>
      <c r="M66" s="240"/>
      <c r="N66" s="240"/>
      <c r="O66" s="240"/>
      <c r="P66" s="240"/>
      <c r="Q66" s="240"/>
      <c r="R66" s="240"/>
      <c r="S66" s="240"/>
      <c r="T66" s="240"/>
      <c r="U66" s="240"/>
      <c r="V66" s="240"/>
      <c r="W66" s="240"/>
      <c r="X66" s="240"/>
      <c r="Y66" s="240"/>
      <c r="Z66" s="240"/>
      <c r="AA66" s="240"/>
      <c r="AB66" s="240"/>
      <c r="AC66" s="240"/>
      <c r="AD66" s="240"/>
      <c r="AE66" s="240"/>
      <c r="AF66" s="240"/>
      <c r="AG66" s="240"/>
      <c r="AH66" s="240"/>
      <c r="AI66" s="240"/>
      <c r="AJ66" s="240"/>
      <c r="AK66" s="240"/>
      <c r="AL66" s="240"/>
    </row>
    <row r="67" spans="1:40" x14ac:dyDescent="0.2">
      <c r="A67" t="s">
        <v>1058</v>
      </c>
      <c r="E67" s="240" t="s">
        <v>1061</v>
      </c>
      <c r="F67" s="240"/>
      <c r="G67" s="240"/>
      <c r="H67" s="240"/>
      <c r="I67" s="240"/>
      <c r="J67" s="240"/>
      <c r="K67" s="240"/>
      <c r="L67" s="240"/>
      <c r="M67" s="240"/>
      <c r="N67" s="240"/>
      <c r="O67" s="240"/>
      <c r="P67" s="240"/>
      <c r="Q67" s="240"/>
      <c r="R67" s="240"/>
      <c r="S67" s="240"/>
      <c r="T67" s="240"/>
      <c r="U67" s="240"/>
      <c r="V67" s="240"/>
      <c r="W67" s="240"/>
      <c r="X67" s="240"/>
      <c r="Y67" s="240"/>
      <c r="Z67" s="240"/>
      <c r="AA67" s="240"/>
      <c r="AB67" s="240"/>
      <c r="AC67" s="240"/>
      <c r="AD67" s="240"/>
      <c r="AE67" s="240"/>
      <c r="AF67" s="240"/>
      <c r="AG67" s="240"/>
      <c r="AH67" s="240"/>
      <c r="AI67" s="240"/>
      <c r="AJ67" s="240"/>
      <c r="AK67" s="240"/>
      <c r="AL67" s="240"/>
    </row>
    <row r="68" spans="1:40" x14ac:dyDescent="0.2">
      <c r="A68" t="s">
        <v>1059</v>
      </c>
      <c r="E68" s="240" t="s">
        <v>1062</v>
      </c>
      <c r="F68" s="240"/>
      <c r="G68" s="240"/>
      <c r="H68" s="240"/>
      <c r="I68" s="240"/>
      <c r="J68" s="240"/>
      <c r="K68" s="240"/>
      <c r="L68" s="240"/>
      <c r="M68" s="240"/>
      <c r="N68" s="240"/>
      <c r="O68" s="240"/>
      <c r="P68" s="240"/>
      <c r="Q68" s="240"/>
      <c r="R68" s="240"/>
      <c r="S68" s="240"/>
      <c r="T68" s="240"/>
      <c r="U68" s="240"/>
      <c r="V68" s="240"/>
      <c r="W68" s="240"/>
      <c r="X68" s="240"/>
      <c r="Y68" s="240"/>
      <c r="Z68" s="240"/>
      <c r="AA68" s="240"/>
      <c r="AB68" s="240"/>
      <c r="AC68" s="240"/>
      <c r="AD68" s="240"/>
      <c r="AE68" s="240"/>
      <c r="AF68" s="240"/>
      <c r="AG68" s="240"/>
      <c r="AH68" s="240"/>
      <c r="AI68" s="240"/>
      <c r="AJ68" s="240"/>
      <c r="AK68" s="240"/>
      <c r="AL68" s="240"/>
    </row>
    <row r="69" spans="1:40" x14ac:dyDescent="0.2">
      <c r="A69" t="s">
        <v>1111</v>
      </c>
      <c r="F69" s="260" t="str">
        <f>"Discharge will occur at client's or company's request or when PSS services are no longer appropriate.
Client wishes after discharge:"&amp;" 1st -"&amp;Data!B322&amp;" 2nd -"&amp;Data!B324</f>
        <v>Discharge will occur at client's or company's request or when PSS services are no longer appropriate.
Client wishes after discharge: 1st - 2nd -</v>
      </c>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c r="AE69" s="260"/>
      <c r="AF69" s="260"/>
      <c r="AG69" s="260"/>
      <c r="AH69" s="260"/>
      <c r="AI69" s="260"/>
      <c r="AJ69" s="260"/>
      <c r="AK69" s="260"/>
      <c r="AL69" s="260"/>
    </row>
    <row r="70" spans="1:40" x14ac:dyDescent="0.2">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c r="AE70" s="260"/>
      <c r="AF70" s="260"/>
      <c r="AG70" s="260"/>
      <c r="AH70" s="260"/>
      <c r="AI70" s="260"/>
      <c r="AJ70" s="260"/>
      <c r="AK70" s="260"/>
      <c r="AL70" s="260"/>
    </row>
    <row r="71" spans="1:40" x14ac:dyDescent="0.2">
      <c r="A71" s="340" t="s">
        <v>1112</v>
      </c>
      <c r="B71" s="340"/>
      <c r="C71" s="340"/>
      <c r="D71" s="340"/>
      <c r="E71" s="340"/>
      <c r="F71" s="340"/>
      <c r="G71" s="340"/>
      <c r="H71" s="340"/>
      <c r="I71" s="340"/>
      <c r="J71" s="340"/>
      <c r="K71" s="340"/>
      <c r="L71" s="340"/>
      <c r="M71" s="340"/>
      <c r="N71" s="340"/>
      <c r="O71" s="340"/>
      <c r="P71" s="340"/>
      <c r="Q71" s="340"/>
      <c r="R71" s="340"/>
      <c r="S71" s="340"/>
      <c r="T71" s="340"/>
      <c r="U71" s="340"/>
      <c r="V71" s="340"/>
      <c r="W71" s="340"/>
      <c r="X71" s="340"/>
      <c r="Y71" s="340"/>
      <c r="Z71" s="340"/>
      <c r="AA71" s="340"/>
      <c r="AB71" s="340"/>
      <c r="AC71" s="340"/>
      <c r="AD71" s="340"/>
      <c r="AE71" s="340"/>
      <c r="AF71" s="340"/>
      <c r="AG71" s="340"/>
      <c r="AH71" s="340"/>
      <c r="AI71" s="340"/>
      <c r="AJ71" s="340"/>
      <c r="AK71" s="340"/>
      <c r="AL71" s="340"/>
    </row>
    <row r="72" spans="1:40" x14ac:dyDescent="0.2">
      <c r="A72" t="s">
        <v>1113</v>
      </c>
      <c r="G72" s="260">
        <f>Data!B308</f>
        <v>0</v>
      </c>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c r="AE72" s="260"/>
      <c r="AF72" s="260"/>
      <c r="AG72" s="260"/>
      <c r="AH72" s="260"/>
      <c r="AI72" s="260"/>
      <c r="AJ72" s="260"/>
      <c r="AK72" s="260"/>
      <c r="AL72" s="260"/>
    </row>
    <row r="73" spans="1:40" ht="23.25" customHeight="1" x14ac:dyDescent="0.2">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c r="AE73" s="260"/>
      <c r="AF73" s="260"/>
      <c r="AG73" s="260"/>
      <c r="AH73" s="260"/>
      <c r="AI73" s="260"/>
      <c r="AJ73" s="260"/>
      <c r="AK73" s="260"/>
      <c r="AL73" s="260"/>
    </row>
    <row r="74" spans="1:40" x14ac:dyDescent="0.2">
      <c r="A74" t="s">
        <v>1114</v>
      </c>
      <c r="J74" s="240" t="str">
        <f>IF(Data!B192="","N/A",Data!B192)</f>
        <v>N/A</v>
      </c>
      <c r="K74" s="240"/>
      <c r="L74" s="240"/>
      <c r="M74" s="240"/>
      <c r="N74" s="240"/>
      <c r="O74" s="240"/>
      <c r="P74" s="240"/>
      <c r="Q74" s="240"/>
      <c r="R74" s="240"/>
      <c r="S74" s="240"/>
      <c r="T74" s="240"/>
      <c r="U74" s="240"/>
      <c r="V74" s="240"/>
      <c r="W74" s="240"/>
      <c r="X74" s="240"/>
      <c r="Y74" s="240"/>
      <c r="Z74" s="240"/>
      <c r="AA74" s="240"/>
      <c r="AB74" s="240"/>
      <c r="AC74" s="240"/>
      <c r="AD74" s="240"/>
      <c r="AE74" s="240"/>
      <c r="AF74" s="240"/>
      <c r="AG74" s="240"/>
      <c r="AH74" s="240"/>
      <c r="AI74" s="240"/>
      <c r="AJ74" s="240"/>
      <c r="AK74" s="240"/>
      <c r="AL74" s="240"/>
    </row>
    <row r="75" spans="1:40" x14ac:dyDescent="0.2">
      <c r="A75" s="21" t="str">
        <f>IF(Data!B251=TRUE,"P","")</f>
        <v>P</v>
      </c>
      <c r="B75" t="s">
        <v>1063</v>
      </c>
    </row>
    <row r="76" spans="1:40" x14ac:dyDescent="0.2">
      <c r="A76" s="21" t="str">
        <f>IF(Data!B252=TRUE,"P","")</f>
        <v>P</v>
      </c>
      <c r="B76" t="s">
        <v>1064</v>
      </c>
    </row>
    <row r="77" spans="1:40" x14ac:dyDescent="0.2">
      <c r="A77" s="21" t="str">
        <f>IF(Data!B253=TRUE,"P","")</f>
        <v>P</v>
      </c>
      <c r="B77" t="s">
        <v>2988</v>
      </c>
    </row>
    <row r="78" spans="1:40" x14ac:dyDescent="0.2">
      <c r="A78" s="340" t="s">
        <v>1070</v>
      </c>
      <c r="B78" s="340"/>
      <c r="C78" s="340"/>
      <c r="D78" s="340"/>
      <c r="E78" s="340"/>
      <c r="F78" s="340"/>
      <c r="G78" s="340"/>
      <c r="H78" s="340"/>
      <c r="I78" s="340"/>
      <c r="J78" s="340"/>
      <c r="K78" s="340"/>
      <c r="L78" s="340"/>
      <c r="M78" s="340"/>
      <c r="N78" s="340"/>
      <c r="O78" s="340"/>
      <c r="P78" s="340"/>
      <c r="Q78" s="340"/>
      <c r="R78" s="340"/>
      <c r="S78" s="340"/>
      <c r="T78" s="340"/>
      <c r="U78" s="340"/>
      <c r="V78" s="340"/>
      <c r="W78" s="340"/>
      <c r="X78" s="340"/>
      <c r="Y78" s="340"/>
      <c r="Z78" s="340"/>
      <c r="AA78" s="340"/>
      <c r="AB78" s="340"/>
      <c r="AC78" s="340"/>
      <c r="AD78" s="340"/>
      <c r="AE78" s="340"/>
      <c r="AF78" s="340"/>
      <c r="AG78" s="340"/>
      <c r="AH78" s="340"/>
      <c r="AI78" s="340"/>
      <c r="AJ78" s="340"/>
      <c r="AK78" s="340"/>
      <c r="AL78" s="340"/>
    </row>
    <row r="79" spans="1:40" ht="12.75" customHeight="1" x14ac:dyDescent="0.2">
      <c r="A79" s="344" t="s">
        <v>438</v>
      </c>
      <c r="B79" s="344"/>
      <c r="C79" s="344"/>
      <c r="D79" s="344"/>
      <c r="E79" s="344"/>
      <c r="F79" s="345" t="s">
        <v>120</v>
      </c>
      <c r="G79" s="346"/>
      <c r="H79" s="346"/>
      <c r="I79" s="346"/>
      <c r="J79" s="346"/>
      <c r="K79" s="346"/>
      <c r="L79" s="346"/>
      <c r="M79" s="346"/>
      <c r="N79" s="347"/>
      <c r="O79" s="344" t="s">
        <v>439</v>
      </c>
      <c r="P79" s="344"/>
      <c r="Q79" s="344"/>
      <c r="R79" s="344"/>
      <c r="S79" s="344"/>
      <c r="T79" s="344" t="s">
        <v>1069</v>
      </c>
      <c r="U79" s="344"/>
      <c r="V79" s="344"/>
      <c r="W79" s="344"/>
      <c r="X79" s="344"/>
      <c r="Y79" s="344"/>
      <c r="Z79" s="344"/>
      <c r="AA79" s="344"/>
      <c r="AB79" s="344"/>
      <c r="AC79" s="344"/>
      <c r="AD79" s="344"/>
      <c r="AE79" s="344"/>
      <c r="AF79" s="348" t="s">
        <v>1117</v>
      </c>
      <c r="AG79" s="348"/>
      <c r="AH79" s="348"/>
      <c r="AI79" s="348"/>
      <c r="AJ79" s="348"/>
      <c r="AK79" s="348"/>
      <c r="AL79" s="348"/>
      <c r="AM79" s="5"/>
      <c r="AN79" s="5"/>
    </row>
    <row r="80" spans="1:40" x14ac:dyDescent="0.2">
      <c r="A80" s="254" t="s">
        <v>1065</v>
      </c>
      <c r="B80" s="254"/>
      <c r="C80" s="254"/>
      <c r="D80" s="254"/>
      <c r="E80" s="254"/>
      <c r="F80" s="341">
        <f>Data!B481</f>
        <v>0</v>
      </c>
      <c r="G80" s="342"/>
      <c r="H80" s="342"/>
      <c r="I80" s="342"/>
      <c r="J80" s="342"/>
      <c r="K80" s="342"/>
      <c r="L80" s="342"/>
      <c r="M80" s="342"/>
      <c r="N80" s="343"/>
      <c r="O80" s="337">
        <f>Data!B482</f>
        <v>0</v>
      </c>
      <c r="P80" s="337"/>
      <c r="Q80" s="337"/>
      <c r="R80" s="337"/>
      <c r="S80" s="341"/>
      <c r="T80" s="337" t="str">
        <f>Data!B483&amp;" "&amp;Data!B484</f>
        <v xml:space="preserve"> </v>
      </c>
      <c r="U80" s="337"/>
      <c r="V80" s="337"/>
      <c r="W80" s="337"/>
      <c r="X80" s="337"/>
      <c r="Y80" s="337"/>
      <c r="Z80" s="337"/>
      <c r="AA80" s="337"/>
      <c r="AB80" s="337"/>
      <c r="AC80" s="337"/>
      <c r="AD80" s="337"/>
      <c r="AE80" s="337"/>
      <c r="AF80" s="348"/>
      <c r="AG80" s="348"/>
      <c r="AH80" s="348"/>
      <c r="AI80" s="348"/>
      <c r="AJ80" s="348"/>
      <c r="AK80" s="348"/>
      <c r="AL80" s="348"/>
      <c r="AM80" s="5"/>
      <c r="AN80" s="5"/>
    </row>
    <row r="81" spans="1:40" x14ac:dyDescent="0.2">
      <c r="A81" s="254" t="s">
        <v>1066</v>
      </c>
      <c r="B81" s="254"/>
      <c r="C81" s="254"/>
      <c r="D81" s="254"/>
      <c r="E81" s="254"/>
      <c r="F81" s="341">
        <f>Data!B495</f>
        <v>0</v>
      </c>
      <c r="G81" s="342"/>
      <c r="H81" s="342"/>
      <c r="I81" s="342"/>
      <c r="J81" s="342"/>
      <c r="K81" s="342"/>
      <c r="L81" s="342"/>
      <c r="M81" s="342"/>
      <c r="N81" s="343"/>
      <c r="O81" s="337">
        <f>Data!B496</f>
        <v>0</v>
      </c>
      <c r="P81" s="337"/>
      <c r="Q81" s="337"/>
      <c r="R81" s="337"/>
      <c r="S81" s="341"/>
      <c r="T81" s="337"/>
      <c r="U81" s="337"/>
      <c r="V81" s="337"/>
      <c r="W81" s="337"/>
      <c r="X81" s="337"/>
      <c r="Y81" s="337"/>
      <c r="Z81" s="337"/>
      <c r="AA81" s="337"/>
      <c r="AB81" s="337"/>
      <c r="AC81" s="337"/>
      <c r="AD81" s="337"/>
      <c r="AE81" s="337"/>
      <c r="AF81" s="348"/>
      <c r="AG81" s="348"/>
      <c r="AH81" s="348"/>
      <c r="AI81" s="348"/>
      <c r="AJ81" s="348"/>
      <c r="AK81" s="348"/>
      <c r="AL81" s="348"/>
      <c r="AM81" s="5"/>
      <c r="AN81" s="5"/>
    </row>
    <row r="82" spans="1:40" x14ac:dyDescent="0.2">
      <c r="A82" s="254" t="s">
        <v>177</v>
      </c>
      <c r="B82" s="254"/>
      <c r="C82" s="254"/>
      <c r="D82" s="254"/>
      <c r="E82" s="254"/>
      <c r="F82" s="341">
        <f>Data!B506</f>
        <v>0</v>
      </c>
      <c r="G82" s="342"/>
      <c r="H82" s="342"/>
      <c r="I82" s="342"/>
      <c r="J82" s="342"/>
      <c r="K82" s="342"/>
      <c r="L82" s="342"/>
      <c r="M82" s="342"/>
      <c r="N82" s="343"/>
      <c r="O82" s="337">
        <f>Data!B507</f>
        <v>0</v>
      </c>
      <c r="P82" s="337"/>
      <c r="Q82" s="337"/>
      <c r="R82" s="337"/>
      <c r="S82" s="341"/>
      <c r="T82" s="337" t="str">
        <f>Data!B508&amp;" "&amp;Data!B509</f>
        <v xml:space="preserve"> </v>
      </c>
      <c r="U82" s="337"/>
      <c r="V82" s="337"/>
      <c r="W82" s="337"/>
      <c r="X82" s="337"/>
      <c r="Y82" s="337"/>
      <c r="Z82" s="337"/>
      <c r="AA82" s="337"/>
      <c r="AB82" s="337"/>
      <c r="AC82" s="337"/>
      <c r="AD82" s="337"/>
      <c r="AE82" s="337"/>
      <c r="AF82" s="348"/>
      <c r="AG82" s="348"/>
      <c r="AH82" s="348"/>
      <c r="AI82" s="348"/>
      <c r="AJ82" s="348"/>
      <c r="AK82" s="348"/>
      <c r="AL82" s="348"/>
      <c r="AM82" s="5"/>
      <c r="AN82" s="5"/>
    </row>
    <row r="83" spans="1:40" x14ac:dyDescent="0.2">
      <c r="A83" s="254" t="s">
        <v>178</v>
      </c>
      <c r="B83" s="254"/>
      <c r="C83" s="254"/>
      <c r="D83" s="254"/>
      <c r="E83" s="254"/>
      <c r="F83" s="341">
        <f>Data!B518</f>
        <v>0</v>
      </c>
      <c r="G83" s="342"/>
      <c r="H83" s="342"/>
      <c r="I83" s="342"/>
      <c r="J83" s="342"/>
      <c r="K83" s="342"/>
      <c r="L83" s="342"/>
      <c r="M83" s="342"/>
      <c r="N83" s="343"/>
      <c r="O83" s="337">
        <f>Data!B519</f>
        <v>0</v>
      </c>
      <c r="P83" s="337"/>
      <c r="Q83" s="337"/>
      <c r="R83" s="337"/>
      <c r="S83" s="341"/>
      <c r="T83" s="337" t="str">
        <f>Data!B520&amp;" "&amp;Data!B521</f>
        <v xml:space="preserve"> </v>
      </c>
      <c r="U83" s="337"/>
      <c r="V83" s="337"/>
      <c r="W83" s="337"/>
      <c r="X83" s="337"/>
      <c r="Y83" s="337"/>
      <c r="Z83" s="337"/>
      <c r="AA83" s="337"/>
      <c r="AB83" s="337"/>
      <c r="AC83" s="337"/>
      <c r="AD83" s="337"/>
      <c r="AE83" s="337"/>
      <c r="AF83" s="348"/>
      <c r="AG83" s="348"/>
      <c r="AH83" s="348"/>
      <c r="AI83" s="348"/>
      <c r="AJ83" s="348"/>
      <c r="AK83" s="348"/>
      <c r="AL83" s="348"/>
      <c r="AM83" s="5"/>
      <c r="AN83" s="5"/>
    </row>
    <row r="84" spans="1:40" x14ac:dyDescent="0.2">
      <c r="A84" s="254" t="s">
        <v>1067</v>
      </c>
      <c r="B84" s="254"/>
      <c r="C84" s="254"/>
      <c r="D84" s="254"/>
      <c r="E84" s="254"/>
      <c r="F84" s="341">
        <f>Data!B715</f>
        <v>0</v>
      </c>
      <c r="G84" s="342"/>
      <c r="H84" s="342"/>
      <c r="I84" s="342"/>
      <c r="J84" s="342"/>
      <c r="K84" s="342"/>
      <c r="L84" s="342"/>
      <c r="M84" s="342"/>
      <c r="N84" s="343"/>
      <c r="O84" s="337" t="s">
        <v>1071</v>
      </c>
      <c r="P84" s="337"/>
      <c r="Q84" s="337"/>
      <c r="R84" s="337"/>
      <c r="S84" s="341"/>
      <c r="T84" s="337"/>
      <c r="U84" s="337"/>
      <c r="V84" s="337"/>
      <c r="W84" s="337"/>
      <c r="X84" s="337"/>
      <c r="Y84" s="337"/>
      <c r="Z84" s="337"/>
      <c r="AA84" s="337"/>
      <c r="AB84" s="337"/>
      <c r="AC84" s="337"/>
      <c r="AD84" s="337"/>
      <c r="AE84" s="337"/>
      <c r="AF84" s="348"/>
      <c r="AG84" s="348"/>
      <c r="AH84" s="348"/>
      <c r="AI84" s="348"/>
      <c r="AJ84" s="348"/>
      <c r="AK84" s="348"/>
      <c r="AL84" s="348"/>
      <c r="AM84" s="5"/>
      <c r="AN84" s="5"/>
    </row>
    <row r="85" spans="1:40" x14ac:dyDescent="0.2">
      <c r="A85" s="254" t="s">
        <v>179</v>
      </c>
      <c r="B85" s="254"/>
      <c r="C85" s="254"/>
      <c r="D85" s="254"/>
      <c r="E85" s="254"/>
      <c r="F85" s="341">
        <f>Data!B541</f>
        <v>0</v>
      </c>
      <c r="G85" s="342"/>
      <c r="H85" s="342"/>
      <c r="I85" s="342"/>
      <c r="J85" s="342"/>
      <c r="K85" s="342"/>
      <c r="L85" s="342"/>
      <c r="M85" s="342"/>
      <c r="N85" s="343"/>
      <c r="O85" s="337">
        <f>Data!B542</f>
        <v>0</v>
      </c>
      <c r="P85" s="337"/>
      <c r="Q85" s="337"/>
      <c r="R85" s="337"/>
      <c r="S85" s="341"/>
      <c r="T85" s="337">
        <f>Data!B536</f>
        <v>0</v>
      </c>
      <c r="U85" s="337"/>
      <c r="V85" s="337"/>
      <c r="W85" s="337"/>
      <c r="X85" s="337"/>
      <c r="Y85" s="337"/>
      <c r="Z85" s="337"/>
      <c r="AA85" s="337"/>
      <c r="AB85" s="337"/>
      <c r="AC85" s="337"/>
      <c r="AD85" s="337"/>
      <c r="AE85" s="337"/>
      <c r="AF85" s="348"/>
      <c r="AG85" s="348"/>
      <c r="AH85" s="348"/>
      <c r="AI85" s="348"/>
      <c r="AJ85" s="348"/>
      <c r="AK85" s="348"/>
      <c r="AL85" s="348"/>
    </row>
    <row r="86" spans="1:40" x14ac:dyDescent="0.2">
      <c r="A86" s="254" t="s">
        <v>1068</v>
      </c>
      <c r="B86" s="254"/>
      <c r="C86" s="254"/>
      <c r="D86" s="254"/>
      <c r="E86" s="254"/>
      <c r="F86" s="341" t="str">
        <f>Data!B468&amp;IF(OR(Data!B1320=TRUE,Data!B1321=TRUE),"  Unable to get on scale.","")</f>
        <v/>
      </c>
      <c r="G86" s="342"/>
      <c r="H86" s="342"/>
      <c r="I86" s="342"/>
      <c r="J86" s="342"/>
      <c r="K86" s="342"/>
      <c r="L86" s="342"/>
      <c r="M86" s="342"/>
      <c r="N86" s="343"/>
      <c r="O86" s="337" t="str">
        <f>IF(Data!B469="","N/A",Data!B469)</f>
        <v>N/A</v>
      </c>
      <c r="P86" s="337"/>
      <c r="Q86" s="337"/>
      <c r="R86" s="337"/>
      <c r="S86" s="341"/>
      <c r="T86" s="337" t="str">
        <f>Data!B470&amp;" "&amp;Data!B471</f>
        <v xml:space="preserve"> </v>
      </c>
      <c r="U86" s="337"/>
      <c r="V86" s="337"/>
      <c r="W86" s="337"/>
      <c r="X86" s="337"/>
      <c r="Y86" s="337"/>
      <c r="Z86" s="337"/>
      <c r="AA86" s="337"/>
      <c r="AB86" s="337"/>
      <c r="AC86" s="337"/>
      <c r="AD86" s="337"/>
      <c r="AE86" s="337"/>
      <c r="AF86" s="348"/>
      <c r="AG86" s="348"/>
      <c r="AH86" s="348"/>
      <c r="AI86" s="348"/>
      <c r="AJ86" s="348"/>
      <c r="AK86" s="348"/>
      <c r="AL86" s="348"/>
    </row>
    <row r="87" spans="1:40" x14ac:dyDescent="0.2">
      <c r="A87" s="340" t="s">
        <v>678</v>
      </c>
      <c r="B87" s="340"/>
      <c r="C87" s="340"/>
      <c r="D87" s="340"/>
      <c r="E87" s="340"/>
      <c r="F87" s="340"/>
      <c r="G87" s="340"/>
      <c r="H87" s="340"/>
      <c r="I87" s="340"/>
      <c r="J87" s="340"/>
      <c r="K87" s="340"/>
      <c r="L87" s="340"/>
      <c r="M87" s="340"/>
      <c r="N87" s="340"/>
      <c r="O87" s="340"/>
      <c r="P87" s="340"/>
      <c r="Q87" s="340"/>
      <c r="R87" s="340"/>
      <c r="S87" s="340"/>
      <c r="T87" s="340"/>
      <c r="U87" s="340"/>
      <c r="V87" s="340"/>
      <c r="W87" s="340"/>
      <c r="X87" s="340"/>
      <c r="Y87" s="340"/>
      <c r="Z87" s="340"/>
      <c r="AA87" s="340"/>
      <c r="AB87" s="340"/>
      <c r="AC87" s="340"/>
      <c r="AD87" s="340"/>
      <c r="AE87" s="340"/>
      <c r="AF87" s="340"/>
      <c r="AG87" s="340"/>
      <c r="AH87" s="340"/>
      <c r="AI87" s="340"/>
      <c r="AJ87" s="340"/>
      <c r="AK87" s="340"/>
      <c r="AL87" s="340"/>
    </row>
    <row r="88" spans="1:40" x14ac:dyDescent="0.2">
      <c r="A88" t="s">
        <v>342</v>
      </c>
      <c r="D88" s="240">
        <f>Data!B43</f>
        <v>0</v>
      </c>
      <c r="E88" s="240"/>
      <c r="F88" s="240"/>
      <c r="G88" s="240"/>
      <c r="H88" s="240"/>
      <c r="I88" s="240"/>
      <c r="J88" s="240"/>
      <c r="K88" s="240"/>
      <c r="L88" s="240"/>
      <c r="M88" s="240"/>
      <c r="N88" s="240"/>
      <c r="O88" s="240"/>
      <c r="P88" s="240"/>
      <c r="Q88" s="240"/>
      <c r="R88" s="240"/>
      <c r="T88" t="s">
        <v>342</v>
      </c>
      <c r="W88" s="240" t="str">
        <f>IF(Data!B55="","N/A",Data!B55)</f>
        <v>N/A</v>
      </c>
      <c r="X88" s="240"/>
      <c r="Y88" s="240"/>
      <c r="Z88" s="240"/>
      <c r="AA88" s="240"/>
      <c r="AB88" s="240"/>
      <c r="AC88" s="240"/>
      <c r="AD88" s="240"/>
      <c r="AE88" s="240"/>
      <c r="AF88" s="240"/>
      <c r="AG88" s="240"/>
      <c r="AH88" s="240"/>
      <c r="AI88" s="240"/>
      <c r="AJ88" s="240"/>
      <c r="AK88" s="240"/>
      <c r="AL88" s="240"/>
    </row>
    <row r="89" spans="1:40" x14ac:dyDescent="0.2">
      <c r="A89" t="s">
        <v>348</v>
      </c>
      <c r="D89" s="338" t="str">
        <f>_xlfn.CONCAT(IF(Data!B45&lt;&gt;"","Home: "&amp;TEXT(Data!B45,"(###) ###-####")&amp;" ","No home phone.  "),IF(Data!B46&lt;&gt;"","Cell: "&amp;TEXT(Data!B46,"(###) ###-####")&amp;" "," No cell phone."))</f>
        <v>No home phone.   No cell phone.</v>
      </c>
      <c r="E89" s="338"/>
      <c r="F89" s="338"/>
      <c r="G89" s="338"/>
      <c r="H89" s="338"/>
      <c r="I89" s="338"/>
      <c r="J89" s="338"/>
      <c r="K89" s="338"/>
      <c r="L89" s="338"/>
      <c r="M89" s="338"/>
      <c r="N89" s="338"/>
      <c r="O89" s="338"/>
      <c r="P89" s="338"/>
      <c r="Q89" s="338"/>
      <c r="R89" s="338"/>
      <c r="T89" t="s">
        <v>348</v>
      </c>
      <c r="W89" s="338" t="str">
        <f>IF(Data!B55="","N/A",IF(Data!B57&lt;&gt;"","Home: "&amp;TEXT(Data!B57,"(###) ###-####")&amp;" ","No home phone.  ")&amp;IF(Data!B58&lt;&gt;"","Cell: "&amp;TEXT(Data!B58,"(###) ###-####")&amp;" "," No cell phone."))</f>
        <v>N/A</v>
      </c>
      <c r="X89" s="338"/>
      <c r="Y89" s="338"/>
      <c r="Z89" s="338"/>
      <c r="AA89" s="338"/>
      <c r="AB89" s="338"/>
      <c r="AC89" s="338"/>
      <c r="AD89" s="338"/>
      <c r="AE89" s="338"/>
      <c r="AF89" s="338"/>
      <c r="AG89" s="338"/>
      <c r="AH89" s="338"/>
      <c r="AI89" s="338"/>
      <c r="AJ89" s="338"/>
      <c r="AK89" s="338"/>
      <c r="AL89" s="338"/>
    </row>
    <row r="90" spans="1:40" x14ac:dyDescent="0.2">
      <c r="A90" t="s">
        <v>344</v>
      </c>
      <c r="D90" s="240">
        <f>Data!B48</f>
        <v>0</v>
      </c>
      <c r="E90" s="240"/>
      <c r="F90" s="240"/>
      <c r="G90" s="240"/>
      <c r="H90" s="240"/>
      <c r="I90" s="240"/>
      <c r="J90" s="240"/>
      <c r="K90" s="240"/>
      <c r="L90" s="240"/>
      <c r="M90" s="240"/>
      <c r="N90" s="240"/>
      <c r="O90" s="240"/>
      <c r="P90" s="240"/>
      <c r="Q90" s="240"/>
      <c r="R90" s="240"/>
      <c r="T90" t="s">
        <v>344</v>
      </c>
      <c r="W90" s="240" t="str">
        <f>IF(Data!B60="","N/A",Data!B60)</f>
        <v>N/A</v>
      </c>
      <c r="X90" s="240"/>
      <c r="Y90" s="240"/>
      <c r="Z90" s="240"/>
      <c r="AA90" s="240"/>
      <c r="AB90" s="240"/>
      <c r="AC90" s="240"/>
      <c r="AD90" s="240"/>
      <c r="AE90" s="240"/>
      <c r="AF90" s="240"/>
      <c r="AG90" s="240"/>
      <c r="AH90" s="240"/>
      <c r="AI90" s="240"/>
      <c r="AJ90" s="240"/>
      <c r="AK90" s="240"/>
      <c r="AL90" s="240"/>
    </row>
    <row r="91" spans="1:40" x14ac:dyDescent="0.2">
      <c r="A91" s="340" t="s">
        <v>1118</v>
      </c>
      <c r="B91" s="340"/>
      <c r="C91" s="340"/>
      <c r="D91" s="340"/>
      <c r="E91" s="340"/>
      <c r="F91" s="340"/>
      <c r="G91" s="340"/>
      <c r="H91" s="340"/>
      <c r="I91" s="340"/>
      <c r="J91" s="340"/>
      <c r="K91" s="340"/>
      <c r="L91" s="340"/>
      <c r="M91" s="340"/>
      <c r="N91" s="340"/>
      <c r="O91" s="340"/>
      <c r="P91" s="340"/>
      <c r="Q91" s="340"/>
      <c r="R91" s="340"/>
      <c r="S91" s="340"/>
      <c r="T91" s="340"/>
      <c r="U91" s="340"/>
      <c r="V91" s="340"/>
      <c r="W91" s="340"/>
      <c r="X91" s="340"/>
      <c r="Y91" s="340"/>
      <c r="Z91" s="340"/>
      <c r="AA91" s="340"/>
      <c r="AB91" s="340"/>
      <c r="AC91" s="340"/>
      <c r="AD91" s="340"/>
      <c r="AE91" s="340"/>
      <c r="AF91" s="340"/>
      <c r="AG91" s="340"/>
      <c r="AH91" s="340"/>
      <c r="AI91" s="340"/>
      <c r="AJ91" s="340"/>
      <c r="AK91" s="340"/>
      <c r="AL91" s="340"/>
    </row>
    <row r="92" spans="1:40" x14ac:dyDescent="0.2">
      <c r="A92" t="s">
        <v>1119</v>
      </c>
      <c r="F92" s="338" t="str">
        <f>_xlfn.CONCAT(IF(Data!B270=TRUE,"Monitor for changes in ability to drive safely.",""),IF(Data!B274=TRUE," Provide transportation as needed per rules.",""),IF(Data!B272="Aide's Car"," Use Aide's car.","Use client's car."),IF(Data!B185="Medicaid"," Dr Appts must use Medicaid Trans.","")," ",Data!B1352)</f>
        <v xml:space="preserve">Use client's car. </v>
      </c>
      <c r="G92" s="338"/>
      <c r="H92" s="338"/>
      <c r="I92" s="338"/>
      <c r="J92" s="338"/>
      <c r="K92" s="338"/>
      <c r="L92" s="338"/>
      <c r="M92" s="338"/>
      <c r="N92" s="338"/>
      <c r="O92" s="338"/>
      <c r="P92" s="338"/>
      <c r="Q92" s="338"/>
      <c r="R92" s="338"/>
      <c r="S92" s="338"/>
      <c r="T92" s="338"/>
      <c r="U92" s="338"/>
      <c r="V92" s="338"/>
      <c r="W92" s="338"/>
      <c r="X92" s="338"/>
      <c r="Y92" s="338"/>
      <c r="Z92" s="338"/>
      <c r="AA92" s="338"/>
      <c r="AB92" s="338"/>
      <c r="AC92" s="338"/>
      <c r="AD92" s="338"/>
      <c r="AE92" s="338"/>
      <c r="AF92" s="338"/>
      <c r="AG92" s="338"/>
      <c r="AH92" s="338"/>
      <c r="AI92" s="338"/>
      <c r="AJ92" s="338"/>
      <c r="AK92" s="338"/>
      <c r="AL92" s="338"/>
    </row>
    <row r="93" spans="1:40" x14ac:dyDescent="0.2">
      <c r="A93" t="s">
        <v>1120</v>
      </c>
      <c r="F93" s="338" t="str">
        <f>_xlfn.CONCAT(IF(Data!B283="Independent","Monitor for changes in ability to complete housework safely.",""),IF(OR(Data!B283="Hands On Assist",Data!B283="Standby Assist")," Assist client with housekeeping tasks keeping to client's areas and belongings only.",""),IF(Data!B283="Dependent"," Aide should keep home clean and free from fall hazards. Client's area and belongings only.","")," ",Data!B1353)</f>
        <v xml:space="preserve"> </v>
      </c>
      <c r="G93" s="338"/>
      <c r="H93" s="338"/>
      <c r="I93" s="338"/>
      <c r="J93" s="338"/>
      <c r="K93" s="338"/>
      <c r="L93" s="338"/>
      <c r="M93" s="338"/>
      <c r="N93" s="338"/>
      <c r="O93" s="338"/>
      <c r="P93" s="338"/>
      <c r="Q93" s="338"/>
      <c r="R93" s="338"/>
      <c r="S93" s="338"/>
      <c r="T93" s="338"/>
      <c r="U93" s="338"/>
      <c r="V93" s="338"/>
      <c r="W93" s="338"/>
      <c r="X93" s="338"/>
      <c r="Y93" s="338"/>
      <c r="Z93" s="338"/>
      <c r="AA93" s="338"/>
      <c r="AB93" s="338"/>
      <c r="AC93" s="338"/>
      <c r="AD93" s="338"/>
      <c r="AE93" s="338"/>
      <c r="AF93" s="338"/>
      <c r="AG93" s="338"/>
      <c r="AH93" s="338"/>
      <c r="AI93" s="338"/>
      <c r="AJ93" s="338"/>
      <c r="AK93" s="338"/>
      <c r="AL93" s="338"/>
    </row>
    <row r="94" spans="1:40" x14ac:dyDescent="0.2">
      <c r="A94" t="s">
        <v>1121</v>
      </c>
      <c r="F94" s="338" t="str">
        <f>_xlfn.CONCAT(IF(Data!B160=TRUE,"Remind client to wear hearing aids. Keep aids charged and close to client.",""),IF(Data!B573="None"," Monitor for changes in hearing."," Speak slowly and clearly directly to client."),IF(Data!B195="No", " Provide translation.","")," ",Data!B1354)</f>
        <v xml:space="preserve"> Speak slowly and clearly directly to client. </v>
      </c>
      <c r="G94" s="338"/>
      <c r="H94" s="338"/>
      <c r="I94" s="338"/>
      <c r="J94" s="338"/>
      <c r="K94" s="338"/>
      <c r="L94" s="338"/>
      <c r="M94" s="338"/>
      <c r="N94" s="338"/>
      <c r="O94" s="338"/>
      <c r="P94" s="338"/>
      <c r="Q94" s="338"/>
      <c r="R94" s="338"/>
      <c r="S94" s="338"/>
      <c r="T94" s="338"/>
      <c r="U94" s="338"/>
      <c r="V94" s="338"/>
      <c r="W94" s="338"/>
      <c r="X94" s="338"/>
      <c r="Y94" s="338"/>
      <c r="Z94" s="338"/>
      <c r="AA94" s="338"/>
      <c r="AB94" s="338"/>
      <c r="AC94" s="338"/>
      <c r="AD94" s="338"/>
      <c r="AE94" s="338"/>
      <c r="AF94" s="338"/>
      <c r="AG94" s="338"/>
      <c r="AH94" s="338"/>
      <c r="AI94" s="338"/>
      <c r="AJ94" s="338"/>
      <c r="AK94" s="338"/>
      <c r="AL94" s="338"/>
    </row>
    <row r="95" spans="1:40" x14ac:dyDescent="0.2">
      <c r="A95" t="s">
        <v>1122</v>
      </c>
      <c r="F95" s="338" t="str">
        <f>_xlfn.CONCAT(IF(Data!B155=TRUE,"Remind client to wear glasses. Keep glasses clean and close to client.",""),IF(Data!B590="None"," Monitor for changes in vision."," Keep home clear from hazards."),IF(Data!B195="No"," Provide translation.","")," ",Data!B1355)</f>
        <v xml:space="preserve"> Keep home clear from hazards. </v>
      </c>
      <c r="G95" s="338"/>
      <c r="H95" s="338"/>
      <c r="I95" s="338"/>
      <c r="J95" s="338"/>
      <c r="K95" s="338"/>
      <c r="L95" s="338"/>
      <c r="M95" s="338"/>
      <c r="N95" s="338"/>
      <c r="O95" s="338"/>
      <c r="P95" s="338"/>
      <c r="Q95" s="338"/>
      <c r="R95" s="338"/>
      <c r="S95" s="338"/>
      <c r="T95" s="338"/>
      <c r="U95" s="338"/>
      <c r="V95" s="338"/>
      <c r="W95" s="338"/>
      <c r="X95" s="338"/>
      <c r="Y95" s="338"/>
      <c r="Z95" s="338"/>
      <c r="AA95" s="338"/>
      <c r="AB95" s="338"/>
      <c r="AC95" s="338"/>
      <c r="AD95" s="338"/>
      <c r="AE95" s="338"/>
      <c r="AF95" s="338"/>
      <c r="AG95" s="338"/>
      <c r="AH95" s="338"/>
      <c r="AI95" s="338"/>
      <c r="AJ95" s="338"/>
      <c r="AK95" s="338"/>
      <c r="AL95" s="338"/>
    </row>
    <row r="96" spans="1:40" x14ac:dyDescent="0.2">
      <c r="A96" t="s">
        <v>1123</v>
      </c>
      <c r="F96" s="338" t="str">
        <f>_xlfn.CONCAT(IF(OR(Data!B752=TRUE,Data!B753=TRUE),"Monitor for SOB and Cyanosis or changes to breathing patterns.","Monitor for changes in breathing."),IF(Data!B466="Yes"," Remind client to wear oxygen and monitor equipment.","")," ",Data!B1356,IF(Data!B794=TRUE," Keep inhalers close to client.",""))</f>
        <v xml:space="preserve">Monitor for changes in breathing. </v>
      </c>
      <c r="G96" s="338"/>
      <c r="H96" s="338"/>
      <c r="I96" s="338"/>
      <c r="J96" s="338"/>
      <c r="K96" s="338"/>
      <c r="L96" s="338"/>
      <c r="M96" s="338"/>
      <c r="N96" s="338"/>
      <c r="O96" s="338"/>
      <c r="P96" s="338"/>
      <c r="Q96" s="338"/>
      <c r="R96" s="338"/>
      <c r="S96" s="338"/>
      <c r="T96" s="338"/>
      <c r="U96" s="338"/>
      <c r="V96" s="338"/>
      <c r="W96" s="338"/>
      <c r="X96" s="338"/>
      <c r="Y96" s="338"/>
      <c r="Z96" s="338"/>
      <c r="AA96" s="338"/>
      <c r="AB96" s="338"/>
      <c r="AC96" s="338"/>
      <c r="AD96" s="338"/>
      <c r="AE96" s="338"/>
      <c r="AF96" s="338"/>
      <c r="AG96" s="338"/>
      <c r="AH96" s="338"/>
      <c r="AI96" s="338"/>
      <c r="AJ96" s="338"/>
      <c r="AK96" s="338"/>
      <c r="AL96" s="338"/>
    </row>
    <row r="97" spans="1:38" x14ac:dyDescent="0.2">
      <c r="A97" t="s">
        <v>1124</v>
      </c>
      <c r="F97" s="338" t="str">
        <f>_xlfn.CONCAT(IF(Data!B836="Independent","Monitor for changes in speech and report significant changes."," Allow client time to formulate speech and monitor for significant changes."),IF(Data!B195="No"," Provide translation.","")," ",Data!B1357)</f>
        <v xml:space="preserve"> Allow client time to formulate speech and monitor for significant changes. </v>
      </c>
      <c r="G97" s="338"/>
      <c r="H97" s="338"/>
      <c r="I97" s="338"/>
      <c r="J97" s="338"/>
      <c r="K97" s="338"/>
      <c r="L97" s="338"/>
      <c r="M97" s="338"/>
      <c r="N97" s="338"/>
      <c r="O97" s="338"/>
      <c r="P97" s="338"/>
      <c r="Q97" s="338"/>
      <c r="R97" s="338"/>
      <c r="S97" s="338"/>
      <c r="T97" s="338"/>
      <c r="U97" s="338"/>
      <c r="V97" s="338"/>
      <c r="W97" s="338"/>
      <c r="X97" s="338"/>
      <c r="Y97" s="338"/>
      <c r="Z97" s="338"/>
      <c r="AA97" s="338"/>
      <c r="AB97" s="338"/>
      <c r="AC97" s="338"/>
      <c r="AD97" s="338"/>
      <c r="AE97" s="338"/>
      <c r="AF97" s="338"/>
      <c r="AG97" s="338"/>
      <c r="AH97" s="338"/>
      <c r="AI97" s="338"/>
      <c r="AJ97" s="338"/>
      <c r="AK97" s="338"/>
      <c r="AL97" s="338"/>
    </row>
    <row r="98" spans="1:38" x14ac:dyDescent="0.2">
      <c r="A98" t="s">
        <v>1125</v>
      </c>
      <c r="F98" s="338" t="str">
        <f>_xlfn.CONCAT(IF(Data!B896="Independent","Monitor for abnormal changes in mood or thought process.  Provide emotional support, mental stimulation and supervision as needed.","Provide cues, emotional support, mental stimulation, supervision and redirection as needed. Report significant changes."),IF(Data!B876=TRUE," Client cannot be left alone.","")," ",Data!B1358)</f>
        <v xml:space="preserve">Provide cues, emotional support, mental stimulation, supervision and redirection as needed. Report significant changes. </v>
      </c>
      <c r="G98" s="338"/>
      <c r="H98" s="338"/>
      <c r="I98" s="338"/>
      <c r="J98" s="338"/>
      <c r="K98" s="338"/>
      <c r="L98" s="338"/>
      <c r="M98" s="338"/>
      <c r="N98" s="338"/>
      <c r="O98" s="338"/>
      <c r="P98" s="338"/>
      <c r="Q98" s="338"/>
      <c r="R98" s="338"/>
      <c r="S98" s="338"/>
      <c r="T98" s="338"/>
      <c r="U98" s="338"/>
      <c r="V98" s="338"/>
      <c r="W98" s="338"/>
      <c r="X98" s="338"/>
      <c r="Y98" s="338"/>
      <c r="Z98" s="338"/>
      <c r="AA98" s="338"/>
      <c r="AB98" s="338"/>
      <c r="AC98" s="338"/>
      <c r="AD98" s="338"/>
      <c r="AE98" s="338"/>
      <c r="AF98" s="338"/>
      <c r="AG98" s="338"/>
      <c r="AH98" s="338"/>
      <c r="AI98" s="338"/>
      <c r="AJ98" s="338"/>
      <c r="AK98" s="338"/>
      <c r="AL98" s="338"/>
    </row>
    <row r="99" spans="1:38" x14ac:dyDescent="0.2">
      <c r="A99" t="s">
        <v>1126</v>
      </c>
      <c r="F99" s="338" t="str">
        <f>_xlfn.CONCAT(IF(Data!B911="Independent","Monitor for changes in ability to use telephone. Keep phone near client.","Keep phone near client."),IF(Data!B195="No"," Provide translation.","")," ",Data!B1359,IF(AND(Data!B907="Yes",Data!B908="Yes"),"Provide total assistance with telephone.","Provide assistance with telephone."))</f>
        <v>Keep phone near client. Provide assistance with telephone.</v>
      </c>
      <c r="G99" s="338"/>
      <c r="H99" s="338"/>
      <c r="I99" s="338"/>
      <c r="J99" s="338"/>
      <c r="K99" s="338"/>
      <c r="L99" s="338"/>
      <c r="M99" s="338"/>
      <c r="N99" s="338"/>
      <c r="O99" s="338"/>
      <c r="P99" s="338"/>
      <c r="Q99" s="338"/>
      <c r="R99" s="338"/>
      <c r="S99" s="338"/>
      <c r="T99" s="338"/>
      <c r="U99" s="338"/>
      <c r="V99" s="338"/>
      <c r="W99" s="338"/>
      <c r="X99" s="338"/>
      <c r="Y99" s="338"/>
      <c r="Z99" s="338"/>
      <c r="AA99" s="338"/>
      <c r="AB99" s="338"/>
      <c r="AC99" s="338"/>
      <c r="AD99" s="338"/>
      <c r="AE99" s="338"/>
      <c r="AF99" s="338"/>
      <c r="AG99" s="338"/>
      <c r="AH99" s="338"/>
      <c r="AI99" s="338"/>
      <c r="AJ99" s="338"/>
      <c r="AK99" s="338"/>
      <c r="AL99" s="338"/>
    </row>
    <row r="100" spans="1:38" x14ac:dyDescent="0.2">
      <c r="A100" s="339" t="str">
        <f>_xlfn.CONCAT(IF(Data!B1715=TRUE,"Client is safe to be alone.",""),IF(Data!B1714=TRUE,"Client is safe to be alone but is recommended to have supervision from friends/family due to cognitive/mobility deficits.",""),IF(Data!B876=TRUE,"Client is not safe to be alone.  Family/friends should provide supervision when caregiver is not scheduled.",""))</f>
        <v/>
      </c>
      <c r="B100" s="339"/>
      <c r="C100" s="339"/>
      <c r="D100" s="339"/>
      <c r="E100" s="339"/>
      <c r="F100" s="339"/>
      <c r="G100" s="339"/>
      <c r="H100" s="339"/>
      <c r="I100" s="339"/>
      <c r="J100" s="339"/>
      <c r="K100" s="339"/>
      <c r="L100" s="339"/>
      <c r="M100" s="339"/>
      <c r="N100" s="339"/>
      <c r="O100" s="339"/>
      <c r="P100" s="339"/>
      <c r="Q100" s="339"/>
      <c r="R100" s="339"/>
      <c r="S100" s="339"/>
      <c r="T100" s="339"/>
      <c r="U100" s="339"/>
      <c r="V100" s="339"/>
      <c r="W100" s="339"/>
      <c r="X100" s="339"/>
      <c r="Y100" s="339"/>
      <c r="Z100" s="339"/>
      <c r="AA100" s="339"/>
      <c r="AB100" s="339"/>
      <c r="AC100" s="339"/>
      <c r="AD100" s="339"/>
      <c r="AE100" s="339"/>
      <c r="AF100" s="339"/>
      <c r="AG100" s="339"/>
      <c r="AH100" s="339"/>
      <c r="AI100" s="339"/>
      <c r="AJ100" s="339"/>
      <c r="AK100" s="339"/>
      <c r="AL100" s="339"/>
    </row>
  </sheetData>
  <mergeCells count="142">
    <mergeCell ref="Y58:AL58"/>
    <mergeCell ref="F59:R59"/>
    <mergeCell ref="Y59:AL59"/>
    <mergeCell ref="F86:N86"/>
    <mergeCell ref="T85:AE85"/>
    <mergeCell ref="T86:AE86"/>
    <mergeCell ref="E67:AL67"/>
    <mergeCell ref="E68:AL68"/>
    <mergeCell ref="F69:AL70"/>
    <mergeCell ref="A71:AL71"/>
    <mergeCell ref="E1:AL1"/>
    <mergeCell ref="A83:E83"/>
    <mergeCell ref="O83:S83"/>
    <mergeCell ref="A84:E84"/>
    <mergeCell ref="O84:S84"/>
    <mergeCell ref="A82:E82"/>
    <mergeCell ref="F83:N83"/>
    <mergeCell ref="F84:N84"/>
    <mergeCell ref="T84:AE84"/>
    <mergeCell ref="F79:N79"/>
    <mergeCell ref="AF79:AL86"/>
    <mergeCell ref="T79:AE79"/>
    <mergeCell ref="T80:AE80"/>
    <mergeCell ref="T81:AE81"/>
    <mergeCell ref="T82:AE82"/>
    <mergeCell ref="T83:AE83"/>
    <mergeCell ref="F80:N80"/>
    <mergeCell ref="F62:AL63"/>
    <mergeCell ref="F64:AL65"/>
    <mergeCell ref="E66:AL66"/>
    <mergeCell ref="F81:N81"/>
    <mergeCell ref="F82:N82"/>
    <mergeCell ref="A57:AL57"/>
    <mergeCell ref="F58:R58"/>
    <mergeCell ref="F98:AL98"/>
    <mergeCell ref="F99:AL99"/>
    <mergeCell ref="A91:AL91"/>
    <mergeCell ref="F92:AL92"/>
    <mergeCell ref="F93:AL93"/>
    <mergeCell ref="F94:AL94"/>
    <mergeCell ref="F95:AL95"/>
    <mergeCell ref="F96:AL96"/>
    <mergeCell ref="A85:E85"/>
    <mergeCell ref="F97:AL97"/>
    <mergeCell ref="O85:S85"/>
    <mergeCell ref="A86:E86"/>
    <mergeCell ref="O86:S86"/>
    <mergeCell ref="A87:AL87"/>
    <mergeCell ref="D88:R88"/>
    <mergeCell ref="D89:R89"/>
    <mergeCell ref="F85:N85"/>
    <mergeCell ref="D90:R90"/>
    <mergeCell ref="W88:AL88"/>
    <mergeCell ref="W89:AL89"/>
    <mergeCell ref="W90:AL90"/>
    <mergeCell ref="I32:Y32"/>
    <mergeCell ref="I33:Y33"/>
    <mergeCell ref="I34:Y34"/>
    <mergeCell ref="A35:AL35"/>
    <mergeCell ref="A39:AL39"/>
    <mergeCell ref="A41:AL42"/>
    <mergeCell ref="A44:AL44"/>
    <mergeCell ref="A37:AL38"/>
    <mergeCell ref="J49:T49"/>
    <mergeCell ref="D43:AL43"/>
    <mergeCell ref="A25:AL25"/>
    <mergeCell ref="A26:AL28"/>
    <mergeCell ref="A30:AL30"/>
    <mergeCell ref="F22:O22"/>
    <mergeCell ref="T22:AJ22"/>
    <mergeCell ref="F23:O23"/>
    <mergeCell ref="T23:AJ23"/>
    <mergeCell ref="F24:O24"/>
    <mergeCell ref="T24:AJ24"/>
    <mergeCell ref="K29:AL29"/>
    <mergeCell ref="A19:AL21"/>
    <mergeCell ref="A14:C16"/>
    <mergeCell ref="D14:F16"/>
    <mergeCell ref="G14:I16"/>
    <mergeCell ref="J14:L16"/>
    <mergeCell ref="S14:U16"/>
    <mergeCell ref="M14:O16"/>
    <mergeCell ref="P14:R16"/>
    <mergeCell ref="AF15:AI15"/>
    <mergeCell ref="AC16:AJ16"/>
    <mergeCell ref="G17:AL17"/>
    <mergeCell ref="A18:AL18"/>
    <mergeCell ref="A12:U12"/>
    <mergeCell ref="A13:C13"/>
    <mergeCell ref="D13:F13"/>
    <mergeCell ref="G13:I13"/>
    <mergeCell ref="J13:L13"/>
    <mergeCell ref="M13:O13"/>
    <mergeCell ref="AB6:AK6"/>
    <mergeCell ref="P13:R13"/>
    <mergeCell ref="S13:U13"/>
    <mergeCell ref="A11:I11"/>
    <mergeCell ref="J11:AK11"/>
    <mergeCell ref="G7:Q7"/>
    <mergeCell ref="G8:Q8"/>
    <mergeCell ref="X7:AD7"/>
    <mergeCell ref="X8:AD8"/>
    <mergeCell ref="AG7:AL7"/>
    <mergeCell ref="AG8:AL8"/>
    <mergeCell ref="A100:AL100"/>
    <mergeCell ref="A55:AL56"/>
    <mergeCell ref="A50:AL50"/>
    <mergeCell ref="AD49:AL49"/>
    <mergeCell ref="F45:AL45"/>
    <mergeCell ref="F46:AL46"/>
    <mergeCell ref="H47:AL47"/>
    <mergeCell ref="H48:AL48"/>
    <mergeCell ref="A53:AL53"/>
    <mergeCell ref="E52:S52"/>
    <mergeCell ref="W52:Z52"/>
    <mergeCell ref="AH52:AL52"/>
    <mergeCell ref="X60:AL60"/>
    <mergeCell ref="O80:S80"/>
    <mergeCell ref="O82:S82"/>
    <mergeCell ref="A81:E81"/>
    <mergeCell ref="O81:S81"/>
    <mergeCell ref="A78:AL78"/>
    <mergeCell ref="A79:E79"/>
    <mergeCell ref="O79:S79"/>
    <mergeCell ref="A80:E80"/>
    <mergeCell ref="J74:AL74"/>
    <mergeCell ref="G72:AL73"/>
    <mergeCell ref="A61:AL61"/>
    <mergeCell ref="I2:AG2"/>
    <mergeCell ref="A10:AL10"/>
    <mergeCell ref="G5:Q5"/>
    <mergeCell ref="AA5:AC5"/>
    <mergeCell ref="AH5:AL5"/>
    <mergeCell ref="AH3:AL3"/>
    <mergeCell ref="E3:S3"/>
    <mergeCell ref="W3:Z3"/>
    <mergeCell ref="AH4:AL4"/>
    <mergeCell ref="F4:J4"/>
    <mergeCell ref="Q4:V4"/>
    <mergeCell ref="D6:F6"/>
    <mergeCell ref="M6:O6"/>
    <mergeCell ref="U6:W6"/>
  </mergeCells>
  <pageMargins left="0.25" right="0.25" top="0.75" bottom="0.75" header="0.3" footer="0.3"/>
  <pageSetup orientation="portrait" verticalDpi="1200" r:id="rId1"/>
  <headerFooter>
    <oddHeader>&amp;L&amp;G&amp;RClient Care Plan (5 Page Document)
RN Initials__________</oddHeader>
    <oddFooter>&amp;LINT.PS&amp;C3088 Mercer University Drive Suite 100 Atlanta, GA 30341
678-310-6305 Fax 404-935-6110&amp;RPP.M</oddFooter>
  </headerFooter>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7">
    <tabColor theme="5" tint="-0.249977111117893"/>
  </sheetPr>
  <dimension ref="A1:AX22"/>
  <sheetViews>
    <sheetView showZeros="0" view="pageLayout" zoomScaleNormal="100" workbookViewId="0">
      <selection activeCell="K7" sqref="K7:AX7"/>
    </sheetView>
  </sheetViews>
  <sheetFormatPr defaultColWidth="2.7109375" defaultRowHeight="12.75" x14ac:dyDescent="0.2"/>
  <cols>
    <col min="10" max="10" width="3.7109375" customWidth="1"/>
    <col min="24" max="24" width="2.5703125" customWidth="1"/>
  </cols>
  <sheetData>
    <row r="1" spans="1:50" x14ac:dyDescent="0.2">
      <c r="A1" t="s">
        <v>3218</v>
      </c>
    </row>
    <row r="2" spans="1:50" x14ac:dyDescent="0.2">
      <c r="A2" t="s">
        <v>336</v>
      </c>
      <c r="E2" s="295" t="str">
        <f>_xlfn.CONCAT(Data!B2,", ",Data!B3," ",Data!B4)</f>
        <v xml:space="preserve">,  </v>
      </c>
      <c r="F2" s="295"/>
      <c r="G2" s="295"/>
      <c r="H2" s="295"/>
      <c r="I2" s="295"/>
      <c r="J2" s="295"/>
      <c r="K2" s="295"/>
      <c r="L2" s="295"/>
      <c r="M2" s="295"/>
      <c r="N2" s="295"/>
      <c r="O2" s="295"/>
      <c r="P2" s="295"/>
      <c r="R2" t="s">
        <v>371</v>
      </c>
      <c r="T2" s="350">
        <f>Data!B14</f>
        <v>0</v>
      </c>
      <c r="U2" s="295"/>
      <c r="V2" s="295"/>
      <c r="W2" s="295"/>
      <c r="X2" s="295"/>
      <c r="Z2" t="s">
        <v>582</v>
      </c>
      <c r="AE2" s="350">
        <f>Data!B33</f>
        <v>0</v>
      </c>
      <c r="AF2" s="295"/>
      <c r="AG2" s="295"/>
      <c r="AH2" s="295"/>
      <c r="AI2" s="295"/>
      <c r="AK2" t="s">
        <v>639</v>
      </c>
      <c r="AQ2" s="358">
        <f>Data!B35</f>
        <v>0</v>
      </c>
      <c r="AR2" s="358"/>
      <c r="AS2" s="358"/>
      <c r="AT2" s="358"/>
      <c r="AU2" s="358"/>
      <c r="AV2" s="358"/>
    </row>
    <row r="3" spans="1:50" x14ac:dyDescent="0.2">
      <c r="A3" s="356" t="s">
        <v>1072</v>
      </c>
      <c r="B3" s="356"/>
      <c r="C3" s="356"/>
      <c r="D3" s="356"/>
      <c r="E3" s="356"/>
      <c r="F3" s="356"/>
      <c r="G3" s="356"/>
      <c r="H3" s="356"/>
      <c r="I3" s="356"/>
      <c r="J3" s="356"/>
      <c r="K3" s="356"/>
      <c r="L3" s="356"/>
      <c r="M3" s="356"/>
      <c r="N3" s="356"/>
      <c r="O3" s="356"/>
      <c r="P3" s="356"/>
      <c r="Q3" s="356"/>
      <c r="R3" s="356"/>
      <c r="S3" s="356"/>
      <c r="T3" s="356"/>
      <c r="U3" s="356"/>
      <c r="V3" s="356"/>
      <c r="W3" s="356"/>
      <c r="X3" s="356"/>
      <c r="Y3" s="356"/>
      <c r="Z3" s="356"/>
      <c r="AA3" s="356"/>
      <c r="AB3" s="356"/>
      <c r="AC3" s="356"/>
      <c r="AD3" s="356"/>
      <c r="AE3" s="356"/>
      <c r="AF3" s="356"/>
      <c r="AG3" s="356"/>
      <c r="AH3" s="356"/>
      <c r="AI3" s="356"/>
      <c r="AJ3" s="356"/>
      <c r="AK3" s="356"/>
      <c r="AL3" s="356"/>
      <c r="AM3" s="356"/>
      <c r="AN3" s="356"/>
      <c r="AO3" s="356"/>
      <c r="AP3" s="356"/>
      <c r="AQ3" s="356"/>
      <c r="AR3" s="356"/>
      <c r="AS3" s="356"/>
      <c r="AT3" s="356"/>
      <c r="AU3" s="356"/>
      <c r="AV3" s="356"/>
      <c r="AW3" s="356"/>
      <c r="AX3" s="356"/>
    </row>
    <row r="4" spans="1:50" x14ac:dyDescent="0.2">
      <c r="A4" s="254" t="s">
        <v>1073</v>
      </c>
      <c r="B4" s="254"/>
      <c r="C4" s="254"/>
      <c r="D4" s="254"/>
      <c r="E4" s="254"/>
      <c r="F4" s="254" t="s">
        <v>114</v>
      </c>
      <c r="G4" s="254"/>
      <c r="H4" s="254"/>
      <c r="I4" s="254"/>
      <c r="J4" s="254"/>
      <c r="K4" s="254" t="s">
        <v>1086</v>
      </c>
      <c r="L4" s="254"/>
      <c r="M4" s="254"/>
      <c r="N4" s="254"/>
      <c r="O4" s="254"/>
      <c r="P4" s="254"/>
      <c r="Q4" s="254"/>
      <c r="R4" s="254"/>
      <c r="S4" s="254"/>
      <c r="T4" s="254"/>
      <c r="U4" s="254"/>
      <c r="V4" s="254"/>
      <c r="W4" s="254"/>
      <c r="X4" s="254"/>
      <c r="Y4" s="254"/>
      <c r="Z4" s="254"/>
      <c r="AA4" s="254"/>
      <c r="AB4" s="254"/>
      <c r="AC4" s="254"/>
      <c r="AD4" s="254"/>
      <c r="AE4" s="254"/>
      <c r="AF4" s="254"/>
      <c r="AG4" s="254"/>
      <c r="AH4" s="254"/>
      <c r="AI4" s="254"/>
      <c r="AJ4" s="254"/>
      <c r="AK4" s="254"/>
      <c r="AL4" s="254"/>
      <c r="AM4" s="254"/>
      <c r="AN4" s="254"/>
      <c r="AO4" s="254"/>
      <c r="AP4" s="254"/>
      <c r="AQ4" s="254"/>
      <c r="AR4" s="254"/>
      <c r="AS4" s="254"/>
      <c r="AT4" s="254"/>
      <c r="AU4" s="254"/>
      <c r="AV4" s="254"/>
      <c r="AW4" s="254"/>
      <c r="AX4" s="254"/>
    </row>
    <row r="5" spans="1:50" ht="25.35" customHeight="1" x14ac:dyDescent="0.2">
      <c r="A5" s="359" t="s">
        <v>1074</v>
      </c>
      <c r="B5" s="359"/>
      <c r="C5" s="359"/>
      <c r="D5" s="359"/>
      <c r="E5" s="359"/>
      <c r="F5" s="359">
        <f>Data!B574</f>
        <v>0</v>
      </c>
      <c r="G5" s="359"/>
      <c r="H5" s="359"/>
      <c r="I5" s="359"/>
      <c r="J5" s="359"/>
      <c r="K5" s="357" t="str">
        <f>_xlfn.CONCAT(IF(Data!B160=TRUE,"Wears Hearing Aids.",""),IF(Data!B195="no"," Cannot understand verbal English.",""),IF(Data!B560=TRUE," Hard of hearing in normal conversation.",""),IF(Data!B573="None",""," "&amp;Data!B573&amp;" hearing loss."),IF(AND(Data!B574="Independent",Data!B573="None"),"No observed functional limitations at time of the assessment.",""),IF(Data!E559&lt;&gt;"",Data!E559&amp;".",""),IF(Data!E560&lt;&gt;"",Data!E560&amp;".",""),IF(Data!B575&lt;&gt;"",Data!B575&amp;".",""),IF(Data!B576&lt;&gt;"",Data!B576&amp;".","")," ",Data!B1333," ",Data!B572)</f>
        <v xml:space="preserve">  hearing loss.  </v>
      </c>
      <c r="L5" s="357"/>
      <c r="M5" s="357"/>
      <c r="N5" s="357"/>
      <c r="O5" s="357"/>
      <c r="P5" s="357"/>
      <c r="Q5" s="357"/>
      <c r="R5" s="357"/>
      <c r="S5" s="357"/>
      <c r="T5" s="357"/>
      <c r="U5" s="357"/>
      <c r="V5" s="357"/>
      <c r="W5" s="357"/>
      <c r="X5" s="357"/>
      <c r="Y5" s="357"/>
      <c r="Z5" s="357"/>
      <c r="AA5" s="357"/>
      <c r="AB5" s="357"/>
      <c r="AC5" s="357"/>
      <c r="AD5" s="357"/>
      <c r="AE5" s="357"/>
      <c r="AF5" s="357"/>
      <c r="AG5" s="357"/>
      <c r="AH5" s="357"/>
      <c r="AI5" s="357"/>
      <c r="AJ5" s="357"/>
      <c r="AK5" s="357"/>
      <c r="AL5" s="357"/>
      <c r="AM5" s="357"/>
      <c r="AN5" s="357"/>
      <c r="AO5" s="357"/>
      <c r="AP5" s="357"/>
      <c r="AQ5" s="357"/>
      <c r="AR5" s="357"/>
      <c r="AS5" s="357"/>
      <c r="AT5" s="357"/>
      <c r="AU5" s="357"/>
      <c r="AV5" s="357"/>
      <c r="AW5" s="357"/>
      <c r="AX5" s="357"/>
    </row>
    <row r="6" spans="1:50" ht="25.35" customHeight="1" x14ac:dyDescent="0.2">
      <c r="A6" s="359" t="s">
        <v>1075</v>
      </c>
      <c r="B6" s="359"/>
      <c r="C6" s="359"/>
      <c r="D6" s="359"/>
      <c r="E6" s="359"/>
      <c r="F6" s="359">
        <f>Data!B591</f>
        <v>0</v>
      </c>
      <c r="G6" s="359"/>
      <c r="H6" s="359"/>
      <c r="I6" s="359"/>
      <c r="J6" s="359"/>
      <c r="K6" s="357" t="str">
        <f>_xlfn.CONCAT(IF(Data!B590="None","",Data!B590&amp;" vision loss."),IF(Data!B569=TRUE," Vertigo.",""),IF(Data!B586=TRUE," Blurred vision.",""),IF(Data!B196="No Formal Education"," No formal education.",""),IF(Data!B155=TRUE," Wears glasses.",""),IF(Data!B583=TRUE," Glaucoma.",""),IF(Data!B584=TRUE," Cataracts.",""),IF(Data!B587=TRUE," Mac Degeneration.",""),IF(Data!B195="No"," Cannot read English.",""),IF(Data!B333="Yes"," Fall risk.",""),IF(Data!E580&lt;&gt;"",Data!E580&amp;".",""),IF(Data!E581&lt;&gt;"",Data!E581&amp;".",""),IF(Data!B592&lt;&gt;"",Data!B592&amp;".",""),IF(Data!B593&lt;&gt;"",Data!B593&amp;".","")," ",Data!B1334," ",Data!B589)</f>
        <v xml:space="preserve"> vision loss.  </v>
      </c>
      <c r="L6" s="357"/>
      <c r="M6" s="357"/>
      <c r="N6" s="357"/>
      <c r="O6" s="357"/>
      <c r="P6" s="357"/>
      <c r="Q6" s="357"/>
      <c r="R6" s="357"/>
      <c r="S6" s="357"/>
      <c r="T6" s="357"/>
      <c r="U6" s="357"/>
      <c r="V6" s="357"/>
      <c r="W6" s="357"/>
      <c r="X6" s="357"/>
      <c r="Y6" s="357"/>
      <c r="Z6" s="357"/>
      <c r="AA6" s="357"/>
      <c r="AB6" s="357"/>
      <c r="AC6" s="357"/>
      <c r="AD6" s="357"/>
      <c r="AE6" s="357"/>
      <c r="AF6" s="357"/>
      <c r="AG6" s="357"/>
      <c r="AH6" s="357"/>
      <c r="AI6" s="357"/>
      <c r="AJ6" s="357"/>
      <c r="AK6" s="357"/>
      <c r="AL6" s="357"/>
      <c r="AM6" s="357"/>
      <c r="AN6" s="357"/>
      <c r="AO6" s="357"/>
      <c r="AP6" s="357"/>
      <c r="AQ6" s="357"/>
      <c r="AR6" s="357"/>
      <c r="AS6" s="357"/>
      <c r="AT6" s="357"/>
      <c r="AU6" s="357"/>
      <c r="AV6" s="357"/>
      <c r="AW6" s="357"/>
      <c r="AX6" s="357"/>
    </row>
    <row r="7" spans="1:50" ht="25.35" customHeight="1" x14ac:dyDescent="0.2">
      <c r="A7" s="359" t="s">
        <v>272</v>
      </c>
      <c r="B7" s="359"/>
      <c r="C7" s="359"/>
      <c r="D7" s="359"/>
      <c r="E7" s="359"/>
      <c r="F7" s="359">
        <f>Data!B836</f>
        <v>0</v>
      </c>
      <c r="G7" s="359"/>
      <c r="H7" s="359"/>
      <c r="I7" s="359"/>
      <c r="J7" s="359"/>
      <c r="K7" s="357" t="str">
        <f>_xlfn.CONCAT(IF(Data!B831=TRUE,"Mumbling.",""),IF(Data!B832=TRUE," Slurred speech.",""),IF(Data!B833=TRUE," Nonverbal.",""),IF(Data!B834=TRUE," Has difficulty with word choice.",""),IF(Data!B835="No"," Verbally inappropriate.",""),IF(Data!B195="No"," Cannot speak in English.",""),IF(Data!B836="Independent","","Difficulty formulating speech at times."),IF(AND(Data!B195="Yes",Data!B836="Independent"),"No observed functional limitations at time of assessment.","")," ",Data!B1335,IF(Data!B837&lt;&gt;"",", "&amp;Data!B837,""),IF(Data!B838&lt;&gt;"",", "&amp;Data!B838,""),,,,,,,IF(Data!B573="Mild","Mild Hearing Loss.",""),IF(Data!B573="Moderate","Moderate Hearing Loss.",""),IF(Data!B573="Severe","Severe hearing loss.",""),IF(Data!B573="Total","Total hearing loss.",""),IF(Data!B879=TRUE,"Forgetful. ",""),IF(Data!B882=TRUE,"Depression. ",""),IF(Data!B880=TRUE,"Confusion. ",""),IF(Data!B889=TRUE,"Anxious. ",""))</f>
        <v xml:space="preserve">Difficulty formulating speech at times. </v>
      </c>
      <c r="L7" s="357"/>
      <c r="M7" s="357"/>
      <c r="N7" s="357"/>
      <c r="O7" s="357"/>
      <c r="P7" s="357"/>
      <c r="Q7" s="357"/>
      <c r="R7" s="357"/>
      <c r="S7" s="357"/>
      <c r="T7" s="357"/>
      <c r="U7" s="357"/>
      <c r="V7" s="357"/>
      <c r="W7" s="357"/>
      <c r="X7" s="357"/>
      <c r="Y7" s="357"/>
      <c r="Z7" s="357"/>
      <c r="AA7" s="357"/>
      <c r="AB7" s="357"/>
      <c r="AC7" s="357"/>
      <c r="AD7" s="357"/>
      <c r="AE7" s="357"/>
      <c r="AF7" s="357"/>
      <c r="AG7" s="357"/>
      <c r="AH7" s="357"/>
      <c r="AI7" s="357"/>
      <c r="AJ7" s="357"/>
      <c r="AK7" s="357"/>
      <c r="AL7" s="357"/>
      <c r="AM7" s="357"/>
      <c r="AN7" s="357"/>
      <c r="AO7" s="357"/>
      <c r="AP7" s="357"/>
      <c r="AQ7" s="357"/>
      <c r="AR7" s="357"/>
      <c r="AS7" s="357"/>
      <c r="AT7" s="357"/>
      <c r="AU7" s="357"/>
      <c r="AV7" s="357"/>
      <c r="AW7" s="357"/>
      <c r="AX7" s="357"/>
    </row>
    <row r="8" spans="1:50" ht="51" customHeight="1" x14ac:dyDescent="0.2">
      <c r="A8" s="359" t="s">
        <v>306</v>
      </c>
      <c r="B8" s="359"/>
      <c r="C8" s="359"/>
      <c r="D8" s="359"/>
      <c r="E8" s="359"/>
      <c r="F8" s="359">
        <f>Data!B944</f>
        <v>0</v>
      </c>
      <c r="G8" s="359"/>
      <c r="H8" s="359"/>
      <c r="I8" s="359"/>
      <c r="J8" s="359"/>
      <c r="K8" s="357" t="str">
        <f>_xlfn.CONCAT(IF(Data!B590="None","",Data!B590&amp;" vision loss."),IF(Data!B925=TRUE," Unsteady gait.",""),IF(Data!B924=TRUE," Poor balance.",""),IF(Data!B923=TRUE," Unable to bear weight.",""),IF(Data!B921=TRUE," Muscle weakness.",""),IF(Data!B920=TRUE," Shuffling.",""),IF(OR(Data!B626=TRUE,Data!B627=TRUE)," Pain.",""),IF(Data!B332="Yes"," History of falls.",""),IF(Data!B333="Yes"," Fall risk.",""),IF(Data!B926=TRUE," Stiffness.",""),IF(Data!B927=TRUE," Leg cramps.",""),IF(Data!B919=TRUE," Painful joints.",""),IF(Data!B820=TRUE," Fatigue.",""),IF(Data!B758=TRUE," Dizziness.",""),IF(Data!B146=TRUE," Requires Hoyer lift.",""),IF(Data!B917=TRUE," Bedbound.",""),IF(Data!B929=TRUE," Chairbound.","")," ",Data!B1336," ",Data!B938," ",Data!B1413," ",Data!B1414,IF(Data!B1628&lt;&gt;"",Data!B1628&amp;". ",""),IF(Data!B1629&lt;&gt;"",Data!B1629&amp;". ",""),IF(Data!B932=TRUE,"Hemiplegia. ",""),IF(Data!B933=TRUE,"Paraplegia. ",""),IF(Data!B934=TRUE,"Quadriplegia. ",""),IF(Data!B931=TRUE,"Cast. ",""),IF(Data!B930=TRUE,"Amputation. ",""),IF(Data!B915=TRUE,"Fracture. ",""),IF(Data!B922=TRUE,"Atrophy. ",""),IF(Data!B918=TRUE,"Swollen Joints. ",""),IF(Data!B1641=TRUE,"Upper Extremity Contractures. ",""),IF(AND(Data!B767=TRUE,Data!B771=FALSE),"Edema. ",""),IF(Data!B771=TRUE,"Peripheral Edema. ",""),IF(Data!B814=TRUE,"Vertigo. ",""),IF(Data!B1636=TRUE,"Tremors. ",""),IF(Data!B762=TRUE,"Chest pain. ",""),IF(OR(Data!B752=TRUE,Data!B755=TRUE),"SOB Episodes. ",""),IF(Data!B1642=TRUE,"Lower Extremity Contractures. ",""),IF(Data!B1643=TRUE,"Obesity. ",""),IF(Data!B886=TRUE," Lethargic.",""))</f>
        <v xml:space="preserve"> vision loss.    </v>
      </c>
      <c r="L8" s="357"/>
      <c r="M8" s="357"/>
      <c r="N8" s="357"/>
      <c r="O8" s="357"/>
      <c r="P8" s="357"/>
      <c r="Q8" s="357"/>
      <c r="R8" s="357"/>
      <c r="S8" s="357"/>
      <c r="T8" s="357"/>
      <c r="U8" s="357"/>
      <c r="V8" s="357"/>
      <c r="W8" s="357"/>
      <c r="X8" s="357"/>
      <c r="Y8" s="357"/>
      <c r="Z8" s="357"/>
      <c r="AA8" s="357"/>
      <c r="AB8" s="357"/>
      <c r="AC8" s="357"/>
      <c r="AD8" s="357"/>
      <c r="AE8" s="357"/>
      <c r="AF8" s="357"/>
      <c r="AG8" s="357"/>
      <c r="AH8" s="357"/>
      <c r="AI8" s="357"/>
      <c r="AJ8" s="357"/>
      <c r="AK8" s="357"/>
      <c r="AL8" s="357"/>
      <c r="AM8" s="357"/>
      <c r="AN8" s="357"/>
      <c r="AO8" s="357"/>
      <c r="AP8" s="357"/>
      <c r="AQ8" s="357"/>
      <c r="AR8" s="357"/>
      <c r="AS8" s="357"/>
      <c r="AT8" s="357"/>
      <c r="AU8" s="357"/>
      <c r="AV8" s="357"/>
      <c r="AW8" s="357"/>
      <c r="AX8" s="357"/>
    </row>
    <row r="9" spans="1:50" ht="25.35" customHeight="1" x14ac:dyDescent="0.2">
      <c r="A9" s="359" t="s">
        <v>1076</v>
      </c>
      <c r="B9" s="359"/>
      <c r="C9" s="359"/>
      <c r="D9" s="359"/>
      <c r="E9" s="359"/>
      <c r="F9" s="359">
        <f>Data!B661</f>
        <v>0</v>
      </c>
      <c r="G9" s="359"/>
      <c r="H9" s="359"/>
      <c r="I9" s="359"/>
      <c r="J9" s="359"/>
      <c r="K9" s="357" t="str">
        <f>_xlfn.CONCAT(IF(Data!B882=TRUE,"Depression.",""),IF(Data!B156=TRUE," Wears dentures.",""),IF(OR(Data!B679=TRUE,Data!B680=TRUE)," Missing or broken teeth.",""),IF(Data!B685=TRUE," Trouble swallowing.",""),IF(Data!B660="Yes"," Risk for choking.",""),IF(OR(Data!B649="Poor",Data!B649="Anorexic")," Poor appetite.",""),IF(Data!B880=TRUE," Needs PRN help with eating due to confusion.",""),IF(Data!E678&lt;&gt;"",Data!E678&amp;".",""),IF(Data!E679&lt;&gt;"",Data!E679&amp;".",""),IF(Data!B694&lt;&gt;"",Data!B694&amp;".",""),IF(Data!B695&lt;&gt;"",Data!B695&amp;".",""),IF(Data!B678=TRUE," No observable eating limitations at the time of assessment.","")," ",Data!B1337," ",Data!B691," ",IF(Data!B1429=TRUE," Chewing difficulty.",""),IF(Data!B700=TRUE,"Nausea. ",""),IF(Data!B701=TRUE,"Vomiting. ",""),IF(Data!B702=TRUE,"Heartburn. ",""),IF(Data!B689=TRUE,"Dry mouth. ",""),IF(Data!B879=TRUE,"Forgetful. ",""),IF(Data!B889=TRUE,"Anxious. ",""),IF(Data!B880=TRUE,"Confusion. ",""),IF(Data!B1636=TRUE,"Tremors. ",""),IF(Data!B916=TRUE,"Contractures. ",""),IF(Data!B590="None","",Data!B590&amp;" vision loss. "),IF(Data!B688=TRUE,"Gingivitis. ",""),IF(Data!B681=TRUE,"Oral masses/tumors. ",""),IF(Data!B686=TRUE,"Oral Ulcerations. ",""),IF(Data!B418=TRUE,"","Allergies - "&amp;Data!B415&amp;". "),""," All mobility limitations apply.")</f>
        <v xml:space="preserve">    vision loss. Allergies - .  All mobility limitations apply.</v>
      </c>
      <c r="L9" s="357"/>
      <c r="M9" s="357"/>
      <c r="N9" s="357"/>
      <c r="O9" s="357"/>
      <c r="P9" s="357"/>
      <c r="Q9" s="357"/>
      <c r="R9" s="357"/>
      <c r="S9" s="357"/>
      <c r="T9" s="357"/>
      <c r="U9" s="357"/>
      <c r="V9" s="357"/>
      <c r="W9" s="357"/>
      <c r="X9" s="357"/>
      <c r="Y9" s="357"/>
      <c r="Z9" s="357"/>
      <c r="AA9" s="357"/>
      <c r="AB9" s="357"/>
      <c r="AC9" s="357"/>
      <c r="AD9" s="357"/>
      <c r="AE9" s="357"/>
      <c r="AF9" s="357"/>
      <c r="AG9" s="357"/>
      <c r="AH9" s="357"/>
      <c r="AI9" s="357"/>
      <c r="AJ9" s="357"/>
      <c r="AK9" s="357"/>
      <c r="AL9" s="357"/>
      <c r="AM9" s="357"/>
      <c r="AN9" s="357"/>
      <c r="AO9" s="357"/>
      <c r="AP9" s="357"/>
      <c r="AQ9" s="357"/>
      <c r="AR9" s="357"/>
      <c r="AS9" s="357"/>
      <c r="AT9" s="357"/>
      <c r="AU9" s="357"/>
      <c r="AV9" s="357"/>
      <c r="AW9" s="357"/>
      <c r="AX9" s="357"/>
    </row>
    <row r="10" spans="1:50" ht="25.35" customHeight="1" x14ac:dyDescent="0.2">
      <c r="A10" s="359" t="s">
        <v>1077</v>
      </c>
      <c r="B10" s="359"/>
      <c r="C10" s="359"/>
      <c r="D10" s="359"/>
      <c r="E10" s="359"/>
      <c r="F10" s="359">
        <f>Data!B805</f>
        <v>0</v>
      </c>
      <c r="G10" s="359"/>
      <c r="H10" s="359"/>
      <c r="I10" s="359"/>
      <c r="J10" s="359"/>
      <c r="K10" s="357" t="str">
        <f>_xlfn.CONCAT(IF(Data!B793=TRUE,"Difficulty clearing airway secretions.",""),IF(OR(Data!B752=TRUE,Data!B753=TRUE)," Episodes of SOB.",""),IF(Data!B612=TRUE," Congestion.",""),IF(Data!B617=TRUE," Sinus problems.",""),IF(Data!B466="Yes"," Requires oxygen.",""),IF(AND(Data!B793=FALSE,Data!B752=FALSE,Data!B612=FALSE,Data!B617=FALSE,Data!B466="No"),"No observed functional limitations at time of assessment.",""),IF(Data!E781&lt;&gt;"",Data!E781&amp;".",""),IF(Data!E782&lt;&gt;"",Data!E782&amp;".",""),IF(Data!B802&lt;&gt;"",Data!B802&amp;".",""),IF(Data!B803&lt;&gt;"",Data!B803&amp;".","")," ",Data!B1338," ",Data!B798,IF(Data!B419=TRUE,"","Allergies - "&amp;Data!B416&amp;". "))</f>
        <v xml:space="preserve">  Allergies - . </v>
      </c>
      <c r="L10" s="357"/>
      <c r="M10" s="357"/>
      <c r="N10" s="357"/>
      <c r="O10" s="357"/>
      <c r="P10" s="357"/>
      <c r="Q10" s="357"/>
      <c r="R10" s="357"/>
      <c r="S10" s="357"/>
      <c r="T10" s="357"/>
      <c r="U10" s="357"/>
      <c r="V10" s="357"/>
      <c r="W10" s="357"/>
      <c r="X10" s="357"/>
      <c r="Y10" s="357"/>
      <c r="Z10" s="357"/>
      <c r="AA10" s="357"/>
      <c r="AB10" s="357"/>
      <c r="AC10" s="357"/>
      <c r="AD10" s="357"/>
      <c r="AE10" s="357"/>
      <c r="AF10" s="357"/>
      <c r="AG10" s="357"/>
      <c r="AH10" s="357"/>
      <c r="AI10" s="357"/>
      <c r="AJ10" s="357"/>
      <c r="AK10" s="357"/>
      <c r="AL10" s="357"/>
      <c r="AM10" s="357"/>
      <c r="AN10" s="357"/>
      <c r="AO10" s="357"/>
      <c r="AP10" s="357"/>
      <c r="AQ10" s="357"/>
      <c r="AR10" s="357"/>
      <c r="AS10" s="357"/>
      <c r="AT10" s="357"/>
      <c r="AU10" s="357"/>
      <c r="AV10" s="357"/>
      <c r="AW10" s="357"/>
      <c r="AX10" s="357"/>
    </row>
    <row r="11" spans="1:50" ht="25.35" customHeight="1" x14ac:dyDescent="0.2">
      <c r="A11" s="359" t="s">
        <v>1078</v>
      </c>
      <c r="B11" s="359"/>
      <c r="C11" s="359"/>
      <c r="D11" s="359"/>
      <c r="E11" s="359"/>
      <c r="F11" s="359">
        <f>Data!B896</f>
        <v>0</v>
      </c>
      <c r="G11" s="359"/>
      <c r="H11" s="359"/>
      <c r="I11" s="359"/>
      <c r="J11" s="359"/>
      <c r="K11" s="357" t="str">
        <f>_xlfn.CONCAT(IF(Data!B598=TRUE,"Headaches.",""),IF(Data!B874=TRUE," STML.",""),IF(Data!B875=TRUE," LTML.",""),IF(Data!B879=TRUE," Forgetful.",""),IF(Data!B880=TRUE," Episodes of confusion.",""),IF(Data!B882=TRUE," Depression.",""),IF(Data!B881=TRUE," Abnormal thought process.",""),IF(Data!B890=TRUE," Inappropriate decision making.",""),IF(Data!B883=TRUE," Disoriented.",""),IF(Data!B889=TRUE," Anxious.",""),IF(Data!B884=TRUE," Delusional.",""),IF(Data!B876=TRUE," Not safe to be alone.",""),IF(Data!D598=TRUE," Chronic headaches.","")," ",Data!B1339," ",IF(Data!B887=TRUE,"Agitation. ",""),IF(Data!B891=TRUE,Data!B892&amp;". ",""),IF(Data!B888=TRUE," Hallucinations.",""),IF(Data!B885=TRUE,"Anger Issues.",""))</f>
        <v xml:space="preserve">  </v>
      </c>
      <c r="L11" s="357"/>
      <c r="M11" s="357"/>
      <c r="N11" s="357"/>
      <c r="O11" s="357"/>
      <c r="P11" s="357"/>
      <c r="Q11" s="357"/>
      <c r="R11" s="357"/>
      <c r="S11" s="357"/>
      <c r="T11" s="357"/>
      <c r="U11" s="357"/>
      <c r="V11" s="357"/>
      <c r="W11" s="357"/>
      <c r="X11" s="357"/>
      <c r="Y11" s="357"/>
      <c r="Z11" s="357"/>
      <c r="AA11" s="357"/>
      <c r="AB11" s="357"/>
      <c r="AC11" s="357"/>
      <c r="AD11" s="357"/>
      <c r="AE11" s="357"/>
      <c r="AF11" s="357"/>
      <c r="AG11" s="357"/>
      <c r="AH11" s="357"/>
      <c r="AI11" s="357"/>
      <c r="AJ11" s="357"/>
      <c r="AK11" s="357"/>
      <c r="AL11" s="357"/>
      <c r="AM11" s="357"/>
      <c r="AN11" s="357"/>
      <c r="AO11" s="357"/>
      <c r="AP11" s="357"/>
      <c r="AQ11" s="357"/>
      <c r="AR11" s="357"/>
      <c r="AS11" s="357"/>
      <c r="AT11" s="357"/>
      <c r="AU11" s="357"/>
      <c r="AV11" s="357"/>
      <c r="AW11" s="357"/>
      <c r="AX11" s="357"/>
    </row>
    <row r="12" spans="1:50" ht="25.35" customHeight="1" x14ac:dyDescent="0.2">
      <c r="A12" s="359" t="s">
        <v>330</v>
      </c>
      <c r="B12" s="359"/>
      <c r="C12" s="359"/>
      <c r="D12" s="359"/>
      <c r="E12" s="359"/>
      <c r="F12" s="359">
        <f>Data!B951</f>
        <v>0</v>
      </c>
      <c r="G12" s="359"/>
      <c r="H12" s="359"/>
      <c r="I12" s="359"/>
      <c r="J12" s="359"/>
      <c r="K12" s="357" t="str">
        <f>_xlfn.CONCAT(IF(Data!B882=TRUE,"Depression.",""),IF(Data!B883=TRUE," Disoriented.",""),IF(Data!B879=TRUE,"Forgetful. ",""),IF(Data!B880=TRUE," Confusion.",""),IF(Data!B590="None","",Data!B590&amp;" vision loss."),"  All mobility limitations also apply."," ",Data!B1340)</f>
        <v xml:space="preserve"> vision loss.  All mobility limitations also apply. </v>
      </c>
      <c r="L12" s="357"/>
      <c r="M12" s="357"/>
      <c r="N12" s="357"/>
      <c r="O12" s="357"/>
      <c r="P12" s="357"/>
      <c r="Q12" s="357"/>
      <c r="R12" s="357"/>
      <c r="S12" s="357"/>
      <c r="T12" s="357"/>
      <c r="U12" s="357"/>
      <c r="V12" s="357"/>
      <c r="W12" s="357"/>
      <c r="X12" s="357"/>
      <c r="Y12" s="357"/>
      <c r="Z12" s="357"/>
      <c r="AA12" s="357"/>
      <c r="AB12" s="357"/>
      <c r="AC12" s="357"/>
      <c r="AD12" s="357"/>
      <c r="AE12" s="357"/>
      <c r="AF12" s="357"/>
      <c r="AG12" s="357"/>
      <c r="AH12" s="357"/>
      <c r="AI12" s="357"/>
      <c r="AJ12" s="357"/>
      <c r="AK12" s="357"/>
      <c r="AL12" s="357"/>
      <c r="AM12" s="357"/>
      <c r="AN12" s="357"/>
      <c r="AO12" s="357"/>
      <c r="AP12" s="357"/>
      <c r="AQ12" s="357"/>
      <c r="AR12" s="357"/>
      <c r="AS12" s="357"/>
      <c r="AT12" s="357"/>
      <c r="AU12" s="357"/>
      <c r="AV12" s="357"/>
      <c r="AW12" s="357"/>
      <c r="AX12" s="357"/>
    </row>
    <row r="13" spans="1:50" ht="25.35" customHeight="1" x14ac:dyDescent="0.2">
      <c r="A13" s="359" t="s">
        <v>1079</v>
      </c>
      <c r="B13" s="359"/>
      <c r="C13" s="359"/>
      <c r="D13" s="359"/>
      <c r="E13" s="359"/>
      <c r="F13" s="359">
        <f>Data!B413</f>
        <v>0</v>
      </c>
      <c r="G13" s="359"/>
      <c r="H13" s="359"/>
      <c r="I13" s="359"/>
      <c r="J13" s="359"/>
      <c r="K13" s="357" t="str">
        <f>_xlfn.CONCAT(IF(Data!B590="None","",Data!B590&amp;" vision loss."),IF(Data!B586=TRUE," Blurred Vision.",""),IF(Data!B874=TRUE," STML.",""),IF(Data!B879=TRUE," Forgetful.",""),IF(Data!B880=TRUE," Confusion.",""),IF(Data!B883=TRUE," Disoriented.",""),IF(Data!B660="Yes"," Choking risk.",""),IF(Data!B195="No"," Unable to read English.","")," ",Data!B1341,IF(Data!B685=TRUE,"Swallowing problems. ",""),IF(Data!B882=TRUE,"Depression. ",""),IF(Data!B889=TRUE,"Anxious. ",""),IF(Data!B1641=TRUE,"Cannot open pill bottles due to contractures.",""))</f>
        <v xml:space="preserve"> vision loss. </v>
      </c>
      <c r="L13" s="357"/>
      <c r="M13" s="357"/>
      <c r="N13" s="357"/>
      <c r="O13" s="357"/>
      <c r="P13" s="357"/>
      <c r="Q13" s="357"/>
      <c r="R13" s="357"/>
      <c r="S13" s="357"/>
      <c r="T13" s="357"/>
      <c r="U13" s="357"/>
      <c r="V13" s="357"/>
      <c r="W13" s="357"/>
      <c r="X13" s="357"/>
      <c r="Y13" s="357"/>
      <c r="Z13" s="357"/>
      <c r="AA13" s="357"/>
      <c r="AB13" s="357"/>
      <c r="AC13" s="357"/>
      <c r="AD13" s="357"/>
      <c r="AE13" s="357"/>
      <c r="AF13" s="357"/>
      <c r="AG13" s="357"/>
      <c r="AH13" s="357"/>
      <c r="AI13" s="357"/>
      <c r="AJ13" s="357"/>
      <c r="AK13" s="357"/>
      <c r="AL13" s="357"/>
      <c r="AM13" s="357"/>
      <c r="AN13" s="357"/>
      <c r="AO13" s="357"/>
      <c r="AP13" s="357"/>
      <c r="AQ13" s="357"/>
      <c r="AR13" s="357"/>
      <c r="AS13" s="357"/>
      <c r="AT13" s="357"/>
      <c r="AU13" s="357"/>
      <c r="AV13" s="357"/>
      <c r="AW13" s="357"/>
      <c r="AX13" s="357"/>
    </row>
    <row r="14" spans="1:50" ht="15.75" customHeight="1" x14ac:dyDescent="0.2">
      <c r="A14" s="359" t="s">
        <v>1080</v>
      </c>
      <c r="B14" s="359"/>
      <c r="C14" s="359"/>
      <c r="D14" s="359"/>
      <c r="E14" s="359"/>
      <c r="F14" s="359">
        <f>Data!B954</f>
        <v>0</v>
      </c>
      <c r="G14" s="359"/>
      <c r="H14" s="359"/>
      <c r="I14" s="359"/>
      <c r="J14" s="359"/>
      <c r="K14" s="360" t="str">
        <f>_xlfn.CONCAT(IF(Data!B590="None","",Data!B590&amp;" vision loss."),IF(Data!B882=TRUE," Depression.",""),IF(Data!B758=TRUE," Dizziness.",""),IF(Data!B569=TRUE," Vertigo.",""),IF(OR(Data!B940="full",Data!B942="Full"),""," Limited ROM."),"  All mobility limitations also apply."," ",Data!B1342,IF(Data!B880=TRUE,"Confusion. ",""),IF(Data!B879=TRUE,"Forgetful. ",""))</f>
        <v xml:space="preserve"> vision loss. Limited ROM.  All mobility limitations also apply. </v>
      </c>
      <c r="L14" s="360"/>
      <c r="M14" s="360"/>
      <c r="N14" s="360"/>
      <c r="O14" s="360"/>
      <c r="P14" s="360"/>
      <c r="Q14" s="360"/>
      <c r="R14" s="360"/>
      <c r="S14" s="360"/>
      <c r="T14" s="360"/>
      <c r="U14" s="360"/>
      <c r="V14" s="360"/>
      <c r="W14" s="360"/>
      <c r="X14" s="360"/>
      <c r="Y14" s="360"/>
      <c r="Z14" s="360"/>
      <c r="AA14" s="360"/>
      <c r="AB14" s="360"/>
      <c r="AC14" s="360"/>
      <c r="AD14" s="360"/>
      <c r="AE14" s="360"/>
      <c r="AF14" s="360"/>
      <c r="AG14" s="360"/>
      <c r="AH14" s="360"/>
      <c r="AI14" s="360"/>
      <c r="AJ14" s="360"/>
      <c r="AK14" s="360"/>
      <c r="AL14" s="360"/>
      <c r="AM14" s="360"/>
      <c r="AN14" s="360"/>
      <c r="AO14" s="360"/>
      <c r="AP14" s="360"/>
      <c r="AQ14" s="360"/>
      <c r="AR14" s="360"/>
      <c r="AS14" s="360"/>
      <c r="AT14" s="360"/>
      <c r="AU14" s="360"/>
      <c r="AV14" s="360"/>
      <c r="AW14" s="360"/>
      <c r="AX14" s="360"/>
    </row>
    <row r="15" spans="1:50" ht="14.25" customHeight="1" x14ac:dyDescent="0.2">
      <c r="A15" s="359" t="s">
        <v>1081</v>
      </c>
      <c r="B15" s="359"/>
      <c r="C15" s="359"/>
      <c r="D15" s="359"/>
      <c r="E15" s="359"/>
      <c r="F15" s="359">
        <f>Data!B957</f>
        <v>0</v>
      </c>
      <c r="G15" s="359"/>
      <c r="H15" s="359"/>
      <c r="I15" s="359"/>
      <c r="J15" s="359"/>
      <c r="K15" s="360" t="str">
        <f>_xlfn.CONCAT(IF(Data!B590="None","",Data!B590&amp;" vision loss."),IF(Data!B882=TRUE," Depression.",""),IF(Data!B758=TRUE," Dizziness.",""),IF(Data!B569=TRUE," Vertigo.",""),"  All mobility limitations also apply.",IF(OR(Data!B941="Full",Data!B943="Full"),""," Limited ROM.")," ",Data!B1343,IF(Data!B880=TRUE,"Confusion. ",""),IF(Data!B879=TRUE,"Forgetful. ",""))</f>
        <v xml:space="preserve"> vision loss.  All mobility limitations also apply. Limited ROM. </v>
      </c>
      <c r="L15" s="360"/>
      <c r="M15" s="360"/>
      <c r="N15" s="360"/>
      <c r="O15" s="360"/>
      <c r="P15" s="360"/>
      <c r="Q15" s="360"/>
      <c r="R15" s="360"/>
      <c r="S15" s="360"/>
      <c r="T15" s="360"/>
      <c r="U15" s="360"/>
      <c r="V15" s="360"/>
      <c r="W15" s="360"/>
      <c r="X15" s="360"/>
      <c r="Y15" s="360"/>
      <c r="Z15" s="360"/>
      <c r="AA15" s="360"/>
      <c r="AB15" s="360"/>
      <c r="AC15" s="360"/>
      <c r="AD15" s="360"/>
      <c r="AE15" s="360"/>
      <c r="AF15" s="360"/>
      <c r="AG15" s="360"/>
      <c r="AH15" s="360"/>
      <c r="AI15" s="360"/>
      <c r="AJ15" s="360"/>
      <c r="AK15" s="360"/>
      <c r="AL15" s="360"/>
      <c r="AM15" s="360"/>
      <c r="AN15" s="360"/>
      <c r="AO15" s="360"/>
      <c r="AP15" s="360"/>
      <c r="AQ15" s="360"/>
      <c r="AR15" s="360"/>
      <c r="AS15" s="360"/>
      <c r="AT15" s="360"/>
      <c r="AU15" s="360"/>
      <c r="AV15" s="360"/>
      <c r="AW15" s="360"/>
      <c r="AX15" s="360"/>
    </row>
    <row r="16" spans="1:50" ht="25.35" customHeight="1" x14ac:dyDescent="0.2">
      <c r="A16" s="359" t="s">
        <v>328</v>
      </c>
      <c r="B16" s="359"/>
      <c r="C16" s="359"/>
      <c r="D16" s="359"/>
      <c r="E16" s="359"/>
      <c r="F16" s="359">
        <f>Data!B960</f>
        <v>0</v>
      </c>
      <c r="G16" s="359"/>
      <c r="H16" s="359"/>
      <c r="I16" s="359"/>
      <c r="J16" s="359"/>
      <c r="K16" s="357" t="str">
        <f>_xlfn.CONCAT(IF(Data!B590="None","",Data!B590&amp;" vision loss."),IF(Data!B882=TRUE," Depression.",""),IF(Data!B758=TRUE," Dizziness.",""),IF(Data!B569=TRUE," Vertigo.",""),IF(Data!B458="Good",""," Poor hygiene."),IF(Data!B874=TRUE," STML.",""),IF(Data!B883=TRUE," Disoriented.","")," ",Data!B1344,IF(Data!B880=TRUE,"Confusion. ","")," All mobility limitations apply. ",IF(Data!B844=TRUE,"Rashes. ",""),IF(Data!B852="Yes","Current skin wounds. ",""))</f>
        <v xml:space="preserve"> vision loss. Poor hygiene.  All mobility limitations apply. </v>
      </c>
      <c r="L16" s="357"/>
      <c r="M16" s="357"/>
      <c r="N16" s="357"/>
      <c r="O16" s="357"/>
      <c r="P16" s="357"/>
      <c r="Q16" s="357"/>
      <c r="R16" s="357"/>
      <c r="S16" s="357"/>
      <c r="T16" s="357"/>
      <c r="U16" s="357"/>
      <c r="V16" s="357"/>
      <c r="W16" s="357"/>
      <c r="X16" s="357"/>
      <c r="Y16" s="357"/>
      <c r="Z16" s="357"/>
      <c r="AA16" s="357"/>
      <c r="AB16" s="357"/>
      <c r="AC16" s="357"/>
      <c r="AD16" s="357"/>
      <c r="AE16" s="357"/>
      <c r="AF16" s="357"/>
      <c r="AG16" s="357"/>
      <c r="AH16" s="357"/>
      <c r="AI16" s="357"/>
      <c r="AJ16" s="357"/>
      <c r="AK16" s="357"/>
      <c r="AL16" s="357"/>
      <c r="AM16" s="357"/>
      <c r="AN16" s="357"/>
      <c r="AO16" s="357"/>
      <c r="AP16" s="357"/>
      <c r="AQ16" s="357"/>
      <c r="AR16" s="357"/>
      <c r="AS16" s="357"/>
      <c r="AT16" s="357"/>
      <c r="AU16" s="357"/>
      <c r="AV16" s="357"/>
      <c r="AW16" s="357"/>
      <c r="AX16" s="357"/>
    </row>
    <row r="17" spans="1:50" ht="25.35" customHeight="1" x14ac:dyDescent="0.2">
      <c r="A17" s="359" t="s">
        <v>1082</v>
      </c>
      <c r="B17" s="359"/>
      <c r="C17" s="359"/>
      <c r="D17" s="359"/>
      <c r="E17" s="359"/>
      <c r="F17" s="359">
        <f>Data!B744</f>
        <v>0</v>
      </c>
      <c r="G17" s="359"/>
      <c r="H17" s="359"/>
      <c r="I17" s="359"/>
      <c r="J17" s="359"/>
      <c r="K17" s="357" t="str">
        <f>_xlfn.CONCAT(IF(Data!B882=TRUE,"Depression.",""),IF(Data!B758=TRUE," Dizziness.","")," All mobility limitations apply.",IF(Data!E725&lt;&gt;"", Data!E725&amp;".",""),IF(Data!E726&lt;&gt;"", Data!E726&amp;".",""),IF(Data!B741="Yes"," "&amp;Data!B742&amp;" Catheter.",""),IF(Data!B719="Yes","  Requires bowel program.","")," ",Data!B1345," ",Data!B740," ",Data!B713," ",IF(AND(Data!B708=TRUE,Data!B1431=TRUE)," Total bowel incontinence.",""),IF(AND(Data!B735=TRUE, Data!B1433=TRUE)," Total bladder incontinence.",""),IF(AND(Data!B708=TRUE,Data!B1432=TRUE)," Occasional  bowel incontinence.",""),IF(AND(Data!B735=TRUE, Data!B1434=TRUE)," Occasional  bladder incontinence.",""),IF(Data!B1421&lt;&gt;"",Data!B1421&amp;". ",""),IF(Data!B1422&lt;&gt;"",Data!B1422&amp;". ",""),IF(Data!B703=TRUE,"Constipation. ",""),IF(Data!B705=TRUE,"Diarrhea. ",""),IF(Data!B707=TRUE,"Colostomy bag. ",""),IF(Data!B880=TRUE,"Confusion. ",""),IF(Data!B879=TRUE,"Forgetful. ",""),IF(Data!B732=TRUE,"Current UTI. ",""),IF(Data!B733=TRUE,"History of UTI. ",""))</f>
        <v xml:space="preserve"> All mobility limitations apply.    </v>
      </c>
      <c r="L17" s="357"/>
      <c r="M17" s="357"/>
      <c r="N17" s="357"/>
      <c r="O17" s="357"/>
      <c r="P17" s="357"/>
      <c r="Q17" s="357"/>
      <c r="R17" s="357"/>
      <c r="S17" s="357"/>
      <c r="T17" s="357"/>
      <c r="U17" s="357"/>
      <c r="V17" s="357"/>
      <c r="W17" s="357"/>
      <c r="X17" s="357"/>
      <c r="Y17" s="357"/>
      <c r="Z17" s="357"/>
      <c r="AA17" s="357"/>
      <c r="AB17" s="357"/>
      <c r="AC17" s="357"/>
      <c r="AD17" s="357"/>
      <c r="AE17" s="357"/>
      <c r="AF17" s="357"/>
      <c r="AG17" s="357"/>
      <c r="AH17" s="357"/>
      <c r="AI17" s="357"/>
      <c r="AJ17" s="357"/>
      <c r="AK17" s="357"/>
      <c r="AL17" s="357"/>
      <c r="AM17" s="357"/>
      <c r="AN17" s="357"/>
      <c r="AO17" s="357"/>
      <c r="AP17" s="357"/>
      <c r="AQ17" s="357"/>
      <c r="AR17" s="357"/>
      <c r="AS17" s="357"/>
      <c r="AT17" s="357"/>
      <c r="AU17" s="357"/>
      <c r="AV17" s="357"/>
      <c r="AW17" s="357"/>
      <c r="AX17" s="357"/>
    </row>
    <row r="18" spans="1:50" ht="25.35" customHeight="1" x14ac:dyDescent="0.2">
      <c r="A18" s="359" t="s">
        <v>1083</v>
      </c>
      <c r="B18" s="359"/>
      <c r="C18" s="359"/>
      <c r="D18" s="359"/>
      <c r="E18" s="359"/>
      <c r="F18" s="359">
        <f>Data!B662</f>
        <v>0</v>
      </c>
      <c r="G18" s="359"/>
      <c r="H18" s="359"/>
      <c r="I18" s="359"/>
      <c r="J18" s="359"/>
      <c r="K18" s="357" t="str">
        <f>_xlfn.CONCAT(IF(OR(Data!B649="poor",Data!B649="Anorexic"),"Poor appetite.",""),"  All mobility limitations apply.",IF(Data!B883=TRUE," Disoriented - cannot make food choices.",""),IF(Data!B692="Yes"," Fluid restriction.","")," ",Data!B1346,IF(Data!B590="None","",Data!B590&amp;" vision loss. "),IF(Data!B882=TRUE,"Depression. ",""),IF(Data!B879=TRUE,"Forgetful. ",""))</f>
        <v xml:space="preserve">  All mobility limitations apply.  vision loss. </v>
      </c>
      <c r="L18" s="357"/>
      <c r="M18" s="357"/>
      <c r="N18" s="357"/>
      <c r="O18" s="357"/>
      <c r="P18" s="357"/>
      <c r="Q18" s="357"/>
      <c r="R18" s="357"/>
      <c r="S18" s="357"/>
      <c r="T18" s="357"/>
      <c r="U18" s="357"/>
      <c r="V18" s="357"/>
      <c r="W18" s="357"/>
      <c r="X18" s="357"/>
      <c r="Y18" s="357"/>
      <c r="Z18" s="357"/>
      <c r="AA18" s="357"/>
      <c r="AB18" s="357"/>
      <c r="AC18" s="357"/>
      <c r="AD18" s="357"/>
      <c r="AE18" s="357"/>
      <c r="AF18" s="357"/>
      <c r="AG18" s="357"/>
      <c r="AH18" s="357"/>
      <c r="AI18" s="357"/>
      <c r="AJ18" s="357"/>
      <c r="AK18" s="357"/>
      <c r="AL18" s="357"/>
      <c r="AM18" s="357"/>
      <c r="AN18" s="357"/>
      <c r="AO18" s="357"/>
      <c r="AP18" s="357"/>
      <c r="AQ18" s="357"/>
      <c r="AR18" s="357"/>
      <c r="AS18" s="357"/>
      <c r="AT18" s="357"/>
      <c r="AU18" s="357"/>
      <c r="AV18" s="357"/>
      <c r="AW18" s="357"/>
      <c r="AX18" s="357"/>
    </row>
    <row r="19" spans="1:50" ht="14.25" customHeight="1" x14ac:dyDescent="0.2">
      <c r="A19" s="359" t="s">
        <v>1084</v>
      </c>
      <c r="B19" s="359"/>
      <c r="C19" s="359"/>
      <c r="D19" s="359"/>
      <c r="E19" s="359"/>
      <c r="F19" s="359">
        <f>Data!B271</f>
        <v>0</v>
      </c>
      <c r="G19" s="359"/>
      <c r="H19" s="359"/>
      <c r="I19" s="359"/>
      <c r="J19" s="359"/>
      <c r="K19" s="357" t="str">
        <f>_xlfn.CONCAT(IF(Data!B274=TRUE,"Can ride in a car.","Cannot ride in a car."),IF(Data!B270=FALSE," Cannot drive.",""),IF(Data!B275=TRUE," Cannot ride in a non handicapped equipped vehicle.",""),IF(Data!B890=TRUE," Inappropriate decision making.","")," ",Data!B1347)</f>
        <v xml:space="preserve">Cannot ride in a car. Cannot drive. </v>
      </c>
      <c r="L19" s="357"/>
      <c r="M19" s="357"/>
      <c r="N19" s="357"/>
      <c r="O19" s="357"/>
      <c r="P19" s="357"/>
      <c r="Q19" s="357"/>
      <c r="R19" s="357"/>
      <c r="S19" s="357"/>
      <c r="T19" s="357"/>
      <c r="U19" s="357"/>
      <c r="V19" s="357"/>
      <c r="W19" s="357"/>
      <c r="X19" s="357"/>
      <c r="Y19" s="357"/>
      <c r="Z19" s="357"/>
      <c r="AA19" s="357"/>
      <c r="AB19" s="357"/>
      <c r="AC19" s="357"/>
      <c r="AD19" s="357"/>
      <c r="AE19" s="357"/>
      <c r="AF19" s="357"/>
      <c r="AG19" s="357"/>
      <c r="AH19" s="357"/>
      <c r="AI19" s="357"/>
      <c r="AJ19" s="357"/>
      <c r="AK19" s="357"/>
      <c r="AL19" s="357"/>
      <c r="AM19" s="357"/>
      <c r="AN19" s="357"/>
      <c r="AO19" s="357"/>
      <c r="AP19" s="357"/>
      <c r="AQ19" s="357"/>
      <c r="AR19" s="357"/>
      <c r="AS19" s="357"/>
      <c r="AT19" s="357"/>
      <c r="AU19" s="357"/>
      <c r="AV19" s="357"/>
      <c r="AW19" s="357"/>
      <c r="AX19" s="357"/>
    </row>
    <row r="20" spans="1:50" ht="25.35" customHeight="1" x14ac:dyDescent="0.2">
      <c r="A20" s="359" t="s">
        <v>557</v>
      </c>
      <c r="B20" s="359"/>
      <c r="C20" s="359"/>
      <c r="D20" s="359"/>
      <c r="E20" s="359"/>
      <c r="F20" s="359">
        <f>Data!B296</f>
        <v>0</v>
      </c>
      <c r="G20" s="359"/>
      <c r="H20" s="359"/>
      <c r="I20" s="359"/>
      <c r="J20" s="359"/>
      <c r="K20" s="357" t="str">
        <f>_xlfn.CONCAT(IF(Data!B590="None","",Data!B590&amp;" vision loss."),IF(Data!B882=TRUE," Depression.",""),IF(Data!B758=TRUE," Dizziness.",""),IF(Data!B569=TRUE," Vertigo.",""),"  All mobility limitations also apply.","",Data!B1348,IF(Data!B879=TRUE,"Forgetful. ",""),IF(Data!B880=TRUE,"Confusion. ",""),IF(Data!B889=TRUE,"Anxious. ",""))</f>
        <v xml:space="preserve"> vision loss.  All mobility limitations also apply.</v>
      </c>
      <c r="L20" s="357"/>
      <c r="M20" s="357"/>
      <c r="N20" s="357"/>
      <c r="O20" s="357"/>
      <c r="P20" s="357"/>
      <c r="Q20" s="357"/>
      <c r="R20" s="357"/>
      <c r="S20" s="357"/>
      <c r="T20" s="357"/>
      <c r="U20" s="357"/>
      <c r="V20" s="357"/>
      <c r="W20" s="357"/>
      <c r="X20" s="357"/>
      <c r="Y20" s="357"/>
      <c r="Z20" s="357"/>
      <c r="AA20" s="357"/>
      <c r="AB20" s="357"/>
      <c r="AC20" s="357"/>
      <c r="AD20" s="357"/>
      <c r="AE20" s="357"/>
      <c r="AF20" s="357"/>
      <c r="AG20" s="357"/>
      <c r="AH20" s="357"/>
      <c r="AI20" s="357"/>
      <c r="AJ20" s="357"/>
      <c r="AK20" s="357"/>
      <c r="AL20" s="357"/>
      <c r="AM20" s="357"/>
      <c r="AN20" s="357"/>
      <c r="AO20" s="357"/>
      <c r="AP20" s="357"/>
      <c r="AQ20" s="357"/>
      <c r="AR20" s="357"/>
      <c r="AS20" s="357"/>
      <c r="AT20" s="357"/>
      <c r="AU20" s="357"/>
      <c r="AV20" s="357"/>
      <c r="AW20" s="357"/>
      <c r="AX20" s="357"/>
    </row>
    <row r="21" spans="1:50" ht="25.35" customHeight="1" x14ac:dyDescent="0.2">
      <c r="A21" s="359" t="s">
        <v>1085</v>
      </c>
      <c r="B21" s="359"/>
      <c r="C21" s="359"/>
      <c r="D21" s="359"/>
      <c r="E21" s="359"/>
      <c r="F21" s="359">
        <f>Data!B283</f>
        <v>0</v>
      </c>
      <c r="G21" s="359"/>
      <c r="H21" s="359"/>
      <c r="I21" s="359"/>
      <c r="J21" s="359"/>
      <c r="K21" s="357" t="str">
        <f>_xlfn.CONCAT(IF(Data!B590="None","",Data!B590&amp;" vision loss."),IF(Data!B882=TRUE," Depression.",""),IF(Data!B758=TRUE," Dizziness.",""),IF(Data!B569=TRUE," Vertigo.",""),"  All mobility limitations apply.",IF(Data!B212=TRUE," Cluttered home.",""),IF(Data!B211=TRUE," Unclean home.","")," ",Data!B1349,IF(Data!B879=TRUE,"Forgetful. ",""))</f>
        <v xml:space="preserve"> vision loss.  All mobility limitations apply. </v>
      </c>
      <c r="L21" s="357"/>
      <c r="M21" s="357"/>
      <c r="N21" s="357"/>
      <c r="O21" s="357"/>
      <c r="P21" s="357"/>
      <c r="Q21" s="357"/>
      <c r="R21" s="357"/>
      <c r="S21" s="357"/>
      <c r="T21" s="357"/>
      <c r="U21" s="357"/>
      <c r="V21" s="357"/>
      <c r="W21" s="357"/>
      <c r="X21" s="357"/>
      <c r="Y21" s="357"/>
      <c r="Z21" s="357"/>
      <c r="AA21" s="357"/>
      <c r="AB21" s="357"/>
      <c r="AC21" s="357"/>
      <c r="AD21" s="357"/>
      <c r="AE21" s="357"/>
      <c r="AF21" s="357"/>
      <c r="AG21" s="357"/>
      <c r="AH21" s="357"/>
      <c r="AI21" s="357"/>
      <c r="AJ21" s="357"/>
      <c r="AK21" s="357"/>
      <c r="AL21" s="357"/>
      <c r="AM21" s="357"/>
      <c r="AN21" s="357"/>
      <c r="AO21" s="357"/>
      <c r="AP21" s="357"/>
      <c r="AQ21" s="357"/>
      <c r="AR21" s="357"/>
      <c r="AS21" s="357"/>
      <c r="AT21" s="357"/>
      <c r="AU21" s="357"/>
      <c r="AV21" s="357"/>
      <c r="AW21" s="357"/>
      <c r="AX21" s="357"/>
    </row>
    <row r="22" spans="1:50" ht="25.35" customHeight="1" x14ac:dyDescent="0.2">
      <c r="A22" s="359" t="s">
        <v>303</v>
      </c>
      <c r="B22" s="359"/>
      <c r="C22" s="359"/>
      <c r="D22" s="359"/>
      <c r="E22" s="359"/>
      <c r="F22" s="359">
        <f>Data!B911</f>
        <v>0</v>
      </c>
      <c r="G22" s="359"/>
      <c r="H22" s="359"/>
      <c r="I22" s="359"/>
      <c r="J22" s="359"/>
      <c r="K22" s="357" t="str">
        <f>_xlfn.CONCAT(IF(Data!B573="None","",Data!B573&amp;" hearing loss."),IF(Data!B195="No"," Cannot speak in English.",""),IF(Data!B882=TRUE," Depression.",""),IF(Data!B908="No"," Cannot answer unassisted.",""),IF(Data!B907="No"," Cannot dial unassisted.",""),IF(AND(Data!B911="Independent",Data!B195="Yes"),"No observed functional limitations at time of assessment.","")," ",Data!B1350," All mobility limitation apply.",IF(Data!B889=TRUE,"Anxious. ",""),IF(Data!B880=TRUE,"Confusion. ",""),IF(Data!B879=TRUE,"Forgetful. ",""),IF(Data!B590="None","",Data!B590&amp;" vision loss."),IF(Data!B832=TRUE,"Slurred speech. ",""),IF(Data!B831=TRUE,"Mumbling. ",""),IF(Data!B833=TRUE,"Nonverbal. ",""))</f>
        <v xml:space="preserve"> hearing loss.  All mobility limitation apply. vision loss.</v>
      </c>
      <c r="L22" s="357"/>
      <c r="M22" s="357"/>
      <c r="N22" s="357"/>
      <c r="O22" s="357"/>
      <c r="P22" s="357"/>
      <c r="Q22" s="357"/>
      <c r="R22" s="357"/>
      <c r="S22" s="357"/>
      <c r="T22" s="357"/>
      <c r="U22" s="357"/>
      <c r="V22" s="357"/>
      <c r="W22" s="357"/>
      <c r="X22" s="357"/>
      <c r="Y22" s="357"/>
      <c r="Z22" s="357"/>
      <c r="AA22" s="357"/>
      <c r="AB22" s="357"/>
      <c r="AC22" s="357"/>
      <c r="AD22" s="357"/>
      <c r="AE22" s="357"/>
      <c r="AF22" s="357"/>
      <c r="AG22" s="357"/>
      <c r="AH22" s="357"/>
      <c r="AI22" s="357"/>
      <c r="AJ22" s="357"/>
      <c r="AK22" s="357"/>
      <c r="AL22" s="357"/>
      <c r="AM22" s="357"/>
      <c r="AN22" s="357"/>
      <c r="AO22" s="357"/>
      <c r="AP22" s="357"/>
      <c r="AQ22" s="357"/>
      <c r="AR22" s="357"/>
      <c r="AS22" s="357"/>
      <c r="AT22" s="357"/>
      <c r="AU22" s="357"/>
      <c r="AV22" s="357"/>
      <c r="AW22" s="357"/>
      <c r="AX22" s="357"/>
    </row>
  </sheetData>
  <mergeCells count="62">
    <mergeCell ref="A14:E14"/>
    <mergeCell ref="A10:E10"/>
    <mergeCell ref="F17:J17"/>
    <mergeCell ref="A4:E4"/>
    <mergeCell ref="A5:E5"/>
    <mergeCell ref="F4:J4"/>
    <mergeCell ref="F5:J5"/>
    <mergeCell ref="F6:J6"/>
    <mergeCell ref="F7:J7"/>
    <mergeCell ref="F16:J16"/>
    <mergeCell ref="A11:E11"/>
    <mergeCell ref="A12:E12"/>
    <mergeCell ref="A13:E13"/>
    <mergeCell ref="F9:J9"/>
    <mergeCell ref="F8:J8"/>
    <mergeCell ref="A6:E6"/>
    <mergeCell ref="K15:AX15"/>
    <mergeCell ref="F22:J22"/>
    <mergeCell ref="A21:E21"/>
    <mergeCell ref="A22:E22"/>
    <mergeCell ref="A16:E16"/>
    <mergeCell ref="A17:E17"/>
    <mergeCell ref="A18:E18"/>
    <mergeCell ref="A19:E19"/>
    <mergeCell ref="A20:E20"/>
    <mergeCell ref="K21:AX21"/>
    <mergeCell ref="A15:E15"/>
    <mergeCell ref="F18:J18"/>
    <mergeCell ref="F19:J19"/>
    <mergeCell ref="F20:J20"/>
    <mergeCell ref="F21:J21"/>
    <mergeCell ref="F15:J15"/>
    <mergeCell ref="K22:AX22"/>
    <mergeCell ref="K16:AX16"/>
    <mergeCell ref="K17:AX17"/>
    <mergeCell ref="K18:AX18"/>
    <mergeCell ref="K19:AX19"/>
    <mergeCell ref="K20:AX20"/>
    <mergeCell ref="K14:AX14"/>
    <mergeCell ref="F10:J10"/>
    <mergeCell ref="F11:J11"/>
    <mergeCell ref="F12:J12"/>
    <mergeCell ref="F13:J13"/>
    <mergeCell ref="F14:J14"/>
    <mergeCell ref="K11:AX11"/>
    <mergeCell ref="K12:AX12"/>
    <mergeCell ref="K13:AX13"/>
    <mergeCell ref="K10:AX10"/>
    <mergeCell ref="A7:E7"/>
    <mergeCell ref="A8:E8"/>
    <mergeCell ref="A9:E9"/>
    <mergeCell ref="K7:AX7"/>
    <mergeCell ref="K8:AX8"/>
    <mergeCell ref="K9:AX9"/>
    <mergeCell ref="T2:X2"/>
    <mergeCell ref="AE2:AI2"/>
    <mergeCell ref="E2:P2"/>
    <mergeCell ref="A3:AX3"/>
    <mergeCell ref="K6:AX6"/>
    <mergeCell ref="K4:AX4"/>
    <mergeCell ref="K5:AX5"/>
    <mergeCell ref="AQ2:AV2"/>
  </mergeCells>
  <pageMargins left="0.25" right="0.25" top="0.75" bottom="0.25" header="0.3" footer="0.3"/>
  <pageSetup orientation="landscape" horizontalDpi="4294967294" verticalDpi="1200" r:id="rId1"/>
  <headerFooter>
    <oddHeader>&amp;L&amp;G&amp;RClient Care Plan (5 Page Document)
RN Initials ____________</oddHeader>
    <oddFooter>&amp;LINT.PS&amp;C3088 Mercer University Drive Suite 100 Atlanta, GA 30341
678-310-6305 Fax 404-935-6110&amp;RPP.M</oddFoot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9">
    <tabColor theme="5" tint="-0.249977111117893"/>
  </sheetPr>
  <dimension ref="A1:AL87"/>
  <sheetViews>
    <sheetView showZeros="0" view="pageLayout" zoomScaleNormal="100" workbookViewId="0">
      <selection sqref="A1:AL87"/>
    </sheetView>
  </sheetViews>
  <sheetFormatPr defaultColWidth="2.7109375" defaultRowHeight="12.75" x14ac:dyDescent="0.2"/>
  <sheetData>
    <row r="1" spans="1:38" x14ac:dyDescent="0.2">
      <c r="A1" t="s">
        <v>336</v>
      </c>
      <c r="E1" s="240" t="str">
        <f>_xlfn.CONCAT(Data!B2,", ",Data!B3," ",Data!B4)</f>
        <v xml:space="preserve">,  </v>
      </c>
      <c r="F1" s="240"/>
      <c r="G1" s="240"/>
      <c r="H1" s="240"/>
      <c r="I1" s="240"/>
      <c r="J1" s="240"/>
      <c r="K1" s="240"/>
      <c r="L1" s="240"/>
      <c r="M1" s="240"/>
      <c r="N1" s="240"/>
      <c r="O1" s="240"/>
      <c r="P1" s="240"/>
      <c r="Q1" s="240"/>
      <c r="R1" s="240"/>
      <c r="S1" t="s">
        <v>371</v>
      </c>
      <c r="U1" s="350">
        <f>Data!B14</f>
        <v>0</v>
      </c>
      <c r="V1" s="350"/>
      <c r="W1" s="350"/>
      <c r="X1" s="350"/>
      <c r="Y1" s="16" t="s">
        <v>772</v>
      </c>
      <c r="AE1" s="350">
        <f>Data!B34</f>
        <v>0</v>
      </c>
      <c r="AF1" s="295"/>
      <c r="AG1" s="295"/>
      <c r="AH1" s="295"/>
      <c r="AI1" s="295"/>
      <c r="AK1" t="s">
        <v>3219</v>
      </c>
    </row>
    <row r="2" spans="1:38" x14ac:dyDescent="0.2">
      <c r="A2" s="367" t="s">
        <v>1127</v>
      </c>
      <c r="B2" s="367"/>
      <c r="C2" s="367"/>
      <c r="D2" s="367"/>
      <c r="E2" s="367"/>
      <c r="F2" s="367"/>
      <c r="G2" s="367"/>
      <c r="H2" s="367"/>
      <c r="I2" s="367"/>
      <c r="J2" s="367"/>
      <c r="K2" s="367"/>
      <c r="L2" s="367"/>
      <c r="M2" s="367"/>
      <c r="N2" s="367"/>
      <c r="O2" s="367"/>
      <c r="P2" s="367"/>
      <c r="Q2" s="367"/>
      <c r="R2" s="367"/>
      <c r="S2" s="367"/>
      <c r="T2" s="367"/>
      <c r="U2" s="367"/>
      <c r="V2" s="367"/>
      <c r="W2" s="367"/>
      <c r="X2" s="367"/>
      <c r="Y2" s="367"/>
      <c r="Z2" s="367"/>
      <c r="AA2" s="367"/>
      <c r="AB2" s="367"/>
      <c r="AC2" s="367"/>
      <c r="AD2" s="367"/>
      <c r="AE2" s="367"/>
      <c r="AF2" s="367"/>
      <c r="AG2" s="367"/>
      <c r="AH2" s="367"/>
      <c r="AI2" s="367"/>
      <c r="AJ2" s="367"/>
      <c r="AK2" s="367"/>
      <c r="AL2" s="367"/>
    </row>
    <row r="3" spans="1:38" x14ac:dyDescent="0.2">
      <c r="A3" s="340" t="s">
        <v>1128</v>
      </c>
      <c r="B3" s="340"/>
      <c r="C3" s="340"/>
      <c r="D3" s="340"/>
      <c r="E3" s="340"/>
      <c r="F3" s="340"/>
      <c r="G3" s="340"/>
      <c r="H3" s="340"/>
      <c r="I3" s="340"/>
      <c r="J3" s="340"/>
      <c r="K3" s="340"/>
      <c r="L3" s="340"/>
      <c r="M3" s="340"/>
      <c r="N3" s="340"/>
      <c r="O3" s="340"/>
      <c r="P3" s="340"/>
      <c r="Q3" s="340"/>
      <c r="R3" s="340"/>
      <c r="S3" s="340"/>
      <c r="T3" s="340"/>
      <c r="U3" s="340"/>
      <c r="V3" s="340"/>
      <c r="W3" s="340"/>
      <c r="X3" s="340"/>
      <c r="Y3" s="340"/>
      <c r="Z3" s="340"/>
      <c r="AA3" s="340"/>
      <c r="AB3" s="340"/>
      <c r="AC3" s="340"/>
      <c r="AD3" s="340"/>
      <c r="AE3" s="340"/>
      <c r="AF3" s="340"/>
      <c r="AG3" s="340"/>
      <c r="AH3" s="340"/>
      <c r="AI3" s="340"/>
      <c r="AJ3" s="340"/>
      <c r="AK3" s="340"/>
      <c r="AL3" s="340"/>
    </row>
    <row r="4" spans="1:38" x14ac:dyDescent="0.2">
      <c r="B4" s="254" t="s">
        <v>1129</v>
      </c>
      <c r="C4" s="254"/>
      <c r="D4" s="254"/>
      <c r="E4" s="254"/>
      <c r="F4" s="254"/>
      <c r="G4" s="254"/>
      <c r="H4" s="254" t="s">
        <v>157</v>
      </c>
      <c r="I4" s="254"/>
      <c r="J4" s="254"/>
      <c r="K4" s="254"/>
      <c r="L4" s="254"/>
      <c r="M4" s="337" t="s">
        <v>1158</v>
      </c>
      <c r="N4" s="337"/>
      <c r="O4" s="337"/>
      <c r="P4" s="337"/>
      <c r="Q4" s="337"/>
      <c r="R4" s="337"/>
      <c r="S4" s="337"/>
      <c r="T4" s="337"/>
      <c r="U4" s="337"/>
      <c r="V4" s="337"/>
      <c r="W4" s="337"/>
      <c r="X4" s="337"/>
      <c r="Y4" s="337"/>
      <c r="Z4" s="337"/>
      <c r="AA4" s="337"/>
      <c r="AB4" s="337"/>
      <c r="AC4" s="337"/>
      <c r="AD4" s="337"/>
      <c r="AE4" s="337"/>
      <c r="AF4" s="337"/>
      <c r="AG4" s="337"/>
      <c r="AH4" s="337"/>
      <c r="AI4" s="337"/>
      <c r="AJ4" s="337"/>
      <c r="AK4" s="337"/>
      <c r="AL4" s="337"/>
    </row>
    <row r="5" spans="1:38" ht="15" customHeight="1" x14ac:dyDescent="0.2">
      <c r="A5" s="363" t="s">
        <v>79</v>
      </c>
      <c r="B5" s="366" t="s">
        <v>328</v>
      </c>
      <c r="C5" s="366"/>
      <c r="D5" s="366"/>
      <c r="E5" s="366"/>
      <c r="F5" s="366"/>
      <c r="G5" s="366"/>
      <c r="H5" s="366" t="str">
        <f>Data!B974</f>
        <v>PRN</v>
      </c>
      <c r="I5" s="366"/>
      <c r="J5" s="366"/>
      <c r="K5" s="366"/>
      <c r="L5" s="366"/>
      <c r="M5" s="362" t="str">
        <f>_xlfn.CONCAT(IF(Data!B960="Independent","Cue bathing and monitor for safety.","Assist with bathing and monitor for skin integrity. Do not leave client unattended."),IF(Data!B961="",""," "&amp;Data!B961),IF(Data!B975="",""," "&amp;Data!B975&amp;".")," ",Data!B1360,IF(OR(Data!B917=TRUE,Data!B929=TRUE),"Sponge bath.",""),IF(Data!B852="Yes","Use caution around wound(s). ",""))</f>
        <v xml:space="preserve">Assist with bathing and monitor for skin integrity. Do not leave client unattended. </v>
      </c>
      <c r="N5" s="362"/>
      <c r="O5" s="362"/>
      <c r="P5" s="362"/>
      <c r="Q5" s="362"/>
      <c r="R5" s="362"/>
      <c r="S5" s="362"/>
      <c r="T5" s="362"/>
      <c r="U5" s="362"/>
      <c r="V5" s="362"/>
      <c r="W5" s="362"/>
      <c r="X5" s="362"/>
      <c r="Y5" s="362"/>
      <c r="Z5" s="362"/>
      <c r="AA5" s="362"/>
      <c r="AB5" s="362"/>
      <c r="AC5" s="362"/>
      <c r="AD5" s="362"/>
      <c r="AE5" s="362"/>
      <c r="AF5" s="362"/>
      <c r="AG5" s="362"/>
      <c r="AH5" s="362"/>
      <c r="AI5" s="362"/>
      <c r="AJ5" s="362"/>
      <c r="AK5" s="362"/>
      <c r="AL5" s="362"/>
    </row>
    <row r="6" spans="1:38" ht="15" customHeight="1" x14ac:dyDescent="0.2">
      <c r="A6" s="364"/>
      <c r="B6" s="366" t="s">
        <v>329</v>
      </c>
      <c r="C6" s="366"/>
      <c r="D6" s="366"/>
      <c r="E6" s="366"/>
      <c r="F6" s="366"/>
      <c r="G6" s="366"/>
      <c r="H6" s="366" t="str">
        <f>Data!B976</f>
        <v>PRN</v>
      </c>
      <c r="I6" s="366"/>
      <c r="J6" s="366"/>
      <c r="K6" s="366"/>
      <c r="L6" s="366"/>
      <c r="M6" s="362" t="str">
        <f>_xlfn.CONCAT("Allow client to choose clothing and monitor for safety while dressing."," ",Data!B955," ",Data!B958," ",Data!B1361)</f>
        <v xml:space="preserve">Allow client to choose clothing and monitor for safety while dressing.   </v>
      </c>
      <c r="N6" s="362"/>
      <c r="O6" s="362"/>
      <c r="P6" s="362"/>
      <c r="Q6" s="362"/>
      <c r="R6" s="362"/>
      <c r="S6" s="362"/>
      <c r="T6" s="362"/>
      <c r="U6" s="362"/>
      <c r="V6" s="362"/>
      <c r="W6" s="362"/>
      <c r="X6" s="362"/>
      <c r="Y6" s="362"/>
      <c r="Z6" s="362"/>
      <c r="AA6" s="362"/>
      <c r="AB6" s="362"/>
      <c r="AC6" s="362"/>
      <c r="AD6" s="362"/>
      <c r="AE6" s="362"/>
      <c r="AF6" s="362"/>
      <c r="AG6" s="362"/>
      <c r="AH6" s="362"/>
      <c r="AI6" s="362"/>
      <c r="AJ6" s="362"/>
      <c r="AK6" s="362"/>
      <c r="AL6" s="362"/>
    </row>
    <row r="7" spans="1:38" ht="15" customHeight="1" x14ac:dyDescent="0.2">
      <c r="A7" s="364"/>
      <c r="B7" s="366" t="s">
        <v>1082</v>
      </c>
      <c r="C7" s="366"/>
      <c r="D7" s="366"/>
      <c r="E7" s="366"/>
      <c r="F7" s="366"/>
      <c r="G7" s="366"/>
      <c r="H7" s="366">
        <f>Data!B745</f>
        <v>0</v>
      </c>
      <c r="I7" s="366"/>
      <c r="J7" s="366"/>
      <c r="K7" s="366"/>
      <c r="L7" s="366"/>
      <c r="M7" s="362" t="str">
        <f>_xlfn.CONCAT(IF(Data!B745="Independent","Cue toileting and monitor for safety.","Cue every two hours and keep skin clean and dry.")," ",Data!B749,IF(OR(Data!B153=TRUE,Data!B154=TRUE)," Make sure client wears pads or diapers.",""),IF(OR(Data!B736=TRUE,Data!B737=TRUE),"  Rec:Toileting program q2Hours","")," ",Data!B1362)</f>
        <v xml:space="preserve">Cue every two hours and keep skin clean and dry.  </v>
      </c>
      <c r="N7" s="362"/>
      <c r="O7" s="362"/>
      <c r="P7" s="362"/>
      <c r="Q7" s="362"/>
      <c r="R7" s="362"/>
      <c r="S7" s="362"/>
      <c r="T7" s="362"/>
      <c r="U7" s="362"/>
      <c r="V7" s="362"/>
      <c r="W7" s="362"/>
      <c r="X7" s="362"/>
      <c r="Y7" s="362"/>
      <c r="Z7" s="362"/>
      <c r="AA7" s="362"/>
      <c r="AB7" s="362"/>
      <c r="AC7" s="362"/>
      <c r="AD7" s="362"/>
      <c r="AE7" s="362"/>
      <c r="AF7" s="362"/>
      <c r="AG7" s="362"/>
      <c r="AH7" s="362"/>
      <c r="AI7" s="362"/>
      <c r="AJ7" s="362"/>
      <c r="AK7" s="362"/>
      <c r="AL7" s="362"/>
    </row>
    <row r="8" spans="1:38" ht="15" customHeight="1" x14ac:dyDescent="0.2">
      <c r="A8" s="364"/>
      <c r="B8" s="366" t="s">
        <v>330</v>
      </c>
      <c r="C8" s="366"/>
      <c r="D8" s="366"/>
      <c r="E8" s="366"/>
      <c r="F8" s="366"/>
      <c r="G8" s="366"/>
      <c r="H8" s="366" t="str">
        <f>Data!B978</f>
        <v>PRN</v>
      </c>
      <c r="I8" s="366"/>
      <c r="J8" s="366"/>
      <c r="K8" s="366"/>
      <c r="L8" s="366"/>
      <c r="M8" s="362" t="str">
        <f>_xlfn.CONCAT(IF(Data!B978="Independent","Provide cues for proper grooming.","Assist with grooming to maintain proper hygiene.")," ",Data!B979," ",Data!B1363)</f>
        <v xml:space="preserve">Assist with grooming to maintain proper hygiene.  </v>
      </c>
      <c r="N8" s="362"/>
      <c r="O8" s="362"/>
      <c r="P8" s="362"/>
      <c r="Q8" s="362"/>
      <c r="R8" s="362"/>
      <c r="S8" s="362"/>
      <c r="T8" s="362"/>
      <c r="U8" s="362"/>
      <c r="V8" s="362"/>
      <c r="W8" s="362"/>
      <c r="X8" s="362"/>
      <c r="Y8" s="362"/>
      <c r="Z8" s="362"/>
      <c r="AA8" s="362"/>
      <c r="AB8" s="362"/>
      <c r="AC8" s="362"/>
      <c r="AD8" s="362"/>
      <c r="AE8" s="362"/>
      <c r="AF8" s="362"/>
      <c r="AG8" s="362"/>
      <c r="AH8" s="362"/>
      <c r="AI8" s="362"/>
      <c r="AJ8" s="362"/>
      <c r="AK8" s="362"/>
      <c r="AL8" s="362"/>
    </row>
    <row r="9" spans="1:38" ht="15" customHeight="1" x14ac:dyDescent="0.2">
      <c r="A9" s="364"/>
      <c r="B9" s="366" t="s">
        <v>1130</v>
      </c>
      <c r="C9" s="366"/>
      <c r="D9" s="366"/>
      <c r="E9" s="366"/>
      <c r="F9" s="366"/>
      <c r="G9" s="366"/>
      <c r="H9" s="366" t="str">
        <f>Data!B980</f>
        <v>PRN</v>
      </c>
      <c r="I9" s="366"/>
      <c r="J9" s="366"/>
      <c r="K9" s="366"/>
      <c r="L9" s="366"/>
      <c r="M9" s="362" t="str">
        <f>Data!B1364&amp;" File fingernails only, no cutting.  Monitor toenails and report growth to supervisor."</f>
        <v xml:space="preserve"> File fingernails only, no cutting.  Monitor toenails and report growth to supervisor.</v>
      </c>
      <c r="N9" s="362"/>
      <c r="O9" s="362"/>
      <c r="P9" s="362"/>
      <c r="Q9" s="362"/>
      <c r="R9" s="362"/>
      <c r="S9" s="362"/>
      <c r="T9" s="362"/>
      <c r="U9" s="362"/>
      <c r="V9" s="362"/>
      <c r="W9" s="362"/>
      <c r="X9" s="362"/>
      <c r="Y9" s="362"/>
      <c r="Z9" s="362"/>
      <c r="AA9" s="362"/>
      <c r="AB9" s="362"/>
      <c r="AC9" s="362"/>
      <c r="AD9" s="362"/>
      <c r="AE9" s="362"/>
      <c r="AF9" s="362"/>
      <c r="AG9" s="362"/>
      <c r="AH9" s="362"/>
      <c r="AI9" s="362"/>
      <c r="AJ9" s="362"/>
      <c r="AK9" s="362"/>
      <c r="AL9" s="362"/>
    </row>
    <row r="10" spans="1:38" ht="15" customHeight="1" x14ac:dyDescent="0.2">
      <c r="A10" s="364"/>
      <c r="B10" s="366" t="s">
        <v>1131</v>
      </c>
      <c r="C10" s="366"/>
      <c r="D10" s="366"/>
      <c r="E10" s="366"/>
      <c r="F10" s="366"/>
      <c r="G10" s="366"/>
      <c r="H10" s="366" t="str">
        <f>Data!B675</f>
        <v>Daily</v>
      </c>
      <c r="I10" s="366"/>
      <c r="J10" s="366"/>
      <c r="K10" s="366"/>
      <c r="L10" s="366"/>
      <c r="M10" s="362" t="str">
        <f>_xlfn.CONCAT(IF(Data!B156=TRUE,"Keep dentures clean.",""),"  Cue oral hygiene and assist as needed."," ",Data!B1365)</f>
        <v xml:space="preserve">  Cue oral hygiene and assist as needed. </v>
      </c>
      <c r="N10" s="362"/>
      <c r="O10" s="362"/>
      <c r="P10" s="362"/>
      <c r="Q10" s="362"/>
      <c r="R10" s="362"/>
      <c r="S10" s="362"/>
      <c r="T10" s="362"/>
      <c r="U10" s="362"/>
      <c r="V10" s="362"/>
      <c r="W10" s="362"/>
      <c r="X10" s="362"/>
      <c r="Y10" s="362"/>
      <c r="Z10" s="362"/>
      <c r="AA10" s="362"/>
      <c r="AB10" s="362"/>
      <c r="AC10" s="362"/>
      <c r="AD10" s="362"/>
      <c r="AE10" s="362"/>
      <c r="AF10" s="362"/>
      <c r="AG10" s="362"/>
      <c r="AH10" s="362"/>
      <c r="AI10" s="362"/>
      <c r="AJ10" s="362"/>
      <c r="AK10" s="362"/>
      <c r="AL10" s="362"/>
    </row>
    <row r="11" spans="1:38" ht="15" customHeight="1" x14ac:dyDescent="0.2">
      <c r="A11" s="365"/>
      <c r="B11" s="366" t="s">
        <v>1161</v>
      </c>
      <c r="C11" s="366"/>
      <c r="D11" s="366"/>
      <c r="E11" s="366"/>
      <c r="F11" s="366"/>
      <c r="G11" s="366"/>
      <c r="H11" s="366" t="str">
        <f>IF(OR(Data!B719="Yes",Data!B741="Yes"),"Daily","Not Required")</f>
        <v>Not Required</v>
      </c>
      <c r="I11" s="366"/>
      <c r="J11" s="366"/>
      <c r="K11" s="366"/>
      <c r="L11" s="366"/>
      <c r="M11" s="362" t="str">
        <f>_xlfn.CONCAT(IF(Data!B719="Yes","Provide bowel program per schedule.",""),IF(Data!B741="Yes","Provide catheter care as scheduled.",""),IF(AND(Data!B719="No",Data!B741="No"),"No special procedures required.","")," ",Data!B1366)</f>
        <v xml:space="preserve"> </v>
      </c>
      <c r="N11" s="362"/>
      <c r="O11" s="362"/>
      <c r="P11" s="362"/>
      <c r="Q11" s="362"/>
      <c r="R11" s="362"/>
      <c r="S11" s="362"/>
      <c r="T11" s="362"/>
      <c r="U11" s="362"/>
      <c r="V11" s="362"/>
      <c r="W11" s="362"/>
      <c r="X11" s="362"/>
      <c r="Y11" s="362"/>
      <c r="Z11" s="362"/>
      <c r="AA11" s="362"/>
      <c r="AB11" s="362"/>
      <c r="AC11" s="362"/>
      <c r="AD11" s="362"/>
      <c r="AE11" s="362"/>
      <c r="AF11" s="362"/>
      <c r="AG11" s="362"/>
      <c r="AH11" s="362"/>
      <c r="AI11" s="362"/>
      <c r="AJ11" s="362"/>
      <c r="AK11" s="362"/>
      <c r="AL11" s="362"/>
    </row>
    <row r="12" spans="1:38" ht="15" customHeight="1" x14ac:dyDescent="0.2">
      <c r="A12" s="368" t="s">
        <v>209</v>
      </c>
      <c r="B12" s="254" t="s">
        <v>1132</v>
      </c>
      <c r="C12" s="254"/>
      <c r="D12" s="254"/>
      <c r="E12" s="254"/>
      <c r="F12" s="254"/>
      <c r="G12" s="254"/>
      <c r="H12" s="254" t="str">
        <f>Data!B663</f>
        <v>Daily</v>
      </c>
      <c r="I12" s="254"/>
      <c r="J12" s="254"/>
      <c r="K12" s="254"/>
      <c r="L12" s="254"/>
      <c r="M12" s="337" t="str">
        <f>_xlfn.CONCAT(IF(Data!B692="Yes","Fluid restriction: "&amp;Data!B693&amp;" ccs per day. Record intake of fluid.","Encourage fluid intake throughout the shift to keep client hydrated.")," ",Data!B1367)</f>
        <v xml:space="preserve">Encourage fluid intake throughout the shift to keep client hydrated. </v>
      </c>
      <c r="N12" s="337"/>
      <c r="O12" s="337"/>
      <c r="P12" s="337"/>
      <c r="Q12" s="337"/>
      <c r="R12" s="337"/>
      <c r="S12" s="337"/>
      <c r="T12" s="337"/>
      <c r="U12" s="337"/>
      <c r="V12" s="337"/>
      <c r="W12" s="337"/>
      <c r="X12" s="337"/>
      <c r="Y12" s="337"/>
      <c r="Z12" s="337"/>
      <c r="AA12" s="337"/>
      <c r="AB12" s="337"/>
      <c r="AC12" s="337"/>
      <c r="AD12" s="337"/>
      <c r="AE12" s="337"/>
      <c r="AF12" s="337"/>
      <c r="AG12" s="337"/>
      <c r="AH12" s="337"/>
      <c r="AI12" s="337"/>
      <c r="AJ12" s="337"/>
      <c r="AK12" s="337"/>
      <c r="AL12" s="337"/>
    </row>
    <row r="13" spans="1:38" ht="15" customHeight="1" x14ac:dyDescent="0.2">
      <c r="A13" s="368"/>
      <c r="B13" s="254" t="s">
        <v>1083</v>
      </c>
      <c r="C13" s="254"/>
      <c r="D13" s="254"/>
      <c r="E13" s="254"/>
      <c r="F13" s="254"/>
      <c r="G13" s="254"/>
      <c r="H13" s="254">
        <f>Data!B665</f>
        <v>0</v>
      </c>
      <c r="I13" s="254"/>
      <c r="J13" s="254"/>
      <c r="K13" s="254"/>
      <c r="L13" s="254"/>
      <c r="M13" s="337" t="str">
        <f>Data!B1368&amp;" Allow client to choose food options if possible and clean up after meal."</f>
        <v xml:space="preserve"> Allow client to choose food options if possible and clean up after meal.</v>
      </c>
      <c r="N13" s="337"/>
      <c r="O13" s="337"/>
      <c r="P13" s="337"/>
      <c r="Q13" s="337"/>
      <c r="R13" s="337"/>
      <c r="S13" s="337"/>
      <c r="T13" s="337"/>
      <c r="U13" s="337"/>
      <c r="V13" s="337"/>
      <c r="W13" s="337"/>
      <c r="X13" s="337"/>
      <c r="Y13" s="337"/>
      <c r="Z13" s="337"/>
      <c r="AA13" s="337"/>
      <c r="AB13" s="337"/>
      <c r="AC13" s="337"/>
      <c r="AD13" s="337"/>
      <c r="AE13" s="337"/>
      <c r="AF13" s="337"/>
      <c r="AG13" s="337"/>
      <c r="AH13" s="337"/>
      <c r="AI13" s="337"/>
      <c r="AJ13" s="337"/>
      <c r="AK13" s="337"/>
      <c r="AL13" s="337"/>
    </row>
    <row r="14" spans="1:38" ht="15" customHeight="1" x14ac:dyDescent="0.2">
      <c r="A14" s="368"/>
      <c r="B14" s="254" t="s">
        <v>1133</v>
      </c>
      <c r="C14" s="254"/>
      <c r="D14" s="254"/>
      <c r="E14" s="254"/>
      <c r="F14" s="254"/>
      <c r="G14" s="254"/>
      <c r="H14" s="254" t="str">
        <f>Data!B667</f>
        <v>Daily</v>
      </c>
      <c r="I14" s="254"/>
      <c r="J14" s="254"/>
      <c r="K14" s="254"/>
      <c r="L14" s="254"/>
      <c r="M14" s="337" t="str">
        <f>_xlfn.CONCAT(IF(AND(Data!B170="",Data!B171=""),"Encourage proper nutrition using the food pyramid.","Prepare meals based on prescribed and suggested diets."),"  See diet requirements on page 1 of care plan."," ",Data!B1369)</f>
        <v xml:space="preserve">Encourage proper nutrition using the food pyramid.  See diet requirements on page 1 of care plan. </v>
      </c>
      <c r="N14" s="337"/>
      <c r="O14" s="337"/>
      <c r="P14" s="337"/>
      <c r="Q14" s="337"/>
      <c r="R14" s="337"/>
      <c r="S14" s="337"/>
      <c r="T14" s="337"/>
      <c r="U14" s="337"/>
      <c r="V14" s="337"/>
      <c r="W14" s="337"/>
      <c r="X14" s="337"/>
      <c r="Y14" s="337"/>
      <c r="Z14" s="337"/>
      <c r="AA14" s="337"/>
      <c r="AB14" s="337"/>
      <c r="AC14" s="337"/>
      <c r="AD14" s="337"/>
      <c r="AE14" s="337"/>
      <c r="AF14" s="337"/>
      <c r="AG14" s="337"/>
      <c r="AH14" s="337"/>
      <c r="AI14" s="337"/>
      <c r="AJ14" s="337"/>
      <c r="AK14" s="337"/>
      <c r="AL14" s="337"/>
    </row>
    <row r="15" spans="1:38" ht="15" customHeight="1" x14ac:dyDescent="0.2">
      <c r="A15" s="368"/>
      <c r="B15" s="254" t="s">
        <v>1134</v>
      </c>
      <c r="C15" s="254"/>
      <c r="D15" s="254"/>
      <c r="E15" s="254"/>
      <c r="F15" s="254"/>
      <c r="G15" s="254"/>
      <c r="H15" s="254">
        <f>Data!B669</f>
        <v>0</v>
      </c>
      <c r="I15" s="254"/>
      <c r="J15" s="254"/>
      <c r="K15" s="254"/>
      <c r="L15" s="254"/>
      <c r="M15" s="337" t="str">
        <f>_xlfn.CONCAT(IF(OR(Data!B660="Yes",Data!B156=TRUE),"Cut food in small pieces and monitor for choking.","")," ","Monitor for changes in ability to feed self."," ",Data!B1370)</f>
        <v xml:space="preserve"> Monitor for changes in ability to feed self. </v>
      </c>
      <c r="N15" s="337"/>
      <c r="O15" s="337"/>
      <c r="P15" s="337"/>
      <c r="Q15" s="337"/>
      <c r="R15" s="337"/>
      <c r="S15" s="337"/>
      <c r="T15" s="337"/>
      <c r="U15" s="337"/>
      <c r="V15" s="337"/>
      <c r="W15" s="337"/>
      <c r="X15" s="337"/>
      <c r="Y15" s="337"/>
      <c r="Z15" s="337"/>
      <c r="AA15" s="337"/>
      <c r="AB15" s="337"/>
      <c r="AC15" s="337"/>
      <c r="AD15" s="337"/>
      <c r="AE15" s="337"/>
      <c r="AF15" s="337"/>
      <c r="AG15" s="337"/>
      <c r="AH15" s="337"/>
      <c r="AI15" s="337"/>
      <c r="AJ15" s="337"/>
      <c r="AK15" s="337"/>
      <c r="AL15" s="337"/>
    </row>
    <row r="16" spans="1:38" ht="15" customHeight="1" x14ac:dyDescent="0.2">
      <c r="A16" s="368"/>
      <c r="B16" s="254" t="s">
        <v>1135</v>
      </c>
      <c r="C16" s="254"/>
      <c r="D16" s="254"/>
      <c r="E16" s="254"/>
      <c r="F16" s="254"/>
      <c r="G16" s="254"/>
      <c r="H16" s="254" t="str">
        <f>Data!B671</f>
        <v>PRN</v>
      </c>
      <c r="I16" s="254"/>
      <c r="J16" s="254"/>
      <c r="K16" s="254"/>
      <c r="L16" s="254"/>
      <c r="M16" s="337" t="str">
        <f>Data!B1371&amp;" Monitor food expirations and discard expired foods."</f>
        <v xml:space="preserve"> Monitor food expirations and discard expired foods.</v>
      </c>
      <c r="N16" s="337"/>
      <c r="O16" s="337"/>
      <c r="P16" s="337"/>
      <c r="Q16" s="337"/>
      <c r="R16" s="337"/>
      <c r="S16" s="337"/>
      <c r="T16" s="337"/>
      <c r="U16" s="337"/>
      <c r="V16" s="337"/>
      <c r="W16" s="337"/>
      <c r="X16" s="337"/>
      <c r="Y16" s="337"/>
      <c r="Z16" s="337"/>
      <c r="AA16" s="337"/>
      <c r="AB16" s="337"/>
      <c r="AC16" s="337"/>
      <c r="AD16" s="337"/>
      <c r="AE16" s="337"/>
      <c r="AF16" s="337"/>
      <c r="AG16" s="337"/>
      <c r="AH16" s="337"/>
      <c r="AI16" s="337"/>
      <c r="AJ16" s="337"/>
      <c r="AK16" s="337"/>
      <c r="AL16" s="337"/>
    </row>
    <row r="17" spans="1:38" ht="15" customHeight="1" x14ac:dyDescent="0.2">
      <c r="A17" s="368"/>
      <c r="B17" s="254" t="s">
        <v>1136</v>
      </c>
      <c r="C17" s="254"/>
      <c r="D17" s="254"/>
      <c r="E17" s="254"/>
      <c r="F17" s="254"/>
      <c r="G17" s="254"/>
      <c r="H17" s="254" t="str">
        <f>Data!B673</f>
        <v>Daily</v>
      </c>
      <c r="I17" s="254"/>
      <c r="J17" s="254"/>
      <c r="K17" s="254"/>
      <c r="L17" s="254"/>
      <c r="M17" s="337" t="str">
        <f>Data!B1372&amp;" Monitor cooking equipment for malfunction and/or fire hazard.  Report problems."</f>
        <v xml:space="preserve"> Monitor cooking equipment for malfunction and/or fire hazard.  Report problems.</v>
      </c>
      <c r="N17" s="337"/>
      <c r="O17" s="337"/>
      <c r="P17" s="337"/>
      <c r="Q17" s="337"/>
      <c r="R17" s="337"/>
      <c r="S17" s="337"/>
      <c r="T17" s="337"/>
      <c r="U17" s="337"/>
      <c r="V17" s="337"/>
      <c r="W17" s="337"/>
      <c r="X17" s="337"/>
      <c r="Y17" s="337"/>
      <c r="Z17" s="337"/>
      <c r="AA17" s="337"/>
      <c r="AB17" s="337"/>
      <c r="AC17" s="337"/>
      <c r="AD17" s="337"/>
      <c r="AE17" s="337"/>
      <c r="AF17" s="337"/>
      <c r="AG17" s="337"/>
      <c r="AH17" s="337"/>
      <c r="AI17" s="337"/>
      <c r="AJ17" s="337"/>
      <c r="AK17" s="337"/>
      <c r="AL17" s="337"/>
    </row>
    <row r="18" spans="1:38" ht="15" customHeight="1" x14ac:dyDescent="0.2">
      <c r="A18" s="369" t="s">
        <v>1154</v>
      </c>
      <c r="B18" s="366" t="s">
        <v>1137</v>
      </c>
      <c r="C18" s="366"/>
      <c r="D18" s="366"/>
      <c r="E18" s="366"/>
      <c r="F18" s="366"/>
      <c r="G18" s="366"/>
      <c r="H18" s="366">
        <f>Data!B962</f>
        <v>0</v>
      </c>
      <c r="I18" s="366"/>
      <c r="J18" s="366"/>
      <c r="K18" s="366"/>
      <c r="L18" s="366"/>
      <c r="M18" s="362" t="str">
        <f>_xlfn.CONCAT(IF(Data!B148=TRUE,"Use gait belt.",""),IF(Data!B146=TRUE,"  Monitor Hoyer lift for malfunction.",""),IF(Data!B944="Independent","Monitor for safety when transferring."," Provide assistance during transfers.")," ",Data!B1373)</f>
        <v xml:space="preserve"> Provide assistance during transfers. </v>
      </c>
      <c r="N18" s="362"/>
      <c r="O18" s="362"/>
      <c r="P18" s="362"/>
      <c r="Q18" s="362"/>
      <c r="R18" s="362"/>
      <c r="S18" s="362"/>
      <c r="T18" s="362"/>
      <c r="U18" s="362"/>
      <c r="V18" s="362"/>
      <c r="W18" s="362"/>
      <c r="X18" s="362"/>
      <c r="Y18" s="362"/>
      <c r="Z18" s="362"/>
      <c r="AA18" s="362"/>
      <c r="AB18" s="362"/>
      <c r="AC18" s="362"/>
      <c r="AD18" s="362"/>
      <c r="AE18" s="362"/>
      <c r="AF18" s="362"/>
      <c r="AG18" s="362"/>
      <c r="AH18" s="362"/>
      <c r="AI18" s="362"/>
      <c r="AJ18" s="362"/>
      <c r="AK18" s="362"/>
      <c r="AL18" s="362"/>
    </row>
    <row r="19" spans="1:38" ht="15" customHeight="1" x14ac:dyDescent="0.2">
      <c r="A19" s="369"/>
      <c r="B19" s="366" t="s">
        <v>1157</v>
      </c>
      <c r="C19" s="366"/>
      <c r="D19" s="366"/>
      <c r="E19" s="366"/>
      <c r="F19" s="366"/>
      <c r="G19" s="366"/>
      <c r="H19" s="366">
        <f>Data!B964</f>
        <v>0</v>
      </c>
      <c r="I19" s="366"/>
      <c r="J19" s="366"/>
      <c r="K19" s="366"/>
      <c r="L19" s="366"/>
      <c r="M19" s="362" t="str">
        <f>_xlfn.CONCAT(IF(OR(Data!B333="Yes",Data!B332="Yes"),"Provide assistance and supervision as client is a fall risk or has a history of falls.",""),IF(OR(Data!B944="Independent",Data!B944="Standby Assist")," Monitor for changes in ability to walk unassisted.","")," ",Data!B1374)</f>
        <v xml:space="preserve"> </v>
      </c>
      <c r="N19" s="362"/>
      <c r="O19" s="362"/>
      <c r="P19" s="362"/>
      <c r="Q19" s="362"/>
      <c r="R19" s="362"/>
      <c r="S19" s="362"/>
      <c r="T19" s="362"/>
      <c r="U19" s="362"/>
      <c r="V19" s="362"/>
      <c r="W19" s="362"/>
      <c r="X19" s="362"/>
      <c r="Y19" s="362"/>
      <c r="Z19" s="362"/>
      <c r="AA19" s="362"/>
      <c r="AB19" s="362"/>
      <c r="AC19" s="362"/>
      <c r="AD19" s="362"/>
      <c r="AE19" s="362"/>
      <c r="AF19" s="362"/>
      <c r="AG19" s="362"/>
      <c r="AH19" s="362"/>
      <c r="AI19" s="362"/>
      <c r="AJ19" s="362"/>
      <c r="AK19" s="362"/>
      <c r="AL19" s="362"/>
    </row>
    <row r="20" spans="1:38" ht="15" customHeight="1" x14ac:dyDescent="0.2">
      <c r="A20" s="369"/>
      <c r="B20" s="366" t="s">
        <v>1138</v>
      </c>
      <c r="C20" s="366"/>
      <c r="D20" s="366"/>
      <c r="E20" s="366"/>
      <c r="F20" s="366"/>
      <c r="G20" s="366"/>
      <c r="H20" s="366">
        <f>Data!B966</f>
        <v>0</v>
      </c>
      <c r="I20" s="366"/>
      <c r="J20" s="366"/>
      <c r="K20" s="366"/>
      <c r="L20" s="366"/>
      <c r="M20" s="362" t="str">
        <f>_xlfn.CONCAT(IF(Data!B966="PRN","Repositioning not required. Encourage activity to prevent prolonged pressure on skin.","Reposition client "&amp;Data!B966&amp;" to prevent bed sores. Encourage activity to prevent prolonged pressure on skin.")," ",Data!B1375)</f>
        <v xml:space="preserve">Reposition client  to prevent bed sores. Encourage activity to prevent prolonged pressure on skin. </v>
      </c>
      <c r="N20" s="362"/>
      <c r="O20" s="362"/>
      <c r="P20" s="362"/>
      <c r="Q20" s="362"/>
      <c r="R20" s="362"/>
      <c r="S20" s="362"/>
      <c r="T20" s="362"/>
      <c r="U20" s="362"/>
      <c r="V20" s="362"/>
      <c r="W20" s="362"/>
      <c r="X20" s="362"/>
      <c r="Y20" s="362"/>
      <c r="Z20" s="362"/>
      <c r="AA20" s="362"/>
      <c r="AB20" s="362"/>
      <c r="AC20" s="362"/>
      <c r="AD20" s="362"/>
      <c r="AE20" s="362"/>
      <c r="AF20" s="362"/>
      <c r="AG20" s="362"/>
      <c r="AH20" s="362"/>
      <c r="AI20" s="362"/>
      <c r="AJ20" s="362"/>
      <c r="AK20" s="362"/>
      <c r="AL20" s="362"/>
    </row>
    <row r="21" spans="1:38" ht="15" customHeight="1" x14ac:dyDescent="0.2">
      <c r="A21" s="369"/>
      <c r="B21" s="366" t="s">
        <v>1139</v>
      </c>
      <c r="C21" s="366"/>
      <c r="D21" s="366"/>
      <c r="E21" s="366"/>
      <c r="F21" s="366"/>
      <c r="G21" s="366"/>
      <c r="H21" s="366" t="str">
        <f>Data!B968</f>
        <v>Daily</v>
      </c>
      <c r="I21" s="366"/>
      <c r="J21" s="366"/>
      <c r="K21" s="366"/>
      <c r="L21" s="366"/>
      <c r="M21" s="362" t="str">
        <f>Data!B1376&amp;" Encourage activity as tolerated."</f>
        <v xml:space="preserve"> Encourage activity as tolerated.</v>
      </c>
      <c r="N21" s="362"/>
      <c r="O21" s="362"/>
      <c r="P21" s="362"/>
      <c r="Q21" s="362"/>
      <c r="R21" s="362"/>
      <c r="S21" s="362"/>
      <c r="T21" s="362"/>
      <c r="U21" s="362"/>
      <c r="V21" s="362"/>
      <c r="W21" s="362"/>
      <c r="X21" s="362"/>
      <c r="Y21" s="362"/>
      <c r="Z21" s="362"/>
      <c r="AA21" s="362"/>
      <c r="AB21" s="362"/>
      <c r="AC21" s="362"/>
      <c r="AD21" s="362"/>
      <c r="AE21" s="362"/>
      <c r="AF21" s="362"/>
      <c r="AG21" s="362"/>
      <c r="AH21" s="362"/>
      <c r="AI21" s="362"/>
      <c r="AJ21" s="362"/>
      <c r="AK21" s="362"/>
      <c r="AL21" s="362"/>
    </row>
    <row r="22" spans="1:38" ht="15" customHeight="1" x14ac:dyDescent="0.2">
      <c r="A22" s="369"/>
      <c r="B22" s="366" t="s">
        <v>1140</v>
      </c>
      <c r="C22" s="366"/>
      <c r="D22" s="366"/>
      <c r="E22" s="366"/>
      <c r="F22" s="366"/>
      <c r="G22" s="366"/>
      <c r="H22" s="366" t="str">
        <f>Data!B970</f>
        <v>Daily</v>
      </c>
      <c r="I22" s="366"/>
      <c r="J22" s="366"/>
      <c r="K22" s="366"/>
      <c r="L22" s="366"/>
      <c r="M22" s="362" t="str">
        <f>Data!B1377&amp;" Encourage range of motion exercises to keep joints loose."</f>
        <v xml:space="preserve"> Encourage range of motion exercises to keep joints loose.</v>
      </c>
      <c r="N22" s="362"/>
      <c r="O22" s="362"/>
      <c r="P22" s="362"/>
      <c r="Q22" s="362"/>
      <c r="R22" s="362"/>
      <c r="S22" s="362"/>
      <c r="T22" s="362"/>
      <c r="U22" s="362"/>
      <c r="V22" s="362"/>
      <c r="W22" s="362"/>
      <c r="X22" s="362"/>
      <c r="Y22" s="362"/>
      <c r="Z22" s="362"/>
      <c r="AA22" s="362"/>
      <c r="AB22" s="362"/>
      <c r="AC22" s="362"/>
      <c r="AD22" s="362"/>
      <c r="AE22" s="362"/>
      <c r="AF22" s="362"/>
      <c r="AG22" s="362"/>
      <c r="AH22" s="362"/>
      <c r="AI22" s="362"/>
      <c r="AJ22" s="362"/>
      <c r="AK22" s="362"/>
      <c r="AL22" s="362"/>
    </row>
    <row r="23" spans="1:38" ht="15" customHeight="1" x14ac:dyDescent="0.2">
      <c r="A23" s="369"/>
      <c r="B23" s="366" t="s">
        <v>1141</v>
      </c>
      <c r="C23" s="366"/>
      <c r="D23" s="366"/>
      <c r="E23" s="366"/>
      <c r="F23" s="366"/>
      <c r="G23" s="366"/>
      <c r="H23" s="366" t="str">
        <f>Data!B972</f>
        <v>Daily</v>
      </c>
      <c r="I23" s="366"/>
      <c r="J23" s="366"/>
      <c r="K23" s="366"/>
      <c r="L23" s="366"/>
      <c r="M23" s="362" t="str">
        <f>Data!B1378&amp;" Place phone and/or ERS button next to client before leaving."</f>
        <v xml:space="preserve"> Place phone and/or ERS button next to client before leaving.</v>
      </c>
      <c r="N23" s="362"/>
      <c r="O23" s="362"/>
      <c r="P23" s="362"/>
      <c r="Q23" s="362"/>
      <c r="R23" s="362"/>
      <c r="S23" s="362"/>
      <c r="T23" s="362"/>
      <c r="U23" s="362"/>
      <c r="V23" s="362"/>
      <c r="W23" s="362"/>
      <c r="X23" s="362"/>
      <c r="Y23" s="362"/>
      <c r="Z23" s="362"/>
      <c r="AA23" s="362"/>
      <c r="AB23" s="362"/>
      <c r="AC23" s="362"/>
      <c r="AD23" s="362"/>
      <c r="AE23" s="362"/>
      <c r="AF23" s="362"/>
      <c r="AG23" s="362"/>
      <c r="AH23" s="362"/>
      <c r="AI23" s="362"/>
      <c r="AJ23" s="362"/>
      <c r="AK23" s="362"/>
      <c r="AL23" s="362"/>
    </row>
    <row r="24" spans="1:38" ht="15" customHeight="1" x14ac:dyDescent="0.2">
      <c r="A24" s="369"/>
      <c r="B24" s="366" t="s">
        <v>332</v>
      </c>
      <c r="C24" s="366"/>
      <c r="D24" s="366"/>
      <c r="E24" s="366"/>
      <c r="F24" s="366"/>
      <c r="G24" s="366"/>
      <c r="H24" s="366" t="str">
        <f>Data!B990</f>
        <v>PRN</v>
      </c>
      <c r="I24" s="366"/>
      <c r="J24" s="366"/>
      <c r="K24" s="366"/>
      <c r="L24" s="366"/>
      <c r="M24" s="362" t="str">
        <f>Data!B1379&amp;" Report any falls to supervisor immediately, even if it did not happen on the shift."</f>
        <v xml:space="preserve"> Report any falls to supervisor immediately, even if it did not happen on the shift.</v>
      </c>
      <c r="N24" s="362"/>
      <c r="O24" s="362"/>
      <c r="P24" s="362"/>
      <c r="Q24" s="362"/>
      <c r="R24" s="362"/>
      <c r="S24" s="362"/>
      <c r="T24" s="362"/>
      <c r="U24" s="362"/>
      <c r="V24" s="362"/>
      <c r="W24" s="362"/>
      <c r="X24" s="362"/>
      <c r="Y24" s="362"/>
      <c r="Z24" s="362"/>
      <c r="AA24" s="362"/>
      <c r="AB24" s="362"/>
      <c r="AC24" s="362"/>
      <c r="AD24" s="362"/>
      <c r="AE24" s="362"/>
      <c r="AF24" s="362"/>
      <c r="AG24" s="362"/>
      <c r="AH24" s="362"/>
      <c r="AI24" s="362"/>
      <c r="AJ24" s="362"/>
      <c r="AK24" s="362"/>
      <c r="AL24" s="362"/>
    </row>
    <row r="25" spans="1:38" ht="15" customHeight="1" x14ac:dyDescent="0.2">
      <c r="A25" s="368" t="s">
        <v>1155</v>
      </c>
      <c r="B25" s="254" t="s">
        <v>1142</v>
      </c>
      <c r="C25" s="254"/>
      <c r="D25" s="254"/>
      <c r="E25" s="254"/>
      <c r="F25" s="254"/>
      <c r="G25" s="254"/>
      <c r="H25" s="254" t="str">
        <f>Data!B420</f>
        <v>Daily</v>
      </c>
      <c r="I25" s="254"/>
      <c r="J25" s="254"/>
      <c r="K25" s="254"/>
      <c r="L25" s="254"/>
      <c r="M25" s="337" t="str">
        <f>_xlfn.CONCAT(IF(Data!B413="Independent","Remind client to take medications.","Remind and assist client with medications.")," Monitor for compliance and report missed medications."," ",Data!B1380)</f>
        <v xml:space="preserve">Remind and assist client with medications. Monitor for compliance and report missed medications. </v>
      </c>
      <c r="N25" s="337"/>
      <c r="O25" s="337"/>
      <c r="P25" s="337"/>
      <c r="Q25" s="337"/>
      <c r="R25" s="337"/>
      <c r="S25" s="337"/>
      <c r="T25" s="337"/>
      <c r="U25" s="337"/>
      <c r="V25" s="337"/>
      <c r="W25" s="337"/>
      <c r="X25" s="337"/>
      <c r="Y25" s="337"/>
      <c r="Z25" s="337"/>
      <c r="AA25" s="337"/>
      <c r="AB25" s="337"/>
      <c r="AC25" s="337"/>
      <c r="AD25" s="337"/>
      <c r="AE25" s="337"/>
      <c r="AF25" s="337"/>
      <c r="AG25" s="337"/>
      <c r="AH25" s="337"/>
      <c r="AI25" s="337"/>
      <c r="AJ25" s="337"/>
      <c r="AK25" s="337"/>
      <c r="AL25" s="337"/>
    </row>
    <row r="26" spans="1:38" ht="15" customHeight="1" x14ac:dyDescent="0.2">
      <c r="A26" s="368"/>
      <c r="B26" s="254" t="s">
        <v>1143</v>
      </c>
      <c r="C26" s="254"/>
      <c r="D26" s="254"/>
      <c r="E26" s="254"/>
      <c r="F26" s="254"/>
      <c r="G26" s="254"/>
      <c r="H26" s="254" t="str">
        <f>Data!B422</f>
        <v>PRN</v>
      </c>
      <c r="I26" s="254"/>
      <c r="J26" s="254"/>
      <c r="K26" s="254"/>
      <c r="L26" s="254"/>
      <c r="M26" s="337" t="str">
        <f>_xlfn.CONCAT(IF(OR(Data!B412="Self",Data!B412="Aide"),"Pick up Rx as needed.","Inform "&amp;Data!B412&amp;" of medications that need to be picked up.")," ",Data!B1381)</f>
        <v xml:space="preserve">Inform  of medications that need to be picked up. </v>
      </c>
      <c r="N26" s="337"/>
      <c r="O26" s="337"/>
      <c r="P26" s="337"/>
      <c r="Q26" s="337"/>
      <c r="R26" s="337"/>
      <c r="S26" s="337"/>
      <c r="T26" s="337"/>
      <c r="U26" s="337"/>
      <c r="V26" s="337"/>
      <c r="W26" s="337"/>
      <c r="X26" s="337"/>
      <c r="Y26" s="337"/>
      <c r="Z26" s="337"/>
      <c r="AA26" s="337"/>
      <c r="AB26" s="337"/>
      <c r="AC26" s="337"/>
      <c r="AD26" s="337"/>
      <c r="AE26" s="337"/>
      <c r="AF26" s="337"/>
      <c r="AG26" s="337"/>
      <c r="AH26" s="337"/>
      <c r="AI26" s="337"/>
      <c r="AJ26" s="337"/>
      <c r="AK26" s="337"/>
      <c r="AL26" s="337"/>
    </row>
    <row r="27" spans="1:38" ht="15" customHeight="1" x14ac:dyDescent="0.2">
      <c r="A27" s="368"/>
      <c r="B27" s="254" t="s">
        <v>153</v>
      </c>
      <c r="C27" s="254"/>
      <c r="D27" s="254"/>
      <c r="E27" s="254"/>
      <c r="F27" s="254"/>
      <c r="G27" s="254"/>
      <c r="H27" s="254" t="str">
        <f>Data!B424</f>
        <v>PRN</v>
      </c>
      <c r="I27" s="254"/>
      <c r="J27" s="254"/>
      <c r="K27" s="254"/>
      <c r="L27" s="254"/>
      <c r="M27" s="337" t="str">
        <f>Data!B1382&amp;" Report any medication errors or abnormal reactions to supervisor immediately."</f>
        <v xml:space="preserve"> Report any medication errors or abnormal reactions to supervisor immediately.</v>
      </c>
      <c r="N27" s="337"/>
      <c r="O27" s="337"/>
      <c r="P27" s="337"/>
      <c r="Q27" s="337"/>
      <c r="R27" s="337"/>
      <c r="S27" s="337"/>
      <c r="T27" s="337"/>
      <c r="U27" s="337"/>
      <c r="V27" s="337"/>
      <c r="W27" s="337"/>
      <c r="X27" s="337"/>
      <c r="Y27" s="337"/>
      <c r="Z27" s="337"/>
      <c r="AA27" s="337"/>
      <c r="AB27" s="337"/>
      <c r="AC27" s="337"/>
      <c r="AD27" s="337"/>
      <c r="AE27" s="337"/>
      <c r="AF27" s="337"/>
      <c r="AG27" s="337"/>
      <c r="AH27" s="337"/>
      <c r="AI27" s="337"/>
      <c r="AJ27" s="337"/>
      <c r="AK27" s="337"/>
      <c r="AL27" s="337"/>
    </row>
    <row r="28" spans="1:38" ht="15" customHeight="1" x14ac:dyDescent="0.2">
      <c r="A28" s="368"/>
      <c r="B28" s="254" t="s">
        <v>305</v>
      </c>
      <c r="C28" s="254"/>
      <c r="D28" s="254"/>
      <c r="E28" s="254"/>
      <c r="F28" s="254"/>
      <c r="G28" s="254"/>
      <c r="H28" s="254" t="str">
        <f>Data!B904</f>
        <v>Daily</v>
      </c>
      <c r="I28" s="254"/>
      <c r="J28" s="254"/>
      <c r="K28" s="254"/>
      <c r="L28" s="254"/>
      <c r="M28" s="337" t="str">
        <f>_xlfn.CONCAT("Provide watchful supervision at all times.",IF(Data!B876=TRUE," Client cannot be left alone."," Client can be left alone for short periods.")," ",Data!B1383)</f>
        <v xml:space="preserve">Provide watchful supervision at all times. Client can be left alone for short periods. </v>
      </c>
      <c r="N28" s="337"/>
      <c r="O28" s="337"/>
      <c r="P28" s="337"/>
      <c r="Q28" s="337"/>
      <c r="R28" s="337"/>
      <c r="S28" s="337"/>
      <c r="T28" s="337"/>
      <c r="U28" s="337"/>
      <c r="V28" s="337"/>
      <c r="W28" s="337"/>
      <c r="X28" s="337"/>
      <c r="Y28" s="337"/>
      <c r="Z28" s="337"/>
      <c r="AA28" s="337"/>
      <c r="AB28" s="337"/>
      <c r="AC28" s="337"/>
      <c r="AD28" s="337"/>
      <c r="AE28" s="337"/>
      <c r="AF28" s="337"/>
      <c r="AG28" s="337"/>
      <c r="AH28" s="337"/>
      <c r="AI28" s="337"/>
      <c r="AJ28" s="337"/>
      <c r="AK28" s="337"/>
      <c r="AL28" s="337"/>
    </row>
    <row r="29" spans="1:38" ht="15" customHeight="1" x14ac:dyDescent="0.2">
      <c r="A29" s="368"/>
      <c r="B29" s="254" t="s">
        <v>331</v>
      </c>
      <c r="C29" s="254"/>
      <c r="D29" s="254"/>
      <c r="E29" s="254"/>
      <c r="F29" s="254"/>
      <c r="G29" s="254"/>
      <c r="H29" s="254" t="str">
        <f>Data!B982</f>
        <v>PRN</v>
      </c>
      <c r="I29" s="254"/>
      <c r="J29" s="254"/>
      <c r="K29" s="254"/>
      <c r="L29" s="254"/>
      <c r="M29" s="337" t="str">
        <f>_xlfn.CONCAT("Call 911."," Pref hospital: ",Data!B172&amp;". "," Apply basic first aid for minor injuries and always report to supervisor."," ",Data!B1384)</f>
        <v xml:space="preserve">Call 911. Pref hospital: .  Apply basic first aid for minor injuries and always report to supervisor. </v>
      </c>
      <c r="N29" s="337"/>
      <c r="O29" s="337"/>
      <c r="P29" s="337"/>
      <c r="Q29" s="337"/>
      <c r="R29" s="337"/>
      <c r="S29" s="337"/>
      <c r="T29" s="337"/>
      <c r="U29" s="337"/>
      <c r="V29" s="337"/>
      <c r="W29" s="337"/>
      <c r="X29" s="337"/>
      <c r="Y29" s="337"/>
      <c r="Z29" s="337"/>
      <c r="AA29" s="337"/>
      <c r="AB29" s="337"/>
      <c r="AC29" s="337"/>
      <c r="AD29" s="337"/>
      <c r="AE29" s="337"/>
      <c r="AF29" s="337"/>
      <c r="AG29" s="337"/>
      <c r="AH29" s="337"/>
      <c r="AI29" s="337"/>
      <c r="AJ29" s="337"/>
      <c r="AK29" s="337"/>
      <c r="AL29" s="337"/>
    </row>
    <row r="30" spans="1:38" ht="15" customHeight="1" x14ac:dyDescent="0.2">
      <c r="A30" s="368"/>
      <c r="B30" s="254" t="s">
        <v>3360</v>
      </c>
      <c r="C30" s="254"/>
      <c r="D30" s="254"/>
      <c r="E30" s="254"/>
      <c r="F30" s="254"/>
      <c r="G30" s="254"/>
      <c r="H30" s="254" t="str">
        <f>Data!B984</f>
        <v>Daily</v>
      </c>
      <c r="I30" s="254"/>
      <c r="J30" s="254"/>
      <c r="K30" s="254"/>
      <c r="L30" s="254"/>
      <c r="M30" s="337" t="str">
        <f>Data!B1385&amp;" All aides will follow universal precautions at all times to prevent spread of infection/germs."</f>
        <v xml:space="preserve"> All aides will follow universal precautions at all times to prevent spread of infection/germs.</v>
      </c>
      <c r="N30" s="337"/>
      <c r="O30" s="337"/>
      <c r="P30" s="337"/>
      <c r="Q30" s="337"/>
      <c r="R30" s="337"/>
      <c r="S30" s="337"/>
      <c r="T30" s="337"/>
      <c r="U30" s="337"/>
      <c r="V30" s="337"/>
      <c r="W30" s="337"/>
      <c r="X30" s="337"/>
      <c r="Y30" s="337"/>
      <c r="Z30" s="337"/>
      <c r="AA30" s="337"/>
      <c r="AB30" s="337"/>
      <c r="AC30" s="337"/>
      <c r="AD30" s="337"/>
      <c r="AE30" s="337"/>
      <c r="AF30" s="337"/>
      <c r="AG30" s="337"/>
      <c r="AH30" s="337"/>
      <c r="AI30" s="337"/>
      <c r="AJ30" s="337"/>
      <c r="AK30" s="337"/>
      <c r="AL30" s="337"/>
    </row>
    <row r="31" spans="1:38" ht="15" customHeight="1" x14ac:dyDescent="0.2">
      <c r="A31" s="368"/>
      <c r="B31" s="254" t="s">
        <v>1145</v>
      </c>
      <c r="C31" s="254"/>
      <c r="D31" s="254"/>
      <c r="E31" s="254"/>
      <c r="F31" s="254"/>
      <c r="G31" s="254"/>
      <c r="H31" s="254">
        <f>Data!B986</f>
        <v>0</v>
      </c>
      <c r="I31" s="254"/>
      <c r="J31" s="254"/>
      <c r="K31" s="254"/>
      <c r="L31" s="254"/>
      <c r="M31" s="337" t="str">
        <f>IF(Data!B692="No","This task is not required.","Monitor intake/output daily and record on ledger in home.")&amp;" "&amp;Data!B1386</f>
        <v xml:space="preserve">Monitor intake/output daily and record on ledger in home. </v>
      </c>
      <c r="N31" s="337"/>
      <c r="O31" s="337"/>
      <c r="P31" s="337"/>
      <c r="Q31" s="337"/>
      <c r="R31" s="337"/>
      <c r="S31" s="337"/>
      <c r="T31" s="337"/>
      <c r="U31" s="337"/>
      <c r="V31" s="337"/>
      <c r="W31" s="337"/>
      <c r="X31" s="337"/>
      <c r="Y31" s="337"/>
      <c r="Z31" s="337"/>
      <c r="AA31" s="337"/>
      <c r="AB31" s="337"/>
      <c r="AC31" s="337"/>
      <c r="AD31" s="337"/>
      <c r="AE31" s="337"/>
      <c r="AF31" s="337"/>
      <c r="AG31" s="337"/>
      <c r="AH31" s="337"/>
      <c r="AI31" s="337"/>
      <c r="AJ31" s="337"/>
      <c r="AK31" s="337"/>
      <c r="AL31" s="337"/>
    </row>
    <row r="32" spans="1:38" ht="15" customHeight="1" x14ac:dyDescent="0.2">
      <c r="A32" s="368"/>
      <c r="B32" s="254" t="s">
        <v>1146</v>
      </c>
      <c r="C32" s="254"/>
      <c r="D32" s="254"/>
      <c r="E32" s="254"/>
      <c r="F32" s="254"/>
      <c r="G32" s="254"/>
      <c r="H32" s="254" t="str">
        <f>Data!B988</f>
        <v>PRN</v>
      </c>
      <c r="I32" s="254"/>
      <c r="J32" s="254"/>
      <c r="K32" s="254"/>
      <c r="L32" s="254"/>
      <c r="M32" s="337" t="str">
        <f>Data!B1387&amp;" Report any changes to the supervisor immediately."</f>
        <v xml:space="preserve"> Report any changes to the supervisor immediately.</v>
      </c>
      <c r="N32" s="337"/>
      <c r="O32" s="337"/>
      <c r="P32" s="337"/>
      <c r="Q32" s="337"/>
      <c r="R32" s="337"/>
      <c r="S32" s="337"/>
      <c r="T32" s="337"/>
      <c r="U32" s="337"/>
      <c r="V32" s="337"/>
      <c r="W32" s="337"/>
      <c r="X32" s="337"/>
      <c r="Y32" s="337"/>
      <c r="Z32" s="337"/>
      <c r="AA32" s="337"/>
      <c r="AB32" s="337"/>
      <c r="AC32" s="337"/>
      <c r="AD32" s="337"/>
      <c r="AE32" s="337"/>
      <c r="AF32" s="337"/>
      <c r="AG32" s="337"/>
      <c r="AH32" s="337"/>
      <c r="AI32" s="337"/>
      <c r="AJ32" s="337"/>
      <c r="AK32" s="337"/>
      <c r="AL32" s="337"/>
    </row>
    <row r="33" spans="1:38" ht="15" customHeight="1" x14ac:dyDescent="0.2">
      <c r="A33" s="369" t="s">
        <v>1085</v>
      </c>
      <c r="B33" s="366" t="s">
        <v>557</v>
      </c>
      <c r="C33" s="366"/>
      <c r="D33" s="366"/>
      <c r="E33" s="366"/>
      <c r="F33" s="366"/>
      <c r="G33" s="366"/>
      <c r="H33" s="366" t="str">
        <f>Data!B298</f>
        <v>PRN</v>
      </c>
      <c r="I33" s="366"/>
      <c r="J33" s="366"/>
      <c r="K33" s="366"/>
      <c r="L33" s="366"/>
      <c r="M33" s="362" t="str">
        <f>_xlfn.CONCAT(IF(Data!B296="Independent","Assist with laundry per request.","Complete laundry per schedule. Soiled items should be washed immediately."),IF(Data!B297="Yes",""," Use laundromat."))&amp;" "&amp;Data!B1388</f>
        <v xml:space="preserve">Complete laundry per schedule. Soiled items should be washed immediately. Use laundromat. </v>
      </c>
      <c r="N33" s="362"/>
      <c r="O33" s="362"/>
      <c r="P33" s="362"/>
      <c r="Q33" s="362"/>
      <c r="R33" s="362"/>
      <c r="S33" s="362"/>
      <c r="T33" s="362"/>
      <c r="U33" s="362"/>
      <c r="V33" s="362"/>
      <c r="W33" s="362"/>
      <c r="X33" s="362"/>
      <c r="Y33" s="362"/>
      <c r="Z33" s="362"/>
      <c r="AA33" s="362"/>
      <c r="AB33" s="362"/>
      <c r="AC33" s="362"/>
      <c r="AD33" s="362"/>
      <c r="AE33" s="362"/>
      <c r="AF33" s="362"/>
      <c r="AG33" s="362"/>
      <c r="AH33" s="362"/>
      <c r="AI33" s="362"/>
      <c r="AJ33" s="362"/>
      <c r="AK33" s="362"/>
      <c r="AL33" s="362"/>
    </row>
    <row r="34" spans="1:38" ht="15" customHeight="1" x14ac:dyDescent="0.2">
      <c r="A34" s="369"/>
      <c r="B34" s="366" t="s">
        <v>1147</v>
      </c>
      <c r="C34" s="366"/>
      <c r="D34" s="366"/>
      <c r="E34" s="366"/>
      <c r="F34" s="366"/>
      <c r="G34" s="366"/>
      <c r="H34" s="366" t="str">
        <f>Data!B284</f>
        <v>PRN</v>
      </c>
      <c r="I34" s="366"/>
      <c r="J34" s="366"/>
      <c r="K34" s="366"/>
      <c r="L34" s="366"/>
      <c r="M34" s="362" t="str">
        <f>Data!B1389&amp;" Keep floors clear of hazards.  Cleaning applies to client's area and belongings only."</f>
        <v xml:space="preserve"> Keep floors clear of hazards.  Cleaning applies to client's area and belongings only.</v>
      </c>
      <c r="N34" s="362"/>
      <c r="O34" s="362"/>
      <c r="P34" s="362"/>
      <c r="Q34" s="362"/>
      <c r="R34" s="362"/>
      <c r="S34" s="362"/>
      <c r="T34" s="362"/>
      <c r="U34" s="362"/>
      <c r="V34" s="362"/>
      <c r="W34" s="362"/>
      <c r="X34" s="362"/>
      <c r="Y34" s="362"/>
      <c r="Z34" s="362"/>
      <c r="AA34" s="362"/>
      <c r="AB34" s="362"/>
      <c r="AC34" s="362"/>
      <c r="AD34" s="362"/>
      <c r="AE34" s="362"/>
      <c r="AF34" s="362"/>
      <c r="AG34" s="362"/>
      <c r="AH34" s="362"/>
      <c r="AI34" s="362"/>
      <c r="AJ34" s="362"/>
      <c r="AK34" s="362"/>
      <c r="AL34" s="362"/>
    </row>
    <row r="35" spans="1:38" ht="15" customHeight="1" x14ac:dyDescent="0.2">
      <c r="A35" s="369"/>
      <c r="B35" s="366" t="s">
        <v>129</v>
      </c>
      <c r="C35" s="366"/>
      <c r="D35" s="366"/>
      <c r="E35" s="366"/>
      <c r="F35" s="366"/>
      <c r="G35" s="366"/>
      <c r="H35" s="366" t="str">
        <f>Data!B286</f>
        <v>Daily</v>
      </c>
      <c r="I35" s="366"/>
      <c r="J35" s="366"/>
      <c r="K35" s="366"/>
      <c r="L35" s="366"/>
      <c r="M35" s="362" t="str">
        <f>Data!B1390&amp;" Take trash out daily to reduce odors in the home."</f>
        <v xml:space="preserve"> Take trash out daily to reduce odors in the home.</v>
      </c>
      <c r="N35" s="362"/>
      <c r="O35" s="362"/>
      <c r="P35" s="362"/>
      <c r="Q35" s="362"/>
      <c r="R35" s="362"/>
      <c r="S35" s="362"/>
      <c r="T35" s="362"/>
      <c r="U35" s="362"/>
      <c r="V35" s="362"/>
      <c r="W35" s="362"/>
      <c r="X35" s="362"/>
      <c r="Y35" s="362"/>
      <c r="Z35" s="362"/>
      <c r="AA35" s="362"/>
      <c r="AB35" s="362"/>
      <c r="AC35" s="362"/>
      <c r="AD35" s="362"/>
      <c r="AE35" s="362"/>
      <c r="AF35" s="362"/>
      <c r="AG35" s="362"/>
      <c r="AH35" s="362"/>
      <c r="AI35" s="362"/>
      <c r="AJ35" s="362"/>
      <c r="AK35" s="362"/>
      <c r="AL35" s="362"/>
    </row>
    <row r="36" spans="1:38" ht="15" customHeight="1" x14ac:dyDescent="0.2">
      <c r="A36" s="369"/>
      <c r="B36" s="366" t="s">
        <v>130</v>
      </c>
      <c r="C36" s="366"/>
      <c r="D36" s="366"/>
      <c r="E36" s="366"/>
      <c r="F36" s="366"/>
      <c r="G36" s="366"/>
      <c r="H36" s="366" t="str">
        <f>Data!B288</f>
        <v>PRN</v>
      </c>
      <c r="I36" s="366"/>
      <c r="J36" s="366"/>
      <c r="K36" s="366"/>
      <c r="L36" s="366"/>
      <c r="M36" s="362" t="str">
        <f>Data!B1391&amp;" Keep kitchen clean and sanitary."</f>
        <v xml:space="preserve"> Keep kitchen clean and sanitary.</v>
      </c>
      <c r="N36" s="362"/>
      <c r="O36" s="362"/>
      <c r="P36" s="362"/>
      <c r="Q36" s="362"/>
      <c r="R36" s="362"/>
      <c r="S36" s="362"/>
      <c r="T36" s="362"/>
      <c r="U36" s="362"/>
      <c r="V36" s="362"/>
      <c r="W36" s="362"/>
      <c r="X36" s="362"/>
      <c r="Y36" s="362"/>
      <c r="Z36" s="362"/>
      <c r="AA36" s="362"/>
      <c r="AB36" s="362"/>
      <c r="AC36" s="362"/>
      <c r="AD36" s="362"/>
      <c r="AE36" s="362"/>
      <c r="AF36" s="362"/>
      <c r="AG36" s="362"/>
      <c r="AH36" s="362"/>
      <c r="AI36" s="362"/>
      <c r="AJ36" s="362"/>
      <c r="AK36" s="362"/>
      <c r="AL36" s="362"/>
    </row>
    <row r="37" spans="1:38" ht="15" customHeight="1" x14ac:dyDescent="0.2">
      <c r="A37" s="369"/>
      <c r="B37" s="366" t="s">
        <v>131</v>
      </c>
      <c r="C37" s="366"/>
      <c r="D37" s="366"/>
      <c r="E37" s="366"/>
      <c r="F37" s="366"/>
      <c r="G37" s="366"/>
      <c r="H37" s="366" t="str">
        <f>Data!B290</f>
        <v>PRN</v>
      </c>
      <c r="I37" s="366"/>
      <c r="J37" s="366"/>
      <c r="K37" s="366"/>
      <c r="L37" s="366"/>
      <c r="M37" s="362" t="str">
        <f>Data!B1392&amp;" Keep bathroom clean and sanitary."</f>
        <v xml:space="preserve"> Keep bathroom clean and sanitary.</v>
      </c>
      <c r="N37" s="362"/>
      <c r="O37" s="362"/>
      <c r="P37" s="362"/>
      <c r="Q37" s="362"/>
      <c r="R37" s="362"/>
      <c r="S37" s="362"/>
      <c r="T37" s="362"/>
      <c r="U37" s="362"/>
      <c r="V37" s="362"/>
      <c r="W37" s="362"/>
      <c r="X37" s="362"/>
      <c r="Y37" s="362"/>
      <c r="Z37" s="362"/>
      <c r="AA37" s="362"/>
      <c r="AB37" s="362"/>
      <c r="AC37" s="362"/>
      <c r="AD37" s="362"/>
      <c r="AE37" s="362"/>
      <c r="AF37" s="362"/>
      <c r="AG37" s="362"/>
      <c r="AH37" s="362"/>
      <c r="AI37" s="362"/>
      <c r="AJ37" s="362"/>
      <c r="AK37" s="362"/>
      <c r="AL37" s="362"/>
    </row>
    <row r="38" spans="1:38" ht="15" customHeight="1" x14ac:dyDescent="0.2">
      <c r="A38" s="369"/>
      <c r="B38" s="366" t="s">
        <v>132</v>
      </c>
      <c r="C38" s="366"/>
      <c r="D38" s="366"/>
      <c r="E38" s="366"/>
      <c r="F38" s="366"/>
      <c r="G38" s="366"/>
      <c r="H38" s="366" t="str">
        <f>Data!B292</f>
        <v>PRN</v>
      </c>
      <c r="I38" s="366"/>
      <c r="J38" s="366"/>
      <c r="K38" s="366"/>
      <c r="L38" s="366"/>
      <c r="M38" s="362" t="str">
        <f>Data!B1393&amp;" Wash linens per schedule.  Wash soiled linens right away."</f>
        <v xml:space="preserve"> Wash linens per schedule.  Wash soiled linens right away.</v>
      </c>
      <c r="N38" s="362"/>
      <c r="O38" s="362"/>
      <c r="P38" s="362"/>
      <c r="Q38" s="362"/>
      <c r="R38" s="362"/>
      <c r="S38" s="362"/>
      <c r="T38" s="362"/>
      <c r="U38" s="362"/>
      <c r="V38" s="362"/>
      <c r="W38" s="362"/>
      <c r="X38" s="362"/>
      <c r="Y38" s="362"/>
      <c r="Z38" s="362"/>
      <c r="AA38" s="362"/>
      <c r="AB38" s="362"/>
      <c r="AC38" s="362"/>
      <c r="AD38" s="362"/>
      <c r="AE38" s="362"/>
      <c r="AF38" s="362"/>
      <c r="AG38" s="362"/>
      <c r="AH38" s="362"/>
      <c r="AI38" s="362"/>
      <c r="AJ38" s="362"/>
      <c r="AK38" s="362"/>
      <c r="AL38" s="362"/>
    </row>
    <row r="39" spans="1:38" ht="15" customHeight="1" x14ac:dyDescent="0.2">
      <c r="A39" s="369"/>
      <c r="B39" s="366" t="s">
        <v>1148</v>
      </c>
      <c r="C39" s="366"/>
      <c r="D39" s="366"/>
      <c r="E39" s="366"/>
      <c r="F39" s="366"/>
      <c r="G39" s="366"/>
      <c r="H39" s="366">
        <f>Data!B273</f>
        <v>0</v>
      </c>
      <c r="I39" s="366"/>
      <c r="J39" s="366"/>
      <c r="K39" s="366"/>
      <c r="L39" s="366"/>
      <c r="M39" s="362" t="str">
        <f>_xlfn.CONCAT(IF(Data!B185="Medicaid","Only once per week","Complete shopping as scheduled.")," ",Data!B1394)</f>
        <v xml:space="preserve">Complete shopping as scheduled. </v>
      </c>
      <c r="N39" s="362"/>
      <c r="O39" s="362"/>
      <c r="P39" s="362"/>
      <c r="Q39" s="362"/>
      <c r="R39" s="362"/>
      <c r="S39" s="362"/>
      <c r="T39" s="362"/>
      <c r="U39" s="362"/>
      <c r="V39" s="362"/>
      <c r="W39" s="362"/>
      <c r="X39" s="362"/>
      <c r="Y39" s="362"/>
      <c r="Z39" s="362"/>
      <c r="AA39" s="362"/>
      <c r="AB39" s="362"/>
      <c r="AC39" s="362"/>
      <c r="AD39" s="362"/>
      <c r="AE39" s="362"/>
      <c r="AF39" s="362"/>
      <c r="AG39" s="362"/>
      <c r="AH39" s="362"/>
      <c r="AI39" s="362"/>
      <c r="AJ39" s="362"/>
      <c r="AK39" s="362"/>
      <c r="AL39" s="362"/>
    </row>
    <row r="40" spans="1:38" ht="15" customHeight="1" x14ac:dyDescent="0.2">
      <c r="A40" s="368" t="s">
        <v>1156</v>
      </c>
      <c r="B40" s="254" t="s">
        <v>1149</v>
      </c>
      <c r="C40" s="254"/>
      <c r="D40" s="254"/>
      <c r="E40" s="254"/>
      <c r="F40" s="254"/>
      <c r="G40" s="254"/>
      <c r="H40" s="254" t="str">
        <f>Data!B898</f>
        <v>Daily</v>
      </c>
      <c r="I40" s="254"/>
      <c r="J40" s="254"/>
      <c r="K40" s="254"/>
      <c r="L40" s="254"/>
      <c r="M40" s="337" t="str">
        <f>Data!B1395&amp;" Encourage puzzles, games and socialization."</f>
        <v xml:space="preserve"> Encourage puzzles, games and socialization.</v>
      </c>
      <c r="N40" s="337"/>
      <c r="O40" s="337"/>
      <c r="P40" s="337"/>
      <c r="Q40" s="337"/>
      <c r="R40" s="337"/>
      <c r="S40" s="337"/>
      <c r="T40" s="337"/>
      <c r="U40" s="337"/>
      <c r="V40" s="337"/>
      <c r="W40" s="337"/>
      <c r="X40" s="337"/>
      <c r="Y40" s="337"/>
      <c r="Z40" s="337"/>
      <c r="AA40" s="337"/>
      <c r="AB40" s="337"/>
      <c r="AC40" s="337"/>
      <c r="AD40" s="337"/>
      <c r="AE40" s="337"/>
      <c r="AF40" s="337"/>
      <c r="AG40" s="337"/>
      <c r="AH40" s="337"/>
      <c r="AI40" s="337"/>
      <c r="AJ40" s="337"/>
      <c r="AK40" s="337"/>
      <c r="AL40" s="337"/>
    </row>
    <row r="41" spans="1:38" ht="15" customHeight="1" x14ac:dyDescent="0.2">
      <c r="A41" s="368"/>
      <c r="B41" s="254" t="s">
        <v>1150</v>
      </c>
      <c r="C41" s="254"/>
      <c r="D41" s="254"/>
      <c r="E41" s="254"/>
      <c r="F41" s="254"/>
      <c r="G41" s="254"/>
      <c r="H41" s="254" t="str">
        <f>Data!B300</f>
        <v>PRN</v>
      </c>
      <c r="I41" s="254"/>
      <c r="J41" s="254"/>
      <c r="K41" s="254"/>
      <c r="L41" s="254"/>
      <c r="M41" s="337" t="str">
        <f>_xlfn.CONCAT(IF(Data!B281="Yes","Organize and pay bills as needed. Notify supervisor if funds are not available to pay bills.","Client does not authorize aide access to funds for bill pay. Client/family will manage.")," ",Data!B1396)</f>
        <v xml:space="preserve">Client does not authorize aide access to funds for bill pay. Client/family will manage. </v>
      </c>
      <c r="N41" s="337"/>
      <c r="O41" s="337"/>
      <c r="P41" s="337"/>
      <c r="Q41" s="337"/>
      <c r="R41" s="337"/>
      <c r="S41" s="337"/>
      <c r="T41" s="337"/>
      <c r="U41" s="337"/>
      <c r="V41" s="337"/>
      <c r="W41" s="337"/>
      <c r="X41" s="337"/>
      <c r="Y41" s="337"/>
      <c r="Z41" s="337"/>
      <c r="AA41" s="337"/>
      <c r="AB41" s="337"/>
      <c r="AC41" s="337"/>
      <c r="AD41" s="337"/>
      <c r="AE41" s="337"/>
      <c r="AF41" s="337"/>
      <c r="AG41" s="337"/>
      <c r="AH41" s="337"/>
      <c r="AI41" s="337"/>
      <c r="AJ41" s="337"/>
      <c r="AK41" s="337"/>
      <c r="AL41" s="337"/>
    </row>
    <row r="42" spans="1:38" ht="15" customHeight="1" x14ac:dyDescent="0.2">
      <c r="A42" s="368"/>
      <c r="B42" s="254" t="s">
        <v>1151</v>
      </c>
      <c r="C42" s="254"/>
      <c r="D42" s="254"/>
      <c r="E42" s="254"/>
      <c r="F42" s="254"/>
      <c r="G42" s="254"/>
      <c r="H42" s="254" t="str">
        <f>Data!B900</f>
        <v>PRN</v>
      </c>
      <c r="I42" s="254"/>
      <c r="J42" s="254"/>
      <c r="K42" s="254"/>
      <c r="L42" s="254"/>
      <c r="M42" s="337" t="str">
        <f>_xlfn.CONCAT(IF(Data!B195="No","Provide translation.","")," Assist client with reading and writing as needed."," ",Data!B1397)</f>
        <v xml:space="preserve"> Assist client with reading and writing as needed. </v>
      </c>
      <c r="N42" s="337"/>
      <c r="O42" s="337"/>
      <c r="P42" s="337"/>
      <c r="Q42" s="337"/>
      <c r="R42" s="337"/>
      <c r="S42" s="337"/>
      <c r="T42" s="337"/>
      <c r="U42" s="337"/>
      <c r="V42" s="337"/>
      <c r="W42" s="337"/>
      <c r="X42" s="337"/>
      <c r="Y42" s="337"/>
      <c r="Z42" s="337"/>
      <c r="AA42" s="337"/>
      <c r="AB42" s="337"/>
      <c r="AC42" s="337"/>
      <c r="AD42" s="337"/>
      <c r="AE42" s="337"/>
      <c r="AF42" s="337"/>
      <c r="AG42" s="337"/>
      <c r="AH42" s="337"/>
      <c r="AI42" s="337"/>
      <c r="AJ42" s="337"/>
      <c r="AK42" s="337"/>
      <c r="AL42" s="337"/>
    </row>
    <row r="43" spans="1:38" ht="15" customHeight="1" x14ac:dyDescent="0.2">
      <c r="A43" s="368"/>
      <c r="B43" s="254" t="s">
        <v>133</v>
      </c>
      <c r="C43" s="254"/>
      <c r="D43" s="254"/>
      <c r="E43" s="254"/>
      <c r="F43" s="254"/>
      <c r="G43" s="254"/>
      <c r="H43" s="254" t="str">
        <f>Data!B301</f>
        <v>PRN</v>
      </c>
      <c r="I43" s="254"/>
      <c r="J43" s="254"/>
      <c r="K43" s="254"/>
      <c r="L43" s="254"/>
      <c r="M43" s="337" t="str">
        <f>IF(Data!B301="Not Required","Family/friends will handle appointment scheduling.","Maintain client calendar and schedule appointments as needed.")&amp;" "&amp;Data!B1398</f>
        <v xml:space="preserve">Maintain client calendar and schedule appointments as needed. </v>
      </c>
      <c r="N43" s="337"/>
      <c r="O43" s="337"/>
      <c r="P43" s="337"/>
      <c r="Q43" s="337"/>
      <c r="R43" s="337"/>
      <c r="S43" s="337"/>
      <c r="T43" s="337"/>
      <c r="U43" s="337"/>
      <c r="V43" s="337"/>
      <c r="W43" s="337"/>
      <c r="X43" s="337"/>
      <c r="Y43" s="337"/>
      <c r="Z43" s="337"/>
      <c r="AA43" s="337"/>
      <c r="AB43" s="337"/>
      <c r="AC43" s="337"/>
      <c r="AD43" s="337"/>
      <c r="AE43" s="337"/>
      <c r="AF43" s="337"/>
      <c r="AG43" s="337"/>
      <c r="AH43" s="337"/>
      <c r="AI43" s="337"/>
      <c r="AJ43" s="337"/>
      <c r="AK43" s="337"/>
      <c r="AL43" s="337"/>
    </row>
    <row r="44" spans="1:38" ht="15" customHeight="1" x14ac:dyDescent="0.2">
      <c r="A44" s="368"/>
      <c r="B44" s="254" t="s">
        <v>1152</v>
      </c>
      <c r="C44" s="254"/>
      <c r="D44" s="254"/>
      <c r="E44" s="254"/>
      <c r="F44" s="254"/>
      <c r="G44" s="254"/>
      <c r="H44" s="254" t="str">
        <f>Data!B302</f>
        <v>Daily</v>
      </c>
      <c r="I44" s="254"/>
      <c r="J44" s="254"/>
      <c r="K44" s="254"/>
      <c r="L44" s="254"/>
      <c r="M44" s="337" t="str">
        <f>Data!B1399&amp;" Provide companionship when family/friends are not available."</f>
        <v xml:space="preserve"> Provide companionship when family/friends are not available.</v>
      </c>
      <c r="N44" s="337"/>
      <c r="O44" s="337"/>
      <c r="P44" s="337"/>
      <c r="Q44" s="337"/>
      <c r="R44" s="337"/>
      <c r="S44" s="337"/>
      <c r="T44" s="337"/>
      <c r="U44" s="337"/>
      <c r="V44" s="337"/>
      <c r="W44" s="337"/>
      <c r="X44" s="337"/>
      <c r="Y44" s="337"/>
      <c r="Z44" s="337"/>
      <c r="AA44" s="337"/>
      <c r="AB44" s="337"/>
      <c r="AC44" s="337"/>
      <c r="AD44" s="337"/>
      <c r="AE44" s="337"/>
      <c r="AF44" s="337"/>
      <c r="AG44" s="337"/>
      <c r="AH44" s="337"/>
      <c r="AI44" s="337"/>
      <c r="AJ44" s="337"/>
      <c r="AK44" s="337"/>
      <c r="AL44" s="337"/>
    </row>
    <row r="45" spans="1:38" ht="15" customHeight="1" x14ac:dyDescent="0.2">
      <c r="A45" s="368"/>
      <c r="B45" s="254" t="s">
        <v>1153</v>
      </c>
      <c r="C45" s="254"/>
      <c r="D45" s="254"/>
      <c r="E45" s="254"/>
      <c r="F45" s="254"/>
      <c r="G45" s="254"/>
      <c r="H45" s="254" t="str">
        <f>Data!B902</f>
        <v>Daily</v>
      </c>
      <c r="I45" s="254"/>
      <c r="J45" s="254"/>
      <c r="K45" s="254"/>
      <c r="L45" s="254"/>
      <c r="M45" s="337" t="str">
        <f>Data!B1400&amp;" Encourage thought provoking discussion.  Provide redirection as needed."</f>
        <v xml:space="preserve"> Encourage thought provoking discussion.  Provide redirection as needed.</v>
      </c>
      <c r="N45" s="337"/>
      <c r="O45" s="337"/>
      <c r="P45" s="337"/>
      <c r="Q45" s="337"/>
      <c r="R45" s="337"/>
      <c r="S45" s="337"/>
      <c r="T45" s="337"/>
      <c r="U45" s="337"/>
      <c r="V45" s="337"/>
      <c r="W45" s="337"/>
      <c r="X45" s="337"/>
      <c r="Y45" s="337"/>
      <c r="Z45" s="337"/>
      <c r="AA45" s="337"/>
      <c r="AB45" s="337"/>
      <c r="AC45" s="337"/>
      <c r="AD45" s="337"/>
      <c r="AE45" s="337"/>
      <c r="AF45" s="337"/>
      <c r="AG45" s="337"/>
      <c r="AH45" s="337"/>
      <c r="AI45" s="337"/>
      <c r="AJ45" s="337"/>
      <c r="AK45" s="337"/>
      <c r="AL45" s="337"/>
    </row>
    <row r="46" spans="1:38" x14ac:dyDescent="0.2">
      <c r="A46" s="143" t="s">
        <v>3220</v>
      </c>
    </row>
    <row r="47" spans="1:38" x14ac:dyDescent="0.2">
      <c r="A47" t="s">
        <v>336</v>
      </c>
      <c r="E47" s="240" t="str">
        <f>_xlfn.CONCAT(Data!B2,", ",Data!B3," ",Data!B4)</f>
        <v xml:space="preserve">,  </v>
      </c>
      <c r="F47" s="240"/>
      <c r="G47" s="240"/>
      <c r="H47" s="240"/>
      <c r="I47" s="240"/>
      <c r="J47" s="240"/>
      <c r="K47" s="240"/>
      <c r="L47" s="240"/>
      <c r="M47" s="240"/>
      <c r="N47" s="240"/>
      <c r="O47" s="240"/>
      <c r="P47" s="240"/>
      <c r="Q47" s="240"/>
      <c r="R47" s="240"/>
      <c r="S47" s="240"/>
      <c r="U47" t="s">
        <v>371</v>
      </c>
      <c r="W47" s="350">
        <f>Data!B14</f>
        <v>0</v>
      </c>
      <c r="X47" s="350"/>
      <c r="Y47" s="350"/>
      <c r="Z47" s="350"/>
      <c r="AA47" s="16"/>
      <c r="AB47" s="16" t="s">
        <v>772</v>
      </c>
      <c r="AH47" s="350">
        <f>Data!B34</f>
        <v>0</v>
      </c>
      <c r="AI47" s="295"/>
      <c r="AJ47" s="295"/>
      <c r="AK47" s="295"/>
      <c r="AL47" s="295"/>
    </row>
    <row r="50" spans="1:37" x14ac:dyDescent="0.2">
      <c r="A50" t="s">
        <v>1159</v>
      </c>
      <c r="G50" s="358">
        <f>Data!B34</f>
        <v>0</v>
      </c>
      <c r="H50" s="361"/>
      <c r="I50" s="361"/>
      <c r="J50" s="361"/>
      <c r="K50" s="361"/>
      <c r="L50" s="361"/>
      <c r="M50" s="361"/>
      <c r="N50" s="361"/>
      <c r="P50" t="s">
        <v>1160</v>
      </c>
      <c r="T50" s="358">
        <f>Data!F30</f>
        <v>60</v>
      </c>
      <c r="U50" s="361"/>
      <c r="V50" s="361"/>
      <c r="W50" s="361"/>
      <c r="X50" s="361"/>
      <c r="Y50" s="361"/>
      <c r="Z50" s="361"/>
      <c r="AB50" t="s">
        <v>1090</v>
      </c>
      <c r="AF50" s="266"/>
      <c r="AG50" s="266"/>
      <c r="AH50" s="266"/>
      <c r="AI50" s="266"/>
      <c r="AJ50" s="266"/>
      <c r="AK50" s="266"/>
    </row>
    <row r="53" spans="1:37" x14ac:dyDescent="0.2">
      <c r="A53" t="s">
        <v>1159</v>
      </c>
      <c r="G53" s="266"/>
      <c r="H53" s="266"/>
      <c r="I53" s="266"/>
      <c r="J53" s="266"/>
      <c r="K53" s="266"/>
      <c r="L53" s="266"/>
      <c r="M53" s="266"/>
      <c r="N53" s="266"/>
      <c r="P53" t="s">
        <v>1160</v>
      </c>
      <c r="T53" s="266"/>
      <c r="U53" s="266"/>
      <c r="V53" s="266"/>
      <c r="W53" s="266"/>
      <c r="X53" s="266"/>
      <c r="Y53" s="266"/>
      <c r="Z53" s="266"/>
      <c r="AB53" t="s">
        <v>1090</v>
      </c>
      <c r="AF53" s="266"/>
      <c r="AG53" s="266"/>
      <c r="AH53" s="266"/>
      <c r="AI53" s="266"/>
      <c r="AJ53" s="266"/>
      <c r="AK53" s="266"/>
    </row>
    <row r="56" spans="1:37" x14ac:dyDescent="0.2">
      <c r="A56" t="s">
        <v>1159</v>
      </c>
      <c r="G56" s="266"/>
      <c r="H56" s="266"/>
      <c r="I56" s="266"/>
      <c r="J56" s="266"/>
      <c r="K56" s="266"/>
      <c r="L56" s="266"/>
      <c r="M56" s="266"/>
      <c r="N56" s="266"/>
      <c r="P56" t="s">
        <v>1160</v>
      </c>
      <c r="T56" s="266"/>
      <c r="U56" s="266"/>
      <c r="V56" s="266"/>
      <c r="W56" s="266"/>
      <c r="X56" s="266"/>
      <c r="Y56" s="266"/>
      <c r="Z56" s="266"/>
      <c r="AB56" t="s">
        <v>1090</v>
      </c>
      <c r="AF56" s="266"/>
      <c r="AG56" s="266"/>
      <c r="AH56" s="266"/>
      <c r="AI56" s="266"/>
      <c r="AJ56" s="266"/>
      <c r="AK56" s="266"/>
    </row>
    <row r="59" spans="1:37" x14ac:dyDescent="0.2">
      <c r="A59" t="s">
        <v>1159</v>
      </c>
      <c r="G59" s="266"/>
      <c r="H59" s="266"/>
      <c r="I59" s="266"/>
      <c r="J59" s="266"/>
      <c r="K59" s="266"/>
      <c r="L59" s="266"/>
      <c r="M59" s="266"/>
      <c r="N59" s="266"/>
      <c r="P59" t="s">
        <v>1160</v>
      </c>
      <c r="T59" s="266"/>
      <c r="U59" s="266"/>
      <c r="V59" s="266"/>
      <c r="W59" s="266"/>
      <c r="X59" s="266"/>
      <c r="Y59" s="266"/>
      <c r="Z59" s="266"/>
      <c r="AB59" t="s">
        <v>1090</v>
      </c>
      <c r="AF59" s="266"/>
      <c r="AG59" s="266"/>
      <c r="AH59" s="266"/>
      <c r="AI59" s="266"/>
      <c r="AJ59" s="266"/>
      <c r="AK59" s="266"/>
    </row>
    <row r="62" spans="1:37" x14ac:dyDescent="0.2">
      <c r="A62" t="s">
        <v>1159</v>
      </c>
      <c r="G62" s="266"/>
      <c r="H62" s="266"/>
      <c r="I62" s="266"/>
      <c r="J62" s="266"/>
      <c r="K62" s="266"/>
      <c r="L62" s="266"/>
      <c r="M62" s="266"/>
      <c r="N62" s="266"/>
      <c r="P62" t="s">
        <v>1160</v>
      </c>
      <c r="T62" s="266"/>
      <c r="U62" s="266"/>
      <c r="V62" s="266"/>
      <c r="W62" s="266"/>
      <c r="X62" s="266"/>
      <c r="Y62" s="266"/>
      <c r="Z62" s="266"/>
      <c r="AB62" t="s">
        <v>1090</v>
      </c>
      <c r="AF62" s="266"/>
      <c r="AG62" s="266"/>
      <c r="AH62" s="266"/>
      <c r="AI62" s="266"/>
      <c r="AJ62" s="266"/>
      <c r="AK62" s="266"/>
    </row>
    <row r="65" spans="1:37" x14ac:dyDescent="0.2">
      <c r="A65" t="s">
        <v>1159</v>
      </c>
      <c r="G65" s="266"/>
      <c r="H65" s="266"/>
      <c r="I65" s="266"/>
      <c r="J65" s="266"/>
      <c r="K65" s="266"/>
      <c r="L65" s="266"/>
      <c r="M65" s="266"/>
      <c r="N65" s="266"/>
      <c r="P65" t="s">
        <v>1160</v>
      </c>
      <c r="T65" s="266"/>
      <c r="U65" s="266"/>
      <c r="V65" s="266"/>
      <c r="W65" s="266"/>
      <c r="X65" s="266"/>
      <c r="Y65" s="266"/>
      <c r="Z65" s="266"/>
      <c r="AB65" t="s">
        <v>1090</v>
      </c>
      <c r="AF65" s="266"/>
      <c r="AG65" s="266"/>
      <c r="AH65" s="266"/>
      <c r="AI65" s="266"/>
      <c r="AJ65" s="266"/>
      <c r="AK65" s="266"/>
    </row>
    <row r="68" spans="1:37" x14ac:dyDescent="0.2">
      <c r="A68" t="s">
        <v>1159</v>
      </c>
      <c r="G68" s="266"/>
      <c r="H68" s="266"/>
      <c r="I68" s="266"/>
      <c r="J68" s="266"/>
      <c r="K68" s="266"/>
      <c r="L68" s="266"/>
      <c r="M68" s="266"/>
      <c r="N68" s="266"/>
      <c r="P68" t="s">
        <v>1160</v>
      </c>
      <c r="T68" s="266"/>
      <c r="U68" s="266"/>
      <c r="V68" s="266"/>
      <c r="W68" s="266"/>
      <c r="X68" s="266"/>
      <c r="Y68" s="266"/>
      <c r="Z68" s="266"/>
      <c r="AB68" t="s">
        <v>1090</v>
      </c>
      <c r="AF68" s="266"/>
      <c r="AG68" s="266"/>
      <c r="AH68" s="266"/>
      <c r="AI68" s="266"/>
      <c r="AJ68" s="266"/>
      <c r="AK68" s="266"/>
    </row>
    <row r="71" spans="1:37" x14ac:dyDescent="0.2">
      <c r="A71" t="s">
        <v>1159</v>
      </c>
      <c r="G71" s="266"/>
      <c r="H71" s="266"/>
      <c r="I71" s="266"/>
      <c r="J71" s="266"/>
      <c r="K71" s="266"/>
      <c r="L71" s="266"/>
      <c r="M71" s="266"/>
      <c r="N71" s="266"/>
      <c r="P71" t="s">
        <v>1160</v>
      </c>
      <c r="T71" s="266"/>
      <c r="U71" s="266"/>
      <c r="V71" s="266"/>
      <c r="W71" s="266"/>
      <c r="X71" s="266"/>
      <c r="Y71" s="266"/>
      <c r="Z71" s="266"/>
      <c r="AB71" t="s">
        <v>1090</v>
      </c>
      <c r="AF71" s="266"/>
      <c r="AG71" s="266"/>
      <c r="AH71" s="266"/>
      <c r="AI71" s="266"/>
      <c r="AJ71" s="266"/>
      <c r="AK71" s="266"/>
    </row>
    <row r="74" spans="1:37" x14ac:dyDescent="0.2">
      <c r="A74" t="s">
        <v>1159</v>
      </c>
      <c r="G74" s="266"/>
      <c r="H74" s="266"/>
      <c r="I74" s="266"/>
      <c r="J74" s="266"/>
      <c r="K74" s="266"/>
      <c r="L74" s="266"/>
      <c r="M74" s="266"/>
      <c r="N74" s="266"/>
      <c r="P74" t="s">
        <v>1160</v>
      </c>
      <c r="T74" s="266"/>
      <c r="U74" s="266"/>
      <c r="V74" s="266"/>
      <c r="W74" s="266"/>
      <c r="X74" s="266"/>
      <c r="Y74" s="266"/>
      <c r="Z74" s="266"/>
      <c r="AB74" t="s">
        <v>1090</v>
      </c>
      <c r="AF74" s="266"/>
      <c r="AG74" s="266"/>
      <c r="AH74" s="266"/>
      <c r="AI74" s="266"/>
      <c r="AJ74" s="266"/>
      <c r="AK74" s="266"/>
    </row>
    <row r="77" spans="1:37" x14ac:dyDescent="0.2">
      <c r="A77" t="s">
        <v>1159</v>
      </c>
      <c r="G77" s="266"/>
      <c r="H77" s="266"/>
      <c r="I77" s="266"/>
      <c r="J77" s="266"/>
      <c r="K77" s="266"/>
      <c r="L77" s="266"/>
      <c r="M77" s="266"/>
      <c r="N77" s="266"/>
      <c r="P77" t="s">
        <v>1160</v>
      </c>
      <c r="T77" s="266"/>
      <c r="U77" s="266"/>
      <c r="V77" s="266"/>
      <c r="W77" s="266"/>
      <c r="X77" s="266"/>
      <c r="Y77" s="266"/>
      <c r="Z77" s="266"/>
      <c r="AB77" t="s">
        <v>1090</v>
      </c>
      <c r="AF77" s="266"/>
      <c r="AG77" s="266"/>
      <c r="AH77" s="266"/>
      <c r="AI77" s="266"/>
      <c r="AJ77" s="266"/>
      <c r="AK77" s="266"/>
    </row>
    <row r="81" spans="1:38" x14ac:dyDescent="0.2">
      <c r="A81" s="240" t="s">
        <v>774</v>
      </c>
      <c r="B81" s="240"/>
      <c r="C81" s="240"/>
      <c r="D81" s="240"/>
      <c r="E81" s="240"/>
      <c r="F81" s="240"/>
      <c r="G81" s="240"/>
      <c r="H81" s="240"/>
      <c r="I81" s="240"/>
      <c r="J81" s="240" t="s">
        <v>579</v>
      </c>
      <c r="K81" s="240"/>
      <c r="L81" s="240"/>
      <c r="M81" s="240"/>
      <c r="N81" s="240"/>
      <c r="O81" s="240"/>
      <c r="P81" s="240"/>
      <c r="Q81" s="240"/>
      <c r="R81" s="240"/>
      <c r="S81" s="240"/>
      <c r="T81" s="240"/>
      <c r="U81" s="240"/>
      <c r="V81" s="240"/>
      <c r="W81" s="240"/>
      <c r="X81" s="240" t="s">
        <v>1251</v>
      </c>
      <c r="Y81" s="240"/>
      <c r="Z81" s="240"/>
      <c r="AA81" s="240"/>
      <c r="AB81" s="240"/>
      <c r="AC81" s="240"/>
      <c r="AD81" s="240"/>
      <c r="AE81" s="240"/>
      <c r="AF81" s="240"/>
      <c r="AG81" s="240"/>
      <c r="AH81" s="240"/>
      <c r="AI81" s="240"/>
      <c r="AJ81" s="240"/>
      <c r="AK81" s="240"/>
      <c r="AL81" s="240"/>
    </row>
    <row r="82" spans="1:38" ht="32.25" customHeight="1" x14ac:dyDescent="0.2">
      <c r="A82" s="254"/>
      <c r="B82" s="254"/>
      <c r="C82" s="254"/>
      <c r="D82" s="254"/>
      <c r="E82" s="254"/>
      <c r="F82" s="254"/>
      <c r="G82" s="254"/>
      <c r="H82" s="254"/>
      <c r="I82" s="254"/>
      <c r="J82" s="254"/>
      <c r="K82" s="254"/>
      <c r="L82" s="254"/>
      <c r="M82" s="254"/>
      <c r="N82" s="254"/>
      <c r="O82" s="254"/>
      <c r="P82" s="254"/>
      <c r="Q82" s="254"/>
      <c r="R82" s="254"/>
      <c r="S82" s="254"/>
      <c r="T82" s="254"/>
      <c r="U82" s="254"/>
      <c r="V82" s="254"/>
      <c r="W82" s="254"/>
      <c r="X82" s="254">
        <f>Data!B175</f>
        <v>0</v>
      </c>
      <c r="Y82" s="254"/>
      <c r="Z82" s="254"/>
      <c r="AA82" s="254"/>
      <c r="AB82" s="254"/>
      <c r="AC82" s="254"/>
      <c r="AD82" s="254"/>
      <c r="AE82" s="254"/>
      <c r="AF82" s="254"/>
      <c r="AG82" s="254"/>
      <c r="AH82" s="254"/>
      <c r="AI82" s="254"/>
      <c r="AJ82" s="254"/>
      <c r="AK82" s="254"/>
      <c r="AL82" s="254"/>
    </row>
    <row r="83" spans="1:38" ht="32.25" customHeight="1" x14ac:dyDescent="0.2">
      <c r="A83" s="254"/>
      <c r="B83" s="254"/>
      <c r="C83" s="254"/>
      <c r="D83" s="254"/>
      <c r="E83" s="254"/>
      <c r="F83" s="254"/>
      <c r="G83" s="254"/>
      <c r="H83" s="254"/>
      <c r="I83" s="254"/>
      <c r="J83" s="254"/>
      <c r="K83" s="254"/>
      <c r="L83" s="254"/>
      <c r="M83" s="254"/>
      <c r="N83" s="254"/>
      <c r="O83" s="254"/>
      <c r="P83" s="254"/>
      <c r="Q83" s="254"/>
      <c r="R83" s="254"/>
      <c r="S83" s="254"/>
      <c r="T83" s="254"/>
      <c r="U83" s="254"/>
      <c r="V83" s="254"/>
      <c r="W83" s="254"/>
      <c r="X83" s="254"/>
      <c r="Y83" s="254"/>
      <c r="Z83" s="254"/>
      <c r="AA83" s="254"/>
      <c r="AB83" s="254"/>
      <c r="AC83" s="254"/>
      <c r="AD83" s="254"/>
      <c r="AE83" s="254"/>
      <c r="AF83" s="254"/>
      <c r="AG83" s="254"/>
      <c r="AH83" s="254"/>
      <c r="AI83" s="254"/>
      <c r="AJ83" s="254"/>
      <c r="AK83" s="254"/>
      <c r="AL83" s="254"/>
    </row>
    <row r="84" spans="1:38" ht="32.25" customHeight="1" x14ac:dyDescent="0.2">
      <c r="A84" s="254"/>
      <c r="B84" s="254"/>
      <c r="C84" s="254"/>
      <c r="D84" s="254"/>
      <c r="E84" s="254"/>
      <c r="F84" s="254"/>
      <c r="G84" s="254"/>
      <c r="H84" s="254"/>
      <c r="I84" s="254"/>
      <c r="J84" s="254"/>
      <c r="K84" s="254"/>
      <c r="L84" s="254"/>
      <c r="M84" s="254"/>
      <c r="N84" s="254"/>
      <c r="O84" s="254"/>
      <c r="P84" s="254"/>
      <c r="Q84" s="254"/>
      <c r="R84" s="254"/>
      <c r="S84" s="254"/>
      <c r="T84" s="254"/>
      <c r="U84" s="254"/>
      <c r="V84" s="254"/>
      <c r="W84" s="254"/>
      <c r="X84" s="254"/>
      <c r="Y84" s="254"/>
      <c r="Z84" s="254"/>
      <c r="AA84" s="254"/>
      <c r="AB84" s="254"/>
      <c r="AC84" s="254"/>
      <c r="AD84" s="254"/>
      <c r="AE84" s="254"/>
      <c r="AF84" s="254"/>
      <c r="AG84" s="254"/>
      <c r="AH84" s="254"/>
      <c r="AI84" s="254"/>
      <c r="AJ84" s="254"/>
      <c r="AK84" s="254"/>
      <c r="AL84" s="254"/>
    </row>
    <row r="85" spans="1:38" ht="32.25" customHeight="1" x14ac:dyDescent="0.2">
      <c r="A85" s="254"/>
      <c r="B85" s="254"/>
      <c r="C85" s="254"/>
      <c r="D85" s="254"/>
      <c r="E85" s="254"/>
      <c r="F85" s="254"/>
      <c r="G85" s="254"/>
      <c r="H85" s="254"/>
      <c r="I85" s="254"/>
      <c r="J85" s="254"/>
      <c r="K85" s="254"/>
      <c r="L85" s="254"/>
      <c r="M85" s="254"/>
      <c r="N85" s="254"/>
      <c r="O85" s="254"/>
      <c r="P85" s="254"/>
      <c r="Q85" s="254"/>
      <c r="R85" s="254"/>
      <c r="S85" s="254"/>
      <c r="T85" s="254"/>
      <c r="U85" s="254"/>
      <c r="V85" s="254"/>
      <c r="W85" s="254"/>
      <c r="X85" s="254"/>
      <c r="Y85" s="254"/>
      <c r="Z85" s="254"/>
      <c r="AA85" s="254"/>
      <c r="AB85" s="254"/>
      <c r="AC85" s="254"/>
      <c r="AD85" s="254"/>
      <c r="AE85" s="254"/>
      <c r="AF85" s="254"/>
      <c r="AG85" s="254"/>
      <c r="AH85" s="254"/>
      <c r="AI85" s="254"/>
      <c r="AJ85" s="254"/>
      <c r="AK85" s="254"/>
      <c r="AL85" s="254"/>
    </row>
    <row r="86" spans="1:38" ht="32.25" customHeight="1" x14ac:dyDescent="0.2">
      <c r="A86" s="254"/>
      <c r="B86" s="254"/>
      <c r="C86" s="254"/>
      <c r="D86" s="254"/>
      <c r="E86" s="254"/>
      <c r="F86" s="254"/>
      <c r="G86" s="254"/>
      <c r="H86" s="254"/>
      <c r="I86" s="254"/>
      <c r="J86" s="254"/>
      <c r="K86" s="254"/>
      <c r="L86" s="254"/>
      <c r="M86" s="254"/>
      <c r="N86" s="254"/>
      <c r="O86" s="254"/>
      <c r="P86" s="254"/>
      <c r="Q86" s="254"/>
      <c r="R86" s="254"/>
      <c r="S86" s="254"/>
      <c r="T86" s="254"/>
      <c r="U86" s="254"/>
      <c r="V86" s="254"/>
      <c r="W86" s="254"/>
      <c r="X86" s="254"/>
      <c r="Y86" s="254"/>
      <c r="Z86" s="254"/>
      <c r="AA86" s="254"/>
      <c r="AB86" s="254"/>
      <c r="AC86" s="254"/>
      <c r="AD86" s="254"/>
      <c r="AE86" s="254"/>
      <c r="AF86" s="254"/>
      <c r="AG86" s="254"/>
      <c r="AH86" s="254"/>
      <c r="AI86" s="254"/>
      <c r="AJ86" s="254"/>
      <c r="AK86" s="254"/>
      <c r="AL86" s="254"/>
    </row>
    <row r="87" spans="1:38" ht="32.25" customHeight="1" x14ac:dyDescent="0.2">
      <c r="A87" s="254"/>
      <c r="B87" s="254"/>
      <c r="C87" s="254"/>
      <c r="D87" s="254"/>
      <c r="E87" s="254"/>
      <c r="F87" s="254"/>
      <c r="G87" s="254"/>
      <c r="H87" s="254"/>
      <c r="I87" s="254"/>
      <c r="J87" s="254"/>
      <c r="K87" s="254"/>
      <c r="L87" s="254"/>
      <c r="M87" s="254"/>
      <c r="N87" s="254"/>
      <c r="O87" s="254"/>
      <c r="P87" s="254"/>
      <c r="Q87" s="254"/>
      <c r="R87" s="254"/>
      <c r="S87" s="254"/>
      <c r="T87" s="254"/>
      <c r="U87" s="254"/>
      <c r="V87" s="254"/>
      <c r="W87" s="254"/>
      <c r="X87" s="254"/>
      <c r="Y87" s="254"/>
      <c r="Z87" s="254"/>
      <c r="AA87" s="254"/>
      <c r="AB87" s="254"/>
      <c r="AC87" s="254"/>
      <c r="AD87" s="254"/>
      <c r="AE87" s="254"/>
      <c r="AF87" s="254"/>
      <c r="AG87" s="254"/>
      <c r="AH87" s="254"/>
      <c r="AI87" s="254"/>
      <c r="AJ87" s="254"/>
      <c r="AK87" s="254"/>
      <c r="AL87" s="254"/>
    </row>
  </sheetData>
  <mergeCells count="191">
    <mergeCell ref="E1:R1"/>
    <mergeCell ref="M41:AL41"/>
    <mergeCell ref="M21:AL21"/>
    <mergeCell ref="M18:AL18"/>
    <mergeCell ref="M19:AL19"/>
    <mergeCell ref="B30:G30"/>
    <mergeCell ref="B31:G31"/>
    <mergeCell ref="B32:G32"/>
    <mergeCell ref="B27:G27"/>
    <mergeCell ref="B29:G29"/>
    <mergeCell ref="M34:AL34"/>
    <mergeCell ref="M35:AL35"/>
    <mergeCell ref="M36:AL36"/>
    <mergeCell ref="M37:AL37"/>
    <mergeCell ref="M38:AL38"/>
    <mergeCell ref="M39:AL39"/>
    <mergeCell ref="H33:L33"/>
    <mergeCell ref="M28:AL28"/>
    <mergeCell ref="M29:AL29"/>
    <mergeCell ref="M30:AL30"/>
    <mergeCell ref="M31:AL31"/>
    <mergeCell ref="M25:AL25"/>
    <mergeCell ref="M26:AL26"/>
    <mergeCell ref="M27:AL27"/>
    <mergeCell ref="AH47:AL47"/>
    <mergeCell ref="A33:A39"/>
    <mergeCell ref="A40:A45"/>
    <mergeCell ref="E47:S47"/>
    <mergeCell ref="W47:Z47"/>
    <mergeCell ref="B40:G40"/>
    <mergeCell ref="B41:G41"/>
    <mergeCell ref="B33:G33"/>
    <mergeCell ref="H45:L45"/>
    <mergeCell ref="M45:AL45"/>
    <mergeCell ref="B42:G42"/>
    <mergeCell ref="B43:G43"/>
    <mergeCell ref="B44:G44"/>
    <mergeCell ref="M42:AL42"/>
    <mergeCell ref="M43:AL43"/>
    <mergeCell ref="M44:AL44"/>
    <mergeCell ref="B45:G45"/>
    <mergeCell ref="H43:L43"/>
    <mergeCell ref="H44:L44"/>
    <mergeCell ref="H41:L41"/>
    <mergeCell ref="H42:L42"/>
    <mergeCell ref="H39:L39"/>
    <mergeCell ref="B39:G39"/>
    <mergeCell ref="M40:AL40"/>
    <mergeCell ref="M33:AL33"/>
    <mergeCell ref="A12:A17"/>
    <mergeCell ref="A18:A24"/>
    <mergeCell ref="H12:L12"/>
    <mergeCell ref="H13:L13"/>
    <mergeCell ref="H14:L14"/>
    <mergeCell ref="H15:L15"/>
    <mergeCell ref="H16:L16"/>
    <mergeCell ref="H18:L18"/>
    <mergeCell ref="H19:L19"/>
    <mergeCell ref="H20:L20"/>
    <mergeCell ref="A25:A32"/>
    <mergeCell ref="M32:AL32"/>
    <mergeCell ref="H4:L4"/>
    <mergeCell ref="H5:L5"/>
    <mergeCell ref="H6:L6"/>
    <mergeCell ref="H7:L7"/>
    <mergeCell ref="H8:L8"/>
    <mergeCell ref="H9:L9"/>
    <mergeCell ref="B36:G36"/>
    <mergeCell ref="H21:L21"/>
    <mergeCell ref="H22:L22"/>
    <mergeCell ref="B18:G18"/>
    <mergeCell ref="B19:G19"/>
    <mergeCell ref="B20:G20"/>
    <mergeCell ref="B21:G21"/>
    <mergeCell ref="B22:G22"/>
    <mergeCell ref="B28:G28"/>
    <mergeCell ref="H34:L34"/>
    <mergeCell ref="H35:L35"/>
    <mergeCell ref="M11:AL11"/>
    <mergeCell ref="M24:AL24"/>
    <mergeCell ref="M20:AL20"/>
    <mergeCell ref="H40:L40"/>
    <mergeCell ref="H29:L29"/>
    <mergeCell ref="H38:L38"/>
    <mergeCell ref="B34:G34"/>
    <mergeCell ref="B35:G35"/>
    <mergeCell ref="B24:G24"/>
    <mergeCell ref="B37:G37"/>
    <mergeCell ref="B38:G38"/>
    <mergeCell ref="H23:L23"/>
    <mergeCell ref="H24:L24"/>
    <mergeCell ref="H28:L28"/>
    <mergeCell ref="H25:L25"/>
    <mergeCell ref="H26:L26"/>
    <mergeCell ref="H27:L27"/>
    <mergeCell ref="B23:G23"/>
    <mergeCell ref="H17:L17"/>
    <mergeCell ref="H36:L36"/>
    <mergeCell ref="H37:L37"/>
    <mergeCell ref="H30:L30"/>
    <mergeCell ref="H31:L31"/>
    <mergeCell ref="H32:L32"/>
    <mergeCell ref="A5:A11"/>
    <mergeCell ref="H10:L10"/>
    <mergeCell ref="B11:G11"/>
    <mergeCell ref="H11:L11"/>
    <mergeCell ref="M9:AL9"/>
    <mergeCell ref="M22:AL22"/>
    <mergeCell ref="M23:AL23"/>
    <mergeCell ref="A2:AL2"/>
    <mergeCell ref="A3:AL3"/>
    <mergeCell ref="M10:AL10"/>
    <mergeCell ref="M4:AL4"/>
    <mergeCell ref="M5:AL5"/>
    <mergeCell ref="M12:AL12"/>
    <mergeCell ref="M13:AL13"/>
    <mergeCell ref="M14:AL14"/>
    <mergeCell ref="M15:AL15"/>
    <mergeCell ref="M16:AL16"/>
    <mergeCell ref="M17:AL17"/>
    <mergeCell ref="B5:G5"/>
    <mergeCell ref="B6:G6"/>
    <mergeCell ref="B7:G7"/>
    <mergeCell ref="B8:G8"/>
    <mergeCell ref="B9:G9"/>
    <mergeCell ref="B10:G10"/>
    <mergeCell ref="G65:N65"/>
    <mergeCell ref="T65:Z65"/>
    <mergeCell ref="AF65:AK65"/>
    <mergeCell ref="B14:G14"/>
    <mergeCell ref="B15:G15"/>
    <mergeCell ref="B16:G16"/>
    <mergeCell ref="B17:G17"/>
    <mergeCell ref="U1:X1"/>
    <mergeCell ref="G53:N53"/>
    <mergeCell ref="T53:Z53"/>
    <mergeCell ref="AF53:AK53"/>
    <mergeCell ref="AE1:AI1"/>
    <mergeCell ref="B4:G4"/>
    <mergeCell ref="G50:N50"/>
    <mergeCell ref="T50:Z50"/>
    <mergeCell ref="AF50:AK50"/>
    <mergeCell ref="B12:G12"/>
    <mergeCell ref="B13:G13"/>
    <mergeCell ref="B25:G25"/>
    <mergeCell ref="B26:G26"/>
    <mergeCell ref="M6:AL6"/>
    <mergeCell ref="M7:AL7"/>
    <mergeCell ref="M8:AL8"/>
    <mergeCell ref="G56:N56"/>
    <mergeCell ref="T56:Z56"/>
    <mergeCell ref="AF56:AK56"/>
    <mergeCell ref="G59:N59"/>
    <mergeCell ref="T59:Z59"/>
    <mergeCell ref="AF59:AK59"/>
    <mergeCell ref="G62:N62"/>
    <mergeCell ref="T62:Z62"/>
    <mergeCell ref="AF62:AK62"/>
    <mergeCell ref="A87:I87"/>
    <mergeCell ref="J81:W81"/>
    <mergeCell ref="J82:W82"/>
    <mergeCell ref="X81:AL81"/>
    <mergeCell ref="X82:AL82"/>
    <mergeCell ref="X83:AL83"/>
    <mergeCell ref="X84:AL84"/>
    <mergeCell ref="X85:AL85"/>
    <mergeCell ref="X86:AL86"/>
    <mergeCell ref="A81:I81"/>
    <mergeCell ref="A82:I82"/>
    <mergeCell ref="A83:I83"/>
    <mergeCell ref="A84:I84"/>
    <mergeCell ref="A85:I85"/>
    <mergeCell ref="A86:I86"/>
    <mergeCell ref="J83:W83"/>
    <mergeCell ref="J84:W84"/>
    <mergeCell ref="J85:W85"/>
    <mergeCell ref="J86:W86"/>
    <mergeCell ref="J87:W87"/>
    <mergeCell ref="X87:AL87"/>
    <mergeCell ref="G77:N77"/>
    <mergeCell ref="T77:Z77"/>
    <mergeCell ref="AF77:AK77"/>
    <mergeCell ref="G68:N68"/>
    <mergeCell ref="T68:Z68"/>
    <mergeCell ref="AF68:AK68"/>
    <mergeCell ref="G71:N71"/>
    <mergeCell ref="T71:Z71"/>
    <mergeCell ref="AF71:AK71"/>
    <mergeCell ref="G74:N74"/>
    <mergeCell ref="T74:Z74"/>
    <mergeCell ref="AF74:AK74"/>
  </mergeCells>
  <pageMargins left="0.25" right="0.25" top="0.75" bottom="0.75" header="0.3" footer="0.3"/>
  <pageSetup orientation="portrait" verticalDpi="1200" r:id="rId1"/>
  <headerFooter>
    <oddHeader>&amp;L&amp;G&amp;RClient Care Plan (5 Page Document)
RN Initials________</oddHeader>
    <oddFooter>&amp;LINT.PS&amp;C3088 Mercer University Drive Suite 100 Atlanta, GA 30341
678-310-6305 Fax 404-935-6110&amp;RPP.M</oddFooter>
  </headerFooter>
  <legacyDrawingHF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4">
    <tabColor theme="4" tint="-0.249977111117893"/>
  </sheetPr>
  <dimension ref="A1:AL53"/>
  <sheetViews>
    <sheetView showZeros="0" view="pageLayout" zoomScaleNormal="100" workbookViewId="0">
      <selection activeCell="A2" sqref="A2:AL2"/>
    </sheetView>
  </sheetViews>
  <sheetFormatPr defaultColWidth="2.7109375" defaultRowHeight="12.75" x14ac:dyDescent="0.2"/>
  <sheetData>
    <row r="1" spans="1:38" x14ac:dyDescent="0.2">
      <c r="A1" t="str">
        <f>IF(DxListFull!A27&lt;&gt;"","Page 1 of 2","")</f>
        <v/>
      </c>
      <c r="Y1" t="s">
        <v>3222</v>
      </c>
      <c r="AD1" s="269" t="str">
        <f>IF(Data!B1653="",TEXT(Data!B34,"mm/dd/yyyy"),Data!B1653)</f>
        <v>01/00/1900</v>
      </c>
      <c r="AE1" s="269"/>
      <c r="AF1" s="269"/>
      <c r="AG1" s="269"/>
      <c r="AH1" s="269"/>
      <c r="AI1" s="269"/>
      <c r="AJ1" s="269"/>
      <c r="AK1" s="269"/>
    </row>
    <row r="2" spans="1:38" x14ac:dyDescent="0.2">
      <c r="A2" s="300" t="str">
        <f>IF(OR(Data!B917=TRUE,Data!B929=TRUE),"AT RISK FOR SKIN BREAKDOWN","")&amp;IF(Data!B917=TRUE," -Bedbound","")&amp;IF(Data!B929=TRUE," -Chairbound","")&amp;IF(Data!B1610="Yes","  **LATEX ALLERGY**","")&amp;IF(AND(Data!B1644="Yes",Data!B1645="Yes"),"**DNR ON FILE**","")</f>
        <v/>
      </c>
      <c r="B2" s="300"/>
      <c r="C2" s="300"/>
      <c r="D2" s="300"/>
      <c r="E2" s="300"/>
      <c r="F2" s="300"/>
      <c r="G2" s="300"/>
      <c r="H2" s="300"/>
      <c r="I2" s="300"/>
      <c r="J2" s="300"/>
      <c r="K2" s="300"/>
      <c r="L2" s="300"/>
      <c r="M2" s="300"/>
      <c r="N2" s="300"/>
      <c r="O2" s="300"/>
      <c r="P2" s="300"/>
      <c r="Q2" s="300"/>
      <c r="R2" s="300"/>
      <c r="S2" s="300"/>
      <c r="T2" s="300"/>
      <c r="U2" s="300"/>
      <c r="V2" s="300"/>
      <c r="W2" s="300"/>
      <c r="X2" s="300"/>
      <c r="Y2" s="300"/>
      <c r="Z2" s="300"/>
      <c r="AA2" s="300"/>
      <c r="AB2" s="300"/>
      <c r="AC2" s="300"/>
      <c r="AD2" s="300"/>
      <c r="AE2" s="300"/>
      <c r="AF2" s="300"/>
      <c r="AG2" s="300"/>
      <c r="AH2" s="300"/>
      <c r="AI2" s="300"/>
      <c r="AJ2" s="300"/>
      <c r="AK2" s="300"/>
      <c r="AL2" s="300"/>
    </row>
    <row r="3" spans="1:38" x14ac:dyDescent="0.2">
      <c r="A3" t="s">
        <v>336</v>
      </c>
      <c r="E3" s="233" t="str">
        <f>_xlfn.CONCAT(Data!B2,", ",Data!B3," ",Data!B4)</f>
        <v xml:space="preserve">,  </v>
      </c>
      <c r="F3" s="233"/>
      <c r="G3" s="233"/>
      <c r="H3" s="233"/>
      <c r="I3" s="233"/>
      <c r="J3" s="233"/>
      <c r="K3" s="233"/>
      <c r="L3" s="233"/>
      <c r="M3" s="233"/>
      <c r="N3" s="233"/>
      <c r="O3" s="233"/>
      <c r="P3" s="233"/>
      <c r="Q3" s="233"/>
      <c r="R3" s="233"/>
      <c r="S3" s="233"/>
      <c r="T3" s="233"/>
      <c r="U3" s="233"/>
      <c r="V3" s="233"/>
      <c r="W3" s="233"/>
      <c r="X3" s="233"/>
      <c r="Y3" s="233"/>
      <c r="Z3" s="233"/>
      <c r="AA3" t="s">
        <v>337</v>
      </c>
      <c r="AE3" s="218">
        <f>Data!B14</f>
        <v>0</v>
      </c>
      <c r="AF3" s="219"/>
      <c r="AG3" s="219"/>
      <c r="AH3" s="219"/>
      <c r="AI3" s="219"/>
      <c r="AJ3" s="219"/>
      <c r="AK3" s="219"/>
    </row>
    <row r="5" spans="1:38" x14ac:dyDescent="0.2">
      <c r="A5" t="s">
        <v>1048</v>
      </c>
      <c r="F5" s="338" t="str">
        <f>IF(DxListFull!A2="","N/A",DxListFull!A2&amp;" ("&amp;DxListFull!B2&amp;")")</f>
        <v>N/A</v>
      </c>
      <c r="G5" s="338"/>
      <c r="H5" s="338"/>
      <c r="I5" s="338"/>
      <c r="J5" s="338"/>
      <c r="K5" s="338"/>
      <c r="L5" s="338"/>
      <c r="M5" s="338"/>
      <c r="N5" s="338"/>
      <c r="O5" s="338"/>
      <c r="P5" t="s">
        <v>1051</v>
      </c>
      <c r="T5" s="338" t="str">
        <f>IF(DxListFull!D2="","N/A",DxListFull!D2)</f>
        <v>N/A</v>
      </c>
      <c r="U5" s="338"/>
      <c r="V5" s="338"/>
      <c r="W5" s="338"/>
      <c r="X5" s="338"/>
      <c r="Y5" s="338"/>
      <c r="Z5" s="338"/>
      <c r="AA5" s="338"/>
      <c r="AB5" s="338"/>
      <c r="AC5" s="338"/>
      <c r="AD5" s="338"/>
      <c r="AE5" s="338"/>
      <c r="AF5" s="338"/>
      <c r="AG5" s="338"/>
      <c r="AH5" s="338"/>
      <c r="AI5" s="338"/>
      <c r="AJ5" s="338"/>
    </row>
    <row r="6" spans="1:38" x14ac:dyDescent="0.2">
      <c r="A6" t="s">
        <v>1049</v>
      </c>
      <c r="F6" s="338" t="str">
        <f>IF(DxListFull!A3="","N/A",DxListFull!A3&amp;" ("&amp;DxListFull!B3&amp;")")</f>
        <v>N/A</v>
      </c>
      <c r="G6" s="338"/>
      <c r="H6" s="338"/>
      <c r="I6" s="338"/>
      <c r="J6" s="338"/>
      <c r="K6" s="338"/>
      <c r="L6" s="338"/>
      <c r="M6" s="338"/>
      <c r="N6" s="338"/>
      <c r="O6" s="338"/>
      <c r="P6" t="s">
        <v>1051</v>
      </c>
      <c r="T6" s="338" t="str">
        <f>IF(DxListFull!D3="","N/A",DxListFull!D3)</f>
        <v>N/A</v>
      </c>
      <c r="U6" s="338"/>
      <c r="V6" s="338"/>
      <c r="W6" s="338"/>
      <c r="X6" s="338"/>
      <c r="Y6" s="338"/>
      <c r="Z6" s="338"/>
      <c r="AA6" s="338"/>
      <c r="AB6" s="338"/>
      <c r="AC6" s="338"/>
      <c r="AD6" s="338"/>
      <c r="AE6" s="338"/>
      <c r="AF6" s="338"/>
      <c r="AG6" s="338"/>
      <c r="AH6" s="338"/>
      <c r="AI6" s="338"/>
      <c r="AJ6" s="338"/>
    </row>
    <row r="7" spans="1:38" x14ac:dyDescent="0.2">
      <c r="A7" t="s">
        <v>1050</v>
      </c>
      <c r="F7" s="338" t="str">
        <f>IF(DxListFull!A4="","N/A",DxListFull!A4&amp;" ("&amp;DxListFull!B4&amp;")")</f>
        <v>N/A</v>
      </c>
      <c r="G7" s="338"/>
      <c r="H7" s="338"/>
      <c r="I7" s="338"/>
      <c r="J7" s="338"/>
      <c r="K7" s="338"/>
      <c r="L7" s="338"/>
      <c r="M7" s="338"/>
      <c r="N7" s="338"/>
      <c r="O7" s="338"/>
      <c r="P7" t="s">
        <v>1051</v>
      </c>
      <c r="T7" s="338" t="str">
        <f>IF(DxListFull!D4="","N/A",DxListFull!D4)</f>
        <v>N/A</v>
      </c>
      <c r="U7" s="338"/>
      <c r="V7" s="338"/>
      <c r="W7" s="338"/>
      <c r="X7" s="338"/>
      <c r="Y7" s="338"/>
      <c r="Z7" s="338"/>
      <c r="AA7" s="338"/>
      <c r="AB7" s="338"/>
      <c r="AC7" s="338"/>
      <c r="AD7" s="338"/>
      <c r="AE7" s="338"/>
      <c r="AF7" s="338"/>
      <c r="AG7" s="338"/>
      <c r="AH7" s="338"/>
      <c r="AI7" s="338"/>
      <c r="AJ7" s="338"/>
    </row>
    <row r="10" spans="1:38" x14ac:dyDescent="0.2">
      <c r="C10" s="254" t="s">
        <v>2907</v>
      </c>
      <c r="D10" s="254"/>
      <c r="E10" s="254"/>
      <c r="F10" s="254"/>
      <c r="G10" s="254"/>
      <c r="H10" s="254"/>
      <c r="I10" s="254"/>
      <c r="J10" s="254"/>
      <c r="K10" s="254"/>
      <c r="L10" s="254"/>
      <c r="M10" s="254"/>
      <c r="N10" s="254"/>
      <c r="O10" s="254"/>
      <c r="P10" s="254"/>
      <c r="Q10" s="254"/>
      <c r="R10" s="254" t="s">
        <v>2908</v>
      </c>
      <c r="S10" s="254"/>
      <c r="T10" s="254"/>
      <c r="U10" s="254"/>
      <c r="V10" s="254"/>
      <c r="W10" s="254"/>
      <c r="X10" s="254"/>
      <c r="Y10" s="254"/>
      <c r="Z10" s="254" t="s">
        <v>2909</v>
      </c>
      <c r="AA10" s="254"/>
      <c r="AB10" s="254"/>
      <c r="AC10" s="254"/>
      <c r="AD10" s="254"/>
      <c r="AE10" s="254"/>
      <c r="AF10" s="254"/>
      <c r="AG10" s="254"/>
      <c r="AH10" s="254"/>
      <c r="AI10" s="254"/>
      <c r="AJ10" s="254"/>
    </row>
    <row r="11" spans="1:38" x14ac:dyDescent="0.2">
      <c r="A11" s="240">
        <v>1</v>
      </c>
      <c r="B11" s="240"/>
      <c r="C11" s="371">
        <f>DxListFull!A2</f>
        <v>0</v>
      </c>
      <c r="D11" s="371"/>
      <c r="E11" s="371"/>
      <c r="F11" s="371"/>
      <c r="G11" s="371"/>
      <c r="H11" s="371"/>
      <c r="I11" s="371"/>
      <c r="J11" s="371"/>
      <c r="K11" s="371"/>
      <c r="L11" s="371"/>
      <c r="M11" s="371"/>
      <c r="N11" s="371"/>
      <c r="O11" s="371"/>
      <c r="P11" s="371"/>
      <c r="Q11" s="371"/>
      <c r="R11" s="372">
        <f>DxListFull!B2</f>
        <v>0</v>
      </c>
      <c r="S11" s="372"/>
      <c r="T11" s="372"/>
      <c r="U11" s="372"/>
      <c r="V11" s="372"/>
      <c r="W11" s="372"/>
      <c r="X11" s="372"/>
      <c r="Y11" s="372"/>
      <c r="Z11" s="372">
        <f>DxListFull!C2</f>
        <v>0</v>
      </c>
      <c r="AA11" s="372"/>
      <c r="AB11" s="372"/>
      <c r="AC11" s="372"/>
      <c r="AD11" s="372"/>
      <c r="AE11" s="372"/>
      <c r="AF11" s="372"/>
      <c r="AG11" s="372"/>
      <c r="AH11" s="372"/>
      <c r="AI11" s="372"/>
      <c r="AJ11" s="372"/>
    </row>
    <row r="12" spans="1:38" x14ac:dyDescent="0.2">
      <c r="A12" s="240">
        <v>2</v>
      </c>
      <c r="B12" s="240"/>
      <c r="C12" s="371">
        <f>DxListFull!A3</f>
        <v>0</v>
      </c>
      <c r="D12" s="371"/>
      <c r="E12" s="371"/>
      <c r="F12" s="371"/>
      <c r="G12" s="371"/>
      <c r="H12" s="371"/>
      <c r="I12" s="371"/>
      <c r="J12" s="371"/>
      <c r="K12" s="371"/>
      <c r="L12" s="371"/>
      <c r="M12" s="371"/>
      <c r="N12" s="371"/>
      <c r="O12" s="371"/>
      <c r="P12" s="371"/>
      <c r="Q12" s="371"/>
      <c r="R12" s="372">
        <f>DxListFull!B3</f>
        <v>0</v>
      </c>
      <c r="S12" s="372"/>
      <c r="T12" s="372"/>
      <c r="U12" s="372"/>
      <c r="V12" s="372"/>
      <c r="W12" s="372"/>
      <c r="X12" s="372"/>
      <c r="Y12" s="372"/>
      <c r="Z12" s="372">
        <f>DxListFull!C3</f>
        <v>0</v>
      </c>
      <c r="AA12" s="372"/>
      <c r="AB12" s="372"/>
      <c r="AC12" s="372"/>
      <c r="AD12" s="372"/>
      <c r="AE12" s="372"/>
      <c r="AF12" s="372"/>
      <c r="AG12" s="372"/>
      <c r="AH12" s="372"/>
      <c r="AI12" s="372"/>
      <c r="AJ12" s="372"/>
    </row>
    <row r="13" spans="1:38" x14ac:dyDescent="0.2">
      <c r="A13" s="240">
        <v>3</v>
      </c>
      <c r="B13" s="240"/>
      <c r="C13" s="371">
        <f>DxListFull!A4</f>
        <v>0</v>
      </c>
      <c r="D13" s="371"/>
      <c r="E13" s="371"/>
      <c r="F13" s="371"/>
      <c r="G13" s="371"/>
      <c r="H13" s="371"/>
      <c r="I13" s="371"/>
      <c r="J13" s="371"/>
      <c r="K13" s="371"/>
      <c r="L13" s="371"/>
      <c r="M13" s="371"/>
      <c r="N13" s="371"/>
      <c r="O13" s="371"/>
      <c r="P13" s="371"/>
      <c r="Q13" s="371"/>
      <c r="R13" s="372">
        <f>DxListFull!B4</f>
        <v>0</v>
      </c>
      <c r="S13" s="372"/>
      <c r="T13" s="372"/>
      <c r="U13" s="372"/>
      <c r="V13" s="372"/>
      <c r="W13" s="372"/>
      <c r="X13" s="372"/>
      <c r="Y13" s="372"/>
      <c r="Z13" s="372">
        <f>DxListFull!C4</f>
        <v>0</v>
      </c>
      <c r="AA13" s="372"/>
      <c r="AB13" s="372"/>
      <c r="AC13" s="372"/>
      <c r="AD13" s="372"/>
      <c r="AE13" s="372"/>
      <c r="AF13" s="372"/>
      <c r="AG13" s="372"/>
      <c r="AH13" s="372"/>
      <c r="AI13" s="372"/>
      <c r="AJ13" s="372"/>
    </row>
    <row r="14" spans="1:38" x14ac:dyDescent="0.2">
      <c r="A14" s="240">
        <v>4</v>
      </c>
      <c r="B14" s="240"/>
      <c r="C14" s="371">
        <f>DxListFull!A5</f>
        <v>0</v>
      </c>
      <c r="D14" s="371"/>
      <c r="E14" s="371"/>
      <c r="F14" s="371"/>
      <c r="G14" s="371"/>
      <c r="H14" s="371"/>
      <c r="I14" s="371"/>
      <c r="J14" s="371"/>
      <c r="K14" s="371"/>
      <c r="L14" s="371"/>
      <c r="M14" s="371"/>
      <c r="N14" s="371"/>
      <c r="O14" s="371"/>
      <c r="P14" s="371"/>
      <c r="Q14" s="371"/>
      <c r="R14" s="372">
        <f>DxListFull!B5</f>
        <v>0</v>
      </c>
      <c r="S14" s="372"/>
      <c r="T14" s="372"/>
      <c r="U14" s="372"/>
      <c r="V14" s="372"/>
      <c r="W14" s="372"/>
      <c r="X14" s="372"/>
      <c r="Y14" s="372"/>
      <c r="Z14" s="372">
        <f>DxListFull!C5</f>
        <v>0</v>
      </c>
      <c r="AA14" s="372"/>
      <c r="AB14" s="372"/>
      <c r="AC14" s="372"/>
      <c r="AD14" s="372"/>
      <c r="AE14" s="372"/>
      <c r="AF14" s="372"/>
      <c r="AG14" s="372"/>
      <c r="AH14" s="372"/>
      <c r="AI14" s="372"/>
      <c r="AJ14" s="372"/>
    </row>
    <row r="15" spans="1:38" x14ac:dyDescent="0.2">
      <c r="A15" s="240">
        <v>5</v>
      </c>
      <c r="B15" s="240"/>
      <c r="C15" s="371">
        <f>DxListFull!A6</f>
        <v>0</v>
      </c>
      <c r="D15" s="371"/>
      <c r="E15" s="371"/>
      <c r="F15" s="371"/>
      <c r="G15" s="371"/>
      <c r="H15" s="371"/>
      <c r="I15" s="371"/>
      <c r="J15" s="371"/>
      <c r="K15" s="371"/>
      <c r="L15" s="371"/>
      <c r="M15" s="371"/>
      <c r="N15" s="371"/>
      <c r="O15" s="371"/>
      <c r="P15" s="371"/>
      <c r="Q15" s="371"/>
      <c r="R15" s="372">
        <f>DxListFull!B6</f>
        <v>0</v>
      </c>
      <c r="S15" s="372"/>
      <c r="T15" s="372"/>
      <c r="U15" s="372"/>
      <c r="V15" s="372"/>
      <c r="W15" s="372"/>
      <c r="X15" s="372"/>
      <c r="Y15" s="372"/>
      <c r="Z15" s="372">
        <f>DxListFull!C6</f>
        <v>0</v>
      </c>
      <c r="AA15" s="372"/>
      <c r="AB15" s="372"/>
      <c r="AC15" s="372"/>
      <c r="AD15" s="372"/>
      <c r="AE15" s="372"/>
      <c r="AF15" s="372"/>
      <c r="AG15" s="372"/>
      <c r="AH15" s="372"/>
      <c r="AI15" s="372"/>
      <c r="AJ15" s="372"/>
    </row>
    <row r="16" spans="1:38" x14ac:dyDescent="0.2">
      <c r="A16" s="240">
        <v>6</v>
      </c>
      <c r="B16" s="240"/>
      <c r="C16" s="371">
        <f>DxListFull!A7</f>
        <v>0</v>
      </c>
      <c r="D16" s="371"/>
      <c r="E16" s="371"/>
      <c r="F16" s="371"/>
      <c r="G16" s="371"/>
      <c r="H16" s="371"/>
      <c r="I16" s="371"/>
      <c r="J16" s="371"/>
      <c r="K16" s="371"/>
      <c r="L16" s="371"/>
      <c r="M16" s="371"/>
      <c r="N16" s="371"/>
      <c r="O16" s="371"/>
      <c r="P16" s="371"/>
      <c r="Q16" s="371"/>
      <c r="R16" s="372">
        <f>DxListFull!B7</f>
        <v>0</v>
      </c>
      <c r="S16" s="372"/>
      <c r="T16" s="372"/>
      <c r="U16" s="372"/>
      <c r="V16" s="372"/>
      <c r="W16" s="372"/>
      <c r="X16" s="372"/>
      <c r="Y16" s="372"/>
      <c r="Z16" s="372">
        <f>DxListFull!C7</f>
        <v>0</v>
      </c>
      <c r="AA16" s="372"/>
      <c r="AB16" s="372"/>
      <c r="AC16" s="372"/>
      <c r="AD16" s="372"/>
      <c r="AE16" s="372"/>
      <c r="AF16" s="372"/>
      <c r="AG16" s="372"/>
      <c r="AH16" s="372"/>
      <c r="AI16" s="372"/>
      <c r="AJ16" s="372"/>
    </row>
    <row r="17" spans="1:36" x14ac:dyDescent="0.2">
      <c r="A17" s="240">
        <v>7</v>
      </c>
      <c r="B17" s="240"/>
      <c r="C17" s="371">
        <f>DxListFull!A8</f>
        <v>0</v>
      </c>
      <c r="D17" s="371"/>
      <c r="E17" s="371"/>
      <c r="F17" s="371"/>
      <c r="G17" s="371"/>
      <c r="H17" s="371"/>
      <c r="I17" s="371"/>
      <c r="J17" s="371"/>
      <c r="K17" s="371"/>
      <c r="L17" s="371"/>
      <c r="M17" s="371"/>
      <c r="N17" s="371"/>
      <c r="O17" s="371"/>
      <c r="P17" s="371"/>
      <c r="Q17" s="371"/>
      <c r="R17" s="372">
        <f>DxListFull!B8</f>
        <v>0</v>
      </c>
      <c r="S17" s="372"/>
      <c r="T17" s="372"/>
      <c r="U17" s="372"/>
      <c r="V17" s="372"/>
      <c r="W17" s="372"/>
      <c r="X17" s="372"/>
      <c r="Y17" s="372"/>
      <c r="Z17" s="372">
        <f>DxListFull!C8</f>
        <v>0</v>
      </c>
      <c r="AA17" s="372"/>
      <c r="AB17" s="372"/>
      <c r="AC17" s="372"/>
      <c r="AD17" s="372"/>
      <c r="AE17" s="372"/>
      <c r="AF17" s="372"/>
      <c r="AG17" s="372"/>
      <c r="AH17" s="372"/>
      <c r="AI17" s="372"/>
      <c r="AJ17" s="372"/>
    </row>
    <row r="18" spans="1:36" x14ac:dyDescent="0.2">
      <c r="A18" s="240">
        <v>8</v>
      </c>
      <c r="B18" s="240"/>
      <c r="C18" s="371">
        <f>DxListFull!A9</f>
        <v>0</v>
      </c>
      <c r="D18" s="371"/>
      <c r="E18" s="371"/>
      <c r="F18" s="371"/>
      <c r="G18" s="371"/>
      <c r="H18" s="371"/>
      <c r="I18" s="371"/>
      <c r="J18" s="371"/>
      <c r="K18" s="371"/>
      <c r="L18" s="371"/>
      <c r="M18" s="371"/>
      <c r="N18" s="371"/>
      <c r="O18" s="371"/>
      <c r="P18" s="371"/>
      <c r="Q18" s="371"/>
      <c r="R18" s="372">
        <f>DxListFull!B9</f>
        <v>0</v>
      </c>
      <c r="S18" s="372"/>
      <c r="T18" s="372"/>
      <c r="U18" s="372"/>
      <c r="V18" s="372"/>
      <c r="W18" s="372"/>
      <c r="X18" s="372"/>
      <c r="Y18" s="372"/>
      <c r="Z18" s="372">
        <f>DxListFull!C9</f>
        <v>0</v>
      </c>
      <c r="AA18" s="372"/>
      <c r="AB18" s="372"/>
      <c r="AC18" s="372"/>
      <c r="AD18" s="372"/>
      <c r="AE18" s="372"/>
      <c r="AF18" s="372"/>
      <c r="AG18" s="372"/>
      <c r="AH18" s="372"/>
      <c r="AI18" s="372"/>
      <c r="AJ18" s="372"/>
    </row>
    <row r="19" spans="1:36" x14ac:dyDescent="0.2">
      <c r="A19" s="240">
        <v>9</v>
      </c>
      <c r="B19" s="240"/>
      <c r="C19" s="371">
        <f>DxListFull!A10</f>
        <v>0</v>
      </c>
      <c r="D19" s="371"/>
      <c r="E19" s="371"/>
      <c r="F19" s="371"/>
      <c r="G19" s="371"/>
      <c r="H19" s="371"/>
      <c r="I19" s="371"/>
      <c r="J19" s="371"/>
      <c r="K19" s="371"/>
      <c r="L19" s="371"/>
      <c r="M19" s="371"/>
      <c r="N19" s="371"/>
      <c r="O19" s="371"/>
      <c r="P19" s="371"/>
      <c r="Q19" s="371"/>
      <c r="R19" s="372">
        <f>DxListFull!B10</f>
        <v>0</v>
      </c>
      <c r="S19" s="372"/>
      <c r="T19" s="372"/>
      <c r="U19" s="372"/>
      <c r="V19" s="372"/>
      <c r="W19" s="372"/>
      <c r="X19" s="372"/>
      <c r="Y19" s="372"/>
      <c r="Z19" s="372">
        <f>DxListFull!C10</f>
        <v>0</v>
      </c>
      <c r="AA19" s="372"/>
      <c r="AB19" s="372"/>
      <c r="AC19" s="372"/>
      <c r="AD19" s="372"/>
      <c r="AE19" s="372"/>
      <c r="AF19" s="372"/>
      <c r="AG19" s="372"/>
      <c r="AH19" s="372"/>
      <c r="AI19" s="372"/>
      <c r="AJ19" s="372"/>
    </row>
    <row r="20" spans="1:36" x14ac:dyDescent="0.2">
      <c r="A20" s="240">
        <v>10</v>
      </c>
      <c r="B20" s="240"/>
      <c r="C20" s="371">
        <f>DxListFull!A11</f>
        <v>0</v>
      </c>
      <c r="D20" s="371"/>
      <c r="E20" s="371"/>
      <c r="F20" s="371"/>
      <c r="G20" s="371"/>
      <c r="H20" s="371"/>
      <c r="I20" s="371"/>
      <c r="J20" s="371"/>
      <c r="K20" s="371"/>
      <c r="L20" s="371"/>
      <c r="M20" s="371"/>
      <c r="N20" s="371"/>
      <c r="O20" s="371"/>
      <c r="P20" s="371"/>
      <c r="Q20" s="371"/>
      <c r="R20" s="372">
        <f>DxListFull!B11</f>
        <v>0</v>
      </c>
      <c r="S20" s="372"/>
      <c r="T20" s="372"/>
      <c r="U20" s="372"/>
      <c r="V20" s="372"/>
      <c r="W20" s="372"/>
      <c r="X20" s="372"/>
      <c r="Y20" s="372"/>
      <c r="Z20" s="372">
        <f>DxListFull!C11</f>
        <v>0</v>
      </c>
      <c r="AA20" s="372"/>
      <c r="AB20" s="372"/>
      <c r="AC20" s="372"/>
      <c r="AD20" s="372"/>
      <c r="AE20" s="372"/>
      <c r="AF20" s="372"/>
      <c r="AG20" s="372"/>
      <c r="AH20" s="372"/>
      <c r="AI20" s="372"/>
      <c r="AJ20" s="372"/>
    </row>
    <row r="21" spans="1:36" x14ac:dyDescent="0.2">
      <c r="A21" s="240">
        <v>11</v>
      </c>
      <c r="B21" s="240"/>
      <c r="C21" s="371">
        <f>DxListFull!A12</f>
        <v>0</v>
      </c>
      <c r="D21" s="371"/>
      <c r="E21" s="371"/>
      <c r="F21" s="371"/>
      <c r="G21" s="371"/>
      <c r="H21" s="371"/>
      <c r="I21" s="371"/>
      <c r="J21" s="371"/>
      <c r="K21" s="371"/>
      <c r="L21" s="371"/>
      <c r="M21" s="371"/>
      <c r="N21" s="371"/>
      <c r="O21" s="371"/>
      <c r="P21" s="371"/>
      <c r="Q21" s="371"/>
      <c r="R21" s="372">
        <f>DxListFull!B12</f>
        <v>0</v>
      </c>
      <c r="S21" s="372"/>
      <c r="T21" s="372"/>
      <c r="U21" s="372"/>
      <c r="V21" s="372"/>
      <c r="W21" s="372"/>
      <c r="X21" s="372"/>
      <c r="Y21" s="372"/>
      <c r="Z21" s="372">
        <f>DxListFull!C12</f>
        <v>0</v>
      </c>
      <c r="AA21" s="372"/>
      <c r="AB21" s="372"/>
      <c r="AC21" s="372"/>
      <c r="AD21" s="372"/>
      <c r="AE21" s="372"/>
      <c r="AF21" s="372"/>
      <c r="AG21" s="372"/>
      <c r="AH21" s="372"/>
      <c r="AI21" s="372"/>
      <c r="AJ21" s="372"/>
    </row>
    <row r="22" spans="1:36" x14ac:dyDescent="0.2">
      <c r="A22" s="240">
        <v>12</v>
      </c>
      <c r="B22" s="240"/>
      <c r="C22" s="371">
        <f>DxListFull!A13</f>
        <v>0</v>
      </c>
      <c r="D22" s="371"/>
      <c r="E22" s="371"/>
      <c r="F22" s="371"/>
      <c r="G22" s="371"/>
      <c r="H22" s="371"/>
      <c r="I22" s="371"/>
      <c r="J22" s="371"/>
      <c r="K22" s="371"/>
      <c r="L22" s="371"/>
      <c r="M22" s="371"/>
      <c r="N22" s="371"/>
      <c r="O22" s="371"/>
      <c r="P22" s="371"/>
      <c r="Q22" s="371"/>
      <c r="R22" s="372">
        <f>DxListFull!B13</f>
        <v>0</v>
      </c>
      <c r="S22" s="372"/>
      <c r="T22" s="372"/>
      <c r="U22" s="372"/>
      <c r="V22" s="372"/>
      <c r="W22" s="372"/>
      <c r="X22" s="372"/>
      <c r="Y22" s="372"/>
      <c r="Z22" s="372">
        <f>DxListFull!C13</f>
        <v>0</v>
      </c>
      <c r="AA22" s="372"/>
      <c r="AB22" s="372"/>
      <c r="AC22" s="372"/>
      <c r="AD22" s="372"/>
      <c r="AE22" s="372"/>
      <c r="AF22" s="372"/>
      <c r="AG22" s="372"/>
      <c r="AH22" s="372"/>
      <c r="AI22" s="372"/>
      <c r="AJ22" s="372"/>
    </row>
    <row r="23" spans="1:36" x14ac:dyDescent="0.2">
      <c r="A23" s="240">
        <v>13</v>
      </c>
      <c r="B23" s="240"/>
      <c r="C23" s="371">
        <f>DxListFull!A14</f>
        <v>0</v>
      </c>
      <c r="D23" s="371"/>
      <c r="E23" s="371"/>
      <c r="F23" s="371"/>
      <c r="G23" s="371"/>
      <c r="H23" s="371"/>
      <c r="I23" s="371"/>
      <c r="J23" s="371"/>
      <c r="K23" s="371"/>
      <c r="L23" s="371"/>
      <c r="M23" s="371"/>
      <c r="N23" s="371"/>
      <c r="O23" s="371"/>
      <c r="P23" s="371"/>
      <c r="Q23" s="371"/>
      <c r="R23" s="372">
        <f>DxListFull!B14</f>
        <v>0</v>
      </c>
      <c r="S23" s="372"/>
      <c r="T23" s="372"/>
      <c r="U23" s="372"/>
      <c r="V23" s="372"/>
      <c r="W23" s="372"/>
      <c r="X23" s="372"/>
      <c r="Y23" s="372"/>
      <c r="Z23" s="372">
        <f>DxListFull!C14</f>
        <v>0</v>
      </c>
      <c r="AA23" s="372"/>
      <c r="AB23" s="372"/>
      <c r="AC23" s="372"/>
      <c r="AD23" s="372"/>
      <c r="AE23" s="372"/>
      <c r="AF23" s="372"/>
      <c r="AG23" s="372"/>
      <c r="AH23" s="372"/>
      <c r="AI23" s="372"/>
      <c r="AJ23" s="372"/>
    </row>
    <row r="24" spans="1:36" x14ac:dyDescent="0.2">
      <c r="A24" s="240">
        <v>14</v>
      </c>
      <c r="B24" s="240"/>
      <c r="C24" s="371">
        <f>DxListFull!A15</f>
        <v>0</v>
      </c>
      <c r="D24" s="371"/>
      <c r="E24" s="371"/>
      <c r="F24" s="371"/>
      <c r="G24" s="371"/>
      <c r="H24" s="371"/>
      <c r="I24" s="371"/>
      <c r="J24" s="371"/>
      <c r="K24" s="371"/>
      <c r="L24" s="371"/>
      <c r="M24" s="371"/>
      <c r="N24" s="371"/>
      <c r="O24" s="371"/>
      <c r="P24" s="371"/>
      <c r="Q24" s="371"/>
      <c r="R24" s="372">
        <f>DxListFull!B15</f>
        <v>0</v>
      </c>
      <c r="S24" s="372"/>
      <c r="T24" s="372"/>
      <c r="U24" s="372"/>
      <c r="V24" s="372"/>
      <c r="W24" s="372"/>
      <c r="X24" s="372"/>
      <c r="Y24" s="372"/>
      <c r="Z24" s="372">
        <f>DxListFull!C15</f>
        <v>0</v>
      </c>
      <c r="AA24" s="372"/>
      <c r="AB24" s="372"/>
      <c r="AC24" s="372"/>
      <c r="AD24" s="372"/>
      <c r="AE24" s="372"/>
      <c r="AF24" s="372"/>
      <c r="AG24" s="372"/>
      <c r="AH24" s="372"/>
      <c r="AI24" s="372"/>
      <c r="AJ24" s="372"/>
    </row>
    <row r="25" spans="1:36" x14ac:dyDescent="0.2">
      <c r="A25" s="240">
        <v>15</v>
      </c>
      <c r="B25" s="240"/>
      <c r="C25" s="371">
        <f>DxListFull!A16</f>
        <v>0</v>
      </c>
      <c r="D25" s="371"/>
      <c r="E25" s="371"/>
      <c r="F25" s="371"/>
      <c r="G25" s="371"/>
      <c r="H25" s="371"/>
      <c r="I25" s="371"/>
      <c r="J25" s="371"/>
      <c r="K25" s="371"/>
      <c r="L25" s="371"/>
      <c r="M25" s="371"/>
      <c r="N25" s="371"/>
      <c r="O25" s="371"/>
      <c r="P25" s="371"/>
      <c r="Q25" s="371"/>
      <c r="R25" s="372">
        <f>DxListFull!B16</f>
        <v>0</v>
      </c>
      <c r="S25" s="372"/>
      <c r="T25" s="372"/>
      <c r="U25" s="372"/>
      <c r="V25" s="372"/>
      <c r="W25" s="372"/>
      <c r="X25" s="372"/>
      <c r="Y25" s="372"/>
      <c r="Z25" s="372">
        <f>DxListFull!C16</f>
        <v>0</v>
      </c>
      <c r="AA25" s="372"/>
      <c r="AB25" s="372"/>
      <c r="AC25" s="372"/>
      <c r="AD25" s="372"/>
      <c r="AE25" s="372"/>
      <c r="AF25" s="372"/>
      <c r="AG25" s="372"/>
      <c r="AH25" s="372"/>
      <c r="AI25" s="372"/>
      <c r="AJ25" s="372"/>
    </row>
    <row r="26" spans="1:36" x14ac:dyDescent="0.2">
      <c r="A26" s="240">
        <v>16</v>
      </c>
      <c r="B26" s="240"/>
      <c r="C26" s="371">
        <f>DxListFull!A17</f>
        <v>0</v>
      </c>
      <c r="D26" s="371"/>
      <c r="E26" s="371"/>
      <c r="F26" s="371"/>
      <c r="G26" s="371"/>
      <c r="H26" s="371"/>
      <c r="I26" s="371"/>
      <c r="J26" s="371"/>
      <c r="K26" s="371"/>
      <c r="L26" s="371"/>
      <c r="M26" s="371"/>
      <c r="N26" s="371"/>
      <c r="O26" s="371"/>
      <c r="P26" s="371"/>
      <c r="Q26" s="371"/>
      <c r="R26" s="372">
        <f>DxListFull!B17</f>
        <v>0</v>
      </c>
      <c r="S26" s="372"/>
      <c r="T26" s="372"/>
      <c r="U26" s="372"/>
      <c r="V26" s="372"/>
      <c r="W26" s="372"/>
      <c r="X26" s="372"/>
      <c r="Y26" s="372"/>
      <c r="Z26" s="372">
        <f>DxListFull!C17</f>
        <v>0</v>
      </c>
      <c r="AA26" s="372"/>
      <c r="AB26" s="372"/>
      <c r="AC26" s="372"/>
      <c r="AD26" s="372"/>
      <c r="AE26" s="372"/>
      <c r="AF26" s="372"/>
      <c r="AG26" s="372"/>
      <c r="AH26" s="372"/>
      <c r="AI26" s="372"/>
      <c r="AJ26" s="372"/>
    </row>
    <row r="27" spans="1:36" x14ac:dyDescent="0.2">
      <c r="A27" s="240">
        <v>17</v>
      </c>
      <c r="B27" s="240"/>
      <c r="C27" s="371">
        <f>DxListFull!A18</f>
        <v>0</v>
      </c>
      <c r="D27" s="371"/>
      <c r="E27" s="371"/>
      <c r="F27" s="371"/>
      <c r="G27" s="371"/>
      <c r="H27" s="371"/>
      <c r="I27" s="371"/>
      <c r="J27" s="371"/>
      <c r="K27" s="371"/>
      <c r="L27" s="371"/>
      <c r="M27" s="371"/>
      <c r="N27" s="371"/>
      <c r="O27" s="371"/>
      <c r="P27" s="371"/>
      <c r="Q27" s="371"/>
      <c r="R27" s="372">
        <f>DxListFull!B18</f>
        <v>0</v>
      </c>
      <c r="S27" s="372"/>
      <c r="T27" s="372"/>
      <c r="U27" s="372"/>
      <c r="V27" s="372"/>
      <c r="W27" s="372"/>
      <c r="X27" s="372"/>
      <c r="Y27" s="372"/>
      <c r="Z27" s="372">
        <f>DxListFull!C18</f>
        <v>0</v>
      </c>
      <c r="AA27" s="372"/>
      <c r="AB27" s="372"/>
      <c r="AC27" s="372"/>
      <c r="AD27" s="372"/>
      <c r="AE27" s="372"/>
      <c r="AF27" s="372"/>
      <c r="AG27" s="372"/>
      <c r="AH27" s="372"/>
      <c r="AI27" s="372"/>
      <c r="AJ27" s="372"/>
    </row>
    <row r="28" spans="1:36" x14ac:dyDescent="0.2">
      <c r="A28" s="240">
        <v>18</v>
      </c>
      <c r="B28" s="240"/>
      <c r="C28" s="371">
        <f>DxListFull!A19</f>
        <v>0</v>
      </c>
      <c r="D28" s="371"/>
      <c r="E28" s="371"/>
      <c r="F28" s="371"/>
      <c r="G28" s="371"/>
      <c r="H28" s="371"/>
      <c r="I28" s="371"/>
      <c r="J28" s="371"/>
      <c r="K28" s="371"/>
      <c r="L28" s="371"/>
      <c r="M28" s="371"/>
      <c r="N28" s="371"/>
      <c r="O28" s="371"/>
      <c r="P28" s="371"/>
      <c r="Q28" s="371"/>
      <c r="R28" s="372">
        <f>DxListFull!B19</f>
        <v>0</v>
      </c>
      <c r="S28" s="372"/>
      <c r="T28" s="372"/>
      <c r="U28" s="372"/>
      <c r="V28" s="372"/>
      <c r="W28" s="372"/>
      <c r="X28" s="372"/>
      <c r="Y28" s="372"/>
      <c r="Z28" s="372">
        <f>DxListFull!C19</f>
        <v>0</v>
      </c>
      <c r="AA28" s="372"/>
      <c r="AB28" s="372"/>
      <c r="AC28" s="372"/>
      <c r="AD28" s="372"/>
      <c r="AE28" s="372"/>
      <c r="AF28" s="372"/>
      <c r="AG28" s="372"/>
      <c r="AH28" s="372"/>
      <c r="AI28" s="372"/>
      <c r="AJ28" s="372"/>
    </row>
    <row r="29" spans="1:36" x14ac:dyDescent="0.2">
      <c r="A29" s="240">
        <v>19</v>
      </c>
      <c r="B29" s="240"/>
      <c r="C29" s="371">
        <f>DxListFull!A20</f>
        <v>0</v>
      </c>
      <c r="D29" s="371"/>
      <c r="E29" s="371"/>
      <c r="F29" s="371"/>
      <c r="G29" s="371"/>
      <c r="H29" s="371"/>
      <c r="I29" s="371"/>
      <c r="J29" s="371"/>
      <c r="K29" s="371"/>
      <c r="L29" s="371"/>
      <c r="M29" s="371"/>
      <c r="N29" s="371"/>
      <c r="O29" s="371"/>
      <c r="P29" s="371"/>
      <c r="Q29" s="371"/>
      <c r="R29" s="372">
        <f>DxListFull!B20</f>
        <v>0</v>
      </c>
      <c r="S29" s="372"/>
      <c r="T29" s="372"/>
      <c r="U29" s="372"/>
      <c r="V29" s="372"/>
      <c r="W29" s="372"/>
      <c r="X29" s="372"/>
      <c r="Y29" s="372"/>
      <c r="Z29" s="372">
        <f>DxListFull!C20</f>
        <v>0</v>
      </c>
      <c r="AA29" s="372"/>
      <c r="AB29" s="372"/>
      <c r="AC29" s="372"/>
      <c r="AD29" s="372"/>
      <c r="AE29" s="372"/>
      <c r="AF29" s="372"/>
      <c r="AG29" s="372"/>
      <c r="AH29" s="372"/>
      <c r="AI29" s="372"/>
      <c r="AJ29" s="372"/>
    </row>
    <row r="30" spans="1:36" x14ac:dyDescent="0.2">
      <c r="A30" s="240">
        <v>20</v>
      </c>
      <c r="B30" s="240"/>
      <c r="C30" s="371">
        <f>DxListFull!A21</f>
        <v>0</v>
      </c>
      <c r="D30" s="371"/>
      <c r="E30" s="371"/>
      <c r="F30" s="371"/>
      <c r="G30" s="371"/>
      <c r="H30" s="371"/>
      <c r="I30" s="371"/>
      <c r="J30" s="371"/>
      <c r="K30" s="371"/>
      <c r="L30" s="371"/>
      <c r="M30" s="371"/>
      <c r="N30" s="371"/>
      <c r="O30" s="371"/>
      <c r="P30" s="371"/>
      <c r="Q30" s="371"/>
      <c r="R30" s="372">
        <f>DxListFull!B21</f>
        <v>0</v>
      </c>
      <c r="S30" s="372"/>
      <c r="T30" s="372"/>
      <c r="U30" s="372"/>
      <c r="V30" s="372"/>
      <c r="W30" s="372"/>
      <c r="X30" s="372"/>
      <c r="Y30" s="372"/>
      <c r="Z30" s="372">
        <f>DxListFull!C21</f>
        <v>0</v>
      </c>
      <c r="AA30" s="372"/>
      <c r="AB30" s="372"/>
      <c r="AC30" s="372"/>
      <c r="AD30" s="372"/>
      <c r="AE30" s="372"/>
      <c r="AF30" s="372"/>
      <c r="AG30" s="372"/>
      <c r="AH30" s="372"/>
      <c r="AI30" s="372"/>
      <c r="AJ30" s="372"/>
    </row>
    <row r="31" spans="1:36" x14ac:dyDescent="0.2">
      <c r="A31" s="240">
        <v>21</v>
      </c>
      <c r="B31" s="240"/>
      <c r="C31" s="371">
        <f>DxListFull!A22</f>
        <v>0</v>
      </c>
      <c r="D31" s="371"/>
      <c r="E31" s="371"/>
      <c r="F31" s="371"/>
      <c r="G31" s="371"/>
      <c r="H31" s="371"/>
      <c r="I31" s="371"/>
      <c r="J31" s="371"/>
      <c r="K31" s="371"/>
      <c r="L31" s="371"/>
      <c r="M31" s="371"/>
      <c r="N31" s="371"/>
      <c r="O31" s="371"/>
      <c r="P31" s="371"/>
      <c r="Q31" s="371"/>
      <c r="R31" s="372">
        <f>DxListFull!B22</f>
        <v>0</v>
      </c>
      <c r="S31" s="372"/>
      <c r="T31" s="372"/>
      <c r="U31" s="372"/>
      <c r="V31" s="372"/>
      <c r="W31" s="372"/>
      <c r="X31" s="372"/>
      <c r="Y31" s="372"/>
      <c r="Z31" s="372">
        <f>DxListFull!C22</f>
        <v>0</v>
      </c>
      <c r="AA31" s="372"/>
      <c r="AB31" s="372"/>
      <c r="AC31" s="372"/>
      <c r="AD31" s="372"/>
      <c r="AE31" s="372"/>
      <c r="AF31" s="372"/>
      <c r="AG31" s="372"/>
      <c r="AH31" s="372"/>
      <c r="AI31" s="372"/>
      <c r="AJ31" s="372"/>
    </row>
    <row r="32" spans="1:36" x14ac:dyDescent="0.2">
      <c r="A32" s="240">
        <v>22</v>
      </c>
      <c r="B32" s="240"/>
      <c r="C32" s="371">
        <f>DxListFull!A23</f>
        <v>0</v>
      </c>
      <c r="D32" s="371"/>
      <c r="E32" s="371"/>
      <c r="F32" s="371"/>
      <c r="G32" s="371"/>
      <c r="H32" s="371"/>
      <c r="I32" s="371"/>
      <c r="J32" s="371"/>
      <c r="K32" s="371"/>
      <c r="L32" s="371"/>
      <c r="M32" s="371"/>
      <c r="N32" s="371"/>
      <c r="O32" s="371"/>
      <c r="P32" s="371"/>
      <c r="Q32" s="371"/>
      <c r="R32" s="372">
        <f>DxListFull!B23</f>
        <v>0</v>
      </c>
      <c r="S32" s="372"/>
      <c r="T32" s="372"/>
      <c r="U32" s="372"/>
      <c r="V32" s="372"/>
      <c r="W32" s="372"/>
      <c r="X32" s="372"/>
      <c r="Y32" s="372"/>
      <c r="Z32" s="372">
        <f>DxListFull!C23</f>
        <v>0</v>
      </c>
      <c r="AA32" s="372"/>
      <c r="AB32" s="372"/>
      <c r="AC32" s="372"/>
      <c r="AD32" s="372"/>
      <c r="AE32" s="372"/>
      <c r="AF32" s="372"/>
      <c r="AG32" s="372"/>
      <c r="AH32" s="372"/>
      <c r="AI32" s="372"/>
      <c r="AJ32" s="372"/>
    </row>
    <row r="33" spans="1:36" x14ac:dyDescent="0.2">
      <c r="A33" s="240">
        <v>23</v>
      </c>
      <c r="B33" s="240"/>
      <c r="C33" s="371">
        <f>DxListFull!A24</f>
        <v>0</v>
      </c>
      <c r="D33" s="371"/>
      <c r="E33" s="371"/>
      <c r="F33" s="371"/>
      <c r="G33" s="371"/>
      <c r="H33" s="371"/>
      <c r="I33" s="371"/>
      <c r="J33" s="371"/>
      <c r="K33" s="371"/>
      <c r="L33" s="371"/>
      <c r="M33" s="371"/>
      <c r="N33" s="371"/>
      <c r="O33" s="371"/>
      <c r="P33" s="371"/>
      <c r="Q33" s="371"/>
      <c r="R33" s="372">
        <f>DxListFull!B24</f>
        <v>0</v>
      </c>
      <c r="S33" s="372"/>
      <c r="T33" s="372"/>
      <c r="U33" s="372"/>
      <c r="V33" s="372"/>
      <c r="W33" s="372"/>
      <c r="X33" s="372"/>
      <c r="Y33" s="372"/>
      <c r="Z33" s="372">
        <f>DxListFull!C24</f>
        <v>0</v>
      </c>
      <c r="AA33" s="372"/>
      <c r="AB33" s="372"/>
      <c r="AC33" s="372"/>
      <c r="AD33" s="372"/>
      <c r="AE33" s="372"/>
      <c r="AF33" s="372"/>
      <c r="AG33" s="372"/>
      <c r="AH33" s="372"/>
      <c r="AI33" s="372"/>
      <c r="AJ33" s="372"/>
    </row>
    <row r="34" spans="1:36" x14ac:dyDescent="0.2">
      <c r="A34" s="240">
        <v>24</v>
      </c>
      <c r="B34" s="240"/>
      <c r="C34" s="371">
        <f>DxListFull!A25</f>
        <v>0</v>
      </c>
      <c r="D34" s="371"/>
      <c r="E34" s="371"/>
      <c r="F34" s="371"/>
      <c r="G34" s="371"/>
      <c r="H34" s="371"/>
      <c r="I34" s="371"/>
      <c r="J34" s="371"/>
      <c r="K34" s="371"/>
      <c r="L34" s="371"/>
      <c r="M34" s="371"/>
      <c r="N34" s="371"/>
      <c r="O34" s="371"/>
      <c r="P34" s="371"/>
      <c r="Q34" s="371"/>
      <c r="R34" s="372">
        <f>DxListFull!B25</f>
        <v>0</v>
      </c>
      <c r="S34" s="372"/>
      <c r="T34" s="372"/>
      <c r="U34" s="372"/>
      <c r="V34" s="372"/>
      <c r="W34" s="372"/>
      <c r="X34" s="372"/>
      <c r="Y34" s="372"/>
      <c r="Z34" s="372">
        <f>DxListFull!C25</f>
        <v>0</v>
      </c>
      <c r="AA34" s="372"/>
      <c r="AB34" s="372"/>
      <c r="AC34" s="372"/>
      <c r="AD34" s="372"/>
      <c r="AE34" s="372"/>
      <c r="AF34" s="372"/>
      <c r="AG34" s="372"/>
      <c r="AH34" s="372"/>
      <c r="AI34" s="372"/>
      <c r="AJ34" s="372"/>
    </row>
    <row r="35" spans="1:36" x14ac:dyDescent="0.2">
      <c r="A35" s="240">
        <v>25</v>
      </c>
      <c r="B35" s="240"/>
      <c r="C35" s="371">
        <f>DxListFull!A26</f>
        <v>0</v>
      </c>
      <c r="D35" s="371"/>
      <c r="E35" s="371"/>
      <c r="F35" s="371"/>
      <c r="G35" s="371"/>
      <c r="H35" s="371"/>
      <c r="I35" s="371"/>
      <c r="J35" s="371"/>
      <c r="K35" s="371"/>
      <c r="L35" s="371"/>
      <c r="M35" s="371"/>
      <c r="N35" s="371"/>
      <c r="O35" s="371"/>
      <c r="P35" s="371"/>
      <c r="Q35" s="371"/>
      <c r="R35" s="372">
        <f>DxListFull!B26</f>
        <v>0</v>
      </c>
      <c r="S35" s="372"/>
      <c r="T35" s="372"/>
      <c r="U35" s="372"/>
      <c r="V35" s="372"/>
      <c r="W35" s="372"/>
      <c r="X35" s="372"/>
      <c r="Y35" s="372"/>
      <c r="Z35" s="372">
        <f>DxListFull!C26</f>
        <v>0</v>
      </c>
      <c r="AA35" s="372"/>
      <c r="AB35" s="372"/>
      <c r="AC35" s="372"/>
      <c r="AD35" s="372"/>
      <c r="AE35" s="372"/>
      <c r="AF35" s="372"/>
      <c r="AG35" s="372"/>
      <c r="AH35" s="372"/>
      <c r="AI35" s="372"/>
      <c r="AJ35" s="372"/>
    </row>
    <row r="36" spans="1:36" x14ac:dyDescent="0.2">
      <c r="C36" s="333" t="str">
        <f>IF(DxListFull!A26&lt;&gt;"","Diagnosis list continued on next page.","End of known diagnoses.")</f>
        <v>End of known diagnoses.</v>
      </c>
      <c r="D36" s="333"/>
      <c r="E36" s="333"/>
      <c r="F36" s="333"/>
      <c r="G36" s="333"/>
      <c r="H36" s="333"/>
      <c r="I36" s="333"/>
      <c r="J36" s="333"/>
      <c r="K36" s="333"/>
      <c r="L36" s="333"/>
      <c r="M36" s="333"/>
      <c r="N36" s="333"/>
      <c r="O36" s="333"/>
      <c r="P36" s="333"/>
      <c r="Q36" s="333"/>
      <c r="R36" s="333"/>
      <c r="S36" s="333"/>
      <c r="T36" s="333"/>
      <c r="U36" s="333"/>
      <c r="V36" s="333"/>
      <c r="W36" s="333"/>
      <c r="X36" s="333"/>
      <c r="Y36" s="333"/>
      <c r="Z36" s="333"/>
      <c r="AA36" s="333"/>
      <c r="AB36" s="333"/>
      <c r="AC36" s="333"/>
      <c r="AD36" s="333"/>
      <c r="AE36" s="333"/>
      <c r="AF36" s="333"/>
      <c r="AG36" s="333"/>
      <c r="AH36" s="333"/>
      <c r="AI36" s="333"/>
      <c r="AJ36" s="333"/>
    </row>
    <row r="38" spans="1:36" x14ac:dyDescent="0.2">
      <c r="A38" t="s">
        <v>654</v>
      </c>
      <c r="F38" s="216" t="str">
        <f>_xlfn.CONCAT(IF(Data!B201="","",Data!B201&amp;" ("&amp;Data!D201&amp;")"),IF(Data!B202="","",Data!B202&amp;" ("&amp;Data!D202&amp;")"),IF(Data!B203="","",Data!B203&amp;" ("&amp;Data!D203&amp;")"),IF(Data!B204="","",Data!B204&amp;" ("&amp;Data!D204&amp;")"),IF(Data!B205="","",Data!B205&amp;" ("&amp;Data!D205&amp;")"),IF(Data!B206="","",Data!B206&amp;" ("&amp;Data!D206&amp;")"),IF(Data!B207="","",Data!B207&amp;" ("&amp;Data!D207&amp;")"),IF(Data!B208="","",Data!B208&amp;" ("&amp;Data!D208&amp;")"),IF(Data!B201="","No Surgical History",""))</f>
        <v>No Surgical History</v>
      </c>
      <c r="G38" s="216"/>
      <c r="H38" s="216"/>
      <c r="I38" s="216"/>
      <c r="J38" s="216"/>
      <c r="K38" s="216"/>
      <c r="L38" s="216"/>
      <c r="M38" s="216"/>
      <c r="N38" s="216"/>
      <c r="O38" s="216"/>
      <c r="P38" s="216"/>
      <c r="Q38" s="216"/>
      <c r="R38" s="216"/>
      <c r="S38" s="216"/>
      <c r="T38" s="216"/>
      <c r="U38" s="216"/>
      <c r="V38" s="216"/>
      <c r="W38" s="216"/>
      <c r="X38" s="216"/>
      <c r="Y38" s="216"/>
      <c r="Z38" s="216"/>
      <c r="AA38" s="216"/>
      <c r="AB38" s="216"/>
      <c r="AC38" s="216"/>
      <c r="AD38" s="216"/>
      <c r="AE38" s="216"/>
      <c r="AF38" s="216"/>
      <c r="AG38" s="216"/>
      <c r="AH38" s="216"/>
      <c r="AI38" s="216"/>
      <c r="AJ38" s="216"/>
    </row>
    <row r="39" spans="1:36" x14ac:dyDescent="0.2">
      <c r="F39" s="216"/>
      <c r="G39" s="216"/>
      <c r="H39" s="216"/>
      <c r="I39" s="216"/>
      <c r="J39" s="216"/>
      <c r="K39" s="216"/>
      <c r="L39" s="216"/>
      <c r="M39" s="216"/>
      <c r="N39" s="216"/>
      <c r="O39" s="216"/>
      <c r="P39" s="216"/>
      <c r="Q39" s="216"/>
      <c r="R39" s="216"/>
      <c r="S39" s="216"/>
      <c r="T39" s="216"/>
      <c r="U39" s="216"/>
      <c r="V39" s="216"/>
      <c r="W39" s="216"/>
      <c r="X39" s="216"/>
      <c r="Y39" s="216"/>
      <c r="Z39" s="216"/>
      <c r="AA39" s="216"/>
      <c r="AB39" s="216"/>
      <c r="AC39" s="216"/>
      <c r="AD39" s="216"/>
      <c r="AE39" s="216"/>
      <c r="AF39" s="216"/>
      <c r="AG39" s="216"/>
      <c r="AH39" s="216"/>
      <c r="AI39" s="216"/>
      <c r="AJ39" s="216"/>
    </row>
    <row r="40" spans="1:36" x14ac:dyDescent="0.2">
      <c r="F40" s="216"/>
      <c r="G40" s="216"/>
      <c r="H40" s="216"/>
      <c r="I40" s="216"/>
      <c r="J40" s="216"/>
      <c r="K40" s="216"/>
      <c r="L40" s="216"/>
      <c r="M40" s="216"/>
      <c r="N40" s="216"/>
      <c r="O40" s="216"/>
      <c r="P40" s="216"/>
      <c r="Q40" s="216"/>
      <c r="R40" s="216"/>
      <c r="S40" s="216"/>
      <c r="T40" s="216"/>
      <c r="U40" s="216"/>
      <c r="V40" s="216"/>
      <c r="W40" s="216"/>
      <c r="X40" s="216"/>
      <c r="Y40" s="216"/>
      <c r="Z40" s="216"/>
      <c r="AA40" s="216"/>
      <c r="AB40" s="216"/>
      <c r="AC40" s="216"/>
      <c r="AD40" s="216"/>
      <c r="AE40" s="216"/>
      <c r="AF40" s="216"/>
      <c r="AG40" s="216"/>
      <c r="AH40" s="216"/>
      <c r="AI40" s="216"/>
      <c r="AJ40" s="216"/>
    </row>
    <row r="41" spans="1:36" x14ac:dyDescent="0.2">
      <c r="A41" t="s">
        <v>3206</v>
      </c>
      <c r="G41" s="216" t="str">
        <f>_xlfn.CONCAT(IF(Data!B1612&lt;&gt;"",Data!B1612&amp;" ("&amp;TEXT(Data!D1612,"mm/dd/yyyy")&amp;")",""),IF(Data!B1613&lt;&gt;"",", "&amp;Data!B1613&amp;" ("&amp;TEXT(Data!D1613,"mm/dd/yyyy")&amp;")",""),IF(Data!B1614&lt;&gt;"",", "&amp;Data!B1614&amp;" ("&amp;TEXT(Data!D1614,"mm/dd/yyyy")&amp;")",""),IF(Data!B1615&lt;&gt;"",", "&amp;Data!B1615&amp;" ("&amp;TEXT(Data!D1615,"mm/dd/yyyy")&amp;")",""),IF(Data!B1616&lt;&gt;"",", "&amp;Data!B1616&amp;" ("&amp;TEXT(Data!D1616,"mm/dd/yyyy")&amp;")",""),IF(Data!B1617&lt;&gt;"",", "&amp;Data!B1617&amp;" ("&amp;TEXT(Data!D1617,"mm/dd/yyyy")&amp;")",""),IF(Data!B1618&lt;&gt;"",", "&amp;Data!B1618&amp;" ("&amp;TEXT(Data!D1618,"mm/dd/yyyy")&amp;")",""),IF(Data!B1619&lt;&gt;"",", "&amp;Data!B1619&amp;" ("&amp;TEXT(Data!D1619,"mm/dd/yyyy")&amp;")",""),IF(Data!B1612="","No Procedure History.",""))</f>
        <v>No Procedure History.</v>
      </c>
      <c r="H41" s="216"/>
      <c r="I41" s="216"/>
      <c r="J41" s="216"/>
      <c r="K41" s="216"/>
      <c r="L41" s="216"/>
      <c r="M41" s="216"/>
      <c r="N41" s="216"/>
      <c r="O41" s="216"/>
      <c r="P41" s="216"/>
      <c r="Q41" s="216"/>
      <c r="R41" s="216"/>
      <c r="S41" s="216"/>
      <c r="T41" s="216"/>
      <c r="U41" s="216"/>
      <c r="V41" s="216"/>
      <c r="W41" s="216"/>
      <c r="X41" s="216"/>
      <c r="Y41" s="216"/>
      <c r="Z41" s="216"/>
      <c r="AA41" s="216"/>
      <c r="AB41" s="216"/>
      <c r="AC41" s="216"/>
      <c r="AD41" s="216"/>
      <c r="AE41" s="216"/>
      <c r="AF41" s="216"/>
      <c r="AG41" s="216"/>
      <c r="AH41" s="216"/>
      <c r="AI41" s="216"/>
      <c r="AJ41" s="216"/>
    </row>
    <row r="42" spans="1:36" x14ac:dyDescent="0.2">
      <c r="G42" s="216"/>
      <c r="H42" s="216"/>
      <c r="I42" s="216"/>
      <c r="J42" s="216"/>
      <c r="K42" s="216"/>
      <c r="L42" s="216"/>
      <c r="M42" s="216"/>
      <c r="N42" s="216"/>
      <c r="O42" s="216"/>
      <c r="P42" s="216"/>
      <c r="Q42" s="216"/>
      <c r="R42" s="216"/>
      <c r="S42" s="216"/>
      <c r="T42" s="216"/>
      <c r="U42" s="216"/>
      <c r="V42" s="216"/>
      <c r="W42" s="216"/>
      <c r="X42" s="216"/>
      <c r="Y42" s="216"/>
      <c r="Z42" s="216"/>
      <c r="AA42" s="216"/>
      <c r="AB42" s="216"/>
      <c r="AC42" s="216"/>
      <c r="AD42" s="216"/>
      <c r="AE42" s="216"/>
      <c r="AF42" s="216"/>
      <c r="AG42" s="216"/>
      <c r="AH42" s="216"/>
      <c r="AI42" s="216"/>
      <c r="AJ42" s="216"/>
    </row>
    <row r="44" spans="1:36" ht="6.75" customHeight="1" x14ac:dyDescent="0.2"/>
    <row r="45" spans="1:36" ht="6.75" customHeight="1" x14ac:dyDescent="0.2"/>
    <row r="46" spans="1:36" ht="6.75" customHeight="1" x14ac:dyDescent="0.2"/>
    <row r="47" spans="1:36" ht="6.75" customHeight="1" x14ac:dyDescent="0.2"/>
    <row r="48" spans="1:36" x14ac:dyDescent="0.2">
      <c r="A48" s="240"/>
      <c r="B48" s="240"/>
      <c r="C48" s="240"/>
      <c r="D48" s="240"/>
      <c r="E48" s="240"/>
      <c r="F48" s="240"/>
      <c r="G48" s="240"/>
      <c r="H48" s="240"/>
      <c r="I48" s="240"/>
      <c r="J48" s="240"/>
      <c r="K48" s="240"/>
      <c r="L48" s="240"/>
      <c r="M48" s="240"/>
      <c r="N48" s="240"/>
      <c r="O48" s="240"/>
      <c r="P48" s="240"/>
    </row>
    <row r="49" spans="1:36" x14ac:dyDescent="0.2">
      <c r="A49" s="240"/>
      <c r="B49" s="240"/>
      <c r="C49" s="240"/>
      <c r="D49" s="240"/>
      <c r="E49" s="240"/>
      <c r="F49" s="240"/>
      <c r="G49" s="240"/>
      <c r="H49" s="240"/>
      <c r="I49" s="240"/>
      <c r="J49" s="240"/>
      <c r="K49" s="240"/>
      <c r="L49" s="240"/>
      <c r="M49" s="240"/>
      <c r="N49" s="240"/>
      <c r="O49" s="240"/>
      <c r="P49" s="240"/>
    </row>
    <row r="50" spans="1:36" x14ac:dyDescent="0.2">
      <c r="A50" s="266"/>
      <c r="B50" s="266"/>
      <c r="C50" s="266"/>
      <c r="D50" s="266"/>
      <c r="E50" s="266"/>
      <c r="F50" s="266"/>
      <c r="G50" s="266"/>
      <c r="H50" s="266"/>
      <c r="I50" s="266"/>
      <c r="J50" s="266"/>
      <c r="K50" s="266"/>
      <c r="L50" s="266"/>
      <c r="M50" s="266"/>
      <c r="N50" s="266"/>
      <c r="O50" s="266"/>
      <c r="P50" s="266"/>
      <c r="R50" s="267">
        <f>IF(Data!B1658="",Data!B175,Data!B1658)</f>
        <v>0</v>
      </c>
      <c r="S50" s="267"/>
      <c r="T50" s="267"/>
      <c r="U50" s="267"/>
      <c r="V50" s="267"/>
      <c r="W50" s="267"/>
      <c r="X50" s="267"/>
      <c r="Y50" s="267"/>
      <c r="Z50" s="267"/>
      <c r="AA50" s="267"/>
      <c r="AB50" s="267"/>
      <c r="AC50" s="267"/>
      <c r="AD50" s="267"/>
      <c r="AE50" s="267"/>
    </row>
    <row r="51" spans="1:36" x14ac:dyDescent="0.2">
      <c r="A51" t="s">
        <v>2881</v>
      </c>
      <c r="R51" t="s">
        <v>1465</v>
      </c>
    </row>
    <row r="53" spans="1:36" x14ac:dyDescent="0.2">
      <c r="A53" s="370">
        <f>Data!B1649</f>
        <v>0</v>
      </c>
      <c r="B53" s="370"/>
      <c r="C53" s="370"/>
      <c r="D53" s="370"/>
      <c r="E53" s="370"/>
      <c r="F53" s="370"/>
      <c r="G53" s="370"/>
      <c r="H53" s="370"/>
      <c r="I53" s="370"/>
      <c r="J53" s="370"/>
      <c r="K53" s="370"/>
      <c r="L53" s="370"/>
      <c r="M53" s="370"/>
      <c r="N53" s="370"/>
      <c r="O53" s="370"/>
      <c r="P53" s="370"/>
      <c r="Q53" s="370"/>
      <c r="R53" s="370"/>
      <c r="S53" s="370"/>
      <c r="T53" s="370"/>
      <c r="U53" s="370"/>
      <c r="V53" s="370"/>
      <c r="W53" s="370"/>
      <c r="X53" s="370"/>
      <c r="Y53" s="370"/>
      <c r="Z53" s="370"/>
      <c r="AA53" s="370"/>
      <c r="AB53" s="370"/>
      <c r="AC53" s="370"/>
      <c r="AD53" s="370"/>
      <c r="AE53" s="370"/>
      <c r="AF53" s="370"/>
      <c r="AG53" s="370"/>
      <c r="AH53" s="370"/>
      <c r="AI53" s="370"/>
      <c r="AJ53" s="370"/>
    </row>
  </sheetData>
  <mergeCells count="119">
    <mergeCell ref="A2:AL2"/>
    <mergeCell ref="C36:AJ36"/>
    <mergeCell ref="F38:AJ40"/>
    <mergeCell ref="G41:AJ42"/>
    <mergeCell ref="A48:P50"/>
    <mergeCell ref="R50:AE50"/>
    <mergeCell ref="A35:B35"/>
    <mergeCell ref="A29:B29"/>
    <mergeCell ref="A30:B30"/>
    <mergeCell ref="A31:B31"/>
    <mergeCell ref="A32:B32"/>
    <mergeCell ref="A33:B33"/>
    <mergeCell ref="A34:B34"/>
    <mergeCell ref="C34:Q34"/>
    <mergeCell ref="C35:Q35"/>
    <mergeCell ref="A23:B23"/>
    <mergeCell ref="A24:B24"/>
    <mergeCell ref="A25:B25"/>
    <mergeCell ref="A26:B26"/>
    <mergeCell ref="A27:B27"/>
    <mergeCell ref="A28:B28"/>
    <mergeCell ref="A17:B17"/>
    <mergeCell ref="A18:B18"/>
    <mergeCell ref="A19:B19"/>
    <mergeCell ref="A20:B20"/>
    <mergeCell ref="A21:B21"/>
    <mergeCell ref="A22:B22"/>
    <mergeCell ref="A11:B11"/>
    <mergeCell ref="A12:B12"/>
    <mergeCell ref="A13:B13"/>
    <mergeCell ref="A14:B14"/>
    <mergeCell ref="A15:B15"/>
    <mergeCell ref="A16:B16"/>
    <mergeCell ref="R34:Y34"/>
    <mergeCell ref="R35:Y35"/>
    <mergeCell ref="R29:Y29"/>
    <mergeCell ref="R30:Y30"/>
    <mergeCell ref="R31:Y31"/>
    <mergeCell ref="R32:Y32"/>
    <mergeCell ref="R33:Y33"/>
    <mergeCell ref="Z30:AJ30"/>
    <mergeCell ref="C19:Q19"/>
    <mergeCell ref="Z31:AJ31"/>
    <mergeCell ref="Z32:AJ32"/>
    <mergeCell ref="Z33:AJ33"/>
    <mergeCell ref="C26:Q26"/>
    <mergeCell ref="C27:Q27"/>
    <mergeCell ref="C28:Q28"/>
    <mergeCell ref="C29:Q29"/>
    <mergeCell ref="C30:Q30"/>
    <mergeCell ref="C31:Q31"/>
    <mergeCell ref="C20:Q20"/>
    <mergeCell ref="C21:Q21"/>
    <mergeCell ref="C22:Q22"/>
    <mergeCell ref="C23:Q23"/>
    <mergeCell ref="C24:Q24"/>
    <mergeCell ref="C25:Q25"/>
    <mergeCell ref="Z34:AJ34"/>
    <mergeCell ref="Z35:AJ35"/>
    <mergeCell ref="Z24:AJ24"/>
    <mergeCell ref="Z25:AJ25"/>
    <mergeCell ref="Z26:AJ26"/>
    <mergeCell ref="Z27:AJ27"/>
    <mergeCell ref="Z28:AJ28"/>
    <mergeCell ref="Z29:AJ29"/>
    <mergeCell ref="Z19:AJ19"/>
    <mergeCell ref="Z20:AJ20"/>
    <mergeCell ref="Z21:AJ21"/>
    <mergeCell ref="Z22:AJ22"/>
    <mergeCell ref="Z23:AJ23"/>
    <mergeCell ref="R10:Y10"/>
    <mergeCell ref="R11:Y11"/>
    <mergeCell ref="R12:Y12"/>
    <mergeCell ref="R13:Y13"/>
    <mergeCell ref="R14:Y14"/>
    <mergeCell ref="R24:Y24"/>
    <mergeCell ref="R25:Y25"/>
    <mergeCell ref="C14:Q14"/>
    <mergeCell ref="C15:Q15"/>
    <mergeCell ref="R15:Y15"/>
    <mergeCell ref="Z16:AJ16"/>
    <mergeCell ref="Z17:AJ17"/>
    <mergeCell ref="C32:Q32"/>
    <mergeCell ref="C33:Q33"/>
    <mergeCell ref="R26:Y26"/>
    <mergeCell ref="R27:Y27"/>
    <mergeCell ref="R16:Y16"/>
    <mergeCell ref="R17:Y17"/>
    <mergeCell ref="R18:Y18"/>
    <mergeCell ref="R19:Y19"/>
    <mergeCell ref="R20:Y20"/>
    <mergeCell ref="R21:Y21"/>
    <mergeCell ref="R28:Y28"/>
    <mergeCell ref="R22:Y22"/>
    <mergeCell ref="R23:Y23"/>
    <mergeCell ref="A53:AJ53"/>
    <mergeCell ref="AD1:AK1"/>
    <mergeCell ref="E3:Z3"/>
    <mergeCell ref="AE3:AK3"/>
    <mergeCell ref="C16:Q16"/>
    <mergeCell ref="C17:Q17"/>
    <mergeCell ref="C18:Q18"/>
    <mergeCell ref="Z18:AJ18"/>
    <mergeCell ref="T5:AJ5"/>
    <mergeCell ref="T6:AJ6"/>
    <mergeCell ref="T7:AJ7"/>
    <mergeCell ref="F5:O5"/>
    <mergeCell ref="F6:O6"/>
    <mergeCell ref="F7:O7"/>
    <mergeCell ref="C10:Q10"/>
    <mergeCell ref="C11:Q11"/>
    <mergeCell ref="C12:Q12"/>
    <mergeCell ref="C13:Q13"/>
    <mergeCell ref="Z10:AJ10"/>
    <mergeCell ref="Z11:AJ11"/>
    <mergeCell ref="Z12:AJ12"/>
    <mergeCell ref="Z13:AJ13"/>
    <mergeCell ref="Z14:AJ14"/>
    <mergeCell ref="Z15:AJ15"/>
  </mergeCells>
  <pageMargins left="0.25" right="0.25" top="0.75" bottom="0.75" header="0.3" footer="0.3"/>
  <pageSetup orientation="portrait" verticalDpi="1200" r:id="rId1"/>
  <headerFooter>
    <oddHeader>&amp;L&amp;G&amp;RFull Client Diagnosis List</oddHeader>
    <oddFooter>&amp;C3088 Mercer University Drive Suite 100 Atlanta, GA 30341
678-310-6305 Fax 404-935-6110</oddFooter>
  </headerFooter>
  <legacyDrawingHF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5">
    <tabColor theme="4" tint="-0.249977111117893"/>
  </sheetPr>
  <dimension ref="A1:AK53"/>
  <sheetViews>
    <sheetView showZeros="0" view="pageLayout" topLeftCell="A16" zoomScaleNormal="100" workbookViewId="0">
      <selection activeCell="A53" sqref="A53:AJ53"/>
    </sheetView>
  </sheetViews>
  <sheetFormatPr defaultColWidth="2.7109375" defaultRowHeight="12.75" x14ac:dyDescent="0.2"/>
  <sheetData>
    <row r="1" spans="1:37" x14ac:dyDescent="0.2">
      <c r="A1" t="str">
        <f>IF(DxListFull!A27&lt;&gt;"","Page 2 of 2","")</f>
        <v/>
      </c>
      <c r="Y1" t="s">
        <v>3222</v>
      </c>
      <c r="AD1" s="306" t="str">
        <f>IF(Data!B1653="",TEXT(Data!B34,"mm/dd/yyyy"),Data!B1653)</f>
        <v>01/00/1900</v>
      </c>
      <c r="AE1" s="306"/>
      <c r="AF1" s="306"/>
      <c r="AG1" s="306"/>
      <c r="AH1" s="306"/>
      <c r="AI1" s="306"/>
      <c r="AJ1" s="306"/>
    </row>
    <row r="2" spans="1:37" x14ac:dyDescent="0.2">
      <c r="A2" t="s">
        <v>336</v>
      </c>
      <c r="E2" s="233" t="str">
        <f>_xlfn.CONCAT(Data!B2,", ",Data!B3," ",Data!B4)</f>
        <v xml:space="preserve">,  </v>
      </c>
      <c r="F2" s="233"/>
      <c r="G2" s="233"/>
      <c r="H2" s="233"/>
      <c r="I2" s="233"/>
      <c r="J2" s="233"/>
      <c r="K2" s="233"/>
      <c r="L2" s="233"/>
      <c r="M2" s="233"/>
      <c r="N2" s="233"/>
      <c r="O2" s="233"/>
      <c r="P2" s="233"/>
      <c r="Q2" s="233"/>
      <c r="R2" s="233"/>
      <c r="S2" s="233"/>
      <c r="T2" s="233"/>
      <c r="U2" s="233"/>
      <c r="V2" s="233"/>
      <c r="W2" s="233"/>
      <c r="X2" s="233"/>
      <c r="Y2" s="233"/>
      <c r="Z2" s="233"/>
      <c r="AA2" t="s">
        <v>337</v>
      </c>
      <c r="AE2" s="218">
        <f>Data!B14</f>
        <v>0</v>
      </c>
      <c r="AF2" s="219"/>
      <c r="AG2" s="219"/>
      <c r="AH2" s="219"/>
      <c r="AI2" s="219"/>
      <c r="AJ2" s="219"/>
      <c r="AK2" s="219"/>
    </row>
    <row r="4" spans="1:37" x14ac:dyDescent="0.2">
      <c r="A4" t="s">
        <v>1048</v>
      </c>
      <c r="F4" s="338" t="str">
        <f>IF(DxListFull!A2="","N/A",DxListFull!A2&amp;" ("&amp;DxListFull!B2&amp;")")</f>
        <v>N/A</v>
      </c>
      <c r="G4" s="338"/>
      <c r="H4" s="338"/>
      <c r="I4" s="338"/>
      <c r="J4" s="338"/>
      <c r="K4" s="338"/>
      <c r="L4" s="338"/>
      <c r="M4" s="338"/>
      <c r="N4" s="338"/>
      <c r="O4" s="338"/>
      <c r="P4" t="s">
        <v>1051</v>
      </c>
      <c r="T4" s="338" t="str">
        <f>IF(DxListFull!D2="","N/A",DxListFull!D2)</f>
        <v>N/A</v>
      </c>
      <c r="U4" s="338"/>
      <c r="V4" s="338"/>
      <c r="W4" s="338"/>
      <c r="X4" s="338"/>
      <c r="Y4" s="338"/>
      <c r="Z4" s="338"/>
      <c r="AA4" s="338"/>
      <c r="AB4" s="338"/>
      <c r="AC4" s="338"/>
      <c r="AD4" s="338"/>
      <c r="AE4" s="338"/>
      <c r="AF4" s="338"/>
      <c r="AG4" s="338"/>
      <c r="AH4" s="338"/>
      <c r="AI4" s="338"/>
      <c r="AJ4" s="338"/>
    </row>
    <row r="5" spans="1:37" x14ac:dyDescent="0.2">
      <c r="A5" t="s">
        <v>1049</v>
      </c>
      <c r="F5" s="338" t="str">
        <f>IF(DxListFull!A3="","N/A",DxListFull!A3&amp;" ("&amp;DxListFull!B3&amp;")")</f>
        <v>N/A</v>
      </c>
      <c r="G5" s="338"/>
      <c r="H5" s="338"/>
      <c r="I5" s="338"/>
      <c r="J5" s="338"/>
      <c r="K5" s="338"/>
      <c r="L5" s="338"/>
      <c r="M5" s="338"/>
      <c r="N5" s="338"/>
      <c r="O5" s="338"/>
      <c r="P5" t="s">
        <v>1051</v>
      </c>
      <c r="T5" s="338" t="str">
        <f>IF(DxListFull!D3="","N/A",DxListFull!D3)</f>
        <v>N/A</v>
      </c>
      <c r="U5" s="338"/>
      <c r="V5" s="338"/>
      <c r="W5" s="338"/>
      <c r="X5" s="338"/>
      <c r="Y5" s="338"/>
      <c r="Z5" s="338"/>
      <c r="AA5" s="338"/>
      <c r="AB5" s="338"/>
      <c r="AC5" s="338"/>
      <c r="AD5" s="338"/>
      <c r="AE5" s="338"/>
      <c r="AF5" s="338"/>
      <c r="AG5" s="338"/>
      <c r="AH5" s="338"/>
      <c r="AI5" s="338"/>
      <c r="AJ5" s="338"/>
    </row>
    <row r="6" spans="1:37" x14ac:dyDescent="0.2">
      <c r="A6" t="s">
        <v>1050</v>
      </c>
      <c r="F6" s="338" t="str">
        <f>IF(DxListFull!A4="","N/A",DxListFull!A4&amp;" ("&amp;DxListFull!B4&amp;")")</f>
        <v>N/A</v>
      </c>
      <c r="G6" s="338"/>
      <c r="H6" s="338"/>
      <c r="I6" s="338"/>
      <c r="J6" s="338"/>
      <c r="K6" s="338"/>
      <c r="L6" s="338"/>
      <c r="M6" s="338"/>
      <c r="N6" s="338"/>
      <c r="O6" s="338"/>
      <c r="P6" t="s">
        <v>1051</v>
      </c>
      <c r="T6" s="338" t="str">
        <f>IF(DxListFull!D4="","N/A",DxListFull!D4)</f>
        <v>N/A</v>
      </c>
      <c r="U6" s="338"/>
      <c r="V6" s="338"/>
      <c r="W6" s="338"/>
      <c r="X6" s="338"/>
      <c r="Y6" s="338"/>
      <c r="Z6" s="338"/>
      <c r="AA6" s="338"/>
      <c r="AB6" s="338"/>
      <c r="AC6" s="338"/>
      <c r="AD6" s="338"/>
      <c r="AE6" s="338"/>
      <c r="AF6" s="338"/>
      <c r="AG6" s="338"/>
      <c r="AH6" s="338"/>
      <c r="AI6" s="338"/>
      <c r="AJ6" s="338"/>
    </row>
    <row r="9" spans="1:37" x14ac:dyDescent="0.2">
      <c r="C9" s="254" t="s">
        <v>2907</v>
      </c>
      <c r="D9" s="254"/>
      <c r="E9" s="254"/>
      <c r="F9" s="254"/>
      <c r="G9" s="254"/>
      <c r="H9" s="254"/>
      <c r="I9" s="254"/>
      <c r="J9" s="254"/>
      <c r="K9" s="254"/>
      <c r="L9" s="254"/>
      <c r="M9" s="254"/>
      <c r="N9" s="254"/>
      <c r="O9" s="254"/>
      <c r="P9" s="254"/>
      <c r="Q9" s="254"/>
      <c r="R9" s="254" t="s">
        <v>2908</v>
      </c>
      <c r="S9" s="254"/>
      <c r="T9" s="254"/>
      <c r="U9" s="254"/>
      <c r="V9" s="254"/>
      <c r="W9" s="254"/>
      <c r="X9" s="254"/>
      <c r="Y9" s="254"/>
      <c r="Z9" s="254" t="s">
        <v>2909</v>
      </c>
      <c r="AA9" s="254"/>
      <c r="AB9" s="254"/>
      <c r="AC9" s="254"/>
      <c r="AD9" s="254"/>
      <c r="AE9" s="254"/>
      <c r="AF9" s="254"/>
      <c r="AG9" s="254"/>
      <c r="AH9" s="254"/>
      <c r="AI9" s="254"/>
      <c r="AJ9" s="254"/>
    </row>
    <row r="10" spans="1:37" x14ac:dyDescent="0.2">
      <c r="A10" s="240">
        <v>26</v>
      </c>
      <c r="B10" s="373"/>
      <c r="C10" s="371">
        <f>DxListFull!A27</f>
        <v>0</v>
      </c>
      <c r="D10" s="371"/>
      <c r="E10" s="371"/>
      <c r="F10" s="371"/>
      <c r="G10" s="371"/>
      <c r="H10" s="371"/>
      <c r="I10" s="371"/>
      <c r="J10" s="371"/>
      <c r="K10" s="371"/>
      <c r="L10" s="371"/>
      <c r="M10" s="371"/>
      <c r="N10" s="371"/>
      <c r="O10" s="371"/>
      <c r="P10" s="371"/>
      <c r="Q10" s="371"/>
      <c r="R10" s="372">
        <f>DxListFull!B27</f>
        <v>0</v>
      </c>
      <c r="S10" s="372"/>
      <c r="T10" s="372"/>
      <c r="U10" s="372"/>
      <c r="V10" s="372"/>
      <c r="W10" s="372"/>
      <c r="X10" s="372"/>
      <c r="Y10" s="372"/>
      <c r="Z10" s="372">
        <f>DxListFull!C27</f>
        <v>0</v>
      </c>
      <c r="AA10" s="372"/>
      <c r="AB10" s="372"/>
      <c r="AC10" s="372"/>
      <c r="AD10" s="372"/>
      <c r="AE10" s="372"/>
      <c r="AF10" s="372"/>
      <c r="AG10" s="372"/>
      <c r="AH10" s="372"/>
      <c r="AI10" s="372"/>
      <c r="AJ10" s="372"/>
    </row>
    <row r="11" spans="1:37" x14ac:dyDescent="0.2">
      <c r="A11" s="240">
        <v>27</v>
      </c>
      <c r="B11" s="373"/>
      <c r="C11" s="371">
        <f>DxListFull!A28</f>
        <v>0</v>
      </c>
      <c r="D11" s="371"/>
      <c r="E11" s="371"/>
      <c r="F11" s="371"/>
      <c r="G11" s="371"/>
      <c r="H11" s="371"/>
      <c r="I11" s="371"/>
      <c r="J11" s="371"/>
      <c r="K11" s="371"/>
      <c r="L11" s="371"/>
      <c r="M11" s="371"/>
      <c r="N11" s="371"/>
      <c r="O11" s="371"/>
      <c r="P11" s="371"/>
      <c r="Q11" s="371"/>
      <c r="R11" s="372">
        <f>DxListFull!B28</f>
        <v>0</v>
      </c>
      <c r="S11" s="372"/>
      <c r="T11" s="372"/>
      <c r="U11" s="372"/>
      <c r="V11" s="372"/>
      <c r="W11" s="372"/>
      <c r="X11" s="372"/>
      <c r="Y11" s="372"/>
      <c r="Z11" s="372">
        <f>DxListFull!C28</f>
        <v>0</v>
      </c>
      <c r="AA11" s="372"/>
      <c r="AB11" s="372"/>
      <c r="AC11" s="372"/>
      <c r="AD11" s="372"/>
      <c r="AE11" s="372"/>
      <c r="AF11" s="372"/>
      <c r="AG11" s="372"/>
      <c r="AH11" s="372"/>
      <c r="AI11" s="372"/>
      <c r="AJ11" s="372"/>
    </row>
    <row r="12" spans="1:37" x14ac:dyDescent="0.2">
      <c r="A12" s="240">
        <v>28</v>
      </c>
      <c r="B12" s="373"/>
      <c r="C12" s="371">
        <f>DxListFull!A29</f>
        <v>0</v>
      </c>
      <c r="D12" s="371"/>
      <c r="E12" s="371"/>
      <c r="F12" s="371"/>
      <c r="G12" s="371"/>
      <c r="H12" s="371"/>
      <c r="I12" s="371"/>
      <c r="J12" s="371"/>
      <c r="K12" s="371"/>
      <c r="L12" s="371"/>
      <c r="M12" s="371"/>
      <c r="N12" s="371"/>
      <c r="O12" s="371"/>
      <c r="P12" s="371"/>
      <c r="Q12" s="371"/>
      <c r="R12" s="372">
        <f>DxListFull!B29</f>
        <v>0</v>
      </c>
      <c r="S12" s="372"/>
      <c r="T12" s="372"/>
      <c r="U12" s="372"/>
      <c r="V12" s="372"/>
      <c r="W12" s="372"/>
      <c r="X12" s="372"/>
      <c r="Y12" s="372"/>
      <c r="Z12" s="372">
        <f>DxListFull!C29</f>
        <v>0</v>
      </c>
      <c r="AA12" s="372"/>
      <c r="AB12" s="372"/>
      <c r="AC12" s="372"/>
      <c r="AD12" s="372"/>
      <c r="AE12" s="372"/>
      <c r="AF12" s="372"/>
      <c r="AG12" s="372"/>
      <c r="AH12" s="372"/>
      <c r="AI12" s="372"/>
      <c r="AJ12" s="372"/>
    </row>
    <row r="13" spans="1:37" x14ac:dyDescent="0.2">
      <c r="A13" s="373">
        <v>29</v>
      </c>
      <c r="B13" s="373"/>
      <c r="C13" s="371">
        <f>DxListFull!A30</f>
        <v>0</v>
      </c>
      <c r="D13" s="371"/>
      <c r="E13" s="371"/>
      <c r="F13" s="371"/>
      <c r="G13" s="371"/>
      <c r="H13" s="371"/>
      <c r="I13" s="371"/>
      <c r="J13" s="371"/>
      <c r="K13" s="371"/>
      <c r="L13" s="371"/>
      <c r="M13" s="371"/>
      <c r="N13" s="371"/>
      <c r="O13" s="371"/>
      <c r="P13" s="371"/>
      <c r="Q13" s="371"/>
      <c r="R13" s="372">
        <f>DxListFull!B30</f>
        <v>0</v>
      </c>
      <c r="S13" s="372"/>
      <c r="T13" s="372"/>
      <c r="U13" s="372"/>
      <c r="V13" s="372"/>
      <c r="W13" s="372"/>
      <c r="X13" s="372"/>
      <c r="Y13" s="372"/>
      <c r="Z13" s="372">
        <f>DxListFull!C30</f>
        <v>0</v>
      </c>
      <c r="AA13" s="372"/>
      <c r="AB13" s="372"/>
      <c r="AC13" s="372"/>
      <c r="AD13" s="372"/>
      <c r="AE13" s="372"/>
      <c r="AF13" s="372"/>
      <c r="AG13" s="372"/>
      <c r="AH13" s="372"/>
      <c r="AI13" s="372"/>
      <c r="AJ13" s="372"/>
    </row>
    <row r="14" spans="1:37" x14ac:dyDescent="0.2">
      <c r="A14" s="373">
        <v>30</v>
      </c>
      <c r="B14" s="373"/>
      <c r="C14" s="371">
        <f>DxListFull!A31</f>
        <v>0</v>
      </c>
      <c r="D14" s="371"/>
      <c r="E14" s="371"/>
      <c r="F14" s="371"/>
      <c r="G14" s="371"/>
      <c r="H14" s="371"/>
      <c r="I14" s="371"/>
      <c r="J14" s="371"/>
      <c r="K14" s="371"/>
      <c r="L14" s="371"/>
      <c r="M14" s="371"/>
      <c r="N14" s="371"/>
      <c r="O14" s="371"/>
      <c r="P14" s="371"/>
      <c r="Q14" s="371"/>
      <c r="R14" s="372">
        <f>DxListFull!B31</f>
        <v>0</v>
      </c>
      <c r="S14" s="372"/>
      <c r="T14" s="372"/>
      <c r="U14" s="372"/>
      <c r="V14" s="372"/>
      <c r="W14" s="372"/>
      <c r="X14" s="372"/>
      <c r="Y14" s="372"/>
      <c r="Z14" s="372">
        <f>DxListFull!C31</f>
        <v>0</v>
      </c>
      <c r="AA14" s="372"/>
      <c r="AB14" s="372"/>
      <c r="AC14" s="372"/>
      <c r="AD14" s="372"/>
      <c r="AE14" s="372"/>
      <c r="AF14" s="372"/>
      <c r="AG14" s="372"/>
      <c r="AH14" s="372"/>
      <c r="AI14" s="372"/>
      <c r="AJ14" s="372"/>
    </row>
    <row r="15" spans="1:37" x14ac:dyDescent="0.2">
      <c r="A15" s="373">
        <v>31</v>
      </c>
      <c r="B15" s="373"/>
      <c r="C15" s="371">
        <f>DxListFull!A32</f>
        <v>0</v>
      </c>
      <c r="D15" s="371"/>
      <c r="E15" s="371"/>
      <c r="F15" s="371"/>
      <c r="G15" s="371"/>
      <c r="H15" s="371"/>
      <c r="I15" s="371"/>
      <c r="J15" s="371"/>
      <c r="K15" s="371"/>
      <c r="L15" s="371"/>
      <c r="M15" s="371"/>
      <c r="N15" s="371"/>
      <c r="O15" s="371"/>
      <c r="P15" s="371"/>
      <c r="Q15" s="371"/>
      <c r="R15" s="372">
        <f>DxListFull!B32</f>
        <v>0</v>
      </c>
      <c r="S15" s="372"/>
      <c r="T15" s="372"/>
      <c r="U15" s="372"/>
      <c r="V15" s="372"/>
      <c r="W15" s="372"/>
      <c r="X15" s="372"/>
      <c r="Y15" s="372"/>
      <c r="Z15" s="372">
        <f>DxListFull!C32</f>
        <v>0</v>
      </c>
      <c r="AA15" s="372"/>
      <c r="AB15" s="372"/>
      <c r="AC15" s="372"/>
      <c r="AD15" s="372"/>
      <c r="AE15" s="372"/>
      <c r="AF15" s="372"/>
      <c r="AG15" s="372"/>
      <c r="AH15" s="372"/>
      <c r="AI15" s="372"/>
      <c r="AJ15" s="372"/>
    </row>
    <row r="16" spans="1:37" x14ac:dyDescent="0.2">
      <c r="A16" s="373">
        <v>32</v>
      </c>
      <c r="B16" s="373"/>
      <c r="C16" s="371">
        <f>DxListFull!A33</f>
        <v>0</v>
      </c>
      <c r="D16" s="371"/>
      <c r="E16" s="371"/>
      <c r="F16" s="371"/>
      <c r="G16" s="371"/>
      <c r="H16" s="371"/>
      <c r="I16" s="371"/>
      <c r="J16" s="371"/>
      <c r="K16" s="371"/>
      <c r="L16" s="371"/>
      <c r="M16" s="371"/>
      <c r="N16" s="371"/>
      <c r="O16" s="371"/>
      <c r="P16" s="371"/>
      <c r="Q16" s="371"/>
      <c r="R16" s="372">
        <f>DxListFull!B33</f>
        <v>0</v>
      </c>
      <c r="S16" s="372"/>
      <c r="T16" s="372"/>
      <c r="U16" s="372"/>
      <c r="V16" s="372"/>
      <c r="W16" s="372"/>
      <c r="X16" s="372"/>
      <c r="Y16" s="372"/>
      <c r="Z16" s="372">
        <f>DxListFull!C33</f>
        <v>0</v>
      </c>
      <c r="AA16" s="372"/>
      <c r="AB16" s="372"/>
      <c r="AC16" s="372"/>
      <c r="AD16" s="372"/>
      <c r="AE16" s="372"/>
      <c r="AF16" s="372"/>
      <c r="AG16" s="372"/>
      <c r="AH16" s="372"/>
      <c r="AI16" s="372"/>
      <c r="AJ16" s="372"/>
    </row>
    <row r="17" spans="1:36" x14ac:dyDescent="0.2">
      <c r="A17" s="240">
        <v>33</v>
      </c>
      <c r="B17" s="240"/>
      <c r="C17" s="371">
        <f>DxListFull!A34</f>
        <v>0</v>
      </c>
      <c r="D17" s="371"/>
      <c r="E17" s="371"/>
      <c r="F17" s="371"/>
      <c r="G17" s="371"/>
      <c r="H17" s="371"/>
      <c r="I17" s="371"/>
      <c r="J17" s="371"/>
      <c r="K17" s="371"/>
      <c r="L17" s="371"/>
      <c r="M17" s="371"/>
      <c r="N17" s="371"/>
      <c r="O17" s="371"/>
      <c r="P17" s="371"/>
      <c r="Q17" s="371"/>
      <c r="R17" s="372">
        <f>DxListFull!B34</f>
        <v>0</v>
      </c>
      <c r="S17" s="372"/>
      <c r="T17" s="372"/>
      <c r="U17" s="372"/>
      <c r="V17" s="372"/>
      <c r="W17" s="372"/>
      <c r="X17" s="372"/>
      <c r="Y17" s="372"/>
      <c r="Z17" s="372">
        <f>DxListFull!C34</f>
        <v>0</v>
      </c>
      <c r="AA17" s="372"/>
      <c r="AB17" s="372"/>
      <c r="AC17" s="372"/>
      <c r="AD17" s="372"/>
      <c r="AE17" s="372"/>
      <c r="AF17" s="372"/>
      <c r="AG17" s="372"/>
      <c r="AH17" s="372"/>
      <c r="AI17" s="372"/>
      <c r="AJ17" s="372"/>
    </row>
    <row r="18" spans="1:36" x14ac:dyDescent="0.2">
      <c r="A18" s="240">
        <v>34</v>
      </c>
      <c r="B18" s="240"/>
      <c r="C18" s="371">
        <f>DxListFull!A35</f>
        <v>0</v>
      </c>
      <c r="D18" s="371"/>
      <c r="E18" s="371"/>
      <c r="F18" s="371"/>
      <c r="G18" s="371"/>
      <c r="H18" s="371"/>
      <c r="I18" s="371"/>
      <c r="J18" s="371"/>
      <c r="K18" s="371"/>
      <c r="L18" s="371"/>
      <c r="M18" s="371"/>
      <c r="N18" s="371"/>
      <c r="O18" s="371"/>
      <c r="P18" s="371"/>
      <c r="Q18" s="371"/>
      <c r="R18" s="372">
        <f>DxListFull!B35</f>
        <v>0</v>
      </c>
      <c r="S18" s="372"/>
      <c r="T18" s="372"/>
      <c r="U18" s="372"/>
      <c r="V18" s="372"/>
      <c r="W18" s="372"/>
      <c r="X18" s="372"/>
      <c r="Y18" s="372"/>
      <c r="Z18" s="372">
        <f>DxListFull!C35</f>
        <v>0</v>
      </c>
      <c r="AA18" s="372"/>
      <c r="AB18" s="372"/>
      <c r="AC18" s="372"/>
      <c r="AD18" s="372"/>
      <c r="AE18" s="372"/>
      <c r="AF18" s="372"/>
      <c r="AG18" s="372"/>
      <c r="AH18" s="372"/>
      <c r="AI18" s="372"/>
      <c r="AJ18" s="372"/>
    </row>
    <row r="19" spans="1:36" x14ac:dyDescent="0.2">
      <c r="A19" s="240">
        <v>35</v>
      </c>
      <c r="B19" s="240"/>
      <c r="C19" s="371">
        <f>DxListFull!A36</f>
        <v>0</v>
      </c>
      <c r="D19" s="371"/>
      <c r="E19" s="371"/>
      <c r="F19" s="371"/>
      <c r="G19" s="371"/>
      <c r="H19" s="371"/>
      <c r="I19" s="371"/>
      <c r="J19" s="371"/>
      <c r="K19" s="371"/>
      <c r="L19" s="371"/>
      <c r="M19" s="371"/>
      <c r="N19" s="371"/>
      <c r="O19" s="371"/>
      <c r="P19" s="371"/>
      <c r="Q19" s="371"/>
      <c r="R19" s="372">
        <f>DxListFull!B36</f>
        <v>0</v>
      </c>
      <c r="S19" s="372"/>
      <c r="T19" s="372"/>
      <c r="U19" s="372"/>
      <c r="V19" s="372"/>
      <c r="W19" s="372"/>
      <c r="X19" s="372"/>
      <c r="Y19" s="372"/>
      <c r="Z19" s="372">
        <f>DxListFull!C36</f>
        <v>0</v>
      </c>
      <c r="AA19" s="372"/>
      <c r="AB19" s="372"/>
      <c r="AC19" s="372"/>
      <c r="AD19" s="372"/>
      <c r="AE19" s="372"/>
      <c r="AF19" s="372"/>
      <c r="AG19" s="372"/>
      <c r="AH19" s="372"/>
      <c r="AI19" s="372"/>
      <c r="AJ19" s="372"/>
    </row>
    <row r="20" spans="1:36" x14ac:dyDescent="0.2">
      <c r="A20" s="240">
        <v>36</v>
      </c>
      <c r="B20" s="240"/>
      <c r="C20" s="371">
        <f>DxListFull!A37</f>
        <v>0</v>
      </c>
      <c r="D20" s="371"/>
      <c r="E20" s="371"/>
      <c r="F20" s="371"/>
      <c r="G20" s="371"/>
      <c r="H20" s="371"/>
      <c r="I20" s="371"/>
      <c r="J20" s="371"/>
      <c r="K20" s="371"/>
      <c r="L20" s="371"/>
      <c r="M20" s="371"/>
      <c r="N20" s="371"/>
      <c r="O20" s="371"/>
      <c r="P20" s="371"/>
      <c r="Q20" s="371"/>
      <c r="R20" s="372">
        <f>DxListFull!B37</f>
        <v>0</v>
      </c>
      <c r="S20" s="372"/>
      <c r="T20" s="372"/>
      <c r="U20" s="372"/>
      <c r="V20" s="372"/>
      <c r="W20" s="372"/>
      <c r="X20" s="372"/>
      <c r="Y20" s="372"/>
      <c r="Z20" s="372">
        <f>DxListFull!C37</f>
        <v>0</v>
      </c>
      <c r="AA20" s="372"/>
      <c r="AB20" s="372"/>
      <c r="AC20" s="372"/>
      <c r="AD20" s="372"/>
      <c r="AE20" s="372"/>
      <c r="AF20" s="372"/>
      <c r="AG20" s="372"/>
      <c r="AH20" s="372"/>
      <c r="AI20" s="372"/>
      <c r="AJ20" s="372"/>
    </row>
    <row r="21" spans="1:36" x14ac:dyDescent="0.2">
      <c r="A21" s="240">
        <v>37</v>
      </c>
      <c r="B21" s="240"/>
      <c r="C21" s="371">
        <f>DxListFull!A38</f>
        <v>0</v>
      </c>
      <c r="D21" s="371"/>
      <c r="E21" s="371"/>
      <c r="F21" s="371"/>
      <c r="G21" s="371"/>
      <c r="H21" s="371"/>
      <c r="I21" s="371"/>
      <c r="J21" s="371"/>
      <c r="K21" s="371"/>
      <c r="L21" s="371"/>
      <c r="M21" s="371"/>
      <c r="N21" s="371"/>
      <c r="O21" s="371"/>
      <c r="P21" s="371"/>
      <c r="Q21" s="371"/>
      <c r="R21" s="372">
        <f>DxListFull!B38</f>
        <v>0</v>
      </c>
      <c r="S21" s="372"/>
      <c r="T21" s="372"/>
      <c r="U21" s="372"/>
      <c r="V21" s="372"/>
      <c r="W21" s="372"/>
      <c r="X21" s="372"/>
      <c r="Y21" s="372"/>
      <c r="Z21" s="372">
        <f>DxListFull!C38</f>
        <v>0</v>
      </c>
      <c r="AA21" s="372"/>
      <c r="AB21" s="372"/>
      <c r="AC21" s="372"/>
      <c r="AD21" s="372"/>
      <c r="AE21" s="372"/>
      <c r="AF21" s="372"/>
      <c r="AG21" s="372"/>
      <c r="AH21" s="372"/>
      <c r="AI21" s="372"/>
      <c r="AJ21" s="372"/>
    </row>
    <row r="22" spans="1:36" x14ac:dyDescent="0.2">
      <c r="A22" s="240">
        <v>38</v>
      </c>
      <c r="B22" s="240"/>
      <c r="C22" s="371">
        <f>DxListFull!A39</f>
        <v>0</v>
      </c>
      <c r="D22" s="371"/>
      <c r="E22" s="371"/>
      <c r="F22" s="371"/>
      <c r="G22" s="371"/>
      <c r="H22" s="371"/>
      <c r="I22" s="371"/>
      <c r="J22" s="371"/>
      <c r="K22" s="371"/>
      <c r="L22" s="371"/>
      <c r="M22" s="371"/>
      <c r="N22" s="371"/>
      <c r="O22" s="371"/>
      <c r="P22" s="371"/>
      <c r="Q22" s="371"/>
      <c r="R22" s="372">
        <f>DxListFull!B39</f>
        <v>0</v>
      </c>
      <c r="S22" s="372"/>
      <c r="T22" s="372"/>
      <c r="U22" s="372"/>
      <c r="V22" s="372"/>
      <c r="W22" s="372"/>
      <c r="X22" s="372"/>
      <c r="Y22" s="372"/>
      <c r="Z22" s="372">
        <f>DxListFull!C39</f>
        <v>0</v>
      </c>
      <c r="AA22" s="372"/>
      <c r="AB22" s="372"/>
      <c r="AC22" s="372"/>
      <c r="AD22" s="372"/>
      <c r="AE22" s="372"/>
      <c r="AF22" s="372"/>
      <c r="AG22" s="372"/>
      <c r="AH22" s="372"/>
      <c r="AI22" s="372"/>
      <c r="AJ22" s="372"/>
    </row>
    <row r="23" spans="1:36" x14ac:dyDescent="0.2">
      <c r="A23" s="240">
        <v>39</v>
      </c>
      <c r="B23" s="240"/>
      <c r="C23" s="371">
        <f>DxListFull!A40</f>
        <v>0</v>
      </c>
      <c r="D23" s="371"/>
      <c r="E23" s="371"/>
      <c r="F23" s="371"/>
      <c r="G23" s="371"/>
      <c r="H23" s="371"/>
      <c r="I23" s="371"/>
      <c r="J23" s="371"/>
      <c r="K23" s="371"/>
      <c r="L23" s="371"/>
      <c r="M23" s="371"/>
      <c r="N23" s="371"/>
      <c r="O23" s="371"/>
      <c r="P23" s="371"/>
      <c r="Q23" s="371"/>
      <c r="R23" s="372">
        <f>DxListFull!B40</f>
        <v>0</v>
      </c>
      <c r="S23" s="372"/>
      <c r="T23" s="372"/>
      <c r="U23" s="372"/>
      <c r="V23" s="372"/>
      <c r="W23" s="372"/>
      <c r="X23" s="372"/>
      <c r="Y23" s="372"/>
      <c r="Z23" s="372">
        <f>DxListFull!C40</f>
        <v>0</v>
      </c>
      <c r="AA23" s="372"/>
      <c r="AB23" s="372"/>
      <c r="AC23" s="372"/>
      <c r="AD23" s="372"/>
      <c r="AE23" s="372"/>
      <c r="AF23" s="372"/>
      <c r="AG23" s="372"/>
      <c r="AH23" s="372"/>
      <c r="AI23" s="372"/>
      <c r="AJ23" s="372"/>
    </row>
    <row r="24" spans="1:36" x14ac:dyDescent="0.2">
      <c r="A24" s="240">
        <v>40</v>
      </c>
      <c r="B24" s="240"/>
      <c r="C24" s="371">
        <f>DxListFull!A41</f>
        <v>0</v>
      </c>
      <c r="D24" s="371"/>
      <c r="E24" s="371"/>
      <c r="F24" s="371"/>
      <c r="G24" s="371"/>
      <c r="H24" s="371"/>
      <c r="I24" s="371"/>
      <c r="J24" s="371"/>
      <c r="K24" s="371"/>
      <c r="L24" s="371"/>
      <c r="M24" s="371"/>
      <c r="N24" s="371"/>
      <c r="O24" s="371"/>
      <c r="P24" s="371"/>
      <c r="Q24" s="371"/>
      <c r="R24" s="372">
        <f>DxListFull!B41</f>
        <v>0</v>
      </c>
      <c r="S24" s="372"/>
      <c r="T24" s="372"/>
      <c r="U24" s="372"/>
      <c r="V24" s="372"/>
      <c r="W24" s="372"/>
      <c r="X24" s="372"/>
      <c r="Y24" s="372"/>
      <c r="Z24" s="372">
        <f>DxListFull!C41</f>
        <v>0</v>
      </c>
      <c r="AA24" s="372"/>
      <c r="AB24" s="372"/>
      <c r="AC24" s="372"/>
      <c r="AD24" s="372"/>
      <c r="AE24" s="372"/>
      <c r="AF24" s="372"/>
      <c r="AG24" s="372"/>
      <c r="AH24" s="372"/>
      <c r="AI24" s="372"/>
      <c r="AJ24" s="372"/>
    </row>
    <row r="25" spans="1:36" x14ac:dyDescent="0.2">
      <c r="A25" s="240">
        <v>41</v>
      </c>
      <c r="B25" s="240"/>
      <c r="C25" s="371">
        <f>DxListFull!A42</f>
        <v>0</v>
      </c>
      <c r="D25" s="371"/>
      <c r="E25" s="371"/>
      <c r="F25" s="371"/>
      <c r="G25" s="371"/>
      <c r="H25" s="371"/>
      <c r="I25" s="371"/>
      <c r="J25" s="371"/>
      <c r="K25" s="371"/>
      <c r="L25" s="371"/>
      <c r="M25" s="371"/>
      <c r="N25" s="371"/>
      <c r="O25" s="371"/>
      <c r="P25" s="371"/>
      <c r="Q25" s="371"/>
      <c r="R25" s="372">
        <f>DxListFull!B42</f>
        <v>0</v>
      </c>
      <c r="S25" s="372"/>
      <c r="T25" s="372"/>
      <c r="U25" s="372"/>
      <c r="V25" s="372"/>
      <c r="W25" s="372"/>
      <c r="X25" s="372"/>
      <c r="Y25" s="372"/>
      <c r="Z25" s="372">
        <f>DxListFull!C42</f>
        <v>0</v>
      </c>
      <c r="AA25" s="372"/>
      <c r="AB25" s="372"/>
      <c r="AC25" s="372"/>
      <c r="AD25" s="372"/>
      <c r="AE25" s="372"/>
      <c r="AF25" s="372"/>
      <c r="AG25" s="372"/>
      <c r="AH25" s="372"/>
      <c r="AI25" s="372"/>
      <c r="AJ25" s="372"/>
    </row>
    <row r="26" spans="1:36" x14ac:dyDescent="0.2">
      <c r="A26" s="240">
        <v>42</v>
      </c>
      <c r="B26" s="240"/>
      <c r="C26" s="371">
        <f>DxListFull!A43</f>
        <v>0</v>
      </c>
      <c r="D26" s="371"/>
      <c r="E26" s="371"/>
      <c r="F26" s="371"/>
      <c r="G26" s="371"/>
      <c r="H26" s="371"/>
      <c r="I26" s="371"/>
      <c r="J26" s="371"/>
      <c r="K26" s="371"/>
      <c r="L26" s="371"/>
      <c r="M26" s="371"/>
      <c r="N26" s="371"/>
      <c r="O26" s="371"/>
      <c r="P26" s="371"/>
      <c r="Q26" s="371"/>
      <c r="R26" s="372">
        <f>DxListFull!B43</f>
        <v>0</v>
      </c>
      <c r="S26" s="372"/>
      <c r="T26" s="372"/>
      <c r="U26" s="372"/>
      <c r="V26" s="372"/>
      <c r="W26" s="372"/>
      <c r="X26" s="372"/>
      <c r="Y26" s="372"/>
      <c r="Z26" s="372">
        <f>DxListFull!C43</f>
        <v>0</v>
      </c>
      <c r="AA26" s="372"/>
      <c r="AB26" s="372"/>
      <c r="AC26" s="372"/>
      <c r="AD26" s="372"/>
      <c r="AE26" s="372"/>
      <c r="AF26" s="372"/>
      <c r="AG26" s="372"/>
      <c r="AH26" s="372"/>
      <c r="AI26" s="372"/>
      <c r="AJ26" s="372"/>
    </row>
    <row r="27" spans="1:36" x14ac:dyDescent="0.2">
      <c r="A27" s="240">
        <v>43</v>
      </c>
      <c r="B27" s="240"/>
      <c r="C27" s="371">
        <f>DxListFull!A44</f>
        <v>0</v>
      </c>
      <c r="D27" s="371"/>
      <c r="E27" s="371"/>
      <c r="F27" s="371"/>
      <c r="G27" s="371"/>
      <c r="H27" s="371"/>
      <c r="I27" s="371"/>
      <c r="J27" s="371"/>
      <c r="K27" s="371"/>
      <c r="L27" s="371"/>
      <c r="M27" s="371"/>
      <c r="N27" s="371"/>
      <c r="O27" s="371"/>
      <c r="P27" s="371"/>
      <c r="Q27" s="371"/>
      <c r="R27" s="372">
        <f>DxListFull!B44</f>
        <v>0</v>
      </c>
      <c r="S27" s="372"/>
      <c r="T27" s="372"/>
      <c r="U27" s="372"/>
      <c r="V27" s="372"/>
      <c r="W27" s="372"/>
      <c r="X27" s="372"/>
      <c r="Y27" s="372"/>
      <c r="Z27" s="372">
        <f>DxListFull!C44</f>
        <v>0</v>
      </c>
      <c r="AA27" s="372"/>
      <c r="AB27" s="372"/>
      <c r="AC27" s="372"/>
      <c r="AD27" s="372"/>
      <c r="AE27" s="372"/>
      <c r="AF27" s="372"/>
      <c r="AG27" s="372"/>
      <c r="AH27" s="372"/>
      <c r="AI27" s="372"/>
      <c r="AJ27" s="372"/>
    </row>
    <row r="28" spans="1:36" x14ac:dyDescent="0.2">
      <c r="A28" s="240">
        <v>44</v>
      </c>
      <c r="B28" s="240"/>
      <c r="C28" s="371">
        <f>DxListFull!A45</f>
        <v>0</v>
      </c>
      <c r="D28" s="371"/>
      <c r="E28" s="371"/>
      <c r="F28" s="371"/>
      <c r="G28" s="371"/>
      <c r="H28" s="371"/>
      <c r="I28" s="371"/>
      <c r="J28" s="371"/>
      <c r="K28" s="371"/>
      <c r="L28" s="371"/>
      <c r="M28" s="371"/>
      <c r="N28" s="371"/>
      <c r="O28" s="371"/>
      <c r="P28" s="371"/>
      <c r="Q28" s="371"/>
      <c r="R28" s="372">
        <f>DxListFull!B45</f>
        <v>0</v>
      </c>
      <c r="S28" s="372"/>
      <c r="T28" s="372"/>
      <c r="U28" s="372"/>
      <c r="V28" s="372"/>
      <c r="W28" s="372"/>
      <c r="X28" s="372"/>
      <c r="Y28" s="372"/>
      <c r="Z28" s="372">
        <f>DxListFull!C45</f>
        <v>0</v>
      </c>
      <c r="AA28" s="372"/>
      <c r="AB28" s="372"/>
      <c r="AC28" s="372"/>
      <c r="AD28" s="372"/>
      <c r="AE28" s="372"/>
      <c r="AF28" s="372"/>
      <c r="AG28" s="372"/>
      <c r="AH28" s="372"/>
      <c r="AI28" s="372"/>
      <c r="AJ28" s="372"/>
    </row>
    <row r="29" spans="1:36" x14ac:dyDescent="0.2">
      <c r="A29" s="240">
        <v>45</v>
      </c>
      <c r="B29" s="240"/>
      <c r="C29" s="371">
        <f>DxListFull!A46</f>
        <v>0</v>
      </c>
      <c r="D29" s="371"/>
      <c r="E29" s="371"/>
      <c r="F29" s="371"/>
      <c r="G29" s="371"/>
      <c r="H29" s="371"/>
      <c r="I29" s="371"/>
      <c r="J29" s="371"/>
      <c r="K29" s="371"/>
      <c r="L29" s="371"/>
      <c r="M29" s="371"/>
      <c r="N29" s="371"/>
      <c r="O29" s="371"/>
      <c r="P29" s="371"/>
      <c r="Q29" s="371"/>
      <c r="R29" s="372">
        <f>DxListFull!B46</f>
        <v>0</v>
      </c>
      <c r="S29" s="372"/>
      <c r="T29" s="372"/>
      <c r="U29" s="372"/>
      <c r="V29" s="372"/>
      <c r="W29" s="372"/>
      <c r="X29" s="372"/>
      <c r="Y29" s="372"/>
      <c r="Z29" s="372">
        <f>DxListFull!C46</f>
        <v>0</v>
      </c>
      <c r="AA29" s="372"/>
      <c r="AB29" s="372"/>
      <c r="AC29" s="372"/>
      <c r="AD29" s="372"/>
      <c r="AE29" s="372"/>
      <c r="AF29" s="372"/>
      <c r="AG29" s="372"/>
      <c r="AH29" s="372"/>
      <c r="AI29" s="372"/>
      <c r="AJ29" s="372"/>
    </row>
    <row r="30" spans="1:36" x14ac:dyDescent="0.2">
      <c r="A30" s="240">
        <v>46</v>
      </c>
      <c r="B30" s="240"/>
      <c r="C30" s="371">
        <f>DxListFull!A47</f>
        <v>0</v>
      </c>
      <c r="D30" s="371"/>
      <c r="E30" s="371"/>
      <c r="F30" s="371"/>
      <c r="G30" s="371"/>
      <c r="H30" s="371"/>
      <c r="I30" s="371"/>
      <c r="J30" s="371"/>
      <c r="K30" s="371"/>
      <c r="L30" s="371"/>
      <c r="M30" s="371"/>
      <c r="N30" s="371"/>
      <c r="O30" s="371"/>
      <c r="P30" s="371"/>
      <c r="Q30" s="371"/>
      <c r="R30" s="372">
        <f>DxListFull!B47</f>
        <v>0</v>
      </c>
      <c r="S30" s="372"/>
      <c r="T30" s="372"/>
      <c r="U30" s="372"/>
      <c r="V30" s="372"/>
      <c r="W30" s="372"/>
      <c r="X30" s="372"/>
      <c r="Y30" s="372"/>
      <c r="Z30" s="372">
        <f>DxListFull!C47</f>
        <v>0</v>
      </c>
      <c r="AA30" s="372"/>
      <c r="AB30" s="372"/>
      <c r="AC30" s="372"/>
      <c r="AD30" s="372"/>
      <c r="AE30" s="372"/>
      <c r="AF30" s="372"/>
      <c r="AG30" s="372"/>
      <c r="AH30" s="372"/>
      <c r="AI30" s="372"/>
      <c r="AJ30" s="372"/>
    </row>
    <row r="31" spans="1:36" x14ac:dyDescent="0.2">
      <c r="A31" s="240">
        <v>47</v>
      </c>
      <c r="B31" s="240"/>
      <c r="C31" s="371">
        <f>DxListFull!A48</f>
        <v>0</v>
      </c>
      <c r="D31" s="371"/>
      <c r="E31" s="371"/>
      <c r="F31" s="371"/>
      <c r="G31" s="371"/>
      <c r="H31" s="371"/>
      <c r="I31" s="371"/>
      <c r="J31" s="371"/>
      <c r="K31" s="371"/>
      <c r="L31" s="371"/>
      <c r="M31" s="371"/>
      <c r="N31" s="371"/>
      <c r="O31" s="371"/>
      <c r="P31" s="371"/>
      <c r="Q31" s="371"/>
      <c r="R31" s="372">
        <f>DxListFull!B48</f>
        <v>0</v>
      </c>
      <c r="S31" s="372"/>
      <c r="T31" s="372"/>
      <c r="U31" s="372"/>
      <c r="V31" s="372"/>
      <c r="W31" s="372"/>
      <c r="X31" s="372"/>
      <c r="Y31" s="372"/>
      <c r="Z31" s="372">
        <f>DxListFull!C48</f>
        <v>0</v>
      </c>
      <c r="AA31" s="372"/>
      <c r="AB31" s="372"/>
      <c r="AC31" s="372"/>
      <c r="AD31" s="372"/>
      <c r="AE31" s="372"/>
      <c r="AF31" s="372"/>
      <c r="AG31" s="372"/>
      <c r="AH31" s="372"/>
      <c r="AI31" s="372"/>
      <c r="AJ31" s="372"/>
    </row>
    <row r="32" spans="1:36" x14ac:dyDescent="0.2">
      <c r="A32" s="240">
        <v>48</v>
      </c>
      <c r="B32" s="240"/>
      <c r="C32" s="371">
        <f>DxListFull!A49</f>
        <v>0</v>
      </c>
      <c r="D32" s="371"/>
      <c r="E32" s="371"/>
      <c r="F32" s="371"/>
      <c r="G32" s="371"/>
      <c r="H32" s="371"/>
      <c r="I32" s="371"/>
      <c r="J32" s="371"/>
      <c r="K32" s="371"/>
      <c r="L32" s="371"/>
      <c r="M32" s="371"/>
      <c r="N32" s="371"/>
      <c r="O32" s="371"/>
      <c r="P32" s="371"/>
      <c r="Q32" s="371"/>
      <c r="R32" s="372">
        <f>DxListFull!B49</f>
        <v>0</v>
      </c>
      <c r="S32" s="372"/>
      <c r="T32" s="372"/>
      <c r="U32" s="372"/>
      <c r="V32" s="372"/>
      <c r="W32" s="372"/>
      <c r="X32" s="372"/>
      <c r="Y32" s="372"/>
      <c r="Z32" s="372">
        <f>DxListFull!C49</f>
        <v>0</v>
      </c>
      <c r="AA32" s="372"/>
      <c r="AB32" s="372"/>
      <c r="AC32" s="372"/>
      <c r="AD32" s="372"/>
      <c r="AE32" s="372"/>
      <c r="AF32" s="372"/>
      <c r="AG32" s="372"/>
      <c r="AH32" s="372"/>
      <c r="AI32" s="372"/>
      <c r="AJ32" s="372"/>
    </row>
    <row r="33" spans="1:36" x14ac:dyDescent="0.2">
      <c r="A33" s="240">
        <v>49</v>
      </c>
      <c r="B33" s="240"/>
      <c r="C33" s="371">
        <f>DxListFull!A50</f>
        <v>0</v>
      </c>
      <c r="D33" s="371"/>
      <c r="E33" s="371"/>
      <c r="F33" s="371"/>
      <c r="G33" s="371"/>
      <c r="H33" s="371"/>
      <c r="I33" s="371"/>
      <c r="J33" s="371"/>
      <c r="K33" s="371"/>
      <c r="L33" s="371"/>
      <c r="M33" s="371"/>
      <c r="N33" s="371"/>
      <c r="O33" s="371"/>
      <c r="P33" s="371"/>
      <c r="Q33" s="371"/>
      <c r="R33" s="372">
        <f>DxListFull!B50</f>
        <v>0</v>
      </c>
      <c r="S33" s="372"/>
      <c r="T33" s="372"/>
      <c r="U33" s="372"/>
      <c r="V33" s="372"/>
      <c r="W33" s="372"/>
      <c r="X33" s="372"/>
      <c r="Y33" s="372"/>
      <c r="Z33" s="372">
        <f>DxListFull!C50</f>
        <v>0</v>
      </c>
      <c r="AA33" s="372"/>
      <c r="AB33" s="372"/>
      <c r="AC33" s="372"/>
      <c r="AD33" s="372"/>
      <c r="AE33" s="372"/>
      <c r="AF33" s="372"/>
      <c r="AG33" s="372"/>
      <c r="AH33" s="372"/>
      <c r="AI33" s="372"/>
      <c r="AJ33" s="372"/>
    </row>
    <row r="34" spans="1:36" x14ac:dyDescent="0.2">
      <c r="A34" s="240">
        <v>50</v>
      </c>
      <c r="B34" s="240"/>
      <c r="C34" s="371">
        <f>DxListFull!A51</f>
        <v>0</v>
      </c>
      <c r="D34" s="371"/>
      <c r="E34" s="371"/>
      <c r="F34" s="371"/>
      <c r="G34" s="371"/>
      <c r="H34" s="371"/>
      <c r="I34" s="371"/>
      <c r="J34" s="371"/>
      <c r="K34" s="371"/>
      <c r="L34" s="371"/>
      <c r="M34" s="371"/>
      <c r="N34" s="371"/>
      <c r="O34" s="371"/>
      <c r="P34" s="371"/>
      <c r="Q34" s="371"/>
      <c r="R34" s="372">
        <f>DxListFull!B51</f>
        <v>0</v>
      </c>
      <c r="S34" s="372"/>
      <c r="T34" s="372"/>
      <c r="U34" s="372"/>
      <c r="V34" s="372"/>
      <c r="W34" s="372"/>
      <c r="X34" s="372"/>
      <c r="Y34" s="372"/>
      <c r="Z34" s="372">
        <f>DxListFull!C51</f>
        <v>0</v>
      </c>
      <c r="AA34" s="372"/>
      <c r="AB34" s="372"/>
      <c r="AC34" s="372"/>
      <c r="AD34" s="372"/>
      <c r="AE34" s="372"/>
      <c r="AF34" s="372"/>
      <c r="AG34" s="372"/>
      <c r="AH34" s="372"/>
      <c r="AI34" s="372"/>
      <c r="AJ34" s="372"/>
    </row>
    <row r="35" spans="1:36" x14ac:dyDescent="0.2">
      <c r="A35" s="240">
        <v>51</v>
      </c>
      <c r="B35" s="240"/>
      <c r="C35" s="371">
        <f>DxListFull!A52</f>
        <v>0</v>
      </c>
      <c r="D35" s="371"/>
      <c r="E35" s="371"/>
      <c r="F35" s="371"/>
      <c r="G35" s="371"/>
      <c r="H35" s="371"/>
      <c r="I35" s="371"/>
      <c r="J35" s="371"/>
      <c r="K35" s="371"/>
      <c r="L35" s="371"/>
      <c r="M35" s="371"/>
      <c r="N35" s="371"/>
      <c r="O35" s="371"/>
      <c r="P35" s="371"/>
      <c r="Q35" s="371"/>
      <c r="R35" s="372">
        <f>DxListFull!B52</f>
        <v>0</v>
      </c>
      <c r="S35" s="372"/>
      <c r="T35" s="372"/>
      <c r="U35" s="372"/>
      <c r="V35" s="372"/>
      <c r="W35" s="372"/>
      <c r="X35" s="372"/>
      <c r="Y35" s="372"/>
      <c r="Z35" s="372">
        <f>DxListFull!C52</f>
        <v>0</v>
      </c>
      <c r="AA35" s="372"/>
      <c r="AB35" s="372"/>
      <c r="AC35" s="372"/>
      <c r="AD35" s="372"/>
      <c r="AE35" s="372"/>
      <c r="AF35" s="372"/>
      <c r="AG35" s="372"/>
      <c r="AH35" s="372"/>
      <c r="AI35" s="372"/>
      <c r="AJ35" s="372"/>
    </row>
    <row r="36" spans="1:36" x14ac:dyDescent="0.2">
      <c r="A36" s="240">
        <v>52</v>
      </c>
      <c r="B36" s="240"/>
      <c r="C36" s="371">
        <f>DxListFull!A53</f>
        <v>0</v>
      </c>
      <c r="D36" s="371"/>
      <c r="E36" s="371"/>
      <c r="F36" s="371"/>
      <c r="G36" s="371"/>
      <c r="H36" s="371"/>
      <c r="I36" s="371"/>
      <c r="J36" s="371"/>
      <c r="K36" s="371"/>
      <c r="L36" s="371"/>
      <c r="M36" s="371"/>
      <c r="N36" s="371"/>
      <c r="O36" s="371"/>
      <c r="P36" s="371"/>
      <c r="Q36" s="371"/>
      <c r="R36" s="372">
        <f>DxListFull!B53</f>
        <v>0</v>
      </c>
      <c r="S36" s="372"/>
      <c r="T36" s="372"/>
      <c r="U36" s="372"/>
      <c r="V36" s="372"/>
      <c r="W36" s="372"/>
      <c r="X36" s="372"/>
      <c r="Y36" s="372"/>
      <c r="Z36" s="372">
        <f>DxListFull!C53</f>
        <v>0</v>
      </c>
      <c r="AA36" s="372"/>
      <c r="AB36" s="372"/>
      <c r="AC36" s="372"/>
      <c r="AD36" s="372"/>
      <c r="AE36" s="372"/>
      <c r="AF36" s="372"/>
      <c r="AG36" s="372"/>
      <c r="AH36" s="372"/>
      <c r="AI36" s="372"/>
      <c r="AJ36" s="372"/>
    </row>
    <row r="44" spans="1:36" ht="6.75" customHeight="1" x14ac:dyDescent="0.2"/>
    <row r="45" spans="1:36" ht="6.75" customHeight="1" x14ac:dyDescent="0.2"/>
    <row r="46" spans="1:36" ht="7.5" customHeight="1" x14ac:dyDescent="0.2"/>
    <row r="48" spans="1:36" x14ac:dyDescent="0.2">
      <c r="A48" s="240"/>
      <c r="B48" s="240"/>
      <c r="C48" s="240"/>
      <c r="D48" s="240"/>
      <c r="E48" s="240"/>
      <c r="F48" s="240"/>
      <c r="G48" s="240"/>
      <c r="H48" s="240"/>
      <c r="I48" s="240"/>
      <c r="J48" s="240"/>
      <c r="K48" s="240"/>
      <c r="L48" s="240"/>
      <c r="M48" s="240"/>
      <c r="N48" s="240"/>
      <c r="O48" s="240"/>
      <c r="P48" s="240"/>
    </row>
    <row r="49" spans="1:36" x14ac:dyDescent="0.2">
      <c r="A49" s="240"/>
      <c r="B49" s="240"/>
      <c r="C49" s="240"/>
      <c r="D49" s="240"/>
      <c r="E49" s="240"/>
      <c r="F49" s="240"/>
      <c r="G49" s="240"/>
      <c r="H49" s="240"/>
      <c r="I49" s="240"/>
      <c r="J49" s="240"/>
      <c r="K49" s="240"/>
      <c r="L49" s="240"/>
      <c r="M49" s="240"/>
      <c r="N49" s="240"/>
      <c r="O49" s="240"/>
      <c r="P49" s="240"/>
    </row>
    <row r="50" spans="1:36" x14ac:dyDescent="0.2">
      <c r="A50" s="266"/>
      <c r="B50" s="266"/>
      <c r="C50" s="266"/>
      <c r="D50" s="266"/>
      <c r="E50" s="266"/>
      <c r="F50" s="266"/>
      <c r="G50" s="266"/>
      <c r="H50" s="266"/>
      <c r="I50" s="266"/>
      <c r="J50" s="266"/>
      <c r="K50" s="266"/>
      <c r="L50" s="266"/>
      <c r="M50" s="266"/>
      <c r="N50" s="266"/>
      <c r="O50" s="266"/>
      <c r="P50" s="266"/>
      <c r="R50" s="267">
        <f>IF(Data!B1658="",Data!B175,Data!B1658)</f>
        <v>0</v>
      </c>
      <c r="S50" s="267"/>
      <c r="T50" s="267"/>
      <c r="U50" s="267"/>
      <c r="V50" s="267"/>
      <c r="W50" s="267"/>
      <c r="X50" s="267"/>
      <c r="Y50" s="267"/>
      <c r="Z50" s="267"/>
      <c r="AA50" s="267"/>
      <c r="AB50" s="267"/>
      <c r="AC50" s="267"/>
      <c r="AD50" s="267"/>
      <c r="AE50" s="267"/>
    </row>
    <row r="51" spans="1:36" x14ac:dyDescent="0.2">
      <c r="A51" t="s">
        <v>2881</v>
      </c>
      <c r="R51" t="s">
        <v>1465</v>
      </c>
    </row>
    <row r="53" spans="1:36" x14ac:dyDescent="0.2">
      <c r="A53" s="370">
        <f>Data!B1649</f>
        <v>0</v>
      </c>
      <c r="B53" s="370"/>
      <c r="C53" s="370"/>
      <c r="D53" s="370"/>
      <c r="E53" s="370"/>
      <c r="F53" s="370"/>
      <c r="G53" s="370"/>
      <c r="H53" s="370"/>
      <c r="I53" s="370"/>
      <c r="J53" s="370"/>
      <c r="K53" s="370"/>
      <c r="L53" s="370"/>
      <c r="M53" s="370"/>
      <c r="N53" s="370"/>
      <c r="O53" s="370"/>
      <c r="P53" s="370"/>
      <c r="Q53" s="370"/>
      <c r="R53" s="370"/>
      <c r="S53" s="370"/>
      <c r="T53" s="370"/>
      <c r="U53" s="370"/>
      <c r="V53" s="370"/>
      <c r="W53" s="370"/>
      <c r="X53" s="370"/>
      <c r="Y53" s="370"/>
      <c r="Z53" s="370"/>
      <c r="AA53" s="370"/>
      <c r="AB53" s="370"/>
      <c r="AC53" s="370"/>
      <c r="AD53" s="370"/>
      <c r="AE53" s="370"/>
      <c r="AF53" s="370"/>
      <c r="AG53" s="370"/>
      <c r="AH53" s="370"/>
      <c r="AI53" s="370"/>
      <c r="AJ53" s="370"/>
    </row>
  </sheetData>
  <mergeCells count="123">
    <mergeCell ref="A11:B11"/>
    <mergeCell ref="A12:B12"/>
    <mergeCell ref="A13:B13"/>
    <mergeCell ref="A14:B14"/>
    <mergeCell ref="A15:B15"/>
    <mergeCell ref="R15:Y15"/>
    <mergeCell ref="R16:Y16"/>
    <mergeCell ref="Z10:AJ10"/>
    <mergeCell ref="Z11:AJ11"/>
    <mergeCell ref="Z12:AJ12"/>
    <mergeCell ref="Z13:AJ13"/>
    <mergeCell ref="Z14:AJ14"/>
    <mergeCell ref="Z15:AJ15"/>
    <mergeCell ref="Z16:AJ16"/>
    <mergeCell ref="R10:Y10"/>
    <mergeCell ref="R11:Y11"/>
    <mergeCell ref="R12:Y12"/>
    <mergeCell ref="R13:Y13"/>
    <mergeCell ref="R14:Y14"/>
    <mergeCell ref="A17:B17"/>
    <mergeCell ref="C17:Q17"/>
    <mergeCell ref="R17:Y17"/>
    <mergeCell ref="Z17:AJ17"/>
    <mergeCell ref="E2:Z2"/>
    <mergeCell ref="AE2:AK2"/>
    <mergeCell ref="C9:Q9"/>
    <mergeCell ref="R9:Y9"/>
    <mergeCell ref="Z9:AJ9"/>
    <mergeCell ref="F4:O4"/>
    <mergeCell ref="T4:AJ4"/>
    <mergeCell ref="F5:O5"/>
    <mergeCell ref="T5:AJ5"/>
    <mergeCell ref="F6:O6"/>
    <mergeCell ref="T6:AJ6"/>
    <mergeCell ref="A10:B10"/>
    <mergeCell ref="A16:B16"/>
    <mergeCell ref="C10:Q10"/>
    <mergeCell ref="C11:Q11"/>
    <mergeCell ref="C12:Q12"/>
    <mergeCell ref="C13:Q13"/>
    <mergeCell ref="C14:Q14"/>
    <mergeCell ref="C15:Q15"/>
    <mergeCell ref="C16:Q16"/>
    <mergeCell ref="A18:B18"/>
    <mergeCell ref="C18:Q18"/>
    <mergeCell ref="R18:Y18"/>
    <mergeCell ref="Z18:AJ18"/>
    <mergeCell ref="A19:B19"/>
    <mergeCell ref="C19:Q19"/>
    <mergeCell ref="R19:Y19"/>
    <mergeCell ref="Z19:AJ19"/>
    <mergeCell ref="A20:B20"/>
    <mergeCell ref="C20:Q20"/>
    <mergeCell ref="R20:Y20"/>
    <mergeCell ref="Z20:AJ20"/>
    <mergeCell ref="A21:B21"/>
    <mergeCell ref="C21:Q21"/>
    <mergeCell ref="R21:Y21"/>
    <mergeCell ref="Z21:AJ21"/>
    <mergeCell ref="A22:B22"/>
    <mergeCell ref="C22:Q22"/>
    <mergeCell ref="R22:Y22"/>
    <mergeCell ref="Z22:AJ22"/>
    <mergeCell ref="A23:B23"/>
    <mergeCell ref="C23:Q23"/>
    <mergeCell ref="R23:Y23"/>
    <mergeCell ref="Z23:AJ23"/>
    <mergeCell ref="A24:B24"/>
    <mergeCell ref="C24:Q24"/>
    <mergeCell ref="R24:Y24"/>
    <mergeCell ref="Z24:AJ24"/>
    <mergeCell ref="A25:B25"/>
    <mergeCell ref="C25:Q25"/>
    <mergeCell ref="R25:Y25"/>
    <mergeCell ref="Z25:AJ25"/>
    <mergeCell ref="A26:B26"/>
    <mergeCell ref="C26:Q26"/>
    <mergeCell ref="R26:Y26"/>
    <mergeCell ref="Z26:AJ26"/>
    <mergeCell ref="A31:B31"/>
    <mergeCell ref="C31:Q31"/>
    <mergeCell ref="R31:Y31"/>
    <mergeCell ref="Z31:AJ31"/>
    <mergeCell ref="A32:B32"/>
    <mergeCell ref="C32:Q32"/>
    <mergeCell ref="R32:Y32"/>
    <mergeCell ref="Z32:AJ32"/>
    <mergeCell ref="A27:B27"/>
    <mergeCell ref="C27:Q27"/>
    <mergeCell ref="R27:Y27"/>
    <mergeCell ref="Z27:AJ27"/>
    <mergeCell ref="A28:B28"/>
    <mergeCell ref="C28:Q28"/>
    <mergeCell ref="R28:Y28"/>
    <mergeCell ref="Z28:AJ28"/>
    <mergeCell ref="A29:B29"/>
    <mergeCell ref="C29:Q29"/>
    <mergeCell ref="R29:Y29"/>
    <mergeCell ref="Z29:AJ29"/>
    <mergeCell ref="AD1:AJ1"/>
    <mergeCell ref="A53:AJ53"/>
    <mergeCell ref="A48:P50"/>
    <mergeCell ref="R50:AE50"/>
    <mergeCell ref="A36:B36"/>
    <mergeCell ref="C36:Q36"/>
    <mergeCell ref="R36:Y36"/>
    <mergeCell ref="Z36:AJ36"/>
    <mergeCell ref="A33:B33"/>
    <mergeCell ref="C33:Q33"/>
    <mergeCell ref="R33:Y33"/>
    <mergeCell ref="Z33:AJ33"/>
    <mergeCell ref="A34:B34"/>
    <mergeCell ref="C34:Q34"/>
    <mergeCell ref="R34:Y34"/>
    <mergeCell ref="Z34:AJ34"/>
    <mergeCell ref="A35:B35"/>
    <mergeCell ref="C35:Q35"/>
    <mergeCell ref="R35:Y35"/>
    <mergeCell ref="Z35:AJ35"/>
    <mergeCell ref="A30:B30"/>
    <mergeCell ref="C30:Q30"/>
    <mergeCell ref="R30:Y30"/>
    <mergeCell ref="Z30:AJ30"/>
  </mergeCells>
  <pageMargins left="0.25" right="0.25" top="0.75" bottom="0.75" header="0.3" footer="0.3"/>
  <pageSetup orientation="portrait" verticalDpi="1200" r:id="rId1"/>
  <headerFooter>
    <oddHeader>&amp;L&amp;G&amp;RFull Client Diagnosis List (Continued)</oddHeader>
    <oddFooter>&amp;C3088 Mercer University Drive Suite 100 Atlanta, GA 30341
678-310-6305 Fax 404-935-6110</oddFooter>
  </headerFooter>
  <legacyDrawingHF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2">
    <tabColor theme="4" tint="-0.249977111117893"/>
  </sheetPr>
  <dimension ref="A2:AK80"/>
  <sheetViews>
    <sheetView showZeros="0" view="pageLayout" topLeftCell="A34" zoomScaleNormal="100" workbookViewId="0">
      <selection activeCell="A48" sqref="A48:M48"/>
    </sheetView>
  </sheetViews>
  <sheetFormatPr defaultColWidth="2.7109375" defaultRowHeight="12.75" x14ac:dyDescent="0.2"/>
  <sheetData>
    <row r="2" spans="1:37" x14ac:dyDescent="0.2">
      <c r="A2" t="s">
        <v>1167</v>
      </c>
      <c r="G2" s="219">
        <f>Data!B1045</f>
        <v>0</v>
      </c>
      <c r="H2" s="219"/>
      <c r="I2" s="219"/>
      <c r="J2" s="219"/>
      <c r="K2" s="219"/>
      <c r="L2" s="219"/>
      <c r="M2" s="219"/>
      <c r="N2" s="219"/>
      <c r="O2" s="219"/>
      <c r="P2" s="219"/>
      <c r="Q2" s="219"/>
      <c r="R2" s="219"/>
      <c r="S2" s="219"/>
      <c r="T2" s="219"/>
      <c r="U2" s="219"/>
      <c r="V2" s="219"/>
      <c r="W2" s="219"/>
      <c r="Y2" t="s">
        <v>1395</v>
      </c>
      <c r="AE2" s="218">
        <f>Data!B34</f>
        <v>0</v>
      </c>
      <c r="AF2" s="219"/>
      <c r="AG2" s="219"/>
      <c r="AH2" s="219"/>
      <c r="AI2" s="219"/>
      <c r="AJ2" s="219"/>
      <c r="AK2" s="219"/>
    </row>
    <row r="3" spans="1:37" x14ac:dyDescent="0.2">
      <c r="A3" t="s">
        <v>1287</v>
      </c>
      <c r="AA3" t="s">
        <v>1333</v>
      </c>
    </row>
    <row r="4" spans="1:37" x14ac:dyDescent="0.2">
      <c r="B4" s="240" t="s">
        <v>1288</v>
      </c>
      <c r="C4" s="240"/>
      <c r="D4" s="240"/>
      <c r="E4" s="240"/>
      <c r="F4" s="240"/>
      <c r="G4" s="240"/>
      <c r="H4" s="240"/>
      <c r="I4" s="233">
        <f>Data!B1046</f>
        <v>0</v>
      </c>
      <c r="J4" s="233"/>
      <c r="K4" s="233"/>
      <c r="L4" s="233"/>
      <c r="M4" s="233"/>
      <c r="N4" s="233"/>
      <c r="O4" s="233"/>
      <c r="P4" s="233"/>
      <c r="Q4" s="233"/>
      <c r="R4" s="233"/>
      <c r="S4" s="233"/>
      <c r="T4" s="233"/>
      <c r="U4" s="233"/>
      <c r="V4" s="233"/>
      <c r="W4" s="233"/>
      <c r="X4" s="233"/>
      <c r="Y4" s="233"/>
      <c r="AA4" s="105" t="str">
        <f>IF(Data!B1124=TRUE,"P","")</f>
        <v/>
      </c>
      <c r="AB4" s="285" t="s">
        <v>1334</v>
      </c>
      <c r="AC4" s="285"/>
      <c r="AD4" s="285"/>
      <c r="AE4" s="285"/>
      <c r="AF4" s="285"/>
      <c r="AG4" s="285"/>
      <c r="AH4" s="285"/>
      <c r="AI4" s="285"/>
      <c r="AJ4" s="285"/>
      <c r="AK4" s="285"/>
    </row>
    <row r="5" spans="1:37" x14ac:dyDescent="0.2">
      <c r="B5" s="240" t="s">
        <v>1289</v>
      </c>
      <c r="C5" s="240"/>
      <c r="D5" s="240"/>
      <c r="E5" s="240"/>
      <c r="F5" s="240"/>
      <c r="G5" s="240"/>
      <c r="H5" s="240"/>
      <c r="I5" s="233">
        <f>Data!B1047</f>
        <v>0</v>
      </c>
      <c r="J5" s="233"/>
      <c r="K5" s="233"/>
      <c r="L5" s="233"/>
      <c r="M5" s="233"/>
      <c r="N5" s="233"/>
      <c r="O5" s="233"/>
      <c r="P5" s="233"/>
      <c r="Q5" s="233"/>
      <c r="R5" s="233"/>
      <c r="S5" s="233"/>
      <c r="T5" s="233"/>
      <c r="U5" s="233"/>
      <c r="V5" s="233"/>
      <c r="W5" s="233"/>
      <c r="X5" s="233"/>
      <c r="Y5" s="233"/>
      <c r="AA5" s="105" t="str">
        <f>IF(Data!B1125=TRUE,"P","")</f>
        <v/>
      </c>
      <c r="AB5" s="285" t="s">
        <v>1335</v>
      </c>
      <c r="AC5" s="285"/>
      <c r="AD5" s="285"/>
      <c r="AE5" s="285"/>
      <c r="AF5" s="285"/>
      <c r="AG5" s="285"/>
      <c r="AH5" s="285"/>
      <c r="AI5" s="285"/>
      <c r="AJ5" s="285"/>
      <c r="AK5" s="285"/>
    </row>
    <row r="6" spans="1:37" x14ac:dyDescent="0.2">
      <c r="B6" s="240" t="s">
        <v>1290</v>
      </c>
      <c r="C6" s="240"/>
      <c r="D6" s="240"/>
      <c r="E6" s="240"/>
      <c r="F6" s="240"/>
      <c r="G6" s="240"/>
      <c r="H6" s="240"/>
      <c r="I6" s="233">
        <f>Data!B1048</f>
        <v>0</v>
      </c>
      <c r="J6" s="233"/>
      <c r="K6" s="233"/>
      <c r="L6" s="233"/>
      <c r="M6" s="233"/>
      <c r="N6" s="233"/>
      <c r="O6" s="233"/>
      <c r="P6" s="233"/>
      <c r="Q6" s="233"/>
      <c r="R6" s="233"/>
      <c r="S6" s="233"/>
      <c r="T6" s="233"/>
      <c r="U6" s="233"/>
      <c r="V6" s="233"/>
      <c r="W6" s="233"/>
      <c r="X6" s="233"/>
      <c r="Y6" s="233"/>
      <c r="AA6" s="105" t="str">
        <f>IF(Data!B1126=TRUE,"P","")</f>
        <v/>
      </c>
      <c r="AB6" s="260" t="s">
        <v>1336</v>
      </c>
      <c r="AC6" s="260"/>
      <c r="AD6" s="260"/>
      <c r="AE6" s="260"/>
      <c r="AF6" s="260"/>
      <c r="AG6" s="260"/>
      <c r="AH6" s="260"/>
      <c r="AI6" s="260"/>
      <c r="AJ6" s="260"/>
      <c r="AK6" s="260"/>
    </row>
    <row r="7" spans="1:37" x14ac:dyDescent="0.2">
      <c r="B7" s="240" t="s">
        <v>1291</v>
      </c>
      <c r="C7" s="240"/>
      <c r="D7" s="240"/>
      <c r="E7" s="240"/>
      <c r="F7" s="240"/>
      <c r="G7" s="240"/>
      <c r="H7" s="240"/>
      <c r="I7" s="233">
        <f>Data!B1049</f>
        <v>0</v>
      </c>
      <c r="J7" s="233"/>
      <c r="K7" s="233"/>
      <c r="L7" s="233"/>
      <c r="M7" s="233"/>
      <c r="N7" s="233"/>
      <c r="O7" s="233"/>
      <c r="P7" s="233"/>
      <c r="Q7" s="233"/>
      <c r="R7" s="233"/>
      <c r="S7" s="233"/>
      <c r="T7" s="233"/>
      <c r="U7" s="233"/>
      <c r="V7" s="233"/>
      <c r="W7" s="233"/>
      <c r="X7" s="233"/>
      <c r="Y7" s="233"/>
      <c r="AA7" s="105" t="str">
        <f>IF(Data!B1127=TRUE,"P","")</f>
        <v/>
      </c>
      <c r="AB7" s="260" t="s">
        <v>1337</v>
      </c>
      <c r="AC7" s="260"/>
      <c r="AD7" s="260"/>
      <c r="AE7" s="260"/>
      <c r="AF7" s="260"/>
      <c r="AG7" s="260"/>
      <c r="AH7" s="260"/>
      <c r="AI7" s="260"/>
      <c r="AJ7" s="260"/>
      <c r="AK7" s="260"/>
    </row>
    <row r="8" spans="1:37" x14ac:dyDescent="0.2">
      <c r="B8" s="240" t="s">
        <v>1292</v>
      </c>
      <c r="C8" s="240"/>
      <c r="D8" s="240"/>
      <c r="E8" s="240"/>
      <c r="F8" s="240"/>
      <c r="G8" s="240"/>
      <c r="H8" s="240"/>
      <c r="I8" s="233">
        <f>Data!B1050</f>
        <v>0</v>
      </c>
      <c r="J8" s="233"/>
      <c r="K8" s="233"/>
      <c r="L8" s="233"/>
      <c r="M8" s="233"/>
      <c r="N8" s="233"/>
      <c r="O8" s="233"/>
      <c r="P8" s="233"/>
      <c r="Q8" s="233"/>
      <c r="R8" s="233"/>
      <c r="S8" s="233"/>
      <c r="T8" s="233"/>
      <c r="U8" s="233"/>
      <c r="V8" s="233"/>
      <c r="W8" s="233"/>
      <c r="X8" s="233"/>
      <c r="Y8" s="233"/>
      <c r="AA8" s="105" t="str">
        <f>IF(Data!B1128=TRUE,"P","")</f>
        <v/>
      </c>
      <c r="AB8" s="260" t="s">
        <v>1338</v>
      </c>
      <c r="AC8" s="260"/>
      <c r="AD8" s="260"/>
      <c r="AE8" s="260"/>
      <c r="AF8" s="260"/>
      <c r="AG8" s="260"/>
      <c r="AH8" s="260"/>
      <c r="AI8" s="260"/>
      <c r="AJ8" s="260"/>
      <c r="AK8" s="260"/>
    </row>
    <row r="9" spans="1:37" x14ac:dyDescent="0.2">
      <c r="B9" s="240" t="s">
        <v>1293</v>
      </c>
      <c r="C9" s="240"/>
      <c r="D9" s="240"/>
      <c r="E9" s="240"/>
      <c r="F9" s="240"/>
      <c r="G9" s="240"/>
      <c r="H9" s="240"/>
      <c r="I9" s="233">
        <f>Data!B1051</f>
        <v>0</v>
      </c>
      <c r="J9" s="233"/>
      <c r="K9" s="233"/>
      <c r="L9" s="233"/>
      <c r="M9" s="233"/>
      <c r="N9" s="233"/>
      <c r="O9" s="233"/>
      <c r="P9" s="233"/>
      <c r="Q9" s="233"/>
      <c r="R9" s="233"/>
      <c r="S9" s="233"/>
      <c r="T9" s="233"/>
      <c r="U9" s="233"/>
      <c r="V9" s="233"/>
      <c r="W9" s="233"/>
      <c r="X9" s="233"/>
      <c r="Y9" s="233"/>
      <c r="AA9" s="105" t="str">
        <f>IF(Data!B1129=TRUE,"P","")</f>
        <v/>
      </c>
      <c r="AB9" s="260" t="s">
        <v>1339</v>
      </c>
      <c r="AC9" s="260"/>
      <c r="AD9" s="260"/>
      <c r="AE9" s="260"/>
      <c r="AF9" s="260"/>
      <c r="AG9" s="260"/>
      <c r="AH9" s="260"/>
      <c r="AI9" s="260"/>
      <c r="AJ9" s="260"/>
      <c r="AK9" s="260"/>
    </row>
    <row r="10" spans="1:37" x14ac:dyDescent="0.2">
      <c r="B10" s="240" t="s">
        <v>1294</v>
      </c>
      <c r="C10" s="240"/>
      <c r="D10" s="240"/>
      <c r="E10" s="240"/>
      <c r="F10" s="240"/>
      <c r="G10" s="240"/>
      <c r="H10" s="240"/>
      <c r="I10" s="233">
        <f>Data!B1052</f>
        <v>0</v>
      </c>
      <c r="J10" s="233"/>
      <c r="K10" s="233"/>
      <c r="L10" s="233"/>
      <c r="M10" s="233"/>
      <c r="N10" s="233"/>
      <c r="O10" s="233"/>
      <c r="P10" s="233"/>
      <c r="Q10" s="233"/>
      <c r="R10" s="233"/>
      <c r="S10" s="233"/>
      <c r="T10" s="233"/>
      <c r="U10" s="233"/>
      <c r="V10" s="233"/>
      <c r="W10" s="233"/>
      <c r="X10" s="233"/>
      <c r="Y10" s="233"/>
      <c r="AA10" s="105" t="str">
        <f>IF(Data!B1130=TRUE,"P","")</f>
        <v/>
      </c>
      <c r="AB10" s="260" t="s">
        <v>1340</v>
      </c>
      <c r="AC10" s="260"/>
      <c r="AD10" s="260"/>
      <c r="AE10" s="260"/>
      <c r="AF10" s="260"/>
      <c r="AG10" s="260"/>
      <c r="AH10" s="260"/>
      <c r="AI10" s="260"/>
      <c r="AJ10" s="260"/>
      <c r="AK10" s="260"/>
    </row>
    <row r="12" spans="1:37" x14ac:dyDescent="0.2">
      <c r="A12" s="340" t="s">
        <v>1396</v>
      </c>
      <c r="B12" s="340"/>
      <c r="C12" s="340"/>
      <c r="D12" s="340"/>
      <c r="E12" s="340"/>
      <c r="F12" s="340"/>
      <c r="G12" s="340"/>
      <c r="H12" s="340"/>
      <c r="I12" s="340"/>
      <c r="J12" s="340"/>
      <c r="K12" s="340"/>
      <c r="L12" s="340"/>
      <c r="M12" s="340"/>
      <c r="N12" s="340"/>
      <c r="O12" s="340"/>
      <c r="P12" s="340"/>
      <c r="Q12" s="340"/>
      <c r="R12" s="340"/>
      <c r="S12" s="340"/>
      <c r="T12" s="340"/>
      <c r="U12" s="340"/>
      <c r="V12" s="340"/>
      <c r="W12" s="340"/>
      <c r="X12" s="340"/>
      <c r="Y12" s="340"/>
      <c r="Z12" s="340"/>
      <c r="AA12" s="340"/>
      <c r="AB12" s="340"/>
      <c r="AC12" s="340"/>
      <c r="AD12" s="340"/>
      <c r="AE12" s="340"/>
      <c r="AF12" s="340"/>
      <c r="AG12" s="340"/>
      <c r="AH12" s="340"/>
      <c r="AI12" s="340"/>
      <c r="AJ12" s="340"/>
      <c r="AK12" s="340"/>
    </row>
    <row r="13" spans="1:37" x14ac:dyDescent="0.2">
      <c r="A13" s="261" t="s">
        <v>1399</v>
      </c>
      <c r="B13" s="261"/>
      <c r="C13" s="261"/>
      <c r="D13" s="261"/>
      <c r="E13" s="261"/>
      <c r="F13" s="261"/>
      <c r="G13" s="261"/>
      <c r="H13" s="261"/>
      <c r="I13" s="261"/>
      <c r="J13" s="261"/>
      <c r="K13" s="261"/>
      <c r="L13" s="261"/>
      <c r="M13" s="261" t="s">
        <v>1400</v>
      </c>
      <c r="N13" s="261"/>
      <c r="O13" s="261"/>
      <c r="P13" s="261"/>
      <c r="Q13" s="261"/>
      <c r="R13" s="261"/>
      <c r="S13" s="261"/>
      <c r="T13" s="261"/>
      <c r="U13" s="261"/>
      <c r="V13" s="261"/>
      <c r="W13" s="261"/>
      <c r="X13" s="261"/>
      <c r="Y13" s="261" t="s">
        <v>1085</v>
      </c>
      <c r="Z13" s="261"/>
      <c r="AA13" s="261"/>
      <c r="AB13" s="261"/>
      <c r="AC13" s="261"/>
      <c r="AD13" s="261"/>
      <c r="AE13" s="261"/>
      <c r="AF13" s="261"/>
      <c r="AG13" s="261"/>
      <c r="AH13" s="261"/>
      <c r="AI13" s="261"/>
      <c r="AJ13" s="261"/>
      <c r="AK13" s="8"/>
    </row>
    <row r="14" spans="1:37" x14ac:dyDescent="0.2">
      <c r="A14" s="240" t="s">
        <v>1401</v>
      </c>
      <c r="B14" s="240"/>
      <c r="C14" s="240"/>
      <c r="D14" s="240"/>
      <c r="E14" s="240"/>
      <c r="F14" s="378">
        <f>Data!B1153</f>
        <v>0</v>
      </c>
      <c r="G14" s="378"/>
      <c r="H14" s="378"/>
      <c r="I14" s="378"/>
      <c r="J14" s="378"/>
      <c r="K14" s="378"/>
      <c r="L14" s="378"/>
      <c r="M14" s="240" t="s">
        <v>329</v>
      </c>
      <c r="N14" s="240"/>
      <c r="O14" s="240"/>
      <c r="P14" s="240"/>
      <c r="Q14" s="240"/>
      <c r="R14" s="383">
        <f>Data!B1159</f>
        <v>0</v>
      </c>
      <c r="S14" s="383"/>
      <c r="T14" s="383"/>
      <c r="U14" s="383"/>
      <c r="V14" s="383"/>
      <c r="W14" s="383"/>
      <c r="X14" s="383"/>
      <c r="Y14" s="240" t="s">
        <v>557</v>
      </c>
      <c r="Z14" s="240"/>
      <c r="AA14" s="240"/>
      <c r="AB14" s="240"/>
      <c r="AC14" s="240"/>
      <c r="AD14" s="295">
        <f>Data!B1165</f>
        <v>0</v>
      </c>
      <c r="AE14" s="295"/>
      <c r="AF14" s="295"/>
      <c r="AG14" s="295"/>
      <c r="AH14" s="295"/>
      <c r="AI14" s="295"/>
      <c r="AJ14" s="295"/>
      <c r="AK14" s="16"/>
    </row>
    <row r="15" spans="1:37" x14ac:dyDescent="0.2">
      <c r="A15" s="240" t="s">
        <v>176</v>
      </c>
      <c r="B15" s="240"/>
      <c r="C15" s="240"/>
      <c r="D15" s="240"/>
      <c r="E15" s="240"/>
      <c r="F15" s="378">
        <f>Data!B1154</f>
        <v>0</v>
      </c>
      <c r="G15" s="378"/>
      <c r="H15" s="378"/>
      <c r="I15" s="378"/>
      <c r="J15" s="378"/>
      <c r="K15" s="378"/>
      <c r="L15" s="378"/>
      <c r="M15" s="240" t="s">
        <v>328</v>
      </c>
      <c r="N15" s="240"/>
      <c r="O15" s="240"/>
      <c r="P15" s="240"/>
      <c r="Q15" s="240"/>
      <c r="R15" s="383">
        <f>Data!B1160</f>
        <v>0</v>
      </c>
      <c r="S15" s="383"/>
      <c r="T15" s="383"/>
      <c r="U15" s="383"/>
      <c r="V15" s="383"/>
      <c r="W15" s="383"/>
      <c r="X15" s="383"/>
      <c r="Y15" s="240" t="s">
        <v>1403</v>
      </c>
      <c r="Z15" s="240"/>
      <c r="AA15" s="240"/>
      <c r="AB15" s="240"/>
      <c r="AC15" s="240"/>
      <c r="AD15" s="295">
        <f>Data!B1166</f>
        <v>0</v>
      </c>
      <c r="AE15" s="295"/>
      <c r="AF15" s="295"/>
      <c r="AG15" s="295"/>
      <c r="AH15" s="295"/>
      <c r="AI15" s="295"/>
      <c r="AJ15" s="295"/>
      <c r="AK15" s="16"/>
    </row>
    <row r="16" spans="1:37" x14ac:dyDescent="0.2">
      <c r="A16" s="240" t="s">
        <v>1402</v>
      </c>
      <c r="B16" s="240"/>
      <c r="C16" s="240"/>
      <c r="D16" s="240"/>
      <c r="E16" s="240"/>
      <c r="F16" s="378">
        <f>Data!B1155</f>
        <v>0</v>
      </c>
      <c r="G16" s="378"/>
      <c r="H16" s="378"/>
      <c r="I16" s="378"/>
      <c r="J16" s="378"/>
      <c r="K16" s="378"/>
      <c r="L16" s="378"/>
      <c r="M16" s="240" t="s">
        <v>1082</v>
      </c>
      <c r="N16" s="240"/>
      <c r="O16" s="240"/>
      <c r="P16" s="240"/>
      <c r="Q16" s="240"/>
      <c r="R16" s="383">
        <f>Data!B1161</f>
        <v>0</v>
      </c>
      <c r="S16" s="383"/>
      <c r="T16" s="383"/>
      <c r="U16" s="383"/>
      <c r="V16" s="383"/>
      <c r="W16" s="383"/>
      <c r="X16" s="383"/>
      <c r="Y16" s="240" t="s">
        <v>129</v>
      </c>
      <c r="Z16" s="240"/>
      <c r="AA16" s="240"/>
      <c r="AB16" s="240"/>
      <c r="AC16" s="240"/>
      <c r="AD16" s="295">
        <f>Data!B1167</f>
        <v>0</v>
      </c>
      <c r="AE16" s="295"/>
      <c r="AF16" s="295"/>
      <c r="AG16" s="295"/>
      <c r="AH16" s="295"/>
      <c r="AI16" s="295"/>
      <c r="AJ16" s="295"/>
      <c r="AK16" s="16"/>
    </row>
    <row r="17" spans="1:37" x14ac:dyDescent="0.2">
      <c r="A17" s="240" t="s">
        <v>177</v>
      </c>
      <c r="B17" s="240"/>
      <c r="C17" s="240"/>
      <c r="D17" s="240"/>
      <c r="E17" s="240"/>
      <c r="F17" s="378">
        <f>Data!B1156</f>
        <v>0</v>
      </c>
      <c r="G17" s="378"/>
      <c r="H17" s="378"/>
      <c r="I17" s="378"/>
      <c r="J17" s="378"/>
      <c r="K17" s="378"/>
      <c r="L17" s="378"/>
      <c r="M17" s="240" t="s">
        <v>1131</v>
      </c>
      <c r="N17" s="240"/>
      <c r="O17" s="240"/>
      <c r="P17" s="240"/>
      <c r="Q17" s="240"/>
      <c r="R17" s="383">
        <f>Data!B1162</f>
        <v>0</v>
      </c>
      <c r="S17" s="383"/>
      <c r="T17" s="383"/>
      <c r="U17" s="383"/>
      <c r="V17" s="383"/>
      <c r="W17" s="383"/>
      <c r="X17" s="383"/>
      <c r="Y17" s="240" t="s">
        <v>131</v>
      </c>
      <c r="Z17" s="240"/>
      <c r="AA17" s="240"/>
      <c r="AB17" s="240"/>
      <c r="AC17" s="240"/>
      <c r="AD17" s="295">
        <f>Data!B1168</f>
        <v>0</v>
      </c>
      <c r="AE17" s="295"/>
      <c r="AF17" s="295"/>
      <c r="AG17" s="295"/>
      <c r="AH17" s="295"/>
      <c r="AI17" s="295"/>
      <c r="AJ17" s="295"/>
      <c r="AK17" s="16"/>
    </row>
    <row r="18" spans="1:37" x14ac:dyDescent="0.2">
      <c r="A18" s="240" t="s">
        <v>1068</v>
      </c>
      <c r="B18" s="240"/>
      <c r="C18" s="240"/>
      <c r="D18" s="240"/>
      <c r="E18" s="240"/>
      <c r="F18" s="378">
        <f>Data!B1157</f>
        <v>0</v>
      </c>
      <c r="G18" s="378"/>
      <c r="H18" s="378"/>
      <c r="I18" s="378"/>
      <c r="J18" s="378"/>
      <c r="K18" s="378"/>
      <c r="L18" s="378"/>
      <c r="M18" s="240" t="s">
        <v>1161</v>
      </c>
      <c r="N18" s="240"/>
      <c r="O18" s="240"/>
      <c r="P18" s="240"/>
      <c r="Q18" s="240"/>
      <c r="R18" s="383">
        <f>Data!B1163</f>
        <v>0</v>
      </c>
      <c r="S18" s="383"/>
      <c r="T18" s="383"/>
      <c r="U18" s="383"/>
      <c r="V18" s="383"/>
      <c r="W18" s="383"/>
      <c r="X18" s="383"/>
      <c r="Y18" s="240" t="s">
        <v>130</v>
      </c>
      <c r="Z18" s="240"/>
      <c r="AA18" s="240"/>
      <c r="AB18" s="240"/>
      <c r="AC18" s="240"/>
      <c r="AD18" s="295">
        <f>Data!B1169</f>
        <v>0</v>
      </c>
      <c r="AE18" s="295"/>
      <c r="AF18" s="295"/>
      <c r="AG18" s="295"/>
      <c r="AH18" s="295"/>
      <c r="AI18" s="295"/>
      <c r="AJ18" s="295"/>
      <c r="AK18" s="16"/>
    </row>
    <row r="19" spans="1:37" ht="12.75" customHeight="1" x14ac:dyDescent="0.2">
      <c r="A19" s="384" t="s">
        <v>785</v>
      </c>
      <c r="B19" s="216">
        <f>Data!B1158</f>
        <v>0</v>
      </c>
      <c r="C19" s="216"/>
      <c r="D19" s="216"/>
      <c r="E19" s="216"/>
      <c r="F19" s="216"/>
      <c r="G19" s="216"/>
      <c r="H19" s="216"/>
      <c r="I19" s="216"/>
      <c r="J19" s="216"/>
      <c r="K19" s="216"/>
      <c r="L19" s="216"/>
      <c r="M19" s="384" t="s">
        <v>785</v>
      </c>
      <c r="N19" s="216">
        <f>Data!B1164</f>
        <v>0</v>
      </c>
      <c r="O19" s="216"/>
      <c r="P19" s="216"/>
      <c r="Q19" s="216"/>
      <c r="R19" s="216"/>
      <c r="S19" s="216"/>
      <c r="T19" s="216"/>
      <c r="U19" s="216"/>
      <c r="V19" s="216"/>
      <c r="W19" s="216"/>
      <c r="X19" s="216"/>
      <c r="Y19" s="384" t="s">
        <v>785</v>
      </c>
      <c r="Z19" s="216">
        <f>Data!B1170</f>
        <v>0</v>
      </c>
      <c r="AA19" s="216"/>
      <c r="AB19" s="216"/>
      <c r="AC19" s="216"/>
      <c r="AD19" s="216"/>
      <c r="AE19" s="216"/>
      <c r="AF19" s="216"/>
      <c r="AG19" s="216"/>
      <c r="AH19" s="216"/>
      <c r="AI19" s="216"/>
      <c r="AJ19" s="216"/>
      <c r="AK19" s="14"/>
    </row>
    <row r="20" spans="1:37" x14ac:dyDescent="0.2">
      <c r="A20" s="384"/>
      <c r="B20" s="216"/>
      <c r="C20" s="216"/>
      <c r="D20" s="216"/>
      <c r="E20" s="216"/>
      <c r="F20" s="216"/>
      <c r="G20" s="216"/>
      <c r="H20" s="216"/>
      <c r="I20" s="216"/>
      <c r="J20" s="216"/>
      <c r="K20" s="216"/>
      <c r="L20" s="216"/>
      <c r="M20" s="384"/>
      <c r="N20" s="216"/>
      <c r="O20" s="216"/>
      <c r="P20" s="216"/>
      <c r="Q20" s="216"/>
      <c r="R20" s="216"/>
      <c r="S20" s="216"/>
      <c r="T20" s="216"/>
      <c r="U20" s="216"/>
      <c r="V20" s="216"/>
      <c r="W20" s="216"/>
      <c r="X20" s="216"/>
      <c r="Y20" s="384"/>
      <c r="Z20" s="216"/>
      <c r="AA20" s="216"/>
      <c r="AB20" s="216"/>
      <c r="AC20" s="216"/>
      <c r="AD20" s="216"/>
      <c r="AE20" s="216"/>
      <c r="AF20" s="216"/>
      <c r="AG20" s="216"/>
      <c r="AH20" s="216"/>
      <c r="AI20" s="216"/>
      <c r="AJ20" s="216"/>
      <c r="AK20" s="14"/>
    </row>
    <row r="21" spans="1:37" x14ac:dyDescent="0.2">
      <c r="A21" s="384"/>
      <c r="B21" s="216"/>
      <c r="C21" s="216"/>
      <c r="D21" s="216"/>
      <c r="E21" s="216"/>
      <c r="F21" s="216"/>
      <c r="G21" s="216"/>
      <c r="H21" s="216"/>
      <c r="I21" s="216"/>
      <c r="J21" s="216"/>
      <c r="K21" s="216"/>
      <c r="L21" s="216"/>
      <c r="M21" s="384"/>
      <c r="N21" s="216"/>
      <c r="O21" s="216"/>
      <c r="P21" s="216"/>
      <c r="Q21" s="216"/>
      <c r="R21" s="216"/>
      <c r="S21" s="216"/>
      <c r="T21" s="216"/>
      <c r="U21" s="216"/>
      <c r="V21" s="216"/>
      <c r="W21" s="216"/>
      <c r="X21" s="216"/>
      <c r="Y21" s="384"/>
      <c r="Z21" s="216"/>
      <c r="AA21" s="216"/>
      <c r="AB21" s="216"/>
      <c r="AC21" s="216"/>
      <c r="AD21" s="216"/>
      <c r="AE21" s="216"/>
      <c r="AF21" s="216"/>
      <c r="AG21" s="216"/>
      <c r="AH21" s="216"/>
      <c r="AI21" s="216"/>
      <c r="AJ21" s="216"/>
      <c r="AK21" s="14"/>
    </row>
    <row r="22" spans="1:37" x14ac:dyDescent="0.2">
      <c r="A22" s="384"/>
      <c r="B22" s="216"/>
      <c r="C22" s="216"/>
      <c r="D22" s="216"/>
      <c r="E22" s="216"/>
      <c r="F22" s="216"/>
      <c r="G22" s="216"/>
      <c r="H22" s="216"/>
      <c r="I22" s="216"/>
      <c r="J22" s="216"/>
      <c r="K22" s="216"/>
      <c r="L22" s="216"/>
      <c r="M22" s="384"/>
      <c r="N22" s="216"/>
      <c r="O22" s="216"/>
      <c r="P22" s="216"/>
      <c r="Q22" s="216"/>
      <c r="R22" s="216"/>
      <c r="S22" s="216"/>
      <c r="T22" s="216"/>
      <c r="U22" s="216"/>
      <c r="V22" s="216"/>
      <c r="W22" s="216"/>
      <c r="X22" s="216"/>
      <c r="Y22" s="384"/>
      <c r="Z22" s="216"/>
      <c r="AA22" s="216"/>
      <c r="AB22" s="216"/>
      <c r="AC22" s="216"/>
      <c r="AD22" s="216"/>
      <c r="AE22" s="216"/>
      <c r="AF22" s="216"/>
      <c r="AG22" s="216"/>
      <c r="AH22" s="216"/>
      <c r="AI22" s="216"/>
      <c r="AJ22" s="216"/>
      <c r="AK22" s="14"/>
    </row>
    <row r="23" spans="1:37" x14ac:dyDescent="0.2">
      <c r="A23" s="261" t="s">
        <v>1154</v>
      </c>
      <c r="B23" s="261"/>
      <c r="C23" s="261"/>
      <c r="D23" s="261"/>
      <c r="E23" s="261"/>
      <c r="F23" s="261"/>
      <c r="G23" s="261"/>
      <c r="H23" s="261"/>
      <c r="I23" s="261"/>
      <c r="J23" s="261"/>
      <c r="K23" s="261"/>
      <c r="L23" s="261"/>
      <c r="M23" s="261" t="s">
        <v>209</v>
      </c>
      <c r="N23" s="261"/>
      <c r="O23" s="261"/>
      <c r="P23" s="261"/>
      <c r="Q23" s="261"/>
      <c r="R23" s="261"/>
      <c r="S23" s="261"/>
      <c r="T23" s="261"/>
      <c r="U23" s="261"/>
      <c r="V23" s="261"/>
      <c r="W23" s="261"/>
      <c r="X23" s="261"/>
      <c r="Y23" s="261" t="s">
        <v>1078</v>
      </c>
      <c r="Z23" s="261"/>
      <c r="AA23" s="261"/>
      <c r="AB23" s="261"/>
      <c r="AC23" s="261"/>
      <c r="AD23" s="261"/>
      <c r="AE23" s="261"/>
      <c r="AF23" s="261"/>
      <c r="AG23" s="261"/>
      <c r="AH23" s="261"/>
      <c r="AI23" s="261"/>
      <c r="AJ23" s="261"/>
      <c r="AK23" s="8"/>
    </row>
    <row r="24" spans="1:37" x14ac:dyDescent="0.2">
      <c r="A24" s="240" t="s">
        <v>1137</v>
      </c>
      <c r="B24" s="240"/>
      <c r="C24" s="240"/>
      <c r="D24" s="240"/>
      <c r="E24" s="240"/>
      <c r="F24" s="295">
        <f>Data!B1171</f>
        <v>0</v>
      </c>
      <c r="G24" s="295"/>
      <c r="H24" s="295"/>
      <c r="I24" s="295"/>
      <c r="J24" s="295"/>
      <c r="K24" s="295"/>
      <c r="L24" s="295"/>
      <c r="M24" s="240" t="s">
        <v>211</v>
      </c>
      <c r="N24" s="240"/>
      <c r="O24" s="240"/>
      <c r="P24" s="240"/>
      <c r="Q24" s="240"/>
      <c r="R24" s="295">
        <f>Data!B1177</f>
        <v>0</v>
      </c>
      <c r="S24" s="295"/>
      <c r="T24" s="295"/>
      <c r="U24" s="295"/>
      <c r="V24" s="295"/>
      <c r="W24" s="295"/>
      <c r="X24" s="295"/>
      <c r="Y24" s="240" t="s">
        <v>1149</v>
      </c>
      <c r="Z24" s="240"/>
      <c r="AA24" s="240"/>
      <c r="AB24" s="240"/>
      <c r="AC24" s="240"/>
      <c r="AD24" s="295">
        <f>Data!B1183</f>
        <v>0</v>
      </c>
      <c r="AE24" s="295"/>
      <c r="AF24" s="295"/>
      <c r="AG24" s="295"/>
      <c r="AH24" s="295"/>
      <c r="AI24" s="295"/>
      <c r="AJ24" s="295"/>
      <c r="AK24" s="16"/>
    </row>
    <row r="25" spans="1:37" x14ac:dyDescent="0.2">
      <c r="A25" s="240" t="s">
        <v>1157</v>
      </c>
      <c r="B25" s="240"/>
      <c r="C25" s="240"/>
      <c r="D25" s="240"/>
      <c r="E25" s="240"/>
      <c r="F25" s="295">
        <f>Data!B1172</f>
        <v>0</v>
      </c>
      <c r="G25" s="295"/>
      <c r="H25" s="295"/>
      <c r="I25" s="295"/>
      <c r="J25" s="295"/>
      <c r="K25" s="295"/>
      <c r="L25" s="295"/>
      <c r="M25" s="240" t="s">
        <v>1083</v>
      </c>
      <c r="N25" s="240"/>
      <c r="O25" s="240"/>
      <c r="P25" s="240"/>
      <c r="Q25" s="240"/>
      <c r="R25" s="295">
        <f>Data!B1178</f>
        <v>0</v>
      </c>
      <c r="S25" s="295"/>
      <c r="T25" s="295"/>
      <c r="U25" s="295"/>
      <c r="V25" s="295"/>
      <c r="W25" s="295"/>
      <c r="X25" s="295"/>
      <c r="Y25" s="240" t="s">
        <v>1150</v>
      </c>
      <c r="Z25" s="240"/>
      <c r="AA25" s="240"/>
      <c r="AB25" s="240"/>
      <c r="AC25" s="240"/>
      <c r="AD25" s="295">
        <f>Data!B1184</f>
        <v>0</v>
      </c>
      <c r="AE25" s="295"/>
      <c r="AF25" s="295"/>
      <c r="AG25" s="295"/>
      <c r="AH25" s="295"/>
      <c r="AI25" s="295"/>
      <c r="AJ25" s="295"/>
      <c r="AK25" s="16"/>
    </row>
    <row r="26" spans="1:37" x14ac:dyDescent="0.2">
      <c r="A26" s="240" t="s">
        <v>1138</v>
      </c>
      <c r="B26" s="240"/>
      <c r="C26" s="240"/>
      <c r="D26" s="240"/>
      <c r="E26" s="240"/>
      <c r="F26" s="295">
        <f>Data!B1173</f>
        <v>0</v>
      </c>
      <c r="G26" s="295"/>
      <c r="H26" s="295"/>
      <c r="I26" s="295"/>
      <c r="J26" s="295"/>
      <c r="K26" s="295"/>
      <c r="L26" s="295"/>
      <c r="M26" s="240" t="s">
        <v>1407</v>
      </c>
      <c r="N26" s="240"/>
      <c r="O26" s="240"/>
      <c r="P26" s="240"/>
      <c r="Q26" s="240"/>
      <c r="R26" s="295">
        <f>Data!B1179</f>
        <v>0</v>
      </c>
      <c r="S26" s="295"/>
      <c r="T26" s="295"/>
      <c r="U26" s="295"/>
      <c r="V26" s="295"/>
      <c r="W26" s="295"/>
      <c r="X26" s="295"/>
      <c r="Y26" s="240" t="s">
        <v>1152</v>
      </c>
      <c r="Z26" s="240"/>
      <c r="AA26" s="240"/>
      <c r="AB26" s="240"/>
      <c r="AC26" s="240"/>
      <c r="AD26" s="295">
        <f>Data!B1185</f>
        <v>0</v>
      </c>
      <c r="AE26" s="295"/>
      <c r="AF26" s="295"/>
      <c r="AG26" s="295"/>
      <c r="AH26" s="295"/>
      <c r="AI26" s="295"/>
      <c r="AJ26" s="295"/>
      <c r="AK26" s="16"/>
    </row>
    <row r="27" spans="1:37" x14ac:dyDescent="0.2">
      <c r="A27" s="240" t="s">
        <v>1405</v>
      </c>
      <c r="B27" s="240"/>
      <c r="C27" s="240"/>
      <c r="D27" s="240"/>
      <c r="E27" s="240"/>
      <c r="F27" s="295">
        <f>Data!B1174</f>
        <v>0</v>
      </c>
      <c r="G27" s="295"/>
      <c r="H27" s="295"/>
      <c r="I27" s="295"/>
      <c r="J27" s="295"/>
      <c r="K27" s="295"/>
      <c r="L27" s="295"/>
      <c r="M27" s="240" t="s">
        <v>1408</v>
      </c>
      <c r="N27" s="240"/>
      <c r="O27" s="240"/>
      <c r="P27" s="240"/>
      <c r="Q27" s="240"/>
      <c r="R27" s="295">
        <f>Data!B1180</f>
        <v>0</v>
      </c>
      <c r="S27" s="295"/>
      <c r="T27" s="295"/>
      <c r="U27" s="295"/>
      <c r="V27" s="295"/>
      <c r="W27" s="295"/>
      <c r="X27" s="295"/>
      <c r="Y27" s="240" t="s">
        <v>1410</v>
      </c>
      <c r="Z27" s="240"/>
      <c r="AA27" s="240"/>
      <c r="AB27" s="240"/>
      <c r="AC27" s="240"/>
      <c r="AD27" s="295">
        <f>Data!B1186</f>
        <v>0</v>
      </c>
      <c r="AE27" s="295"/>
      <c r="AF27" s="295"/>
      <c r="AG27" s="295"/>
      <c r="AH27" s="295"/>
      <c r="AI27" s="295"/>
      <c r="AJ27" s="295"/>
      <c r="AK27" s="16"/>
    </row>
    <row r="28" spans="1:37" x14ac:dyDescent="0.2">
      <c r="A28" s="240" t="s">
        <v>1406</v>
      </c>
      <c r="B28" s="240"/>
      <c r="C28" s="240"/>
      <c r="D28" s="240"/>
      <c r="E28" s="240"/>
      <c r="F28" s="295">
        <f>Data!B1175</f>
        <v>0</v>
      </c>
      <c r="G28" s="295"/>
      <c r="H28" s="295"/>
      <c r="I28" s="295"/>
      <c r="J28" s="295"/>
      <c r="K28" s="295"/>
      <c r="L28" s="295"/>
      <c r="M28" s="240" t="s">
        <v>1409</v>
      </c>
      <c r="N28" s="240"/>
      <c r="O28" s="240"/>
      <c r="P28" s="240"/>
      <c r="Q28" s="240"/>
      <c r="R28" s="295">
        <f>Data!B1181</f>
        <v>0</v>
      </c>
      <c r="S28" s="295"/>
      <c r="T28" s="295"/>
      <c r="U28" s="295"/>
      <c r="V28" s="295"/>
      <c r="W28" s="295"/>
      <c r="X28" s="295"/>
      <c r="Y28" s="240" t="s">
        <v>304</v>
      </c>
      <c r="Z28" s="240"/>
      <c r="AA28" s="240"/>
      <c r="AB28" s="240"/>
      <c r="AC28" s="240"/>
      <c r="AD28" s="295">
        <f>Data!B1187</f>
        <v>0</v>
      </c>
      <c r="AE28" s="295"/>
      <c r="AF28" s="295"/>
      <c r="AG28" s="295"/>
      <c r="AH28" s="295"/>
      <c r="AI28" s="295"/>
      <c r="AJ28" s="295"/>
      <c r="AK28" s="16"/>
    </row>
    <row r="29" spans="1:37" ht="12.75" customHeight="1" x14ac:dyDescent="0.2">
      <c r="A29" s="384" t="s">
        <v>785</v>
      </c>
      <c r="B29" s="216">
        <f>Data!B1176</f>
        <v>0</v>
      </c>
      <c r="C29" s="216"/>
      <c r="D29" s="216"/>
      <c r="E29" s="216"/>
      <c r="F29" s="216"/>
      <c r="G29" s="216"/>
      <c r="H29" s="216"/>
      <c r="I29" s="216"/>
      <c r="J29" s="216"/>
      <c r="K29" s="216"/>
      <c r="L29" s="216"/>
      <c r="M29" s="384" t="s">
        <v>785</v>
      </c>
      <c r="N29" s="216">
        <f>Data!B1182</f>
        <v>0</v>
      </c>
      <c r="O29" s="216"/>
      <c r="P29" s="216"/>
      <c r="Q29" s="216"/>
      <c r="R29" s="216"/>
      <c r="S29" s="216"/>
      <c r="T29" s="216"/>
      <c r="U29" s="216"/>
      <c r="V29" s="216"/>
      <c r="W29" s="216"/>
      <c r="X29" s="216"/>
      <c r="Y29" s="384" t="s">
        <v>785</v>
      </c>
      <c r="Z29" s="216">
        <f>Data!B1188</f>
        <v>0</v>
      </c>
      <c r="AA29" s="216"/>
      <c r="AB29" s="216"/>
      <c r="AC29" s="216"/>
      <c r="AD29" s="216"/>
      <c r="AE29" s="216"/>
      <c r="AF29" s="216"/>
      <c r="AG29" s="216"/>
      <c r="AH29" s="216"/>
      <c r="AI29" s="216"/>
      <c r="AJ29" s="216"/>
      <c r="AK29" s="14"/>
    </row>
    <row r="30" spans="1:37" x14ac:dyDescent="0.2">
      <c r="A30" s="384"/>
      <c r="B30" s="216"/>
      <c r="C30" s="216"/>
      <c r="D30" s="216"/>
      <c r="E30" s="216"/>
      <c r="F30" s="216"/>
      <c r="G30" s="216"/>
      <c r="H30" s="216"/>
      <c r="I30" s="216"/>
      <c r="J30" s="216"/>
      <c r="K30" s="216"/>
      <c r="L30" s="216"/>
      <c r="M30" s="384"/>
      <c r="N30" s="216"/>
      <c r="O30" s="216"/>
      <c r="P30" s="216"/>
      <c r="Q30" s="216"/>
      <c r="R30" s="216"/>
      <c r="S30" s="216"/>
      <c r="T30" s="216"/>
      <c r="U30" s="216"/>
      <c r="V30" s="216"/>
      <c r="W30" s="216"/>
      <c r="X30" s="216"/>
      <c r="Y30" s="384"/>
      <c r="Z30" s="216"/>
      <c r="AA30" s="216"/>
      <c r="AB30" s="216"/>
      <c r="AC30" s="216"/>
      <c r="AD30" s="216"/>
      <c r="AE30" s="216"/>
      <c r="AF30" s="216"/>
      <c r="AG30" s="216"/>
      <c r="AH30" s="216"/>
      <c r="AI30" s="216"/>
      <c r="AJ30" s="216"/>
      <c r="AK30" s="14"/>
    </row>
    <row r="31" spans="1:37" x14ac:dyDescent="0.2">
      <c r="A31" s="384"/>
      <c r="B31" s="216"/>
      <c r="C31" s="216"/>
      <c r="D31" s="216"/>
      <c r="E31" s="216"/>
      <c r="F31" s="216"/>
      <c r="G31" s="216"/>
      <c r="H31" s="216"/>
      <c r="I31" s="216"/>
      <c r="J31" s="216"/>
      <c r="K31" s="216"/>
      <c r="L31" s="216"/>
      <c r="M31" s="384"/>
      <c r="N31" s="216"/>
      <c r="O31" s="216"/>
      <c r="P31" s="216"/>
      <c r="Q31" s="216"/>
      <c r="R31" s="216"/>
      <c r="S31" s="216"/>
      <c r="T31" s="216"/>
      <c r="U31" s="216"/>
      <c r="V31" s="216"/>
      <c r="W31" s="216"/>
      <c r="X31" s="216"/>
      <c r="Y31" s="384"/>
      <c r="Z31" s="216"/>
      <c r="AA31" s="216"/>
      <c r="AB31" s="216"/>
      <c r="AC31" s="216"/>
      <c r="AD31" s="216"/>
      <c r="AE31" s="216"/>
      <c r="AF31" s="216"/>
      <c r="AG31" s="216"/>
      <c r="AH31" s="216"/>
      <c r="AI31" s="216"/>
      <c r="AJ31" s="216"/>
      <c r="AK31" s="14"/>
    </row>
    <row r="32" spans="1:37" x14ac:dyDescent="0.2">
      <c r="A32" s="384"/>
      <c r="B32" s="216"/>
      <c r="C32" s="216"/>
      <c r="D32" s="216"/>
      <c r="E32" s="216"/>
      <c r="F32" s="216"/>
      <c r="G32" s="216"/>
      <c r="H32" s="216"/>
      <c r="I32" s="216"/>
      <c r="J32" s="216"/>
      <c r="K32" s="216"/>
      <c r="L32" s="216"/>
      <c r="M32" s="384"/>
      <c r="N32" s="216"/>
      <c r="O32" s="216"/>
      <c r="P32" s="216"/>
      <c r="Q32" s="216"/>
      <c r="R32" s="216"/>
      <c r="S32" s="216"/>
      <c r="T32" s="216"/>
      <c r="U32" s="216"/>
      <c r="V32" s="216"/>
      <c r="W32" s="216"/>
      <c r="X32" s="216"/>
      <c r="Y32" s="384"/>
      <c r="Z32" s="216"/>
      <c r="AA32" s="216"/>
      <c r="AB32" s="216"/>
      <c r="AC32" s="216"/>
      <c r="AD32" s="216"/>
      <c r="AE32" s="216"/>
      <c r="AF32" s="216"/>
      <c r="AG32" s="216"/>
      <c r="AH32" s="216"/>
      <c r="AI32" s="216"/>
      <c r="AJ32" s="216"/>
      <c r="AK32" s="14"/>
    </row>
    <row r="33" spans="1:37" x14ac:dyDescent="0.2">
      <c r="A33" s="340" t="s">
        <v>1411</v>
      </c>
      <c r="B33" s="340"/>
      <c r="C33" s="340"/>
      <c r="D33" s="340"/>
      <c r="E33" s="340"/>
      <c r="F33" s="340"/>
      <c r="G33" s="340"/>
      <c r="H33" s="340"/>
      <c r="I33" s="340"/>
      <c r="J33" s="340"/>
      <c r="K33" s="340"/>
      <c r="L33" s="340"/>
      <c r="M33" s="340"/>
      <c r="N33" s="340"/>
      <c r="O33" s="340"/>
      <c r="P33" s="340"/>
      <c r="Q33" s="340"/>
      <c r="R33" s="340"/>
      <c r="S33" s="340"/>
      <c r="T33" s="340"/>
      <c r="U33" s="340"/>
      <c r="V33" s="340"/>
      <c r="W33" s="340"/>
      <c r="X33" s="340"/>
      <c r="Y33" s="340"/>
      <c r="Z33" s="340"/>
      <c r="AA33" s="340"/>
      <c r="AB33" s="340"/>
      <c r="AC33" s="340"/>
      <c r="AD33" s="340"/>
      <c r="AE33" s="340"/>
      <c r="AF33" s="340"/>
      <c r="AG33" s="340"/>
      <c r="AH33" s="340"/>
      <c r="AI33" s="340"/>
      <c r="AJ33" s="340"/>
      <c r="AK33" s="340"/>
    </row>
    <row r="34" spans="1:37" x14ac:dyDescent="0.2">
      <c r="A34" t="s">
        <v>1412</v>
      </c>
      <c r="E34" s="295">
        <f>Data!B1190</f>
        <v>0</v>
      </c>
      <c r="F34" s="295"/>
      <c r="G34" s="295"/>
      <c r="H34" s="295"/>
      <c r="I34" s="295"/>
      <c r="J34" s="295"/>
      <c r="K34" s="295"/>
      <c r="L34" s="295"/>
      <c r="M34" s="295"/>
      <c r="N34" s="295"/>
      <c r="Q34" t="s">
        <v>1414</v>
      </c>
      <c r="V34" s="295">
        <f>Data!B1192</f>
        <v>0</v>
      </c>
      <c r="W34" s="295"/>
      <c r="X34" s="295"/>
      <c r="Y34" s="295"/>
      <c r="Z34" s="295"/>
      <c r="AA34" s="295"/>
      <c r="AB34" s="295"/>
      <c r="AC34" s="295"/>
      <c r="AD34" s="295"/>
      <c r="AE34" s="295"/>
      <c r="AF34" s="295"/>
    </row>
    <row r="35" spans="1:37" x14ac:dyDescent="0.2">
      <c r="A35" t="s">
        <v>1413</v>
      </c>
      <c r="E35" s="295">
        <f>Data!B1191</f>
        <v>0</v>
      </c>
      <c r="F35" s="295"/>
      <c r="G35" s="295"/>
      <c r="H35" s="295"/>
      <c r="I35" s="295"/>
      <c r="J35" s="295"/>
      <c r="K35" s="295"/>
      <c r="L35" s="295"/>
      <c r="M35" s="295"/>
      <c r="N35" s="295"/>
      <c r="Q35" t="s">
        <v>1415</v>
      </c>
      <c r="V35" s="295">
        <f>Data!B1193</f>
        <v>0</v>
      </c>
      <c r="W35" s="295"/>
      <c r="X35" s="295"/>
      <c r="Y35" s="295"/>
      <c r="Z35" s="295"/>
      <c r="AA35" s="295"/>
      <c r="AB35" s="295"/>
      <c r="AC35" s="295"/>
      <c r="AD35" s="295"/>
      <c r="AE35" s="295"/>
      <c r="AF35" s="295"/>
    </row>
    <row r="36" spans="1:37" x14ac:dyDescent="0.2">
      <c r="F36" t="s">
        <v>636</v>
      </c>
      <c r="P36" s="295">
        <f>Data!B1189</f>
        <v>0</v>
      </c>
      <c r="Q36" s="295"/>
      <c r="R36" s="295"/>
      <c r="S36" s="295"/>
      <c r="T36" s="295"/>
      <c r="U36" s="295"/>
      <c r="V36" s="295"/>
      <c r="W36" s="295"/>
      <c r="X36" s="295"/>
    </row>
    <row r="37" spans="1:37" x14ac:dyDescent="0.2">
      <c r="A37" s="340" t="s">
        <v>1416</v>
      </c>
      <c r="B37" s="340"/>
      <c r="C37" s="340"/>
      <c r="D37" s="340"/>
      <c r="E37" s="340"/>
      <c r="F37" s="340"/>
      <c r="G37" s="340"/>
      <c r="H37" s="340"/>
      <c r="I37" s="340"/>
      <c r="J37" s="340"/>
      <c r="K37" s="340"/>
      <c r="L37" s="340"/>
      <c r="M37" s="340"/>
      <c r="N37" s="340"/>
      <c r="O37" s="340"/>
      <c r="P37" s="340"/>
      <c r="Q37" s="340"/>
      <c r="R37" s="340"/>
      <c r="S37" s="340"/>
      <c r="T37" s="340"/>
      <c r="U37" s="340"/>
      <c r="V37" s="340"/>
      <c r="W37" s="340"/>
      <c r="X37" s="340"/>
      <c r="Y37" s="340"/>
      <c r="Z37" s="340"/>
      <c r="AA37" s="340"/>
      <c r="AB37" s="340"/>
      <c r="AC37" s="340"/>
      <c r="AD37" s="340"/>
      <c r="AE37" s="340"/>
      <c r="AF37" s="340"/>
      <c r="AG37" s="340"/>
      <c r="AH37" s="340"/>
      <c r="AI37" s="340"/>
      <c r="AJ37" s="340"/>
      <c r="AK37" s="340"/>
    </row>
    <row r="38" spans="1:37" x14ac:dyDescent="0.2">
      <c r="B38" s="21" t="str">
        <f>IF(Data!B1194=TRUE,"P","")</f>
        <v/>
      </c>
      <c r="C38" t="s">
        <v>178</v>
      </c>
      <c r="I38" s="21" t="str">
        <f>IF(Data!B1198=TRUE,"P","")</f>
        <v/>
      </c>
      <c r="J38" t="s">
        <v>1420</v>
      </c>
      <c r="Q38" s="21" t="str">
        <f>IF(Data!B1202=TRUE,"P","")</f>
        <v/>
      </c>
      <c r="R38" t="s">
        <v>229</v>
      </c>
      <c r="Y38" s="21" t="str">
        <f>IF(Data!B1206=TRUE,"P","")</f>
        <v/>
      </c>
      <c r="Z38" t="s">
        <v>1065</v>
      </c>
    </row>
    <row r="39" spans="1:37" x14ac:dyDescent="0.2">
      <c r="B39" s="21" t="str">
        <f>IF(Data!B1195=TRUE,"P","")</f>
        <v/>
      </c>
      <c r="C39" t="s">
        <v>1417</v>
      </c>
      <c r="I39" s="21" t="str">
        <f>IF(Data!B1199=TRUE,"P","")</f>
        <v/>
      </c>
      <c r="J39" t="s">
        <v>1066</v>
      </c>
      <c r="Q39" s="21" t="str">
        <f>IF(Data!B1203=TRUE,"P","")</f>
        <v/>
      </c>
      <c r="R39" t="s">
        <v>1423</v>
      </c>
      <c r="Y39" s="21" t="str">
        <f>IF(Data!B1207=TRUE,"P","")</f>
        <v/>
      </c>
      <c r="Z39" t="s">
        <v>1137</v>
      </c>
    </row>
    <row r="40" spans="1:37" x14ac:dyDescent="0.2">
      <c r="B40" s="21" t="str">
        <f>IF(Data!B1196=TRUE,"P","")</f>
        <v/>
      </c>
      <c r="C40" t="s">
        <v>1418</v>
      </c>
      <c r="I40" s="21" t="str">
        <f>IF(Data!B1200=TRUE,"P","")</f>
        <v/>
      </c>
      <c r="J40" t="s">
        <v>1421</v>
      </c>
      <c r="Q40" s="21" t="str">
        <f>IF(Data!B1204=TRUE,"P","")</f>
        <v/>
      </c>
      <c r="R40" t="s">
        <v>3361</v>
      </c>
      <c r="Y40" s="21" t="str">
        <f>IF(Data!B1208=TRUE,"P","")</f>
        <v/>
      </c>
      <c r="Z40" t="s">
        <v>1425</v>
      </c>
    </row>
    <row r="41" spans="1:37" x14ac:dyDescent="0.2">
      <c r="B41" s="21" t="str">
        <f>IF(Data!B1197=TRUE,"P","")</f>
        <v/>
      </c>
      <c r="C41" t="s">
        <v>1419</v>
      </c>
      <c r="I41" s="21" t="str">
        <f>IF(Data!B1201=TRUE,"P","")</f>
        <v/>
      </c>
      <c r="J41" t="s">
        <v>1422</v>
      </c>
      <c r="Q41" s="21" t="str">
        <f>IF(Data!B1205=TRUE,"P","")</f>
        <v/>
      </c>
      <c r="R41" t="s">
        <v>1424</v>
      </c>
      <c r="Y41" s="21" t="str">
        <f>IF(Data!B1209=TRUE,"P","")</f>
        <v/>
      </c>
      <c r="Z41" t="s">
        <v>1390</v>
      </c>
    </row>
    <row r="42" spans="1:37" x14ac:dyDescent="0.2">
      <c r="A42" s="340" t="s">
        <v>1426</v>
      </c>
      <c r="B42" s="340"/>
      <c r="C42" s="340"/>
      <c r="D42" s="340"/>
      <c r="E42" s="340"/>
      <c r="F42" s="340"/>
      <c r="G42" s="340"/>
      <c r="H42" s="340"/>
      <c r="I42" s="340"/>
      <c r="J42" s="340"/>
      <c r="K42" s="340"/>
      <c r="L42" s="340"/>
      <c r="M42" s="340"/>
      <c r="N42" s="340"/>
      <c r="O42" s="340"/>
      <c r="P42" s="340"/>
      <c r="Q42" s="340"/>
      <c r="R42" s="340"/>
      <c r="S42" s="340"/>
      <c r="T42" s="340"/>
      <c r="U42" s="340"/>
      <c r="V42" s="340"/>
      <c r="W42" s="340"/>
      <c r="X42" s="340"/>
      <c r="Y42" s="340"/>
      <c r="Z42" s="340"/>
      <c r="AA42" s="340"/>
      <c r="AB42" s="340"/>
      <c r="AC42" s="340"/>
      <c r="AD42" s="340"/>
      <c r="AE42" s="340"/>
      <c r="AF42" s="340"/>
      <c r="AG42" s="340"/>
      <c r="AH42" s="340"/>
      <c r="AI42" s="340"/>
      <c r="AJ42" s="340"/>
      <c r="AK42" s="340"/>
    </row>
    <row r="43" spans="1:37" x14ac:dyDescent="0.2">
      <c r="A43" s="378">
        <f>Data!B1210</f>
        <v>0</v>
      </c>
      <c r="B43" s="378"/>
      <c r="C43" s="378"/>
      <c r="D43" s="378"/>
      <c r="E43" s="378"/>
      <c r="F43" s="378"/>
      <c r="G43" s="378"/>
      <c r="H43" s="378"/>
      <c r="I43" s="378"/>
      <c r="J43" s="378"/>
      <c r="K43" s="378"/>
      <c r="L43" s="378"/>
      <c r="M43" s="378"/>
      <c r="N43" s="378"/>
      <c r="O43" s="378"/>
      <c r="P43" s="378"/>
      <c r="Q43" s="378"/>
      <c r="R43" s="378"/>
      <c r="S43" s="378"/>
      <c r="T43" s="378"/>
      <c r="U43" s="378"/>
      <c r="V43" s="378"/>
      <c r="W43" s="378"/>
      <c r="X43" s="378"/>
      <c r="Y43" s="378"/>
      <c r="Z43" s="378"/>
      <c r="AA43" s="378"/>
      <c r="AB43" s="378"/>
      <c r="AC43" s="378"/>
      <c r="AD43" s="378"/>
      <c r="AE43" s="378"/>
      <c r="AF43" s="378"/>
      <c r="AG43" s="378"/>
      <c r="AH43" s="378"/>
      <c r="AI43" s="378"/>
      <c r="AJ43" s="378"/>
      <c r="AK43" s="378"/>
    </row>
    <row r="44" spans="1:37" x14ac:dyDescent="0.2">
      <c r="A44" s="378"/>
      <c r="B44" s="378"/>
      <c r="C44" s="378"/>
      <c r="D44" s="378"/>
      <c r="E44" s="378"/>
      <c r="F44" s="378"/>
      <c r="G44" s="378"/>
      <c r="H44" s="378"/>
      <c r="I44" s="378"/>
      <c r="J44" s="378"/>
      <c r="K44" s="378"/>
      <c r="L44" s="378"/>
      <c r="M44" s="378"/>
      <c r="N44" s="378"/>
      <c r="O44" s="378"/>
      <c r="P44" s="378"/>
      <c r="Q44" s="378"/>
      <c r="R44" s="378"/>
      <c r="S44" s="378"/>
      <c r="T44" s="378"/>
      <c r="U44" s="378"/>
      <c r="V44" s="378"/>
      <c r="W44" s="378"/>
      <c r="X44" s="378"/>
      <c r="Y44" s="378"/>
      <c r="Z44" s="378"/>
      <c r="AA44" s="378"/>
      <c r="AB44" s="378"/>
      <c r="AC44" s="378"/>
      <c r="AD44" s="378"/>
      <c r="AE44" s="378"/>
      <c r="AF44" s="378"/>
      <c r="AG44" s="378"/>
      <c r="AH44" s="378"/>
      <c r="AI44" s="378"/>
      <c r="AJ44" s="378"/>
      <c r="AK44" s="378"/>
    </row>
    <row r="45" spans="1:37" x14ac:dyDescent="0.2">
      <c r="A45" s="378"/>
      <c r="B45" s="378"/>
      <c r="C45" s="378"/>
      <c r="D45" s="378"/>
      <c r="E45" s="378"/>
      <c r="F45" s="378"/>
      <c r="G45" s="378"/>
      <c r="H45" s="378"/>
      <c r="I45" s="378"/>
      <c r="J45" s="378"/>
      <c r="K45" s="378"/>
      <c r="L45" s="378"/>
      <c r="M45" s="378"/>
      <c r="N45" s="378"/>
      <c r="O45" s="378"/>
      <c r="P45" s="378"/>
      <c r="Q45" s="378"/>
      <c r="R45" s="378"/>
      <c r="S45" s="378"/>
      <c r="T45" s="378"/>
      <c r="U45" s="378"/>
      <c r="V45" s="378"/>
      <c r="W45" s="378"/>
      <c r="X45" s="378"/>
      <c r="Y45" s="378"/>
      <c r="Z45" s="378"/>
      <c r="AA45" s="378"/>
      <c r="AB45" s="378"/>
      <c r="AC45" s="378"/>
      <c r="AD45" s="378"/>
      <c r="AE45" s="378"/>
      <c r="AF45" s="378"/>
      <c r="AG45" s="378"/>
      <c r="AH45" s="378"/>
      <c r="AI45" s="378"/>
      <c r="AJ45" s="378"/>
      <c r="AK45" s="378"/>
    </row>
    <row r="47" spans="1:37" x14ac:dyDescent="0.2">
      <c r="O47" s="240"/>
      <c r="P47" s="240"/>
      <c r="Q47" s="240"/>
      <c r="R47" s="240"/>
      <c r="S47" s="240"/>
      <c r="T47" s="240"/>
      <c r="U47" s="240"/>
      <c r="V47" s="240"/>
      <c r="W47" s="240"/>
      <c r="X47" s="240"/>
      <c r="Y47" s="240"/>
      <c r="Z47" s="240"/>
      <c r="AA47" s="240"/>
      <c r="AB47" s="240"/>
      <c r="AC47" s="240"/>
      <c r="AD47" s="240"/>
      <c r="AE47" s="240"/>
      <c r="AF47" s="240"/>
      <c r="AG47" s="240"/>
    </row>
    <row r="48" spans="1:37" x14ac:dyDescent="0.2">
      <c r="A48" s="295">
        <f>Data!B175</f>
        <v>0</v>
      </c>
      <c r="B48" s="295"/>
      <c r="C48" s="295"/>
      <c r="D48" s="295"/>
      <c r="E48" s="295"/>
      <c r="F48" s="295"/>
      <c r="G48" s="295"/>
      <c r="H48" s="295"/>
      <c r="I48" s="295"/>
      <c r="J48" s="295"/>
      <c r="K48" s="295"/>
      <c r="L48" s="295"/>
      <c r="M48" s="295"/>
      <c r="O48" s="240"/>
      <c r="P48" s="240"/>
      <c r="Q48" s="240"/>
      <c r="R48" s="240"/>
      <c r="S48" s="240"/>
      <c r="T48" s="240"/>
      <c r="U48" s="240"/>
      <c r="V48" s="240"/>
      <c r="W48" s="240"/>
      <c r="X48" s="240"/>
      <c r="Y48" s="240"/>
      <c r="Z48" s="240"/>
      <c r="AA48" s="240"/>
      <c r="AB48" s="240"/>
      <c r="AC48" s="240"/>
      <c r="AD48" s="240"/>
      <c r="AE48" s="240"/>
      <c r="AF48" s="240"/>
      <c r="AG48" s="240"/>
    </row>
    <row r="49" spans="1:37" x14ac:dyDescent="0.2">
      <c r="A49" t="s">
        <v>1282</v>
      </c>
      <c r="O49" s="240"/>
      <c r="P49" s="240"/>
      <c r="Q49" s="240"/>
      <c r="R49" s="240"/>
      <c r="S49" s="240"/>
      <c r="T49" s="240"/>
      <c r="U49" s="240"/>
      <c r="V49" s="240"/>
      <c r="W49" s="240"/>
      <c r="X49" s="240"/>
      <c r="Y49" s="240"/>
      <c r="Z49" s="240"/>
      <c r="AA49" s="240"/>
      <c r="AB49" s="240"/>
      <c r="AC49" s="240"/>
      <c r="AD49" s="240"/>
      <c r="AE49" s="240"/>
      <c r="AF49" s="240"/>
      <c r="AG49" s="240"/>
    </row>
    <row r="50" spans="1:37" x14ac:dyDescent="0.2">
      <c r="O50" t="s">
        <v>1427</v>
      </c>
    </row>
    <row r="52" spans="1:37" x14ac:dyDescent="0.2">
      <c r="A52" t="s">
        <v>1167</v>
      </c>
      <c r="G52" s="295">
        <f>Data!B1045</f>
        <v>0</v>
      </c>
      <c r="H52" s="295"/>
      <c r="I52" s="295"/>
      <c r="J52" s="295"/>
      <c r="K52" s="295"/>
      <c r="L52" s="295"/>
      <c r="M52" s="295"/>
      <c r="N52" s="295"/>
      <c r="O52" s="295"/>
      <c r="P52" s="295"/>
      <c r="Q52" s="295"/>
      <c r="R52" s="295"/>
      <c r="S52" s="295"/>
      <c r="T52" s="295"/>
      <c r="U52" s="295"/>
      <c r="V52" s="295"/>
      <c r="W52" s="295"/>
      <c r="Y52" t="s">
        <v>1395</v>
      </c>
      <c r="AE52" s="350">
        <f>Data!B34</f>
        <v>0</v>
      </c>
      <c r="AF52" s="295"/>
      <c r="AG52" s="295"/>
      <c r="AH52" s="295"/>
      <c r="AI52" s="295"/>
      <c r="AJ52" s="295"/>
      <c r="AK52" s="295"/>
    </row>
    <row r="54" spans="1:37" x14ac:dyDescent="0.2">
      <c r="A54" s="340" t="s">
        <v>1428</v>
      </c>
      <c r="B54" s="340"/>
      <c r="C54" s="340"/>
      <c r="D54" s="340"/>
      <c r="E54" s="340"/>
      <c r="F54" s="340"/>
      <c r="G54" s="340"/>
      <c r="H54" s="340"/>
      <c r="I54" s="340"/>
      <c r="J54" s="340"/>
      <c r="K54" s="340"/>
      <c r="L54" s="340"/>
      <c r="M54" s="340"/>
      <c r="N54" s="340"/>
      <c r="O54" s="340"/>
      <c r="P54" s="340"/>
      <c r="Q54" s="340"/>
      <c r="R54" s="340"/>
      <c r="S54" s="340"/>
      <c r="T54" s="340"/>
      <c r="U54" s="340"/>
      <c r="V54" s="340"/>
      <c r="W54" s="340"/>
      <c r="X54" s="340"/>
      <c r="Y54" s="340"/>
      <c r="Z54" s="340"/>
      <c r="AA54" s="340"/>
      <c r="AB54" s="340"/>
      <c r="AC54" s="340"/>
      <c r="AD54" s="340"/>
      <c r="AE54" s="340"/>
      <c r="AF54" s="340"/>
      <c r="AG54" s="340"/>
      <c r="AH54" s="340"/>
      <c r="AI54" s="340"/>
      <c r="AJ54" s="340"/>
      <c r="AK54" s="340"/>
    </row>
    <row r="55" spans="1:37" x14ac:dyDescent="0.2">
      <c r="P55" s="261" t="s">
        <v>142</v>
      </c>
      <c r="Q55" s="261"/>
      <c r="R55" s="261"/>
      <c r="S55" s="261"/>
      <c r="T55" s="261" t="s">
        <v>105</v>
      </c>
      <c r="U55" s="261"/>
      <c r="V55" s="261"/>
      <c r="W55" s="261"/>
      <c r="X55" s="261" t="s">
        <v>106</v>
      </c>
      <c r="Y55" s="261"/>
      <c r="Z55" s="261"/>
      <c r="AA55" s="261"/>
      <c r="AB55" s="240" t="s">
        <v>1439</v>
      </c>
      <c r="AC55" s="240"/>
      <c r="AD55" s="240"/>
      <c r="AE55" s="240"/>
      <c r="AF55" s="240"/>
      <c r="AG55" s="240"/>
      <c r="AH55" s="240"/>
      <c r="AI55" s="240"/>
      <c r="AJ55" s="240"/>
      <c r="AK55" s="240"/>
    </row>
    <row r="56" spans="1:37" x14ac:dyDescent="0.2">
      <c r="A56" s="254" t="s">
        <v>1429</v>
      </c>
      <c r="B56" s="254"/>
      <c r="C56" s="254"/>
      <c r="D56" s="254"/>
      <c r="E56" s="254"/>
      <c r="F56" s="254"/>
      <c r="G56" s="254"/>
      <c r="H56" s="254"/>
      <c r="I56" s="254"/>
      <c r="J56" s="254"/>
      <c r="K56" s="254"/>
      <c r="L56" s="254"/>
      <c r="M56" s="254"/>
      <c r="N56" s="254"/>
      <c r="O56" s="254"/>
      <c r="P56" s="254"/>
      <c r="Q56" s="254"/>
      <c r="R56" s="254"/>
      <c r="S56" s="254"/>
      <c r="T56" s="254"/>
      <c r="U56" s="254"/>
      <c r="V56" s="254"/>
      <c r="W56" s="254"/>
      <c r="X56" s="254"/>
      <c r="Y56" s="254"/>
      <c r="Z56" s="254"/>
      <c r="AA56" s="254"/>
      <c r="AB56" s="254"/>
      <c r="AC56" s="254"/>
      <c r="AD56" s="254"/>
      <c r="AE56" s="254"/>
      <c r="AF56" s="254"/>
      <c r="AG56" s="254"/>
      <c r="AH56" s="254"/>
      <c r="AI56" s="254"/>
      <c r="AJ56" s="254"/>
      <c r="AK56" s="254"/>
    </row>
    <row r="57" spans="1:37" x14ac:dyDescent="0.2">
      <c r="A57" s="254" t="s">
        <v>1430</v>
      </c>
      <c r="B57" s="254"/>
      <c r="C57" s="254"/>
      <c r="D57" s="254"/>
      <c r="E57" s="254"/>
      <c r="F57" s="254"/>
      <c r="G57" s="254"/>
      <c r="H57" s="254"/>
      <c r="I57" s="254"/>
      <c r="J57" s="254"/>
      <c r="K57" s="254"/>
      <c r="L57" s="254"/>
      <c r="M57" s="254"/>
      <c r="N57" s="254"/>
      <c r="O57" s="254"/>
      <c r="P57" s="254"/>
      <c r="Q57" s="254"/>
      <c r="R57" s="254"/>
      <c r="S57" s="254"/>
      <c r="T57" s="254"/>
      <c r="U57" s="254"/>
      <c r="V57" s="254"/>
      <c r="W57" s="254"/>
      <c r="X57" s="254"/>
      <c r="Y57" s="254"/>
      <c r="Z57" s="254"/>
      <c r="AA57" s="254"/>
      <c r="AB57" s="254"/>
      <c r="AC57" s="254"/>
      <c r="AD57" s="254"/>
      <c r="AE57" s="254"/>
      <c r="AF57" s="254"/>
      <c r="AG57" s="254"/>
      <c r="AH57" s="254"/>
      <c r="AI57" s="254"/>
      <c r="AJ57" s="254"/>
      <c r="AK57" s="254"/>
    </row>
    <row r="58" spans="1:37" x14ac:dyDescent="0.2">
      <c r="A58" s="254" t="s">
        <v>1431</v>
      </c>
      <c r="B58" s="254"/>
      <c r="C58" s="254"/>
      <c r="D58" s="254"/>
      <c r="E58" s="254"/>
      <c r="F58" s="254"/>
      <c r="G58" s="254"/>
      <c r="H58" s="254"/>
      <c r="I58" s="254"/>
      <c r="J58" s="254"/>
      <c r="K58" s="254"/>
      <c r="L58" s="254"/>
      <c r="M58" s="254"/>
      <c r="N58" s="254"/>
      <c r="O58" s="254"/>
      <c r="P58" s="254"/>
      <c r="Q58" s="254"/>
      <c r="R58" s="254"/>
      <c r="S58" s="254"/>
      <c r="T58" s="254"/>
      <c r="U58" s="254"/>
      <c r="V58" s="254"/>
      <c r="W58" s="254"/>
      <c r="X58" s="254"/>
      <c r="Y58" s="254"/>
      <c r="Z58" s="254"/>
      <c r="AA58" s="254"/>
      <c r="AB58" s="254"/>
      <c r="AC58" s="254"/>
      <c r="AD58" s="254"/>
      <c r="AE58" s="254"/>
      <c r="AF58" s="254"/>
      <c r="AG58" s="254"/>
      <c r="AH58" s="254"/>
      <c r="AI58" s="254"/>
      <c r="AJ58" s="254"/>
      <c r="AK58" s="254"/>
    </row>
    <row r="59" spans="1:37" x14ac:dyDescent="0.2">
      <c r="A59" s="254" t="s">
        <v>1432</v>
      </c>
      <c r="B59" s="254"/>
      <c r="C59" s="254"/>
      <c r="D59" s="254"/>
      <c r="E59" s="254"/>
      <c r="F59" s="254"/>
      <c r="G59" s="254"/>
      <c r="H59" s="254"/>
      <c r="I59" s="254"/>
      <c r="J59" s="254"/>
      <c r="K59" s="254"/>
      <c r="L59" s="254"/>
      <c r="M59" s="254"/>
      <c r="N59" s="254"/>
      <c r="O59" s="254"/>
      <c r="P59" s="254"/>
      <c r="Q59" s="254"/>
      <c r="R59" s="254"/>
      <c r="S59" s="254"/>
      <c r="T59" s="254"/>
      <c r="U59" s="254"/>
      <c r="V59" s="254"/>
      <c r="W59" s="254"/>
      <c r="X59" s="254"/>
      <c r="Y59" s="254"/>
      <c r="Z59" s="254"/>
      <c r="AA59" s="254"/>
      <c r="AB59" s="254"/>
      <c r="AC59" s="254"/>
      <c r="AD59" s="254"/>
      <c r="AE59" s="254"/>
      <c r="AF59" s="254"/>
      <c r="AG59" s="254"/>
      <c r="AH59" s="254"/>
      <c r="AI59" s="254"/>
      <c r="AJ59" s="254"/>
      <c r="AK59" s="254"/>
    </row>
    <row r="60" spans="1:37" x14ac:dyDescent="0.2">
      <c r="A60" s="254" t="s">
        <v>1433</v>
      </c>
      <c r="B60" s="254"/>
      <c r="C60" s="254"/>
      <c r="D60" s="254"/>
      <c r="E60" s="254"/>
      <c r="F60" s="254"/>
      <c r="G60" s="254"/>
      <c r="H60" s="254"/>
      <c r="I60" s="254"/>
      <c r="J60" s="254"/>
      <c r="K60" s="254"/>
      <c r="L60" s="254"/>
      <c r="M60" s="254"/>
      <c r="N60" s="254"/>
      <c r="O60" s="254"/>
      <c r="P60" s="254"/>
      <c r="Q60" s="254"/>
      <c r="R60" s="254"/>
      <c r="S60" s="254"/>
      <c r="T60" s="254"/>
      <c r="U60" s="254"/>
      <c r="V60" s="254"/>
      <c r="W60" s="254"/>
      <c r="X60" s="254"/>
      <c r="Y60" s="254"/>
      <c r="Z60" s="254"/>
      <c r="AA60" s="254"/>
      <c r="AB60" s="254"/>
      <c r="AC60" s="254"/>
      <c r="AD60" s="254"/>
      <c r="AE60" s="254"/>
      <c r="AF60" s="254"/>
      <c r="AG60" s="254"/>
      <c r="AH60" s="254"/>
      <c r="AI60" s="254"/>
      <c r="AJ60" s="254"/>
      <c r="AK60" s="254"/>
    </row>
    <row r="61" spans="1:37" x14ac:dyDescent="0.2">
      <c r="A61" s="254" t="s">
        <v>1434</v>
      </c>
      <c r="B61" s="254"/>
      <c r="C61" s="254"/>
      <c r="D61" s="254"/>
      <c r="E61" s="254"/>
      <c r="F61" s="254"/>
      <c r="G61" s="254"/>
      <c r="H61" s="254"/>
      <c r="I61" s="254"/>
      <c r="J61" s="254"/>
      <c r="K61" s="254"/>
      <c r="L61" s="254"/>
      <c r="M61" s="254"/>
      <c r="N61" s="254"/>
      <c r="O61" s="254"/>
      <c r="P61" s="254"/>
      <c r="Q61" s="254"/>
      <c r="R61" s="254"/>
      <c r="S61" s="254"/>
      <c r="T61" s="254"/>
      <c r="U61" s="254"/>
      <c r="V61" s="254"/>
      <c r="W61" s="254"/>
      <c r="X61" s="254"/>
      <c r="Y61" s="254"/>
      <c r="Z61" s="254"/>
      <c r="AA61" s="254"/>
      <c r="AB61" s="254"/>
      <c r="AC61" s="254"/>
      <c r="AD61" s="254"/>
      <c r="AE61" s="254"/>
      <c r="AF61" s="254"/>
      <c r="AG61" s="254"/>
      <c r="AH61" s="254"/>
      <c r="AI61" s="254"/>
      <c r="AJ61" s="254"/>
      <c r="AK61" s="254"/>
    </row>
    <row r="62" spans="1:37" x14ac:dyDescent="0.2">
      <c r="A62" s="254" t="s">
        <v>1435</v>
      </c>
      <c r="B62" s="254"/>
      <c r="C62" s="254"/>
      <c r="D62" s="254"/>
      <c r="E62" s="254"/>
      <c r="F62" s="254"/>
      <c r="G62" s="254"/>
      <c r="H62" s="254"/>
      <c r="I62" s="254"/>
      <c r="J62" s="254"/>
      <c r="K62" s="254"/>
      <c r="L62" s="254"/>
      <c r="M62" s="254"/>
      <c r="N62" s="254"/>
      <c r="O62" s="254"/>
      <c r="P62" s="254"/>
      <c r="Q62" s="254"/>
      <c r="R62" s="254"/>
      <c r="S62" s="254"/>
      <c r="T62" s="254"/>
      <c r="U62" s="254"/>
      <c r="V62" s="254"/>
      <c r="W62" s="254"/>
      <c r="X62" s="254"/>
      <c r="Y62" s="254"/>
      <c r="Z62" s="254"/>
      <c r="AA62" s="254"/>
      <c r="AB62" s="254"/>
      <c r="AC62" s="254"/>
      <c r="AD62" s="254"/>
      <c r="AE62" s="254"/>
      <c r="AF62" s="254"/>
      <c r="AG62" s="254"/>
      <c r="AH62" s="254"/>
      <c r="AI62" s="254"/>
      <c r="AJ62" s="254"/>
      <c r="AK62" s="254"/>
    </row>
    <row r="63" spans="1:37" x14ac:dyDescent="0.2">
      <c r="A63" s="254" t="s">
        <v>1436</v>
      </c>
      <c r="B63" s="254"/>
      <c r="C63" s="254"/>
      <c r="D63" s="254"/>
      <c r="E63" s="254"/>
      <c r="F63" s="254"/>
      <c r="G63" s="254"/>
      <c r="H63" s="254"/>
      <c r="I63" s="254"/>
      <c r="J63" s="254"/>
      <c r="K63" s="254"/>
      <c r="L63" s="254"/>
      <c r="M63" s="254"/>
      <c r="N63" s="254"/>
      <c r="O63" s="254"/>
      <c r="P63" s="254"/>
      <c r="Q63" s="254"/>
      <c r="R63" s="254"/>
      <c r="S63" s="254"/>
      <c r="T63" s="254"/>
      <c r="U63" s="254"/>
      <c r="V63" s="254"/>
      <c r="W63" s="254"/>
      <c r="X63" s="254"/>
      <c r="Y63" s="254"/>
      <c r="Z63" s="254"/>
      <c r="AA63" s="254"/>
      <c r="AB63" s="254"/>
      <c r="AC63" s="254"/>
      <c r="AD63" s="254"/>
      <c r="AE63" s="254"/>
      <c r="AF63" s="254"/>
      <c r="AG63" s="254"/>
      <c r="AH63" s="254"/>
      <c r="AI63" s="254"/>
      <c r="AJ63" s="254"/>
      <c r="AK63" s="254"/>
    </row>
    <row r="64" spans="1:37" x14ac:dyDescent="0.2">
      <c r="A64" s="254" t="s">
        <v>1437</v>
      </c>
      <c r="B64" s="254"/>
      <c r="C64" s="254"/>
      <c r="D64" s="254"/>
      <c r="E64" s="254"/>
      <c r="F64" s="254"/>
      <c r="G64" s="254"/>
      <c r="H64" s="254"/>
      <c r="I64" s="254"/>
      <c r="J64" s="254"/>
      <c r="K64" s="254"/>
      <c r="L64" s="254"/>
      <c r="M64" s="254"/>
      <c r="N64" s="254"/>
      <c r="O64" s="254"/>
      <c r="P64" s="254"/>
      <c r="Q64" s="254"/>
      <c r="R64" s="254"/>
      <c r="S64" s="254"/>
      <c r="T64" s="254"/>
      <c r="U64" s="254"/>
      <c r="V64" s="254"/>
      <c r="W64" s="254"/>
      <c r="X64" s="254"/>
      <c r="Y64" s="254"/>
      <c r="Z64" s="254"/>
      <c r="AA64" s="254"/>
      <c r="AB64" s="254"/>
      <c r="AC64" s="254"/>
      <c r="AD64" s="254"/>
      <c r="AE64" s="254"/>
      <c r="AF64" s="254"/>
      <c r="AG64" s="254"/>
      <c r="AH64" s="254"/>
      <c r="AI64" s="254"/>
      <c r="AJ64" s="254"/>
      <c r="AK64" s="254"/>
    </row>
    <row r="65" spans="1:37" x14ac:dyDescent="0.2">
      <c r="A65" s="254" t="s">
        <v>1438</v>
      </c>
      <c r="B65" s="254"/>
      <c r="C65" s="254"/>
      <c r="D65" s="254"/>
      <c r="E65" s="254"/>
      <c r="F65" s="254"/>
      <c r="G65" s="254"/>
      <c r="H65" s="254"/>
      <c r="I65" s="254"/>
      <c r="J65" s="254"/>
      <c r="K65" s="254"/>
      <c r="L65" s="254"/>
      <c r="M65" s="254"/>
      <c r="N65" s="254"/>
      <c r="O65" s="254"/>
      <c r="P65" s="254"/>
      <c r="Q65" s="254"/>
      <c r="R65" s="254"/>
      <c r="S65" s="254"/>
      <c r="T65" s="254"/>
      <c r="U65" s="254"/>
      <c r="V65" s="254"/>
      <c r="W65" s="254"/>
      <c r="X65" s="254"/>
      <c r="Y65" s="254"/>
      <c r="Z65" s="254"/>
      <c r="AA65" s="254"/>
      <c r="AB65" s="254"/>
      <c r="AC65" s="254"/>
      <c r="AD65" s="254"/>
      <c r="AE65" s="254"/>
      <c r="AF65" s="254"/>
      <c r="AG65" s="254"/>
      <c r="AH65" s="254"/>
      <c r="AI65" s="254"/>
      <c r="AJ65" s="254"/>
      <c r="AK65" s="254"/>
    </row>
    <row r="67" spans="1:37" x14ac:dyDescent="0.2">
      <c r="A67" t="s">
        <v>1440</v>
      </c>
    </row>
    <row r="68" spans="1:37" x14ac:dyDescent="0.2">
      <c r="A68" s="374"/>
      <c r="B68" s="375"/>
      <c r="C68" s="375"/>
      <c r="D68" s="375"/>
      <c r="E68" s="375"/>
      <c r="F68" s="375"/>
      <c r="G68" s="375"/>
      <c r="H68" s="375"/>
      <c r="I68" s="375"/>
      <c r="J68" s="375"/>
      <c r="K68" s="375"/>
      <c r="L68" s="375"/>
      <c r="M68" s="375"/>
      <c r="N68" s="375"/>
      <c r="O68" s="375"/>
      <c r="P68" s="375"/>
      <c r="Q68" s="375"/>
      <c r="R68" s="375"/>
      <c r="S68" s="375"/>
      <c r="T68" s="375"/>
      <c r="U68" s="375"/>
      <c r="V68" s="375"/>
      <c r="W68" s="375"/>
      <c r="X68" s="375"/>
      <c r="Y68" s="375"/>
      <c r="Z68" s="375"/>
      <c r="AA68" s="375"/>
      <c r="AB68" s="375"/>
      <c r="AC68" s="375"/>
      <c r="AD68" s="375"/>
      <c r="AE68" s="375"/>
      <c r="AF68" s="375"/>
      <c r="AG68" s="375"/>
      <c r="AH68" s="375"/>
      <c r="AI68" s="375"/>
      <c r="AJ68" s="375"/>
      <c r="AK68" s="376"/>
    </row>
    <row r="69" spans="1:37" x14ac:dyDescent="0.2">
      <c r="A69" s="377"/>
      <c r="B69" s="378"/>
      <c r="C69" s="378"/>
      <c r="D69" s="378"/>
      <c r="E69" s="378"/>
      <c r="F69" s="378"/>
      <c r="G69" s="378"/>
      <c r="H69" s="378"/>
      <c r="I69" s="378"/>
      <c r="J69" s="378"/>
      <c r="K69" s="378"/>
      <c r="L69" s="378"/>
      <c r="M69" s="378"/>
      <c r="N69" s="378"/>
      <c r="O69" s="378"/>
      <c r="P69" s="378"/>
      <c r="Q69" s="378"/>
      <c r="R69" s="378"/>
      <c r="S69" s="378"/>
      <c r="T69" s="378"/>
      <c r="U69" s="378"/>
      <c r="V69" s="378"/>
      <c r="W69" s="378"/>
      <c r="X69" s="378"/>
      <c r="Y69" s="378"/>
      <c r="Z69" s="378"/>
      <c r="AA69" s="378"/>
      <c r="AB69" s="378"/>
      <c r="AC69" s="378"/>
      <c r="AD69" s="378"/>
      <c r="AE69" s="378"/>
      <c r="AF69" s="378"/>
      <c r="AG69" s="378"/>
      <c r="AH69" s="378"/>
      <c r="AI69" s="378"/>
      <c r="AJ69" s="378"/>
      <c r="AK69" s="379"/>
    </row>
    <row r="70" spans="1:37" x14ac:dyDescent="0.2">
      <c r="A70" s="380"/>
      <c r="B70" s="381"/>
      <c r="C70" s="381"/>
      <c r="D70" s="381"/>
      <c r="E70" s="381"/>
      <c r="F70" s="381"/>
      <c r="G70" s="381"/>
      <c r="H70" s="381"/>
      <c r="I70" s="381"/>
      <c r="J70" s="381"/>
      <c r="K70" s="381"/>
      <c r="L70" s="381"/>
      <c r="M70" s="381"/>
      <c r="N70" s="381"/>
      <c r="O70" s="381"/>
      <c r="P70" s="381"/>
      <c r="Q70" s="381"/>
      <c r="R70" s="381"/>
      <c r="S70" s="381"/>
      <c r="T70" s="381"/>
      <c r="U70" s="381"/>
      <c r="V70" s="381"/>
      <c r="W70" s="381"/>
      <c r="X70" s="381"/>
      <c r="Y70" s="381"/>
      <c r="Z70" s="381"/>
      <c r="AA70" s="381"/>
      <c r="AB70" s="381"/>
      <c r="AC70" s="381"/>
      <c r="AD70" s="381"/>
      <c r="AE70" s="381"/>
      <c r="AF70" s="381"/>
      <c r="AG70" s="381"/>
      <c r="AH70" s="381"/>
      <c r="AI70" s="381"/>
      <c r="AJ70" s="381"/>
      <c r="AK70" s="382"/>
    </row>
    <row r="72" spans="1:37" x14ac:dyDescent="0.2">
      <c r="A72" s="340" t="s">
        <v>1441</v>
      </c>
      <c r="B72" s="340"/>
      <c r="C72" s="340"/>
      <c r="D72" s="340"/>
      <c r="E72" s="340"/>
      <c r="F72" s="340"/>
      <c r="G72" s="340"/>
      <c r="H72" s="340"/>
      <c r="I72" s="340"/>
      <c r="J72" s="340"/>
      <c r="K72" s="340"/>
      <c r="L72" s="340"/>
      <c r="M72" s="340"/>
      <c r="N72" s="340"/>
      <c r="O72" s="340"/>
      <c r="P72" s="340"/>
      <c r="Q72" s="340"/>
      <c r="R72" s="340"/>
      <c r="S72" s="340"/>
      <c r="T72" s="340"/>
      <c r="U72" s="340"/>
      <c r="V72" s="340"/>
      <c r="W72" s="340"/>
      <c r="X72" s="340"/>
      <c r="Y72" s="340"/>
      <c r="Z72" s="340"/>
      <c r="AA72" s="340"/>
      <c r="AB72" s="340"/>
      <c r="AC72" s="340"/>
      <c r="AD72" s="340"/>
      <c r="AE72" s="340"/>
      <c r="AF72" s="340"/>
      <c r="AG72" s="340"/>
      <c r="AH72" s="340"/>
      <c r="AI72" s="340"/>
      <c r="AJ72" s="340"/>
      <c r="AK72" s="340"/>
    </row>
    <row r="73" spans="1:37" x14ac:dyDescent="0.2">
      <c r="A73" s="254" t="s">
        <v>1129</v>
      </c>
      <c r="B73" s="254"/>
      <c r="C73" s="254"/>
      <c r="D73" s="254"/>
      <c r="E73" s="254"/>
      <c r="F73" s="254"/>
      <c r="G73" s="254"/>
      <c r="H73" s="254"/>
      <c r="I73" s="254"/>
      <c r="J73" s="254"/>
      <c r="K73" s="254"/>
      <c r="L73" s="254"/>
      <c r="M73" s="254"/>
      <c r="N73" s="254"/>
      <c r="O73" s="254"/>
      <c r="P73" s="254" t="s">
        <v>1442</v>
      </c>
      <c r="Q73" s="254"/>
      <c r="R73" s="254"/>
      <c r="S73" s="254"/>
      <c r="T73" s="254"/>
      <c r="U73" s="254"/>
      <c r="V73" s="254"/>
      <c r="W73" s="254"/>
      <c r="X73" s="254" t="s">
        <v>1439</v>
      </c>
      <c r="Y73" s="254"/>
      <c r="Z73" s="254"/>
      <c r="AA73" s="254"/>
      <c r="AB73" s="254"/>
      <c r="AC73" s="254"/>
      <c r="AD73" s="254"/>
      <c r="AE73" s="254"/>
      <c r="AF73" s="254"/>
      <c r="AG73" s="254"/>
      <c r="AH73" s="254"/>
      <c r="AI73" s="254"/>
      <c r="AJ73" s="254"/>
      <c r="AK73" s="254"/>
    </row>
    <row r="74" spans="1:37" x14ac:dyDescent="0.2">
      <c r="A74" s="254"/>
      <c r="B74" s="254"/>
      <c r="C74" s="254"/>
      <c r="D74" s="254"/>
      <c r="E74" s="254"/>
      <c r="F74" s="254"/>
      <c r="G74" s="254"/>
      <c r="H74" s="254"/>
      <c r="I74" s="254"/>
      <c r="J74" s="254"/>
      <c r="K74" s="254"/>
      <c r="L74" s="254"/>
      <c r="M74" s="254"/>
      <c r="N74" s="254"/>
      <c r="O74" s="254"/>
      <c r="P74" s="254"/>
      <c r="Q74" s="254"/>
      <c r="R74" s="254"/>
      <c r="S74" s="254"/>
      <c r="T74" s="254"/>
      <c r="U74" s="254"/>
      <c r="V74" s="254"/>
      <c r="W74" s="254"/>
      <c r="X74" s="254"/>
      <c r="Y74" s="254"/>
      <c r="Z74" s="254"/>
      <c r="AA74" s="254"/>
      <c r="AB74" s="254"/>
      <c r="AC74" s="254"/>
      <c r="AD74" s="254"/>
      <c r="AE74" s="254"/>
      <c r="AF74" s="254"/>
      <c r="AG74" s="254"/>
      <c r="AH74" s="254"/>
      <c r="AI74" s="254"/>
      <c r="AJ74" s="254"/>
      <c r="AK74" s="254"/>
    </row>
    <row r="75" spans="1:37" x14ac:dyDescent="0.2">
      <c r="A75" s="254"/>
      <c r="B75" s="254"/>
      <c r="C75" s="254"/>
      <c r="D75" s="254"/>
      <c r="E75" s="254"/>
      <c r="F75" s="254"/>
      <c r="G75" s="254"/>
      <c r="H75" s="254"/>
      <c r="I75" s="254"/>
      <c r="J75" s="254"/>
      <c r="K75" s="254"/>
      <c r="L75" s="254"/>
      <c r="M75" s="254"/>
      <c r="N75" s="254"/>
      <c r="O75" s="254"/>
      <c r="P75" s="254"/>
      <c r="Q75" s="254"/>
      <c r="R75" s="254"/>
      <c r="S75" s="254"/>
      <c r="T75" s="254"/>
      <c r="U75" s="254"/>
      <c r="V75" s="254"/>
      <c r="W75" s="254"/>
      <c r="X75" s="254"/>
      <c r="Y75" s="254"/>
      <c r="Z75" s="254"/>
      <c r="AA75" s="254"/>
      <c r="AB75" s="254"/>
      <c r="AC75" s="254"/>
      <c r="AD75" s="254"/>
      <c r="AE75" s="254"/>
      <c r="AF75" s="254"/>
      <c r="AG75" s="254"/>
      <c r="AH75" s="254"/>
      <c r="AI75" s="254"/>
      <c r="AJ75" s="254"/>
      <c r="AK75" s="254"/>
    </row>
    <row r="79" spans="1:37" x14ac:dyDescent="0.2">
      <c r="A79" s="34"/>
      <c r="B79" s="34"/>
      <c r="C79" s="34"/>
      <c r="D79" s="34"/>
      <c r="E79" s="34"/>
      <c r="F79" s="34"/>
      <c r="G79" s="34"/>
      <c r="H79" s="34"/>
      <c r="I79" s="34"/>
      <c r="J79" s="34"/>
      <c r="K79" s="34"/>
      <c r="L79" s="34"/>
      <c r="M79" s="34"/>
      <c r="N79" s="34"/>
      <c r="O79" s="34"/>
      <c r="P79" s="34"/>
      <c r="Q79" s="34"/>
      <c r="R79" s="34"/>
      <c r="S79" s="34"/>
      <c r="T79" s="34"/>
      <c r="U79" s="34"/>
      <c r="V79" s="34"/>
      <c r="X79" s="34"/>
      <c r="Y79" s="34"/>
      <c r="Z79" s="34"/>
      <c r="AA79" s="34"/>
      <c r="AB79" s="34"/>
      <c r="AC79" s="34"/>
      <c r="AD79" s="34"/>
      <c r="AE79" s="34"/>
      <c r="AF79" s="34"/>
    </row>
    <row r="80" spans="1:37" x14ac:dyDescent="0.2">
      <c r="A80" t="s">
        <v>1443</v>
      </c>
      <c r="X80" t="s">
        <v>368</v>
      </c>
    </row>
  </sheetData>
  <mergeCells count="181">
    <mergeCell ref="G2:W2"/>
    <mergeCell ref="AE2:AK2"/>
    <mergeCell ref="A12:AK12"/>
    <mergeCell ref="B8:H8"/>
    <mergeCell ref="I8:Y8"/>
    <mergeCell ref="B4:H4"/>
    <mergeCell ref="I4:Y4"/>
    <mergeCell ref="AB4:AK4"/>
    <mergeCell ref="B5:H5"/>
    <mergeCell ref="I5:Y5"/>
    <mergeCell ref="AB5:AK5"/>
    <mergeCell ref="B6:H6"/>
    <mergeCell ref="I6:Y6"/>
    <mergeCell ref="AB6:AK6"/>
    <mergeCell ref="B7:H7"/>
    <mergeCell ref="I7:Y7"/>
    <mergeCell ref="AB7:AK7"/>
    <mergeCell ref="Y13:AJ13"/>
    <mergeCell ref="Y15:AC15"/>
    <mergeCell ref="F18:L18"/>
    <mergeCell ref="M14:Q14"/>
    <mergeCell ref="AB8:AK8"/>
    <mergeCell ref="B9:H9"/>
    <mergeCell ref="I9:Y9"/>
    <mergeCell ref="AB9:AK9"/>
    <mergeCell ref="B10:H10"/>
    <mergeCell ref="Y16:AC16"/>
    <mergeCell ref="AD16:AJ16"/>
    <mergeCell ref="AD17:AJ17"/>
    <mergeCell ref="AD18:AJ18"/>
    <mergeCell ref="M16:Q16"/>
    <mergeCell ref="R16:X16"/>
    <mergeCell ref="M17:Q17"/>
    <mergeCell ref="R17:X17"/>
    <mergeCell ref="A13:L13"/>
    <mergeCell ref="Y18:AC18"/>
    <mergeCell ref="A33:AK33"/>
    <mergeCell ref="A29:A32"/>
    <mergeCell ref="Y25:AC25"/>
    <mergeCell ref="A24:E24"/>
    <mergeCell ref="F24:L24"/>
    <mergeCell ref="A25:E25"/>
    <mergeCell ref="A26:E26"/>
    <mergeCell ref="A27:E27"/>
    <mergeCell ref="I10:Y10"/>
    <mergeCell ref="AB10:AK10"/>
    <mergeCell ref="A14:E14"/>
    <mergeCell ref="A15:E15"/>
    <mergeCell ref="AD14:AJ14"/>
    <mergeCell ref="AD15:AJ15"/>
    <mergeCell ref="Y14:AC14"/>
    <mergeCell ref="M13:X13"/>
    <mergeCell ref="AD27:AJ27"/>
    <mergeCell ref="AD28:AJ28"/>
    <mergeCell ref="Z29:AJ32"/>
    <mergeCell ref="M24:Q24"/>
    <mergeCell ref="R24:X24"/>
    <mergeCell ref="Y26:AC26"/>
    <mergeCell ref="Y27:AC27"/>
    <mergeCell ref="N29:X32"/>
    <mergeCell ref="A28:E28"/>
    <mergeCell ref="AD24:AJ24"/>
    <mergeCell ref="M26:Q26"/>
    <mergeCell ref="Y29:Y32"/>
    <mergeCell ref="M25:Q25"/>
    <mergeCell ref="R25:X25"/>
    <mergeCell ref="Y24:AC24"/>
    <mergeCell ref="R27:X27"/>
    <mergeCell ref="AD25:AJ25"/>
    <mergeCell ref="AD26:AJ26"/>
    <mergeCell ref="B29:L32"/>
    <mergeCell ref="Y28:AC28"/>
    <mergeCell ref="F26:L26"/>
    <mergeCell ref="F27:L27"/>
    <mergeCell ref="F28:L28"/>
    <mergeCell ref="M28:Q28"/>
    <mergeCell ref="M19:M22"/>
    <mergeCell ref="N19:X22"/>
    <mergeCell ref="B19:L22"/>
    <mergeCell ref="M18:Q18"/>
    <mergeCell ref="Y17:AC17"/>
    <mergeCell ref="R14:X14"/>
    <mergeCell ref="M15:Q15"/>
    <mergeCell ref="R18:X18"/>
    <mergeCell ref="M23:X23"/>
    <mergeCell ref="P58:S58"/>
    <mergeCell ref="A23:L23"/>
    <mergeCell ref="Y23:AJ23"/>
    <mergeCell ref="F14:L14"/>
    <mergeCell ref="F15:L15"/>
    <mergeCell ref="F16:L16"/>
    <mergeCell ref="F17:L17"/>
    <mergeCell ref="Z19:AJ22"/>
    <mergeCell ref="R15:X15"/>
    <mergeCell ref="Y19:Y22"/>
    <mergeCell ref="A16:E16"/>
    <mergeCell ref="A17:E17"/>
    <mergeCell ref="A18:E18"/>
    <mergeCell ref="A19:A22"/>
    <mergeCell ref="T58:W58"/>
    <mergeCell ref="R28:X28"/>
    <mergeCell ref="M29:M32"/>
    <mergeCell ref="R26:X26"/>
    <mergeCell ref="M27:Q27"/>
    <mergeCell ref="F25:L25"/>
    <mergeCell ref="X58:AA58"/>
    <mergeCell ref="A48:M48"/>
    <mergeCell ref="A37:AK37"/>
    <mergeCell ref="A42:AK42"/>
    <mergeCell ref="A43:AK45"/>
    <mergeCell ref="O47:AG49"/>
    <mergeCell ref="G52:W52"/>
    <mergeCell ref="AE52:AK52"/>
    <mergeCell ref="AB55:AK55"/>
    <mergeCell ref="AB56:AK56"/>
    <mergeCell ref="T55:W55"/>
    <mergeCell ref="T56:W56"/>
    <mergeCell ref="T57:W57"/>
    <mergeCell ref="X55:AA55"/>
    <mergeCell ref="X56:AA56"/>
    <mergeCell ref="X57:AA57"/>
    <mergeCell ref="A56:O56"/>
    <mergeCell ref="A57:O57"/>
    <mergeCell ref="A58:O58"/>
    <mergeCell ref="A75:O75"/>
    <mergeCell ref="P73:W73"/>
    <mergeCell ref="P74:W74"/>
    <mergeCell ref="P75:W75"/>
    <mergeCell ref="X74:AK74"/>
    <mergeCell ref="X75:AK75"/>
    <mergeCell ref="X73:AK73"/>
    <mergeCell ref="A73:O73"/>
    <mergeCell ref="A74:O74"/>
    <mergeCell ref="A72:AK72"/>
    <mergeCell ref="A62:O62"/>
    <mergeCell ref="A63:O63"/>
    <mergeCell ref="A64:O64"/>
    <mergeCell ref="A61:O61"/>
    <mergeCell ref="T59:W59"/>
    <mergeCell ref="P62:S62"/>
    <mergeCell ref="T61:W61"/>
    <mergeCell ref="T63:W63"/>
    <mergeCell ref="X61:AA61"/>
    <mergeCell ref="X65:AA65"/>
    <mergeCell ref="T62:W62"/>
    <mergeCell ref="X59:AA59"/>
    <mergeCell ref="P63:S63"/>
    <mergeCell ref="E34:N34"/>
    <mergeCell ref="E35:N35"/>
    <mergeCell ref="V34:AF34"/>
    <mergeCell ref="V35:AF35"/>
    <mergeCell ref="P36:X36"/>
    <mergeCell ref="A68:AK70"/>
    <mergeCell ref="A54:AK54"/>
    <mergeCell ref="AB59:AK59"/>
    <mergeCell ref="AB60:AK60"/>
    <mergeCell ref="X62:AA62"/>
    <mergeCell ref="AB57:AK57"/>
    <mergeCell ref="AB58:AK58"/>
    <mergeCell ref="P55:S55"/>
    <mergeCell ref="P56:S56"/>
    <mergeCell ref="P57:S57"/>
    <mergeCell ref="P59:S59"/>
    <mergeCell ref="A65:O65"/>
    <mergeCell ref="AB61:AK61"/>
    <mergeCell ref="AB62:AK62"/>
    <mergeCell ref="AB63:AK63"/>
    <mergeCell ref="AB64:AK64"/>
    <mergeCell ref="AB65:AK65"/>
    <mergeCell ref="X63:AA63"/>
    <mergeCell ref="X64:AA64"/>
    <mergeCell ref="P64:S64"/>
    <mergeCell ref="P65:S65"/>
    <mergeCell ref="P61:S61"/>
    <mergeCell ref="T64:W64"/>
    <mergeCell ref="T65:W65"/>
    <mergeCell ref="P60:S60"/>
    <mergeCell ref="X60:AA60"/>
    <mergeCell ref="T60:W60"/>
    <mergeCell ref="A59:O59"/>
    <mergeCell ref="A60:O60"/>
  </mergeCells>
  <pageMargins left="0.25" right="0.25" top="0.75" bottom="0.75" header="0.3" footer="0.3"/>
  <pageSetup orientation="portrait" verticalDpi="1200" r:id="rId1"/>
  <headerFooter>
    <oddHeader>&amp;L&amp;G&amp;REmployee Evaluation</oddHeader>
    <oddFooter>&amp;C3088 Mercer University Drive Suite 100 Atlanta, GA 30341
678-310-6305 Fax 404-935-6110</oddFooter>
  </headerFooter>
  <rowBreaks count="1" manualBreakCount="1">
    <brk id="51" max="16383" man="1"/>
  </rowBreaks>
  <legacyDrawingHF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0">
    <tabColor theme="4" tint="-0.249977111117893"/>
  </sheetPr>
  <dimension ref="A1:AJ99"/>
  <sheetViews>
    <sheetView showZeros="0" view="pageLayout" topLeftCell="A18" zoomScaleNormal="200" workbookViewId="0">
      <selection activeCell="W30" sqref="W30:AJ30"/>
    </sheetView>
  </sheetViews>
  <sheetFormatPr defaultColWidth="2.42578125" defaultRowHeight="12.75" x14ac:dyDescent="0.2"/>
  <cols>
    <col min="1" max="21" width="2.42578125" style="46"/>
    <col min="22" max="22" width="2.5703125" style="46" customWidth="1"/>
    <col min="23" max="36" width="3.140625" style="46" customWidth="1"/>
    <col min="37" max="16384" width="2.42578125" style="46"/>
  </cols>
  <sheetData>
    <row r="1" spans="1:36" ht="20.25" x14ac:dyDescent="0.2">
      <c r="A1" s="453" t="s">
        <v>1252</v>
      </c>
      <c r="B1" s="453"/>
      <c r="C1" s="453"/>
      <c r="D1" s="453"/>
      <c r="E1" s="453"/>
      <c r="F1" s="453"/>
      <c r="G1" s="453"/>
      <c r="H1" s="453"/>
      <c r="I1" s="453"/>
      <c r="J1" s="453"/>
      <c r="K1" s="453"/>
      <c r="L1" s="453"/>
      <c r="M1" s="453"/>
      <c r="N1" s="453"/>
      <c r="O1" s="453"/>
      <c r="P1" s="453"/>
      <c r="Q1" s="453"/>
      <c r="R1" s="453"/>
      <c r="S1" s="453"/>
      <c r="T1" s="453"/>
      <c r="U1" s="453"/>
      <c r="V1" s="453"/>
      <c r="W1" s="453"/>
      <c r="X1" s="453"/>
      <c r="Y1" s="453"/>
      <c r="Z1" s="453"/>
      <c r="AA1" s="453"/>
      <c r="AB1" s="453"/>
      <c r="AC1" s="453"/>
      <c r="AD1" s="453"/>
      <c r="AE1" s="453"/>
      <c r="AF1" s="453"/>
      <c r="AG1" s="453"/>
      <c r="AH1" s="44"/>
      <c r="AI1" s="44"/>
      <c r="AJ1" s="45" t="s">
        <v>1165</v>
      </c>
    </row>
    <row r="2" spans="1:36" ht="18" customHeight="1" x14ac:dyDescent="0.2">
      <c r="A2" s="47" t="s">
        <v>336</v>
      </c>
      <c r="E2" s="48"/>
      <c r="F2" s="459" t="str">
        <f>_xlfn.CONCAT(Data!B2,", ",Data!B3," ",Data!B4)</f>
        <v xml:space="preserve">,  </v>
      </c>
      <c r="G2" s="459"/>
      <c r="H2" s="459"/>
      <c r="I2" s="459"/>
      <c r="J2" s="459"/>
      <c r="K2" s="459"/>
      <c r="L2" s="459"/>
      <c r="M2" s="459"/>
      <c r="N2" s="459"/>
      <c r="O2" s="459"/>
      <c r="P2" s="459"/>
      <c r="Q2" s="459"/>
      <c r="R2" s="459"/>
      <c r="S2" s="459"/>
      <c r="T2" s="459"/>
      <c r="U2" s="459"/>
      <c r="V2" s="459"/>
      <c r="W2" s="459"/>
      <c r="X2" s="459"/>
      <c r="Y2" s="49" t="s">
        <v>1166</v>
      </c>
      <c r="AB2" s="50"/>
      <c r="AC2" s="50"/>
      <c r="AD2" s="456" t="str">
        <f>"Effective: "&amp;TEXT(Data!B34,"mm/dd/yyyy")</f>
        <v>Effective: 01/00/1900</v>
      </c>
      <c r="AE2" s="456"/>
      <c r="AF2" s="456"/>
      <c r="AG2" s="456"/>
      <c r="AH2" s="456"/>
      <c r="AI2" s="456"/>
      <c r="AJ2" s="456"/>
    </row>
    <row r="3" spans="1:36" ht="18" customHeight="1" x14ac:dyDescent="0.2">
      <c r="A3" s="47" t="s">
        <v>1167</v>
      </c>
      <c r="F3" s="51"/>
      <c r="G3" s="87" t="str">
        <f>Data!B175&amp;"  - Example for PCA"</f>
        <v>0  - Example for PCA</v>
      </c>
      <c r="H3" s="51"/>
      <c r="I3" s="51"/>
      <c r="J3" s="51"/>
      <c r="K3" s="51"/>
      <c r="L3" s="51"/>
      <c r="M3" s="51"/>
      <c r="N3" s="51"/>
      <c r="O3" s="51"/>
      <c r="P3" s="51"/>
      <c r="Q3" s="51"/>
      <c r="R3" s="51"/>
      <c r="S3" s="51"/>
      <c r="T3" s="51"/>
      <c r="U3" s="51"/>
      <c r="V3" s="51"/>
      <c r="W3" s="51"/>
      <c r="X3" s="51"/>
      <c r="Y3" s="49" t="s">
        <v>1168</v>
      </c>
      <c r="AB3" s="50"/>
      <c r="AC3" s="50"/>
      <c r="AD3" s="456" t="s">
        <v>3297</v>
      </c>
      <c r="AE3" s="457"/>
      <c r="AF3" s="457"/>
      <c r="AG3" s="457"/>
      <c r="AH3" s="457"/>
      <c r="AI3" s="457"/>
      <c r="AJ3" s="50"/>
    </row>
    <row r="4" spans="1:36" ht="20.25" customHeight="1" x14ac:dyDescent="0.2">
      <c r="A4" s="458" t="str">
        <f>IF(OR(Data!B917=TRUE,Data!B929=TRUE),"AT RISK FOR SKIN BREAKDOWN","")&amp;IF(Data!B917=TRUE," -Bedbound","")&amp;IF(Data!B929=TRUE," -Chairbound","")&amp;IF(Data!B1610="Yes","  **LATEX ALLERGY**","")&amp;IF(AND(Data!B1644="Yes",Data!B1645="Yes"),"**DNR ON FILE**","")</f>
        <v/>
      </c>
      <c r="B4" s="458"/>
      <c r="C4" s="458"/>
      <c r="D4" s="458"/>
      <c r="E4" s="458"/>
      <c r="F4" s="458"/>
      <c r="G4" s="458"/>
      <c r="H4" s="458"/>
      <c r="I4" s="458"/>
      <c r="J4" s="458"/>
      <c r="K4" s="458"/>
      <c r="L4" s="458"/>
      <c r="M4" s="458"/>
      <c r="N4" s="458"/>
      <c r="O4" s="458"/>
      <c r="P4" s="458"/>
      <c r="Q4" s="458"/>
      <c r="R4" s="458"/>
      <c r="S4" s="458"/>
      <c r="T4" s="458"/>
      <c r="U4" s="458"/>
      <c r="V4" s="458"/>
      <c r="W4" s="458"/>
      <c r="X4" s="458"/>
      <c r="Y4" s="458"/>
      <c r="Z4" s="458"/>
      <c r="AA4" s="458"/>
      <c r="AB4" s="458"/>
      <c r="AC4" s="458"/>
      <c r="AD4" s="458"/>
      <c r="AE4" s="458"/>
      <c r="AF4" s="458"/>
      <c r="AG4" s="458"/>
      <c r="AH4" s="458"/>
      <c r="AI4" s="458"/>
      <c r="AJ4" s="458"/>
    </row>
    <row r="5" spans="1:36" x14ac:dyDescent="0.2">
      <c r="A5" s="454" t="s">
        <v>1169</v>
      </c>
      <c r="B5" s="454"/>
      <c r="C5" s="454"/>
      <c r="D5" s="454"/>
      <c r="E5" s="454"/>
      <c r="F5" s="454"/>
      <c r="G5" s="454"/>
      <c r="H5" s="454"/>
      <c r="I5" s="454"/>
      <c r="J5" s="454"/>
      <c r="K5" s="454"/>
      <c r="L5" s="454"/>
      <c r="M5" s="454"/>
      <c r="N5" s="454"/>
      <c r="O5" s="454"/>
      <c r="P5" s="454"/>
      <c r="Q5" s="454"/>
      <c r="R5" s="454"/>
      <c r="S5" s="454"/>
      <c r="T5" s="454"/>
      <c r="U5" s="454"/>
      <c r="V5" s="454"/>
      <c r="W5" s="454"/>
      <c r="X5" s="454"/>
      <c r="Y5" s="454"/>
      <c r="Z5" s="454"/>
      <c r="AA5" s="454"/>
      <c r="AB5" s="454"/>
      <c r="AC5" s="454"/>
      <c r="AD5" s="454"/>
      <c r="AE5" s="454"/>
      <c r="AF5" s="454"/>
      <c r="AG5" s="454"/>
      <c r="AH5" s="454"/>
      <c r="AI5" s="454"/>
      <c r="AJ5" s="454"/>
    </row>
    <row r="6" spans="1:36" ht="14.25" customHeight="1" thickBot="1" x14ac:dyDescent="0.25">
      <c r="A6" s="52"/>
      <c r="B6" s="53"/>
      <c r="C6" s="53"/>
      <c r="D6" s="53"/>
      <c r="E6" s="53"/>
      <c r="F6" s="53"/>
      <c r="G6" s="53"/>
      <c r="H6" s="53"/>
      <c r="I6" s="53"/>
      <c r="J6" s="53"/>
      <c r="K6" s="53"/>
      <c r="L6" s="53"/>
      <c r="M6" s="53"/>
      <c r="N6" s="53"/>
      <c r="O6" s="53"/>
      <c r="P6" s="53"/>
      <c r="Q6" s="54"/>
      <c r="R6" s="55"/>
      <c r="S6" s="56"/>
      <c r="W6" s="455" t="s">
        <v>1170</v>
      </c>
      <c r="X6" s="455"/>
      <c r="Y6" s="455" t="s">
        <v>1171</v>
      </c>
      <c r="Z6" s="455"/>
      <c r="AA6" s="455" t="s">
        <v>1172</v>
      </c>
      <c r="AB6" s="455"/>
      <c r="AC6" s="455" t="s">
        <v>1173</v>
      </c>
      <c r="AD6" s="455"/>
      <c r="AE6" s="455" t="s">
        <v>1174</v>
      </c>
      <c r="AF6" s="455"/>
      <c r="AG6" s="455" t="s">
        <v>1175</v>
      </c>
      <c r="AH6" s="455"/>
      <c r="AI6" s="455" t="s">
        <v>1176</v>
      </c>
      <c r="AJ6" s="455"/>
    </row>
    <row r="7" spans="1:36" ht="20.85" customHeight="1" x14ac:dyDescent="0.2">
      <c r="A7" s="415" t="s">
        <v>1256</v>
      </c>
      <c r="B7" s="416"/>
      <c r="C7" s="416"/>
      <c r="D7" s="416"/>
      <c r="E7" s="416"/>
      <c r="F7" s="416"/>
      <c r="G7" s="416"/>
      <c r="H7" s="416"/>
      <c r="I7" s="416"/>
      <c r="J7" s="416"/>
      <c r="K7" s="416"/>
      <c r="L7" s="416"/>
      <c r="M7" s="416"/>
      <c r="N7" s="416"/>
      <c r="O7" s="416"/>
      <c r="P7" s="416"/>
      <c r="Q7" s="417"/>
      <c r="R7" s="55"/>
      <c r="S7" s="56"/>
      <c r="V7" s="45" t="s">
        <v>368</v>
      </c>
      <c r="W7" s="448"/>
      <c r="X7" s="449"/>
      <c r="Y7" s="450"/>
      <c r="Z7" s="450"/>
      <c r="AA7" s="450"/>
      <c r="AB7" s="450"/>
      <c r="AC7" s="450"/>
      <c r="AD7" s="450"/>
      <c r="AE7" s="450"/>
      <c r="AF7" s="450"/>
      <c r="AG7" s="450"/>
      <c r="AH7" s="450"/>
      <c r="AI7" s="450"/>
      <c r="AJ7" s="451"/>
    </row>
    <row r="8" spans="1:36" ht="20.85" customHeight="1" x14ac:dyDescent="0.2">
      <c r="A8" s="415"/>
      <c r="B8" s="416"/>
      <c r="C8" s="416"/>
      <c r="D8" s="416"/>
      <c r="E8" s="416"/>
      <c r="F8" s="416"/>
      <c r="G8" s="416"/>
      <c r="H8" s="416"/>
      <c r="I8" s="416"/>
      <c r="J8" s="416"/>
      <c r="K8" s="416"/>
      <c r="L8" s="416"/>
      <c r="M8" s="416"/>
      <c r="N8" s="416"/>
      <c r="O8" s="416"/>
      <c r="P8" s="416"/>
      <c r="Q8" s="417"/>
      <c r="R8" s="55"/>
      <c r="S8" s="56"/>
      <c r="V8" s="45" t="s">
        <v>1177</v>
      </c>
      <c r="W8" s="57"/>
      <c r="X8" s="58"/>
      <c r="Y8" s="59"/>
      <c r="Z8" s="58"/>
      <c r="AA8" s="59"/>
      <c r="AB8" s="58"/>
      <c r="AC8" s="60"/>
      <c r="AD8" s="58"/>
      <c r="AE8" s="60"/>
      <c r="AF8" s="58"/>
      <c r="AG8" s="60"/>
      <c r="AH8" s="58"/>
      <c r="AI8" s="60"/>
      <c r="AJ8" s="61"/>
    </row>
    <row r="9" spans="1:36" ht="20.85" customHeight="1" x14ac:dyDescent="0.2">
      <c r="A9" s="415"/>
      <c r="B9" s="416"/>
      <c r="C9" s="416"/>
      <c r="D9" s="416"/>
      <c r="E9" s="416"/>
      <c r="F9" s="416"/>
      <c r="G9" s="416"/>
      <c r="H9" s="416"/>
      <c r="I9" s="416"/>
      <c r="J9" s="416"/>
      <c r="K9" s="416"/>
      <c r="L9" s="416"/>
      <c r="M9" s="416"/>
      <c r="N9" s="416"/>
      <c r="O9" s="416"/>
      <c r="P9" s="416"/>
      <c r="Q9" s="417"/>
      <c r="R9" s="55"/>
      <c r="S9" s="56"/>
      <c r="V9" s="45" t="s">
        <v>1178</v>
      </c>
      <c r="W9" s="57"/>
      <c r="X9" s="58"/>
      <c r="Y9" s="59"/>
      <c r="Z9" s="58"/>
      <c r="AA9" s="59"/>
      <c r="AB9" s="58"/>
      <c r="AC9" s="60"/>
      <c r="AD9" s="58"/>
      <c r="AE9" s="60"/>
      <c r="AF9" s="58"/>
      <c r="AG9" s="60"/>
      <c r="AH9" s="58"/>
      <c r="AI9" s="60"/>
      <c r="AJ9" s="61"/>
    </row>
    <row r="10" spans="1:36" ht="20.85" customHeight="1" thickBot="1" x14ac:dyDescent="0.25">
      <c r="A10" s="64"/>
      <c r="B10" s="62"/>
      <c r="C10" s="62"/>
      <c r="D10" s="62"/>
      <c r="E10" s="62"/>
      <c r="F10" s="62"/>
      <c r="G10" s="62"/>
      <c r="H10" s="62"/>
      <c r="I10" s="62"/>
      <c r="J10" s="65"/>
      <c r="K10" s="62"/>
      <c r="L10" s="62"/>
      <c r="M10" s="65"/>
      <c r="N10" s="62"/>
      <c r="O10" s="65"/>
      <c r="P10" s="62"/>
      <c r="Q10" s="66"/>
      <c r="R10" s="55"/>
      <c r="S10" s="56"/>
      <c r="T10" s="56"/>
      <c r="V10" s="45" t="s">
        <v>1180</v>
      </c>
      <c r="W10" s="452"/>
      <c r="X10" s="413"/>
      <c r="Y10" s="413"/>
      <c r="Z10" s="413"/>
      <c r="AA10" s="413"/>
      <c r="AB10" s="413"/>
      <c r="AC10" s="413"/>
      <c r="AD10" s="413"/>
      <c r="AE10" s="413"/>
      <c r="AF10" s="413"/>
      <c r="AG10" s="413"/>
      <c r="AH10" s="413"/>
      <c r="AI10" s="413"/>
      <c r="AJ10" s="414"/>
    </row>
    <row r="11" spans="1:36" ht="20.85" customHeight="1" thickBot="1" x14ac:dyDescent="0.25">
      <c r="A11" s="441" t="s">
        <v>1181</v>
      </c>
      <c r="B11" s="441"/>
      <c r="C11" s="441"/>
      <c r="D11" s="441"/>
      <c r="E11" s="441"/>
      <c r="F11" s="441"/>
      <c r="G11" s="441"/>
      <c r="H11" s="441"/>
      <c r="I11" s="441"/>
      <c r="J11" s="441"/>
      <c r="K11" s="441"/>
      <c r="L11" s="441"/>
      <c r="M11" s="441"/>
      <c r="N11" s="441"/>
      <c r="O11" s="441"/>
      <c r="P11" s="441"/>
      <c r="Q11" s="441"/>
      <c r="R11" s="63"/>
      <c r="S11" s="56"/>
      <c r="V11" s="45" t="s">
        <v>1182</v>
      </c>
      <c r="W11" s="443"/>
      <c r="X11" s="444"/>
      <c r="Y11" s="444"/>
      <c r="Z11" s="444"/>
      <c r="AA11" s="444"/>
      <c r="AB11" s="444"/>
      <c r="AC11" s="444"/>
      <c r="AD11" s="444"/>
      <c r="AE11" s="444"/>
      <c r="AF11" s="444"/>
      <c r="AG11" s="444"/>
      <c r="AH11" s="444"/>
      <c r="AI11" s="444"/>
      <c r="AJ11" s="445"/>
    </row>
    <row r="12" spans="1:36" ht="20.85" customHeight="1" thickBot="1" x14ac:dyDescent="0.25">
      <c r="A12" s="442"/>
      <c r="B12" s="442"/>
      <c r="C12" s="442"/>
      <c r="D12" s="442"/>
      <c r="E12" s="442"/>
      <c r="F12" s="442"/>
      <c r="G12" s="442"/>
      <c r="H12" s="442"/>
      <c r="I12" s="442"/>
      <c r="J12" s="442"/>
      <c r="K12" s="442"/>
      <c r="L12" s="442"/>
      <c r="M12" s="442"/>
      <c r="N12" s="442"/>
      <c r="O12" s="442"/>
      <c r="P12" s="442"/>
      <c r="Q12" s="442"/>
      <c r="V12" s="45" t="s">
        <v>1183</v>
      </c>
      <c r="W12" s="446"/>
      <c r="X12" s="440"/>
      <c r="Y12" s="440"/>
      <c r="Z12" s="440"/>
      <c r="AA12" s="440"/>
      <c r="AB12" s="440"/>
      <c r="AC12" s="440"/>
      <c r="AD12" s="440"/>
      <c r="AE12" s="440"/>
      <c r="AF12" s="440"/>
      <c r="AG12" s="440"/>
      <c r="AH12" s="440"/>
      <c r="AI12" s="440"/>
      <c r="AJ12" s="447"/>
    </row>
    <row r="13" spans="1:36" ht="3.75" customHeight="1" thickBot="1" x14ac:dyDescent="0.25">
      <c r="A13" s="439"/>
      <c r="B13" s="439"/>
      <c r="C13" s="439"/>
      <c r="D13" s="439"/>
      <c r="E13" s="439"/>
      <c r="F13" s="439"/>
      <c r="G13" s="439"/>
      <c r="H13" s="439"/>
      <c r="I13" s="439"/>
      <c r="J13" s="439"/>
      <c r="K13" s="439"/>
      <c r="L13" s="439"/>
      <c r="M13" s="439"/>
      <c r="N13" s="439"/>
      <c r="O13" s="439"/>
      <c r="P13" s="439"/>
      <c r="Q13" s="439"/>
      <c r="R13" s="439"/>
      <c r="S13" s="439"/>
      <c r="T13" s="439"/>
      <c r="U13" s="439"/>
      <c r="V13" s="439"/>
      <c r="W13" s="439"/>
      <c r="X13" s="439"/>
      <c r="Y13" s="439"/>
      <c r="Z13" s="439"/>
      <c r="AA13" s="439"/>
      <c r="AB13" s="439"/>
      <c r="AC13" s="439"/>
      <c r="AD13" s="439"/>
      <c r="AE13" s="439"/>
      <c r="AF13" s="439"/>
      <c r="AG13" s="439"/>
      <c r="AH13" s="439"/>
      <c r="AI13" s="439"/>
      <c r="AJ13" s="439"/>
    </row>
    <row r="14" spans="1:36" ht="15.75" customHeight="1" x14ac:dyDescent="0.2">
      <c r="A14" s="398" t="s">
        <v>1184</v>
      </c>
      <c r="B14" s="399"/>
      <c r="C14" s="399"/>
      <c r="D14" s="399"/>
      <c r="E14" s="399"/>
      <c r="F14" s="399"/>
      <c r="G14" s="399"/>
      <c r="H14" s="399"/>
      <c r="I14" s="399"/>
      <c r="J14" s="399"/>
      <c r="K14" s="399"/>
      <c r="L14" s="399"/>
      <c r="M14" s="399"/>
      <c r="N14" s="399"/>
      <c r="O14" s="399"/>
      <c r="P14" s="399"/>
      <c r="Q14" s="399"/>
      <c r="R14" s="399"/>
      <c r="S14" s="399"/>
      <c r="T14" s="399"/>
      <c r="U14" s="399"/>
      <c r="V14" s="400"/>
      <c r="W14" s="401" t="s">
        <v>120</v>
      </c>
      <c r="X14" s="402"/>
      <c r="Y14" s="402"/>
      <c r="Z14" s="402"/>
      <c r="AA14" s="402"/>
      <c r="AB14" s="402"/>
      <c r="AC14" s="402"/>
      <c r="AD14" s="402"/>
      <c r="AE14" s="402"/>
      <c r="AF14" s="402"/>
      <c r="AG14" s="402"/>
      <c r="AH14" s="402"/>
      <c r="AI14" s="402"/>
      <c r="AJ14" s="403"/>
    </row>
    <row r="15" spans="1:36" ht="25.35" customHeight="1" x14ac:dyDescent="0.2">
      <c r="A15" s="404" t="s">
        <v>4757</v>
      </c>
      <c r="B15" s="405"/>
      <c r="C15" s="405"/>
      <c r="D15" s="405"/>
      <c r="E15" s="405"/>
      <c r="F15" s="405"/>
      <c r="G15" s="405"/>
      <c r="H15" s="405"/>
      <c r="I15" s="405"/>
      <c r="J15" s="405"/>
      <c r="K15" s="405"/>
      <c r="L15" s="405"/>
      <c r="M15" s="405"/>
      <c r="N15" s="405"/>
      <c r="O15" s="405"/>
      <c r="P15" s="405"/>
      <c r="Q15" s="405"/>
      <c r="R15" s="405"/>
      <c r="S15" s="405"/>
      <c r="T15" s="405"/>
      <c r="U15" s="405"/>
      <c r="V15" s="406"/>
      <c r="W15" s="389" t="str">
        <f>Data!B481&amp;IF(Data!B482="","","  Split Shift- "&amp;Data!B482)</f>
        <v/>
      </c>
      <c r="X15" s="390"/>
      <c r="Y15" s="390"/>
      <c r="Z15" s="390"/>
      <c r="AA15" s="390"/>
      <c r="AB15" s="390"/>
      <c r="AC15" s="390"/>
      <c r="AD15" s="390"/>
      <c r="AE15" s="390"/>
      <c r="AF15" s="390"/>
      <c r="AG15" s="390"/>
      <c r="AH15" s="390"/>
      <c r="AI15" s="390"/>
      <c r="AJ15" s="391"/>
    </row>
    <row r="16" spans="1:36" ht="25.35" customHeight="1" x14ac:dyDescent="0.2">
      <c r="A16" s="404" t="s">
        <v>4758</v>
      </c>
      <c r="B16" s="405"/>
      <c r="C16" s="405"/>
      <c r="D16" s="405"/>
      <c r="E16" s="405"/>
      <c r="F16" s="405"/>
      <c r="G16" s="405"/>
      <c r="H16" s="405"/>
      <c r="I16" s="405"/>
      <c r="J16" s="405"/>
      <c r="K16" s="405"/>
      <c r="L16" s="405"/>
      <c r="M16" s="405"/>
      <c r="N16" s="405"/>
      <c r="O16" s="405"/>
      <c r="P16" s="405"/>
      <c r="Q16" s="405"/>
      <c r="R16" s="405"/>
      <c r="S16" s="405"/>
      <c r="T16" s="405"/>
      <c r="U16" s="405"/>
      <c r="V16" s="406"/>
      <c r="W16" s="389" t="str">
        <f>Data!B495&amp;IF(Data!B496="","","  Split Shift- "&amp;Data!B496)</f>
        <v/>
      </c>
      <c r="X16" s="390"/>
      <c r="Y16" s="390"/>
      <c r="Z16" s="390"/>
      <c r="AA16" s="390"/>
      <c r="AB16" s="390"/>
      <c r="AC16" s="390"/>
      <c r="AD16" s="390"/>
      <c r="AE16" s="390"/>
      <c r="AF16" s="390"/>
      <c r="AG16" s="390"/>
      <c r="AH16" s="390"/>
      <c r="AI16" s="390"/>
      <c r="AJ16" s="391"/>
    </row>
    <row r="17" spans="1:36" ht="25.35" customHeight="1" x14ac:dyDescent="0.2">
      <c r="A17" s="404" t="s">
        <v>4759</v>
      </c>
      <c r="B17" s="405"/>
      <c r="C17" s="405"/>
      <c r="D17" s="405"/>
      <c r="E17" s="405"/>
      <c r="F17" s="405"/>
      <c r="G17" s="405"/>
      <c r="H17" s="405"/>
      <c r="I17" s="405"/>
      <c r="J17" s="405"/>
      <c r="K17" s="405"/>
      <c r="L17" s="405"/>
      <c r="M17" s="405"/>
      <c r="N17" s="405"/>
      <c r="O17" s="405"/>
      <c r="P17" s="405"/>
      <c r="Q17" s="405"/>
      <c r="R17" s="405"/>
      <c r="S17" s="405"/>
      <c r="T17" s="405"/>
      <c r="U17" s="405"/>
      <c r="V17" s="406"/>
      <c r="W17" s="389" t="str">
        <f>Data!B518&amp;IF(Data!B519="","","  Split Shift- "&amp;Data!B519)</f>
        <v/>
      </c>
      <c r="X17" s="390"/>
      <c r="Y17" s="390"/>
      <c r="Z17" s="390"/>
      <c r="AA17" s="390"/>
      <c r="AB17" s="390"/>
      <c r="AC17" s="390"/>
      <c r="AD17" s="390"/>
      <c r="AE17" s="390"/>
      <c r="AF17" s="390"/>
      <c r="AG17" s="390"/>
      <c r="AH17" s="390"/>
      <c r="AI17" s="390"/>
      <c r="AJ17" s="391"/>
    </row>
    <row r="18" spans="1:36" ht="25.35" customHeight="1" x14ac:dyDescent="0.2">
      <c r="A18" s="404" t="s">
        <v>4760</v>
      </c>
      <c r="B18" s="405"/>
      <c r="C18" s="405"/>
      <c r="D18" s="405"/>
      <c r="E18" s="405"/>
      <c r="F18" s="405"/>
      <c r="G18" s="405"/>
      <c r="H18" s="405"/>
      <c r="I18" s="405"/>
      <c r="J18" s="405"/>
      <c r="K18" s="405"/>
      <c r="L18" s="405"/>
      <c r="M18" s="405"/>
      <c r="N18" s="405"/>
      <c r="O18" s="405"/>
      <c r="P18" s="405"/>
      <c r="Q18" s="405"/>
      <c r="R18" s="405"/>
      <c r="S18" s="405"/>
      <c r="T18" s="405"/>
      <c r="U18" s="405"/>
      <c r="V18" s="406"/>
      <c r="W18" s="389" t="str">
        <f>Data!B506&amp;IF(Data!B507="","","  Split Shift- "&amp;Data!B507)</f>
        <v/>
      </c>
      <c r="X18" s="390"/>
      <c r="Y18" s="390"/>
      <c r="Z18" s="390"/>
      <c r="AA18" s="390"/>
      <c r="AB18" s="390"/>
      <c r="AC18" s="390"/>
      <c r="AD18" s="390"/>
      <c r="AE18" s="390"/>
      <c r="AF18" s="390"/>
      <c r="AG18" s="390"/>
      <c r="AH18" s="390"/>
      <c r="AI18" s="390"/>
      <c r="AJ18" s="391"/>
    </row>
    <row r="19" spans="1:36" ht="17.45" customHeight="1" x14ac:dyDescent="0.2">
      <c r="A19" s="404" t="s">
        <v>4761</v>
      </c>
      <c r="B19" s="405"/>
      <c r="C19" s="405"/>
      <c r="D19" s="405"/>
      <c r="E19" s="405"/>
      <c r="F19" s="405"/>
      <c r="G19" s="405"/>
      <c r="H19" s="405"/>
      <c r="I19" s="405"/>
      <c r="J19" s="405"/>
      <c r="K19" s="405"/>
      <c r="L19" s="405"/>
      <c r="M19" s="405"/>
      <c r="N19" s="405"/>
      <c r="O19" s="405"/>
      <c r="P19" s="405"/>
      <c r="Q19" s="405"/>
      <c r="R19" s="405"/>
      <c r="S19" s="405"/>
      <c r="T19" s="405"/>
      <c r="U19" s="405"/>
      <c r="V19" s="406"/>
      <c r="W19" s="407" t="str">
        <f>Data!B541&amp;IF(Data!B542="","","  Split Shift- "&amp;Data!B542)</f>
        <v/>
      </c>
      <c r="X19" s="408"/>
      <c r="Y19" s="408"/>
      <c r="Z19" s="408"/>
      <c r="AA19" s="408"/>
      <c r="AB19" s="408"/>
      <c r="AC19" s="408"/>
      <c r="AD19" s="408"/>
      <c r="AE19" s="408"/>
      <c r="AF19" s="408"/>
      <c r="AG19" s="408"/>
      <c r="AH19" s="408"/>
      <c r="AI19" s="408"/>
      <c r="AJ19" s="409"/>
    </row>
    <row r="20" spans="1:36" ht="17.45" customHeight="1" x14ac:dyDescent="0.2">
      <c r="A20" s="404" t="s">
        <v>4762</v>
      </c>
      <c r="B20" s="405"/>
      <c r="C20" s="405"/>
      <c r="D20" s="405"/>
      <c r="E20" s="405"/>
      <c r="F20" s="405"/>
      <c r="G20" s="405"/>
      <c r="H20" s="405"/>
      <c r="I20" s="405"/>
      <c r="J20" s="405"/>
      <c r="K20" s="405"/>
      <c r="L20" s="405"/>
      <c r="M20" s="405"/>
      <c r="N20" s="405"/>
      <c r="O20" s="405"/>
      <c r="P20" s="405"/>
      <c r="Q20" s="405"/>
      <c r="R20" s="405"/>
      <c r="S20" s="405"/>
      <c r="T20" s="405"/>
      <c r="U20" s="405"/>
      <c r="V20" s="406"/>
      <c r="W20" s="407" t="str">
        <f>Data!B468&amp;IF(Data!B469="","","  Split Shift- "&amp;Data!B469)</f>
        <v/>
      </c>
      <c r="X20" s="408"/>
      <c r="Y20" s="408"/>
      <c r="Z20" s="408"/>
      <c r="AA20" s="408"/>
      <c r="AB20" s="408"/>
      <c r="AC20" s="408"/>
      <c r="AD20" s="408"/>
      <c r="AE20" s="408"/>
      <c r="AF20" s="408"/>
      <c r="AG20" s="408"/>
      <c r="AH20" s="408"/>
      <c r="AI20" s="408"/>
      <c r="AJ20" s="409"/>
    </row>
    <row r="21" spans="1:36" ht="26.25" customHeight="1" thickBot="1" x14ac:dyDescent="0.25">
      <c r="A21" s="436" t="s">
        <v>4763</v>
      </c>
      <c r="B21" s="437"/>
      <c r="C21" s="437"/>
      <c r="D21" s="437"/>
      <c r="E21" s="437"/>
      <c r="F21" s="437"/>
      <c r="G21" s="437"/>
      <c r="H21" s="437"/>
      <c r="I21" s="437"/>
      <c r="J21" s="437"/>
      <c r="K21" s="437"/>
      <c r="L21" s="437"/>
      <c r="M21" s="437"/>
      <c r="N21" s="437"/>
      <c r="O21" s="437"/>
      <c r="P21" s="437"/>
      <c r="Q21" s="437"/>
      <c r="R21" s="437"/>
      <c r="S21" s="437"/>
      <c r="T21" s="437"/>
      <c r="U21" s="437"/>
      <c r="V21" s="438"/>
      <c r="W21" s="432" t="s">
        <v>1255</v>
      </c>
      <c r="X21" s="433"/>
      <c r="Y21" s="433"/>
      <c r="Z21" s="433"/>
      <c r="AA21" s="433"/>
      <c r="AB21" s="433"/>
      <c r="AC21" s="433"/>
      <c r="AD21" s="433"/>
      <c r="AE21" s="433"/>
      <c r="AF21" s="433"/>
      <c r="AG21" s="433"/>
      <c r="AH21" s="433"/>
      <c r="AI21" s="433"/>
      <c r="AJ21" s="434"/>
    </row>
    <row r="22" spans="1:36" ht="3.75" customHeight="1" thickBot="1" x14ac:dyDescent="0.25"/>
    <row r="23" spans="1:36" ht="14.1" customHeight="1" x14ac:dyDescent="0.2">
      <c r="A23" s="67" t="s">
        <v>1185</v>
      </c>
      <c r="B23" s="68"/>
      <c r="C23" s="68"/>
      <c r="D23" s="68"/>
      <c r="E23" s="68"/>
      <c r="F23" s="68"/>
      <c r="G23" s="68"/>
      <c r="H23" s="68"/>
      <c r="I23" s="68"/>
      <c r="J23" s="68"/>
      <c r="K23" s="68"/>
      <c r="L23" s="68"/>
      <c r="M23" s="68"/>
      <c r="N23" s="68"/>
      <c r="O23" s="68"/>
      <c r="P23" s="68"/>
      <c r="Q23" s="68"/>
      <c r="R23" s="68"/>
      <c r="S23" s="68"/>
      <c r="T23" s="68"/>
      <c r="U23" s="68"/>
      <c r="V23" s="68"/>
      <c r="W23" s="401" t="s">
        <v>120</v>
      </c>
      <c r="X23" s="402"/>
      <c r="Y23" s="402"/>
      <c r="Z23" s="402"/>
      <c r="AA23" s="402"/>
      <c r="AB23" s="402"/>
      <c r="AC23" s="402"/>
      <c r="AD23" s="402"/>
      <c r="AE23" s="402"/>
      <c r="AF23" s="402"/>
      <c r="AG23" s="402"/>
      <c r="AH23" s="402"/>
      <c r="AI23" s="402"/>
      <c r="AJ23" s="403"/>
    </row>
    <row r="24" spans="1:36" ht="14.25" customHeight="1" x14ac:dyDescent="0.2">
      <c r="A24" s="386" t="s">
        <v>4764</v>
      </c>
      <c r="B24" s="387"/>
      <c r="C24" s="387"/>
      <c r="D24" s="387"/>
      <c r="E24" s="387"/>
      <c r="F24" s="387"/>
      <c r="G24" s="387"/>
      <c r="H24" s="387"/>
      <c r="I24" s="387"/>
      <c r="J24" s="387"/>
      <c r="K24" s="387"/>
      <c r="L24" s="387"/>
      <c r="M24" s="387"/>
      <c r="N24" s="387"/>
      <c r="O24" s="387"/>
      <c r="P24" s="387"/>
      <c r="Q24" s="387"/>
      <c r="R24" s="387"/>
      <c r="S24" s="387"/>
      <c r="T24" s="387"/>
      <c r="U24" s="387"/>
      <c r="V24" s="388"/>
      <c r="W24" s="407" t="str">
        <f>Data!B974</f>
        <v>PRN</v>
      </c>
      <c r="X24" s="408"/>
      <c r="Y24" s="408"/>
      <c r="Z24" s="408"/>
      <c r="AA24" s="408"/>
      <c r="AB24" s="408"/>
      <c r="AC24" s="408"/>
      <c r="AD24" s="408"/>
      <c r="AE24" s="408"/>
      <c r="AF24" s="408"/>
      <c r="AG24" s="408"/>
      <c r="AH24" s="408"/>
      <c r="AI24" s="408"/>
      <c r="AJ24" s="409"/>
    </row>
    <row r="25" spans="1:36" ht="14.25" customHeight="1" x14ac:dyDescent="0.2">
      <c r="A25" s="386" t="s">
        <v>1186</v>
      </c>
      <c r="B25" s="387"/>
      <c r="C25" s="387"/>
      <c r="D25" s="387"/>
      <c r="E25" s="387"/>
      <c r="F25" s="387"/>
      <c r="G25" s="387"/>
      <c r="H25" s="387"/>
      <c r="I25" s="387"/>
      <c r="J25" s="387"/>
      <c r="K25" s="387"/>
      <c r="L25" s="387"/>
      <c r="M25" s="387"/>
      <c r="N25" s="387"/>
      <c r="O25" s="387"/>
      <c r="P25" s="387"/>
      <c r="Q25" s="387"/>
      <c r="R25" s="387"/>
      <c r="S25" s="387"/>
      <c r="T25" s="387"/>
      <c r="U25" s="387"/>
      <c r="V25" s="388"/>
      <c r="W25" s="407" t="str">
        <f>Data!B976</f>
        <v>PRN</v>
      </c>
      <c r="X25" s="408"/>
      <c r="Y25" s="408"/>
      <c r="Z25" s="408"/>
      <c r="AA25" s="408"/>
      <c r="AB25" s="408"/>
      <c r="AC25" s="408"/>
      <c r="AD25" s="408"/>
      <c r="AE25" s="408"/>
      <c r="AF25" s="408"/>
      <c r="AG25" s="408"/>
      <c r="AH25" s="408"/>
      <c r="AI25" s="408"/>
      <c r="AJ25" s="409"/>
    </row>
    <row r="26" spans="1:36" ht="14.25" customHeight="1" x14ac:dyDescent="0.2">
      <c r="A26" s="386" t="s">
        <v>1187</v>
      </c>
      <c r="B26" s="387"/>
      <c r="C26" s="387"/>
      <c r="D26" s="387"/>
      <c r="E26" s="387"/>
      <c r="F26" s="387"/>
      <c r="G26" s="387"/>
      <c r="H26" s="387"/>
      <c r="I26" s="387"/>
      <c r="J26" s="387"/>
      <c r="K26" s="387"/>
      <c r="L26" s="387"/>
      <c r="M26" s="387"/>
      <c r="N26" s="387"/>
      <c r="O26" s="387"/>
      <c r="P26" s="387"/>
      <c r="Q26" s="387"/>
      <c r="R26" s="387"/>
      <c r="S26" s="387"/>
      <c r="T26" s="387"/>
      <c r="U26" s="387"/>
      <c r="V26" s="388"/>
      <c r="W26" s="407">
        <f>Data!B745</f>
        <v>0</v>
      </c>
      <c r="X26" s="408"/>
      <c r="Y26" s="408"/>
      <c r="Z26" s="408"/>
      <c r="AA26" s="408"/>
      <c r="AB26" s="408"/>
      <c r="AC26" s="408"/>
      <c r="AD26" s="408"/>
      <c r="AE26" s="408"/>
      <c r="AF26" s="408"/>
      <c r="AG26" s="408"/>
      <c r="AH26" s="408"/>
      <c r="AI26" s="408"/>
      <c r="AJ26" s="409"/>
    </row>
    <row r="27" spans="1:36" ht="14.25" customHeight="1" x14ac:dyDescent="0.2">
      <c r="A27" s="386" t="s">
        <v>1188</v>
      </c>
      <c r="B27" s="387"/>
      <c r="C27" s="387"/>
      <c r="D27" s="387"/>
      <c r="E27" s="387"/>
      <c r="F27" s="387"/>
      <c r="G27" s="387"/>
      <c r="H27" s="387"/>
      <c r="I27" s="387"/>
      <c r="J27" s="387"/>
      <c r="K27" s="387"/>
      <c r="L27" s="387"/>
      <c r="M27" s="387"/>
      <c r="N27" s="387"/>
      <c r="O27" s="387"/>
      <c r="P27" s="387"/>
      <c r="Q27" s="387"/>
      <c r="R27" s="387"/>
      <c r="S27" s="387"/>
      <c r="T27" s="387"/>
      <c r="U27" s="387"/>
      <c r="V27" s="388"/>
      <c r="W27" s="407" t="str">
        <f>Data!B978</f>
        <v>PRN</v>
      </c>
      <c r="X27" s="408"/>
      <c r="Y27" s="408"/>
      <c r="Z27" s="408"/>
      <c r="AA27" s="408"/>
      <c r="AB27" s="408"/>
      <c r="AC27" s="408"/>
      <c r="AD27" s="408"/>
      <c r="AE27" s="408"/>
      <c r="AF27" s="408"/>
      <c r="AG27" s="408"/>
      <c r="AH27" s="408"/>
      <c r="AI27" s="408"/>
      <c r="AJ27" s="409"/>
    </row>
    <row r="28" spans="1:36" ht="14.25" customHeight="1" x14ac:dyDescent="0.2">
      <c r="A28" s="386" t="s">
        <v>1189</v>
      </c>
      <c r="B28" s="387"/>
      <c r="C28" s="387"/>
      <c r="D28" s="387"/>
      <c r="E28" s="387"/>
      <c r="F28" s="387"/>
      <c r="G28" s="387"/>
      <c r="H28" s="387"/>
      <c r="I28" s="387"/>
      <c r="J28" s="387"/>
      <c r="K28" s="387"/>
      <c r="L28" s="387"/>
      <c r="M28" s="387"/>
      <c r="N28" s="387"/>
      <c r="O28" s="387"/>
      <c r="P28" s="387"/>
      <c r="Q28" s="387"/>
      <c r="R28" s="387"/>
      <c r="S28" s="387"/>
      <c r="T28" s="387"/>
      <c r="U28" s="387"/>
      <c r="V28" s="388"/>
      <c r="W28" s="407" t="str">
        <f>Data!B980</f>
        <v>PRN</v>
      </c>
      <c r="X28" s="408"/>
      <c r="Y28" s="408"/>
      <c r="Z28" s="408"/>
      <c r="AA28" s="408"/>
      <c r="AB28" s="408"/>
      <c r="AC28" s="408"/>
      <c r="AD28" s="408"/>
      <c r="AE28" s="408"/>
      <c r="AF28" s="408"/>
      <c r="AG28" s="408"/>
      <c r="AH28" s="408"/>
      <c r="AI28" s="408"/>
      <c r="AJ28" s="409"/>
    </row>
    <row r="29" spans="1:36" ht="14.25" customHeight="1" x14ac:dyDescent="0.2">
      <c r="A29" s="386" t="s">
        <v>1190</v>
      </c>
      <c r="B29" s="387"/>
      <c r="C29" s="387"/>
      <c r="D29" s="387"/>
      <c r="E29" s="387"/>
      <c r="F29" s="387"/>
      <c r="G29" s="387"/>
      <c r="H29" s="387"/>
      <c r="I29" s="387"/>
      <c r="J29" s="387"/>
      <c r="K29" s="387"/>
      <c r="L29" s="387"/>
      <c r="M29" s="387"/>
      <c r="N29" s="387"/>
      <c r="O29" s="387"/>
      <c r="P29" s="387"/>
      <c r="Q29" s="387"/>
      <c r="R29" s="387"/>
      <c r="S29" s="387"/>
      <c r="T29" s="387"/>
      <c r="U29" s="387"/>
      <c r="V29" s="388"/>
      <c r="W29" s="407" t="str">
        <f>Data!B675</f>
        <v>Daily</v>
      </c>
      <c r="X29" s="408"/>
      <c r="Y29" s="408"/>
      <c r="Z29" s="408"/>
      <c r="AA29" s="408"/>
      <c r="AB29" s="408"/>
      <c r="AC29" s="408"/>
      <c r="AD29" s="408"/>
      <c r="AE29" s="408"/>
      <c r="AF29" s="408"/>
      <c r="AG29" s="408"/>
      <c r="AH29" s="408"/>
      <c r="AI29" s="408"/>
      <c r="AJ29" s="409"/>
    </row>
    <row r="30" spans="1:36" ht="24.75" customHeight="1" thickBot="1" x14ac:dyDescent="0.25">
      <c r="A30" s="436" t="s">
        <v>4765</v>
      </c>
      <c r="B30" s="437"/>
      <c r="C30" s="437"/>
      <c r="D30" s="437"/>
      <c r="E30" s="437"/>
      <c r="F30" s="437"/>
      <c r="G30" s="437"/>
      <c r="H30" s="437"/>
      <c r="I30" s="437"/>
      <c r="J30" s="437"/>
      <c r="K30" s="437"/>
      <c r="L30" s="437"/>
      <c r="M30" s="437"/>
      <c r="N30" s="437"/>
      <c r="O30" s="437"/>
      <c r="P30" s="437"/>
      <c r="Q30" s="437"/>
      <c r="R30" s="437"/>
      <c r="S30" s="437"/>
      <c r="T30" s="437"/>
      <c r="U30" s="437"/>
      <c r="V30" s="438"/>
      <c r="W30" s="410" t="str">
        <f>ppm.careplan3!H11</f>
        <v>Not Required</v>
      </c>
      <c r="X30" s="411"/>
      <c r="Y30" s="411"/>
      <c r="Z30" s="411"/>
      <c r="AA30" s="411"/>
      <c r="AB30" s="411"/>
      <c r="AC30" s="411"/>
      <c r="AD30" s="411"/>
      <c r="AE30" s="411"/>
      <c r="AF30" s="411"/>
      <c r="AG30" s="411"/>
      <c r="AH30" s="411"/>
      <c r="AI30" s="411"/>
      <c r="AJ30" s="412"/>
    </row>
    <row r="31" spans="1:36" ht="3" customHeight="1" thickBot="1" x14ac:dyDescent="0.25"/>
    <row r="32" spans="1:36" ht="14.1" customHeight="1" x14ac:dyDescent="0.2">
      <c r="A32" s="67" t="s">
        <v>1191</v>
      </c>
      <c r="B32" s="68"/>
      <c r="C32" s="68"/>
      <c r="D32" s="68"/>
      <c r="E32" s="68"/>
      <c r="F32" s="68"/>
      <c r="G32" s="68"/>
      <c r="H32" s="68"/>
      <c r="I32" s="68"/>
      <c r="J32" s="68"/>
      <c r="K32" s="68"/>
      <c r="L32" s="68"/>
      <c r="M32" s="68"/>
      <c r="N32" s="68"/>
      <c r="O32" s="68"/>
      <c r="P32" s="68"/>
      <c r="Q32" s="68"/>
      <c r="R32" s="68"/>
      <c r="S32" s="68"/>
      <c r="T32" s="68"/>
      <c r="U32" s="68"/>
      <c r="V32" s="68"/>
      <c r="W32" s="401" t="s">
        <v>120</v>
      </c>
      <c r="X32" s="402"/>
      <c r="Y32" s="402"/>
      <c r="Z32" s="402"/>
      <c r="AA32" s="402"/>
      <c r="AB32" s="402"/>
      <c r="AC32" s="402"/>
      <c r="AD32" s="402"/>
      <c r="AE32" s="402"/>
      <c r="AF32" s="402"/>
      <c r="AG32" s="402"/>
      <c r="AH32" s="402"/>
      <c r="AI32" s="402"/>
      <c r="AJ32" s="403"/>
    </row>
    <row r="33" spans="1:36" ht="15" customHeight="1" x14ac:dyDescent="0.2">
      <c r="A33" s="386" t="s">
        <v>1192</v>
      </c>
      <c r="B33" s="387"/>
      <c r="C33" s="387"/>
      <c r="D33" s="387"/>
      <c r="E33" s="387"/>
      <c r="F33" s="387"/>
      <c r="G33" s="387"/>
      <c r="H33" s="387"/>
      <c r="I33" s="387"/>
      <c r="J33" s="387"/>
      <c r="K33" s="387"/>
      <c r="L33" s="387"/>
      <c r="M33" s="387"/>
      <c r="N33" s="387"/>
      <c r="O33" s="387"/>
      <c r="P33" s="387"/>
      <c r="Q33" s="387"/>
      <c r="R33" s="387"/>
      <c r="S33" s="387"/>
      <c r="T33" s="387"/>
      <c r="U33" s="387"/>
      <c r="V33" s="388"/>
      <c r="W33" s="407">
        <f>Data!B962</f>
        <v>0</v>
      </c>
      <c r="X33" s="408"/>
      <c r="Y33" s="408"/>
      <c r="Z33" s="408"/>
      <c r="AA33" s="408"/>
      <c r="AB33" s="408"/>
      <c r="AC33" s="408"/>
      <c r="AD33" s="408"/>
      <c r="AE33" s="408"/>
      <c r="AF33" s="408"/>
      <c r="AG33" s="408"/>
      <c r="AH33" s="408"/>
      <c r="AI33" s="408"/>
      <c r="AJ33" s="409"/>
    </row>
    <row r="34" spans="1:36" ht="15" customHeight="1" x14ac:dyDescent="0.2">
      <c r="A34" s="386" t="s">
        <v>1193</v>
      </c>
      <c r="B34" s="387"/>
      <c r="C34" s="387"/>
      <c r="D34" s="387"/>
      <c r="E34" s="387"/>
      <c r="F34" s="387"/>
      <c r="G34" s="387"/>
      <c r="H34" s="387"/>
      <c r="I34" s="387"/>
      <c r="J34" s="387"/>
      <c r="K34" s="387"/>
      <c r="L34" s="387"/>
      <c r="M34" s="387"/>
      <c r="N34" s="387"/>
      <c r="O34" s="387"/>
      <c r="P34" s="387"/>
      <c r="Q34" s="387"/>
      <c r="R34" s="387"/>
      <c r="S34" s="387"/>
      <c r="T34" s="387"/>
      <c r="U34" s="387"/>
      <c r="V34" s="388"/>
      <c r="W34" s="407">
        <f>Data!B964</f>
        <v>0</v>
      </c>
      <c r="X34" s="408"/>
      <c r="Y34" s="408"/>
      <c r="Z34" s="408"/>
      <c r="AA34" s="408"/>
      <c r="AB34" s="408"/>
      <c r="AC34" s="408"/>
      <c r="AD34" s="408"/>
      <c r="AE34" s="408"/>
      <c r="AF34" s="408"/>
      <c r="AG34" s="408"/>
      <c r="AH34" s="408"/>
      <c r="AI34" s="408"/>
      <c r="AJ34" s="409"/>
    </row>
    <row r="35" spans="1:36" ht="15" customHeight="1" x14ac:dyDescent="0.2">
      <c r="A35" s="386" t="s">
        <v>1194</v>
      </c>
      <c r="B35" s="387"/>
      <c r="C35" s="387"/>
      <c r="D35" s="387"/>
      <c r="E35" s="387"/>
      <c r="F35" s="387"/>
      <c r="G35" s="387"/>
      <c r="H35" s="387"/>
      <c r="I35" s="387"/>
      <c r="J35" s="387"/>
      <c r="K35" s="387"/>
      <c r="L35" s="387"/>
      <c r="M35" s="387"/>
      <c r="N35" s="387"/>
      <c r="O35" s="387"/>
      <c r="P35" s="387"/>
      <c r="Q35" s="387"/>
      <c r="R35" s="387"/>
      <c r="S35" s="387"/>
      <c r="T35" s="387"/>
      <c r="U35" s="387"/>
      <c r="V35" s="388"/>
      <c r="W35" s="407">
        <f>Data!B966</f>
        <v>0</v>
      </c>
      <c r="X35" s="408"/>
      <c r="Y35" s="408"/>
      <c r="Z35" s="408"/>
      <c r="AA35" s="408"/>
      <c r="AB35" s="408"/>
      <c r="AC35" s="408"/>
      <c r="AD35" s="408"/>
      <c r="AE35" s="408"/>
      <c r="AF35" s="408"/>
      <c r="AG35" s="408"/>
      <c r="AH35" s="408"/>
      <c r="AI35" s="408"/>
      <c r="AJ35" s="409"/>
    </row>
    <row r="36" spans="1:36" ht="15" customHeight="1" x14ac:dyDescent="0.2">
      <c r="A36" s="386" t="s">
        <v>1195</v>
      </c>
      <c r="B36" s="387"/>
      <c r="C36" s="387"/>
      <c r="D36" s="387"/>
      <c r="E36" s="387"/>
      <c r="F36" s="387"/>
      <c r="G36" s="387"/>
      <c r="H36" s="387"/>
      <c r="I36" s="387"/>
      <c r="J36" s="387"/>
      <c r="K36" s="387"/>
      <c r="L36" s="387"/>
      <c r="M36" s="387"/>
      <c r="N36" s="387"/>
      <c r="O36" s="387"/>
      <c r="P36" s="387"/>
      <c r="Q36" s="387"/>
      <c r="R36" s="387"/>
      <c r="S36" s="387"/>
      <c r="T36" s="387"/>
      <c r="U36" s="387"/>
      <c r="V36" s="388"/>
      <c r="W36" s="389" t="str">
        <f>Data!B968</f>
        <v>Daily</v>
      </c>
      <c r="X36" s="390"/>
      <c r="Y36" s="390"/>
      <c r="Z36" s="390"/>
      <c r="AA36" s="390"/>
      <c r="AB36" s="390"/>
      <c r="AC36" s="390"/>
      <c r="AD36" s="390"/>
      <c r="AE36" s="390"/>
      <c r="AF36" s="390"/>
      <c r="AG36" s="390"/>
      <c r="AH36" s="390"/>
      <c r="AI36" s="390"/>
      <c r="AJ36" s="391"/>
    </row>
    <row r="37" spans="1:36" ht="15" customHeight="1" x14ac:dyDescent="0.2">
      <c r="A37" s="386" t="s">
        <v>1196</v>
      </c>
      <c r="B37" s="387"/>
      <c r="C37" s="387"/>
      <c r="D37" s="387"/>
      <c r="E37" s="387"/>
      <c r="F37" s="387"/>
      <c r="G37" s="387"/>
      <c r="H37" s="387"/>
      <c r="I37" s="387"/>
      <c r="J37" s="387"/>
      <c r="K37" s="387"/>
      <c r="L37" s="387"/>
      <c r="M37" s="387"/>
      <c r="N37" s="387"/>
      <c r="O37" s="387"/>
      <c r="P37" s="387"/>
      <c r="Q37" s="387"/>
      <c r="R37" s="387"/>
      <c r="S37" s="387"/>
      <c r="T37" s="387"/>
      <c r="U37" s="387"/>
      <c r="V37" s="388"/>
      <c r="W37" s="389" t="str">
        <f>Data!B970</f>
        <v>Daily</v>
      </c>
      <c r="X37" s="390"/>
      <c r="Y37" s="390"/>
      <c r="Z37" s="390"/>
      <c r="AA37" s="390"/>
      <c r="AB37" s="390"/>
      <c r="AC37" s="390"/>
      <c r="AD37" s="390"/>
      <c r="AE37" s="390"/>
      <c r="AF37" s="390"/>
      <c r="AG37" s="390"/>
      <c r="AH37" s="390"/>
      <c r="AI37" s="390"/>
      <c r="AJ37" s="391"/>
    </row>
    <row r="38" spans="1:36" ht="15" customHeight="1" x14ac:dyDescent="0.2">
      <c r="A38" s="386" t="s">
        <v>1197</v>
      </c>
      <c r="B38" s="387"/>
      <c r="C38" s="387"/>
      <c r="D38" s="387"/>
      <c r="E38" s="387"/>
      <c r="F38" s="387"/>
      <c r="G38" s="387"/>
      <c r="H38" s="387"/>
      <c r="I38" s="387"/>
      <c r="J38" s="387"/>
      <c r="K38" s="387"/>
      <c r="L38" s="387"/>
      <c r="M38" s="387"/>
      <c r="N38" s="387"/>
      <c r="O38" s="387"/>
      <c r="P38" s="387"/>
      <c r="Q38" s="387"/>
      <c r="R38" s="387"/>
      <c r="S38" s="387"/>
      <c r="T38" s="387"/>
      <c r="U38" s="387"/>
      <c r="V38" s="388"/>
      <c r="W38" s="389" t="str">
        <f>Data!B972</f>
        <v>Daily</v>
      </c>
      <c r="X38" s="390"/>
      <c r="Y38" s="390"/>
      <c r="Z38" s="390"/>
      <c r="AA38" s="390"/>
      <c r="AB38" s="390"/>
      <c r="AC38" s="390"/>
      <c r="AD38" s="390"/>
      <c r="AE38" s="390"/>
      <c r="AF38" s="390"/>
      <c r="AG38" s="390"/>
      <c r="AH38" s="390"/>
      <c r="AI38" s="390"/>
      <c r="AJ38" s="391"/>
    </row>
    <row r="39" spans="1:36" ht="15" customHeight="1" thickBot="1" x14ac:dyDescent="0.25">
      <c r="A39" s="395" t="s">
        <v>1198</v>
      </c>
      <c r="B39" s="396"/>
      <c r="C39" s="396"/>
      <c r="D39" s="396"/>
      <c r="E39" s="396"/>
      <c r="F39" s="396"/>
      <c r="G39" s="396"/>
      <c r="H39" s="396"/>
      <c r="I39" s="396"/>
      <c r="J39" s="396"/>
      <c r="K39" s="396"/>
      <c r="L39" s="396"/>
      <c r="M39" s="396"/>
      <c r="N39" s="396"/>
      <c r="O39" s="396"/>
      <c r="P39" s="396"/>
      <c r="Q39" s="396"/>
      <c r="R39" s="396"/>
      <c r="S39" s="396"/>
      <c r="T39" s="396"/>
      <c r="U39" s="396"/>
      <c r="V39" s="397"/>
      <c r="W39" s="410" t="str">
        <f>Data!B990</f>
        <v>PRN</v>
      </c>
      <c r="X39" s="411"/>
      <c r="Y39" s="411"/>
      <c r="Z39" s="411"/>
      <c r="AA39" s="411"/>
      <c r="AB39" s="411"/>
      <c r="AC39" s="411"/>
      <c r="AD39" s="411"/>
      <c r="AE39" s="411"/>
      <c r="AF39" s="411"/>
      <c r="AG39" s="411"/>
      <c r="AH39" s="411"/>
      <c r="AI39" s="411"/>
      <c r="AJ39" s="412"/>
    </row>
    <row r="40" spans="1:36" ht="21" customHeight="1" thickBot="1" x14ac:dyDescent="0.25">
      <c r="A40" s="435" t="s">
        <v>4766</v>
      </c>
      <c r="B40" s="435"/>
      <c r="C40" s="435"/>
      <c r="D40" s="435"/>
      <c r="E40" s="435"/>
      <c r="F40" s="435"/>
      <c r="G40" s="435"/>
      <c r="H40" s="435"/>
      <c r="I40" s="435"/>
      <c r="J40" s="435"/>
      <c r="K40" s="435"/>
      <c r="L40" s="435"/>
      <c r="M40" s="435"/>
      <c r="N40" s="435"/>
      <c r="O40" s="435"/>
      <c r="P40" s="435"/>
      <c r="Q40" s="435"/>
      <c r="R40" s="435"/>
      <c r="S40" s="435"/>
      <c r="T40" s="435"/>
      <c r="U40" s="435"/>
      <c r="V40" s="435"/>
      <c r="W40" s="435"/>
      <c r="X40" s="435"/>
      <c r="Y40" s="435"/>
      <c r="Z40" s="435"/>
      <c r="AA40" s="435"/>
      <c r="AB40" s="435"/>
      <c r="AC40" s="435"/>
      <c r="AD40" s="435"/>
      <c r="AE40" s="435"/>
      <c r="AF40" s="435"/>
      <c r="AG40" s="435"/>
      <c r="AH40" s="435"/>
      <c r="AI40" s="435"/>
      <c r="AJ40" s="435"/>
    </row>
    <row r="41" spans="1:36" x14ac:dyDescent="0.2">
      <c r="X41" s="69" t="s">
        <v>1199</v>
      </c>
      <c r="Y41" s="70"/>
      <c r="Z41" s="70"/>
      <c r="AA41" s="70"/>
      <c r="AB41" s="70"/>
      <c r="AC41" s="70"/>
      <c r="AD41" s="70"/>
      <c r="AE41" s="70"/>
      <c r="AF41" s="70"/>
      <c r="AG41" s="70"/>
      <c r="AH41" s="70"/>
      <c r="AI41" s="70"/>
      <c r="AJ41" s="71"/>
    </row>
    <row r="42" spans="1:36" x14ac:dyDescent="0.2">
      <c r="B42" s="392" t="s">
        <v>1257</v>
      </c>
      <c r="C42" s="392"/>
      <c r="D42" s="392"/>
      <c r="E42" s="392"/>
      <c r="F42" s="392"/>
      <c r="G42" s="392"/>
      <c r="H42" s="392"/>
      <c r="I42" s="392"/>
      <c r="J42" s="392"/>
      <c r="K42" s="392"/>
      <c r="L42" s="392"/>
      <c r="M42" s="392"/>
      <c r="N42" s="392"/>
      <c r="X42" s="72"/>
      <c r="AJ42" s="73"/>
    </row>
    <row r="43" spans="1:36" x14ac:dyDescent="0.2">
      <c r="A43" s="48"/>
      <c r="B43" s="393"/>
      <c r="C43" s="393"/>
      <c r="D43" s="393"/>
      <c r="E43" s="393"/>
      <c r="F43" s="393"/>
      <c r="G43" s="393"/>
      <c r="H43" s="393"/>
      <c r="I43" s="393"/>
      <c r="J43" s="393"/>
      <c r="K43" s="393"/>
      <c r="L43" s="393"/>
      <c r="M43" s="393"/>
      <c r="N43" s="393"/>
      <c r="P43" s="50" t="s">
        <v>1200</v>
      </c>
      <c r="Q43" s="50"/>
      <c r="R43" s="50"/>
      <c r="S43" s="50"/>
      <c r="T43" s="50"/>
      <c r="U43" s="50"/>
      <c r="X43" s="72"/>
      <c r="AJ43" s="73"/>
    </row>
    <row r="44" spans="1:36" ht="14.25" thickBot="1" x14ac:dyDescent="0.25">
      <c r="A44" s="74" t="s">
        <v>1201</v>
      </c>
      <c r="P44" s="74" t="s">
        <v>1179</v>
      </c>
      <c r="X44" s="75"/>
      <c r="Y44" s="76"/>
      <c r="Z44" s="76"/>
      <c r="AA44" s="76"/>
      <c r="AB44" s="76"/>
      <c r="AC44" s="76"/>
      <c r="AD44" s="76"/>
      <c r="AE44" s="76"/>
      <c r="AF44" s="76"/>
      <c r="AG44" s="76"/>
      <c r="AH44" s="76"/>
      <c r="AI44" s="76"/>
      <c r="AJ44" s="77"/>
    </row>
    <row r="45" spans="1:36" x14ac:dyDescent="0.2">
      <c r="A45" s="385" t="s">
        <v>1202</v>
      </c>
      <c r="B45" s="385"/>
      <c r="C45" s="385"/>
      <c r="D45" s="385"/>
      <c r="E45" s="385"/>
      <c r="F45" s="385"/>
      <c r="G45" s="385"/>
      <c r="H45" s="385"/>
      <c r="I45" s="385"/>
      <c r="J45" s="385"/>
      <c r="K45" s="385"/>
      <c r="L45" s="385"/>
      <c r="M45" s="385"/>
      <c r="N45" s="385"/>
      <c r="O45" s="385"/>
      <c r="P45" s="385"/>
      <c r="Q45" s="385"/>
      <c r="R45" s="385"/>
      <c r="S45" s="385"/>
      <c r="T45" s="385"/>
      <c r="U45" s="385"/>
      <c r="V45" s="385"/>
      <c r="W45" s="385"/>
      <c r="X45" s="385"/>
      <c r="Y45" s="385"/>
      <c r="Z45" s="385"/>
      <c r="AA45" s="385"/>
      <c r="AB45" s="385"/>
      <c r="AC45" s="385"/>
      <c r="AD45" s="385"/>
      <c r="AE45" s="385"/>
      <c r="AF45" s="385"/>
      <c r="AG45" s="385"/>
      <c r="AH45" s="385"/>
      <c r="AI45" s="385"/>
      <c r="AJ45" s="385"/>
    </row>
    <row r="46" spans="1:36" ht="19.5" thickBot="1" x14ac:dyDescent="0.25">
      <c r="A46" s="394" t="s">
        <v>1164</v>
      </c>
      <c r="B46" s="394"/>
      <c r="C46" s="394"/>
      <c r="D46" s="394"/>
      <c r="E46" s="394"/>
      <c r="F46" s="394"/>
      <c r="G46" s="394"/>
      <c r="H46" s="394"/>
      <c r="I46" s="394"/>
      <c r="J46" s="394"/>
      <c r="K46" s="394"/>
      <c r="L46" s="394"/>
      <c r="M46" s="394"/>
      <c r="N46" s="394"/>
      <c r="O46" s="394"/>
      <c r="P46" s="394"/>
      <c r="Q46" s="394"/>
      <c r="R46" s="394"/>
      <c r="S46" s="394"/>
      <c r="T46" s="394"/>
      <c r="U46" s="394"/>
      <c r="V46" s="394"/>
      <c r="W46" s="394"/>
      <c r="X46" s="394"/>
      <c r="Y46" s="394"/>
      <c r="Z46" s="44"/>
      <c r="AA46" s="44"/>
      <c r="AB46" s="44"/>
      <c r="AC46" s="44"/>
      <c r="AD46" s="44"/>
      <c r="AE46" s="44"/>
      <c r="AF46" s="44"/>
      <c r="AG46" s="44"/>
      <c r="AH46" s="44"/>
      <c r="AI46" s="44"/>
      <c r="AJ46" s="45" t="s">
        <v>1203</v>
      </c>
    </row>
    <row r="47" spans="1:36" x14ac:dyDescent="0.2">
      <c r="A47" s="67" t="s">
        <v>1204</v>
      </c>
      <c r="B47" s="68"/>
      <c r="C47" s="68"/>
      <c r="D47" s="68"/>
      <c r="E47" s="68"/>
      <c r="F47" s="68"/>
      <c r="G47" s="68"/>
      <c r="H47" s="68"/>
      <c r="I47" s="68"/>
      <c r="J47" s="68"/>
      <c r="K47" s="68"/>
      <c r="L47" s="68"/>
      <c r="M47" s="68"/>
      <c r="N47" s="68"/>
      <c r="O47" s="68"/>
      <c r="P47" s="68"/>
      <c r="Q47" s="68"/>
      <c r="R47" s="68"/>
      <c r="S47" s="68"/>
      <c r="T47" s="68"/>
      <c r="U47" s="68"/>
      <c r="V47" s="68"/>
      <c r="W47" s="401" t="s">
        <v>1170</v>
      </c>
      <c r="X47" s="402"/>
      <c r="Y47" s="402"/>
      <c r="Z47" s="402"/>
      <c r="AA47" s="402"/>
      <c r="AB47" s="402"/>
      <c r="AC47" s="402"/>
      <c r="AD47" s="402"/>
      <c r="AE47" s="402"/>
      <c r="AF47" s="402"/>
      <c r="AG47" s="402"/>
      <c r="AH47" s="402"/>
      <c r="AI47" s="402"/>
      <c r="AJ47" s="403"/>
    </row>
    <row r="48" spans="1:36" x14ac:dyDescent="0.2">
      <c r="A48" s="386" t="s">
        <v>1205</v>
      </c>
      <c r="B48" s="387"/>
      <c r="C48" s="387"/>
      <c r="D48" s="387"/>
      <c r="E48" s="387"/>
      <c r="F48" s="387"/>
      <c r="G48" s="387"/>
      <c r="H48" s="387"/>
      <c r="I48" s="387"/>
      <c r="J48" s="387"/>
      <c r="K48" s="387"/>
      <c r="L48" s="387"/>
      <c r="M48" s="387"/>
      <c r="N48" s="387"/>
      <c r="O48" s="387"/>
      <c r="P48" s="387"/>
      <c r="Q48" s="387"/>
      <c r="R48" s="387"/>
      <c r="S48" s="387"/>
      <c r="T48" s="387"/>
      <c r="U48" s="387"/>
      <c r="V48" s="388"/>
      <c r="W48" s="389" t="str">
        <f>Data!B663</f>
        <v>Daily</v>
      </c>
      <c r="X48" s="390"/>
      <c r="Y48" s="390"/>
      <c r="Z48" s="390"/>
      <c r="AA48" s="390"/>
      <c r="AB48" s="390"/>
      <c r="AC48" s="390"/>
      <c r="AD48" s="390"/>
      <c r="AE48" s="390"/>
      <c r="AF48" s="390"/>
      <c r="AG48" s="390"/>
      <c r="AH48" s="390"/>
      <c r="AI48" s="390"/>
      <c r="AJ48" s="391"/>
    </row>
    <row r="49" spans="1:36" x14ac:dyDescent="0.2">
      <c r="A49" s="386" t="s">
        <v>1206</v>
      </c>
      <c r="B49" s="387"/>
      <c r="C49" s="387"/>
      <c r="D49" s="387"/>
      <c r="E49" s="387"/>
      <c r="F49" s="387"/>
      <c r="G49" s="387"/>
      <c r="H49" s="387"/>
      <c r="I49" s="387"/>
      <c r="J49" s="387"/>
      <c r="K49" s="387"/>
      <c r="L49" s="387"/>
      <c r="M49" s="387"/>
      <c r="N49" s="387"/>
      <c r="O49" s="387"/>
      <c r="P49" s="387"/>
      <c r="Q49" s="387"/>
      <c r="R49" s="387"/>
      <c r="S49" s="387"/>
      <c r="T49" s="387"/>
      <c r="U49" s="387"/>
      <c r="V49" s="388"/>
      <c r="W49" s="407">
        <f>Data!B665</f>
        <v>0</v>
      </c>
      <c r="X49" s="408"/>
      <c r="Y49" s="408"/>
      <c r="Z49" s="408"/>
      <c r="AA49" s="408"/>
      <c r="AB49" s="408"/>
      <c r="AC49" s="408"/>
      <c r="AD49" s="408"/>
      <c r="AE49" s="408"/>
      <c r="AF49" s="408"/>
      <c r="AG49" s="408"/>
      <c r="AH49" s="408"/>
      <c r="AI49" s="408"/>
      <c r="AJ49" s="409"/>
    </row>
    <row r="50" spans="1:36" ht="12.95" customHeight="1" x14ac:dyDescent="0.2">
      <c r="A50" s="386" t="s">
        <v>1207</v>
      </c>
      <c r="B50" s="387"/>
      <c r="C50" s="387"/>
      <c r="D50" s="387"/>
      <c r="E50" s="387"/>
      <c r="F50" s="387"/>
      <c r="G50" s="387"/>
      <c r="H50" s="387"/>
      <c r="I50" s="387"/>
      <c r="J50" s="387"/>
      <c r="K50" s="387"/>
      <c r="L50" s="387"/>
      <c r="M50" s="387"/>
      <c r="N50" s="387"/>
      <c r="O50" s="387"/>
      <c r="P50" s="387"/>
      <c r="Q50" s="387"/>
      <c r="R50" s="387"/>
      <c r="S50" s="387"/>
      <c r="T50" s="387"/>
      <c r="U50" s="387"/>
      <c r="V50" s="388"/>
      <c r="W50" s="407" t="str">
        <f>Data!B667</f>
        <v>Daily</v>
      </c>
      <c r="X50" s="408"/>
      <c r="Y50" s="408"/>
      <c r="Z50" s="408"/>
      <c r="AA50" s="408"/>
      <c r="AB50" s="408"/>
      <c r="AC50" s="408"/>
      <c r="AD50" s="408"/>
      <c r="AE50" s="408"/>
      <c r="AF50" s="408"/>
      <c r="AG50" s="408"/>
      <c r="AH50" s="408"/>
      <c r="AI50" s="408"/>
      <c r="AJ50" s="409"/>
    </row>
    <row r="51" spans="1:36" ht="12.95" customHeight="1" x14ac:dyDescent="0.2">
      <c r="A51" s="404" t="s">
        <v>1208</v>
      </c>
      <c r="B51" s="405"/>
      <c r="C51" s="405"/>
      <c r="D51" s="405"/>
      <c r="E51" s="405"/>
      <c r="F51" s="405"/>
      <c r="G51" s="405"/>
      <c r="H51" s="405"/>
      <c r="I51" s="405"/>
      <c r="J51" s="405"/>
      <c r="K51" s="405"/>
      <c r="L51" s="405"/>
      <c r="M51" s="405"/>
      <c r="N51" s="405"/>
      <c r="O51" s="405"/>
      <c r="P51" s="405"/>
      <c r="Q51" s="405"/>
      <c r="R51" s="405"/>
      <c r="S51" s="405"/>
      <c r="T51" s="405"/>
      <c r="U51" s="405"/>
      <c r="V51" s="406"/>
      <c r="W51" s="407">
        <f>Data!B669</f>
        <v>0</v>
      </c>
      <c r="X51" s="408"/>
      <c r="Y51" s="408"/>
      <c r="Z51" s="408"/>
      <c r="AA51" s="408"/>
      <c r="AB51" s="408"/>
      <c r="AC51" s="408"/>
      <c r="AD51" s="408"/>
      <c r="AE51" s="408"/>
      <c r="AF51" s="408"/>
      <c r="AG51" s="408"/>
      <c r="AH51" s="408"/>
      <c r="AI51" s="408"/>
      <c r="AJ51" s="409"/>
    </row>
    <row r="52" spans="1:36" x14ac:dyDescent="0.2">
      <c r="A52" s="386" t="s">
        <v>1209</v>
      </c>
      <c r="B52" s="387"/>
      <c r="C52" s="387"/>
      <c r="D52" s="387"/>
      <c r="E52" s="387"/>
      <c r="F52" s="387"/>
      <c r="G52" s="387"/>
      <c r="H52" s="387"/>
      <c r="I52" s="387"/>
      <c r="J52" s="387"/>
      <c r="K52" s="387"/>
      <c r="L52" s="387"/>
      <c r="M52" s="387"/>
      <c r="N52" s="387"/>
      <c r="O52" s="387"/>
      <c r="P52" s="387"/>
      <c r="Q52" s="387"/>
      <c r="R52" s="387"/>
      <c r="S52" s="387"/>
      <c r="T52" s="387"/>
      <c r="U52" s="387"/>
      <c r="V52" s="388"/>
      <c r="W52" s="407" t="str">
        <f>Data!B671</f>
        <v>PRN</v>
      </c>
      <c r="X52" s="408"/>
      <c r="Y52" s="408"/>
      <c r="Z52" s="408"/>
      <c r="AA52" s="408"/>
      <c r="AB52" s="408"/>
      <c r="AC52" s="408"/>
      <c r="AD52" s="408"/>
      <c r="AE52" s="408"/>
      <c r="AF52" s="408"/>
      <c r="AG52" s="408"/>
      <c r="AH52" s="408"/>
      <c r="AI52" s="408"/>
      <c r="AJ52" s="409"/>
    </row>
    <row r="53" spans="1:36" ht="13.5" thickBot="1" x14ac:dyDescent="0.25">
      <c r="A53" s="395" t="s">
        <v>1210</v>
      </c>
      <c r="B53" s="396"/>
      <c r="C53" s="396"/>
      <c r="D53" s="396"/>
      <c r="E53" s="396"/>
      <c r="F53" s="396"/>
      <c r="G53" s="396"/>
      <c r="H53" s="396"/>
      <c r="I53" s="396"/>
      <c r="J53" s="396"/>
      <c r="K53" s="396"/>
      <c r="L53" s="396"/>
      <c r="M53" s="396"/>
      <c r="N53" s="396"/>
      <c r="O53" s="396"/>
      <c r="P53" s="396"/>
      <c r="Q53" s="396"/>
      <c r="R53" s="396"/>
      <c r="S53" s="396"/>
      <c r="T53" s="396"/>
      <c r="U53" s="396"/>
      <c r="V53" s="397"/>
      <c r="W53" s="410" t="str">
        <f>Data!B673</f>
        <v>Daily</v>
      </c>
      <c r="X53" s="411"/>
      <c r="Y53" s="411"/>
      <c r="Z53" s="411"/>
      <c r="AA53" s="411"/>
      <c r="AB53" s="411"/>
      <c r="AC53" s="411"/>
      <c r="AD53" s="411"/>
      <c r="AE53" s="411"/>
      <c r="AF53" s="411"/>
      <c r="AG53" s="411"/>
      <c r="AH53" s="411"/>
      <c r="AI53" s="411"/>
      <c r="AJ53" s="412"/>
    </row>
    <row r="54" spans="1:36" ht="6.75" customHeight="1" thickBot="1" x14ac:dyDescent="0.25"/>
    <row r="55" spans="1:36" ht="26.25" customHeight="1" x14ac:dyDescent="0.2">
      <c r="A55" s="398" t="s">
        <v>1211</v>
      </c>
      <c r="B55" s="399"/>
      <c r="C55" s="399"/>
      <c r="D55" s="399"/>
      <c r="E55" s="399"/>
      <c r="F55" s="399"/>
      <c r="G55" s="399"/>
      <c r="H55" s="399"/>
      <c r="I55" s="399"/>
      <c r="J55" s="399"/>
      <c r="K55" s="399"/>
      <c r="L55" s="399"/>
      <c r="M55" s="399"/>
      <c r="N55" s="399"/>
      <c r="O55" s="399"/>
      <c r="P55" s="399"/>
      <c r="Q55" s="399"/>
      <c r="R55" s="399"/>
      <c r="S55" s="399"/>
      <c r="T55" s="399"/>
      <c r="U55" s="399"/>
      <c r="V55" s="400"/>
      <c r="W55" s="401" t="s">
        <v>1170</v>
      </c>
      <c r="X55" s="402"/>
      <c r="Y55" s="402"/>
      <c r="Z55" s="402"/>
      <c r="AA55" s="402"/>
      <c r="AB55" s="402"/>
      <c r="AC55" s="402"/>
      <c r="AD55" s="402"/>
      <c r="AE55" s="402"/>
      <c r="AF55" s="402"/>
      <c r="AG55" s="402"/>
      <c r="AH55" s="402"/>
      <c r="AI55" s="402"/>
      <c r="AJ55" s="403"/>
    </row>
    <row r="56" spans="1:36" ht="12.75" customHeight="1" x14ac:dyDescent="0.2">
      <c r="A56" s="404" t="s">
        <v>1212</v>
      </c>
      <c r="B56" s="405"/>
      <c r="C56" s="405"/>
      <c r="D56" s="405"/>
      <c r="E56" s="405"/>
      <c r="F56" s="405"/>
      <c r="G56" s="405"/>
      <c r="H56" s="405"/>
      <c r="I56" s="405"/>
      <c r="J56" s="405"/>
      <c r="K56" s="405"/>
      <c r="L56" s="405"/>
      <c r="M56" s="405"/>
      <c r="N56" s="405"/>
      <c r="O56" s="405"/>
      <c r="P56" s="405"/>
      <c r="Q56" s="405"/>
      <c r="R56" s="405"/>
      <c r="S56" s="405"/>
      <c r="T56" s="405"/>
      <c r="U56" s="405"/>
      <c r="V56" s="406"/>
      <c r="W56" s="407" t="str">
        <f>Data!B420</f>
        <v>Daily</v>
      </c>
      <c r="X56" s="408"/>
      <c r="Y56" s="408"/>
      <c r="Z56" s="408"/>
      <c r="AA56" s="408"/>
      <c r="AB56" s="408"/>
      <c r="AC56" s="408"/>
      <c r="AD56" s="408"/>
      <c r="AE56" s="408"/>
      <c r="AF56" s="408"/>
      <c r="AG56" s="408"/>
      <c r="AH56" s="408"/>
      <c r="AI56" s="408"/>
      <c r="AJ56" s="409"/>
    </row>
    <row r="57" spans="1:36" ht="12.75" customHeight="1" x14ac:dyDescent="0.2">
      <c r="A57" s="386" t="s">
        <v>1213</v>
      </c>
      <c r="B57" s="387"/>
      <c r="C57" s="387"/>
      <c r="D57" s="387"/>
      <c r="E57" s="387"/>
      <c r="F57" s="387"/>
      <c r="G57" s="387"/>
      <c r="H57" s="387"/>
      <c r="I57" s="387"/>
      <c r="J57" s="387"/>
      <c r="K57" s="387"/>
      <c r="L57" s="387"/>
      <c r="M57" s="387"/>
      <c r="N57" s="387"/>
      <c r="O57" s="387"/>
      <c r="P57" s="387"/>
      <c r="Q57" s="387"/>
      <c r="R57" s="387"/>
      <c r="S57" s="387"/>
      <c r="T57" s="387"/>
      <c r="U57" s="387"/>
      <c r="V57" s="388"/>
      <c r="W57" s="407" t="str">
        <f>Data!B422</f>
        <v>PRN</v>
      </c>
      <c r="X57" s="408"/>
      <c r="Y57" s="408"/>
      <c r="Z57" s="408"/>
      <c r="AA57" s="408"/>
      <c r="AB57" s="408"/>
      <c r="AC57" s="408"/>
      <c r="AD57" s="408"/>
      <c r="AE57" s="408"/>
      <c r="AF57" s="408"/>
      <c r="AG57" s="408"/>
      <c r="AH57" s="408"/>
      <c r="AI57" s="408"/>
      <c r="AJ57" s="409"/>
    </row>
    <row r="58" spans="1:36" ht="12.75" customHeight="1" x14ac:dyDescent="0.2">
      <c r="A58" s="404" t="s">
        <v>1214</v>
      </c>
      <c r="B58" s="405"/>
      <c r="C58" s="405"/>
      <c r="D58" s="405"/>
      <c r="E58" s="405"/>
      <c r="F58" s="405"/>
      <c r="G58" s="405"/>
      <c r="H58" s="405"/>
      <c r="I58" s="405"/>
      <c r="J58" s="405"/>
      <c r="K58" s="405"/>
      <c r="L58" s="405"/>
      <c r="M58" s="405"/>
      <c r="N58" s="405"/>
      <c r="O58" s="405"/>
      <c r="P58" s="405"/>
      <c r="Q58" s="405"/>
      <c r="R58" s="405"/>
      <c r="S58" s="405"/>
      <c r="T58" s="405"/>
      <c r="U58" s="405"/>
      <c r="V58" s="406"/>
      <c r="W58" s="407" t="str">
        <f>Data!B424</f>
        <v>PRN</v>
      </c>
      <c r="X58" s="408"/>
      <c r="Y58" s="408"/>
      <c r="Z58" s="408"/>
      <c r="AA58" s="408"/>
      <c r="AB58" s="408"/>
      <c r="AC58" s="408"/>
      <c r="AD58" s="408"/>
      <c r="AE58" s="408"/>
      <c r="AF58" s="408"/>
      <c r="AG58" s="408"/>
      <c r="AH58" s="408"/>
      <c r="AI58" s="408"/>
      <c r="AJ58" s="409"/>
    </row>
    <row r="59" spans="1:36" ht="12.75" customHeight="1" x14ac:dyDescent="0.2">
      <c r="A59" s="386" t="s">
        <v>1215</v>
      </c>
      <c r="B59" s="387"/>
      <c r="C59" s="387"/>
      <c r="D59" s="387"/>
      <c r="E59" s="387"/>
      <c r="F59" s="387"/>
      <c r="G59" s="387"/>
      <c r="H59" s="387"/>
      <c r="I59" s="387"/>
      <c r="J59" s="387"/>
      <c r="K59" s="387"/>
      <c r="L59" s="387"/>
      <c r="M59" s="387"/>
      <c r="N59" s="387"/>
      <c r="O59" s="387"/>
      <c r="P59" s="387"/>
      <c r="Q59" s="387"/>
      <c r="R59" s="387"/>
      <c r="S59" s="387"/>
      <c r="T59" s="387"/>
      <c r="U59" s="387"/>
      <c r="V59" s="388"/>
      <c r="W59" s="389" t="str">
        <f>Data!B904</f>
        <v>Daily</v>
      </c>
      <c r="X59" s="390"/>
      <c r="Y59" s="390"/>
      <c r="Z59" s="390"/>
      <c r="AA59" s="390"/>
      <c r="AB59" s="390"/>
      <c r="AC59" s="390"/>
      <c r="AD59" s="390"/>
      <c r="AE59" s="390"/>
      <c r="AF59" s="390"/>
      <c r="AG59" s="390"/>
      <c r="AH59" s="390"/>
      <c r="AI59" s="390"/>
      <c r="AJ59" s="391"/>
    </row>
    <row r="60" spans="1:36" x14ac:dyDescent="0.2">
      <c r="A60" s="386" t="s">
        <v>1216</v>
      </c>
      <c r="B60" s="387"/>
      <c r="C60" s="387"/>
      <c r="D60" s="387"/>
      <c r="E60" s="387"/>
      <c r="F60" s="387"/>
      <c r="G60" s="387"/>
      <c r="H60" s="387"/>
      <c r="I60" s="387"/>
      <c r="J60" s="387"/>
      <c r="K60" s="387"/>
      <c r="L60" s="387"/>
      <c r="M60" s="387"/>
      <c r="N60" s="387"/>
      <c r="O60" s="387"/>
      <c r="P60" s="387"/>
      <c r="Q60" s="387"/>
      <c r="R60" s="387"/>
      <c r="S60" s="387"/>
      <c r="T60" s="387"/>
      <c r="U60" s="387"/>
      <c r="V60" s="388"/>
      <c r="W60" s="407" t="str">
        <f>Data!B982</f>
        <v>PRN</v>
      </c>
      <c r="X60" s="408"/>
      <c r="Y60" s="408"/>
      <c r="Z60" s="408"/>
      <c r="AA60" s="408"/>
      <c r="AB60" s="408"/>
      <c r="AC60" s="408"/>
      <c r="AD60" s="408"/>
      <c r="AE60" s="408"/>
      <c r="AF60" s="408"/>
      <c r="AG60" s="408"/>
      <c r="AH60" s="408"/>
      <c r="AI60" s="408"/>
      <c r="AJ60" s="409"/>
    </row>
    <row r="61" spans="1:36" x14ac:dyDescent="0.2">
      <c r="A61" s="386" t="s">
        <v>1217</v>
      </c>
      <c r="B61" s="387"/>
      <c r="C61" s="387"/>
      <c r="D61" s="387"/>
      <c r="E61" s="387"/>
      <c r="F61" s="387"/>
      <c r="G61" s="387"/>
      <c r="H61" s="387"/>
      <c r="I61" s="387"/>
      <c r="J61" s="387"/>
      <c r="K61" s="387"/>
      <c r="L61" s="387"/>
      <c r="M61" s="387"/>
      <c r="N61" s="387"/>
      <c r="O61" s="387"/>
      <c r="P61" s="387"/>
      <c r="Q61" s="387"/>
      <c r="R61" s="387"/>
      <c r="S61" s="387"/>
      <c r="T61" s="387"/>
      <c r="U61" s="387"/>
      <c r="V61" s="388"/>
      <c r="W61" s="389" t="str">
        <f>Data!B984</f>
        <v>Daily</v>
      </c>
      <c r="X61" s="390"/>
      <c r="Y61" s="390"/>
      <c r="Z61" s="390"/>
      <c r="AA61" s="390"/>
      <c r="AB61" s="390"/>
      <c r="AC61" s="390"/>
      <c r="AD61" s="390"/>
      <c r="AE61" s="390"/>
      <c r="AF61" s="390"/>
      <c r="AG61" s="390"/>
      <c r="AH61" s="390"/>
      <c r="AI61" s="390"/>
      <c r="AJ61" s="391"/>
    </row>
    <row r="62" spans="1:36" x14ac:dyDescent="0.2">
      <c r="A62" s="386" t="s">
        <v>1218</v>
      </c>
      <c r="B62" s="387"/>
      <c r="C62" s="387"/>
      <c r="D62" s="387"/>
      <c r="E62" s="387"/>
      <c r="F62" s="387"/>
      <c r="G62" s="387"/>
      <c r="H62" s="387"/>
      <c r="I62" s="387"/>
      <c r="J62" s="387"/>
      <c r="K62" s="387"/>
      <c r="L62" s="387"/>
      <c r="M62" s="387"/>
      <c r="N62" s="387"/>
      <c r="O62" s="387"/>
      <c r="P62" s="387"/>
      <c r="Q62" s="387"/>
      <c r="R62" s="387"/>
      <c r="S62" s="387"/>
      <c r="T62" s="387"/>
      <c r="U62" s="387"/>
      <c r="V62" s="388"/>
      <c r="W62" s="407">
        <f>Data!B986</f>
        <v>0</v>
      </c>
      <c r="X62" s="408"/>
      <c r="Y62" s="408"/>
      <c r="Z62" s="408"/>
      <c r="AA62" s="408"/>
      <c r="AB62" s="408"/>
      <c r="AC62" s="408"/>
      <c r="AD62" s="408"/>
      <c r="AE62" s="408"/>
      <c r="AF62" s="408"/>
      <c r="AG62" s="408"/>
      <c r="AH62" s="408"/>
      <c r="AI62" s="408"/>
      <c r="AJ62" s="409"/>
    </row>
    <row r="63" spans="1:36" ht="13.5" thickBot="1" x14ac:dyDescent="0.25">
      <c r="A63" s="395" t="s">
        <v>1219</v>
      </c>
      <c r="B63" s="396"/>
      <c r="C63" s="396"/>
      <c r="D63" s="396"/>
      <c r="E63" s="396"/>
      <c r="F63" s="396"/>
      <c r="G63" s="396"/>
      <c r="H63" s="396"/>
      <c r="I63" s="396"/>
      <c r="J63" s="396"/>
      <c r="K63" s="396"/>
      <c r="L63" s="396"/>
      <c r="M63" s="396"/>
      <c r="N63" s="396"/>
      <c r="O63" s="396"/>
      <c r="P63" s="396"/>
      <c r="Q63" s="396"/>
      <c r="R63" s="396"/>
      <c r="S63" s="396"/>
      <c r="T63" s="396"/>
      <c r="U63" s="396"/>
      <c r="V63" s="397"/>
      <c r="W63" s="432" t="str">
        <f>Data!B988</f>
        <v>PRN</v>
      </c>
      <c r="X63" s="433"/>
      <c r="Y63" s="433"/>
      <c r="Z63" s="433"/>
      <c r="AA63" s="433"/>
      <c r="AB63" s="433"/>
      <c r="AC63" s="433"/>
      <c r="AD63" s="433"/>
      <c r="AE63" s="433"/>
      <c r="AF63" s="433"/>
      <c r="AG63" s="433"/>
      <c r="AH63" s="433"/>
      <c r="AI63" s="433"/>
      <c r="AJ63" s="434"/>
    </row>
    <row r="64" spans="1:36" ht="4.5" customHeight="1" thickBot="1" x14ac:dyDescent="0.25"/>
    <row r="65" spans="1:36" ht="26.25" customHeight="1" x14ac:dyDescent="0.2">
      <c r="A65" s="398" t="s">
        <v>1220</v>
      </c>
      <c r="B65" s="399"/>
      <c r="C65" s="399"/>
      <c r="D65" s="399"/>
      <c r="E65" s="399"/>
      <c r="F65" s="399"/>
      <c r="G65" s="399"/>
      <c r="H65" s="399"/>
      <c r="I65" s="399"/>
      <c r="J65" s="399"/>
      <c r="K65" s="399"/>
      <c r="L65" s="399"/>
      <c r="M65" s="399"/>
      <c r="N65" s="399"/>
      <c r="O65" s="399"/>
      <c r="P65" s="399"/>
      <c r="Q65" s="399"/>
      <c r="R65" s="399"/>
      <c r="S65" s="399"/>
      <c r="T65" s="399"/>
      <c r="U65" s="399"/>
      <c r="V65" s="400"/>
      <c r="W65" s="401" t="s">
        <v>1170</v>
      </c>
      <c r="X65" s="402"/>
      <c r="Y65" s="402"/>
      <c r="Z65" s="402"/>
      <c r="AA65" s="402"/>
      <c r="AB65" s="402"/>
      <c r="AC65" s="402"/>
      <c r="AD65" s="402"/>
      <c r="AE65" s="402"/>
      <c r="AF65" s="402"/>
      <c r="AG65" s="402"/>
      <c r="AH65" s="402"/>
      <c r="AI65" s="402"/>
      <c r="AJ65" s="403"/>
    </row>
    <row r="66" spans="1:36" x14ac:dyDescent="0.2">
      <c r="A66" s="386" t="s">
        <v>1221</v>
      </c>
      <c r="B66" s="387"/>
      <c r="C66" s="387"/>
      <c r="D66" s="387"/>
      <c r="E66" s="387"/>
      <c r="F66" s="387"/>
      <c r="G66" s="387"/>
      <c r="H66" s="387"/>
      <c r="I66" s="387"/>
      <c r="J66" s="387"/>
      <c r="K66" s="387"/>
      <c r="L66" s="387"/>
      <c r="M66" s="387"/>
      <c r="N66" s="387"/>
      <c r="O66" s="387"/>
      <c r="P66" s="387"/>
      <c r="Q66" s="387"/>
      <c r="R66" s="387"/>
      <c r="S66" s="387"/>
      <c r="T66" s="387"/>
      <c r="U66" s="387"/>
      <c r="V66" s="388"/>
      <c r="W66" s="407" t="str">
        <f>Data!B298</f>
        <v>PRN</v>
      </c>
      <c r="X66" s="408"/>
      <c r="Y66" s="408"/>
      <c r="Z66" s="408"/>
      <c r="AA66" s="408"/>
      <c r="AB66" s="408"/>
      <c r="AC66" s="408"/>
      <c r="AD66" s="408"/>
      <c r="AE66" s="408"/>
      <c r="AF66" s="408"/>
      <c r="AG66" s="408"/>
      <c r="AH66" s="408"/>
      <c r="AI66" s="408"/>
      <c r="AJ66" s="409"/>
    </row>
    <row r="67" spans="1:36" x14ac:dyDescent="0.2">
      <c r="A67" s="386" t="s">
        <v>1222</v>
      </c>
      <c r="B67" s="387"/>
      <c r="C67" s="387"/>
      <c r="D67" s="387"/>
      <c r="E67" s="387"/>
      <c r="F67" s="387"/>
      <c r="G67" s="387"/>
      <c r="H67" s="387"/>
      <c r="I67" s="387"/>
      <c r="J67" s="387"/>
      <c r="K67" s="387"/>
      <c r="L67" s="387"/>
      <c r="M67" s="387"/>
      <c r="N67" s="387"/>
      <c r="O67" s="387"/>
      <c r="P67" s="387"/>
      <c r="Q67" s="387"/>
      <c r="R67" s="387"/>
      <c r="S67" s="387"/>
      <c r="T67" s="387"/>
      <c r="U67" s="387"/>
      <c r="V67" s="388"/>
      <c r="W67" s="407" t="str">
        <f>Data!B284</f>
        <v>PRN</v>
      </c>
      <c r="X67" s="408"/>
      <c r="Y67" s="408"/>
      <c r="Z67" s="408"/>
      <c r="AA67" s="408"/>
      <c r="AB67" s="408"/>
      <c r="AC67" s="408"/>
      <c r="AD67" s="408"/>
      <c r="AE67" s="408"/>
      <c r="AF67" s="408"/>
      <c r="AG67" s="408"/>
      <c r="AH67" s="408"/>
      <c r="AI67" s="408"/>
      <c r="AJ67" s="409"/>
    </row>
    <row r="68" spans="1:36" x14ac:dyDescent="0.2">
      <c r="A68" s="386" t="s">
        <v>1223</v>
      </c>
      <c r="B68" s="387"/>
      <c r="C68" s="387"/>
      <c r="D68" s="387"/>
      <c r="E68" s="387"/>
      <c r="F68" s="387"/>
      <c r="G68" s="387"/>
      <c r="H68" s="387"/>
      <c r="I68" s="387"/>
      <c r="J68" s="387"/>
      <c r="K68" s="387"/>
      <c r="L68" s="387"/>
      <c r="M68" s="387"/>
      <c r="N68" s="387"/>
      <c r="O68" s="387"/>
      <c r="P68" s="387"/>
      <c r="Q68" s="387"/>
      <c r="R68" s="387"/>
      <c r="S68" s="387"/>
      <c r="T68" s="387"/>
      <c r="U68" s="387"/>
      <c r="V68" s="388"/>
      <c r="W68" s="407" t="str">
        <f>Data!B286</f>
        <v>Daily</v>
      </c>
      <c r="X68" s="408"/>
      <c r="Y68" s="408"/>
      <c r="Z68" s="408"/>
      <c r="AA68" s="408"/>
      <c r="AB68" s="408"/>
      <c r="AC68" s="408"/>
      <c r="AD68" s="408"/>
      <c r="AE68" s="408"/>
      <c r="AF68" s="408"/>
      <c r="AG68" s="408"/>
      <c r="AH68" s="408"/>
      <c r="AI68" s="408"/>
      <c r="AJ68" s="409"/>
    </row>
    <row r="69" spans="1:36" x14ac:dyDescent="0.2">
      <c r="A69" s="386" t="s">
        <v>1224</v>
      </c>
      <c r="B69" s="387"/>
      <c r="C69" s="387"/>
      <c r="D69" s="387"/>
      <c r="E69" s="387"/>
      <c r="F69" s="387"/>
      <c r="G69" s="387"/>
      <c r="H69" s="387"/>
      <c r="I69" s="387"/>
      <c r="J69" s="387"/>
      <c r="K69" s="387"/>
      <c r="L69" s="387"/>
      <c r="M69" s="387"/>
      <c r="N69" s="387"/>
      <c r="O69" s="387"/>
      <c r="P69" s="387"/>
      <c r="Q69" s="387"/>
      <c r="R69" s="387"/>
      <c r="S69" s="387"/>
      <c r="T69" s="387"/>
      <c r="U69" s="387"/>
      <c r="V69" s="388"/>
      <c r="W69" s="407" t="str">
        <f>Data!B288</f>
        <v>PRN</v>
      </c>
      <c r="X69" s="408"/>
      <c r="Y69" s="408"/>
      <c r="Z69" s="408"/>
      <c r="AA69" s="408"/>
      <c r="AB69" s="408"/>
      <c r="AC69" s="408"/>
      <c r="AD69" s="408"/>
      <c r="AE69" s="408"/>
      <c r="AF69" s="408"/>
      <c r="AG69" s="408"/>
      <c r="AH69" s="408"/>
      <c r="AI69" s="408"/>
      <c r="AJ69" s="409"/>
    </row>
    <row r="70" spans="1:36" x14ac:dyDescent="0.2">
      <c r="A70" s="386" t="s">
        <v>1225</v>
      </c>
      <c r="B70" s="387"/>
      <c r="C70" s="387"/>
      <c r="D70" s="387"/>
      <c r="E70" s="387"/>
      <c r="F70" s="387"/>
      <c r="G70" s="387"/>
      <c r="H70" s="387"/>
      <c r="I70" s="387"/>
      <c r="J70" s="387"/>
      <c r="K70" s="387"/>
      <c r="L70" s="387"/>
      <c r="M70" s="387"/>
      <c r="N70" s="387"/>
      <c r="O70" s="387"/>
      <c r="P70" s="387"/>
      <c r="Q70" s="387"/>
      <c r="R70" s="387"/>
      <c r="S70" s="387"/>
      <c r="T70" s="387"/>
      <c r="U70" s="387"/>
      <c r="V70" s="388"/>
      <c r="W70" s="407" t="str">
        <f>Data!B290</f>
        <v>PRN</v>
      </c>
      <c r="X70" s="408"/>
      <c r="Y70" s="408"/>
      <c r="Z70" s="408"/>
      <c r="AA70" s="408"/>
      <c r="AB70" s="408"/>
      <c r="AC70" s="408"/>
      <c r="AD70" s="408"/>
      <c r="AE70" s="408"/>
      <c r="AF70" s="408"/>
      <c r="AG70" s="408"/>
      <c r="AH70" s="408"/>
      <c r="AI70" s="408"/>
      <c r="AJ70" s="409"/>
    </row>
    <row r="71" spans="1:36" x14ac:dyDescent="0.2">
      <c r="A71" s="386" t="s">
        <v>1226</v>
      </c>
      <c r="B71" s="387"/>
      <c r="C71" s="387"/>
      <c r="D71" s="387"/>
      <c r="E71" s="387"/>
      <c r="F71" s="387"/>
      <c r="G71" s="387"/>
      <c r="H71" s="387"/>
      <c r="I71" s="387"/>
      <c r="J71" s="387"/>
      <c r="K71" s="387"/>
      <c r="L71" s="387"/>
      <c r="M71" s="387"/>
      <c r="N71" s="387"/>
      <c r="O71" s="387"/>
      <c r="P71" s="387"/>
      <c r="Q71" s="387"/>
      <c r="R71" s="387"/>
      <c r="S71" s="387"/>
      <c r="T71" s="387"/>
      <c r="U71" s="387"/>
      <c r="V71" s="388"/>
      <c r="W71" s="407" t="str">
        <f>Data!B292</f>
        <v>PRN</v>
      </c>
      <c r="X71" s="408"/>
      <c r="Y71" s="408"/>
      <c r="Z71" s="408"/>
      <c r="AA71" s="408"/>
      <c r="AB71" s="408"/>
      <c r="AC71" s="408"/>
      <c r="AD71" s="408"/>
      <c r="AE71" s="408"/>
      <c r="AF71" s="408"/>
      <c r="AG71" s="408"/>
      <c r="AH71" s="408"/>
      <c r="AI71" s="408"/>
      <c r="AJ71" s="409"/>
    </row>
    <row r="72" spans="1:36" ht="13.5" thickBot="1" x14ac:dyDescent="0.25">
      <c r="A72" s="395" t="s">
        <v>1227</v>
      </c>
      <c r="B72" s="396"/>
      <c r="C72" s="396"/>
      <c r="D72" s="396"/>
      <c r="E72" s="396"/>
      <c r="F72" s="396"/>
      <c r="G72" s="396"/>
      <c r="H72" s="396"/>
      <c r="I72" s="396"/>
      <c r="J72" s="396"/>
      <c r="K72" s="396"/>
      <c r="L72" s="396"/>
      <c r="M72" s="396"/>
      <c r="N72" s="396"/>
      <c r="O72" s="396"/>
      <c r="P72" s="396"/>
      <c r="Q72" s="396"/>
      <c r="R72" s="396"/>
      <c r="S72" s="396"/>
      <c r="T72" s="396"/>
      <c r="U72" s="396"/>
      <c r="V72" s="397"/>
      <c r="W72" s="410">
        <f>Data!B273</f>
        <v>0</v>
      </c>
      <c r="X72" s="411"/>
      <c r="Y72" s="411"/>
      <c r="Z72" s="411"/>
      <c r="AA72" s="411"/>
      <c r="AB72" s="411"/>
      <c r="AC72" s="411"/>
      <c r="AD72" s="411"/>
      <c r="AE72" s="411"/>
      <c r="AF72" s="411"/>
      <c r="AG72" s="411"/>
      <c r="AH72" s="411"/>
      <c r="AI72" s="411"/>
      <c r="AJ72" s="412"/>
    </row>
    <row r="73" spans="1:36" ht="3" customHeight="1" thickBot="1" x14ac:dyDescent="0.25"/>
    <row r="74" spans="1:36" ht="24" customHeight="1" x14ac:dyDescent="0.2">
      <c r="A74" s="398" t="s">
        <v>1228</v>
      </c>
      <c r="B74" s="399"/>
      <c r="C74" s="399"/>
      <c r="D74" s="399"/>
      <c r="E74" s="399"/>
      <c r="F74" s="399"/>
      <c r="G74" s="399"/>
      <c r="H74" s="399"/>
      <c r="I74" s="399"/>
      <c r="J74" s="399"/>
      <c r="K74" s="399"/>
      <c r="L74" s="399"/>
      <c r="M74" s="399"/>
      <c r="N74" s="399"/>
      <c r="O74" s="399"/>
      <c r="P74" s="399"/>
      <c r="Q74" s="399"/>
      <c r="R74" s="399"/>
      <c r="S74" s="399"/>
      <c r="T74" s="399"/>
      <c r="U74" s="399"/>
      <c r="V74" s="400"/>
      <c r="W74" s="401" t="s">
        <v>1170</v>
      </c>
      <c r="X74" s="402"/>
      <c r="Y74" s="402"/>
      <c r="Z74" s="402"/>
      <c r="AA74" s="402"/>
      <c r="AB74" s="402"/>
      <c r="AC74" s="402"/>
      <c r="AD74" s="402"/>
      <c r="AE74" s="402"/>
      <c r="AF74" s="402"/>
      <c r="AG74" s="402"/>
      <c r="AH74" s="402"/>
      <c r="AI74" s="402"/>
      <c r="AJ74" s="403"/>
    </row>
    <row r="75" spans="1:36" x14ac:dyDescent="0.2">
      <c r="A75" s="386" t="s">
        <v>1229</v>
      </c>
      <c r="B75" s="387"/>
      <c r="C75" s="387"/>
      <c r="D75" s="387"/>
      <c r="E75" s="387"/>
      <c r="F75" s="387"/>
      <c r="G75" s="387"/>
      <c r="H75" s="387"/>
      <c r="I75" s="387"/>
      <c r="J75" s="387"/>
      <c r="K75" s="387"/>
      <c r="L75" s="387"/>
      <c r="M75" s="387"/>
      <c r="N75" s="387"/>
      <c r="O75" s="387"/>
      <c r="P75" s="387"/>
      <c r="Q75" s="387"/>
      <c r="R75" s="387"/>
      <c r="S75" s="387"/>
      <c r="T75" s="387"/>
      <c r="U75" s="387"/>
      <c r="V75" s="388"/>
      <c r="W75" s="389" t="str">
        <f>Data!B898</f>
        <v>Daily</v>
      </c>
      <c r="X75" s="390"/>
      <c r="Y75" s="390"/>
      <c r="Z75" s="390"/>
      <c r="AA75" s="390"/>
      <c r="AB75" s="390"/>
      <c r="AC75" s="390"/>
      <c r="AD75" s="390"/>
      <c r="AE75" s="390"/>
      <c r="AF75" s="390"/>
      <c r="AG75" s="390"/>
      <c r="AH75" s="390"/>
      <c r="AI75" s="390"/>
      <c r="AJ75" s="391"/>
    </row>
    <row r="76" spans="1:36" x14ac:dyDescent="0.2">
      <c r="A76" s="386" t="s">
        <v>1230</v>
      </c>
      <c r="B76" s="387"/>
      <c r="C76" s="387"/>
      <c r="D76" s="387"/>
      <c r="E76" s="387"/>
      <c r="F76" s="387"/>
      <c r="G76" s="387"/>
      <c r="H76" s="387"/>
      <c r="I76" s="387"/>
      <c r="J76" s="387"/>
      <c r="K76" s="387"/>
      <c r="L76" s="387"/>
      <c r="M76" s="387"/>
      <c r="N76" s="387"/>
      <c r="O76" s="387"/>
      <c r="P76" s="387"/>
      <c r="Q76" s="387"/>
      <c r="R76" s="387"/>
      <c r="S76" s="387"/>
      <c r="T76" s="387"/>
      <c r="U76" s="387"/>
      <c r="V76" s="388"/>
      <c r="W76" s="407" t="str">
        <f>Data!B300</f>
        <v>PRN</v>
      </c>
      <c r="X76" s="408"/>
      <c r="Y76" s="408"/>
      <c r="Z76" s="408"/>
      <c r="AA76" s="408"/>
      <c r="AB76" s="408"/>
      <c r="AC76" s="408"/>
      <c r="AD76" s="408"/>
      <c r="AE76" s="408"/>
      <c r="AF76" s="408"/>
      <c r="AG76" s="408"/>
      <c r="AH76" s="408"/>
      <c r="AI76" s="408"/>
      <c r="AJ76" s="409"/>
    </row>
    <row r="77" spans="1:36" x14ac:dyDescent="0.2">
      <c r="A77" s="386" t="s">
        <v>1231</v>
      </c>
      <c r="B77" s="387"/>
      <c r="C77" s="387"/>
      <c r="D77" s="387"/>
      <c r="E77" s="387"/>
      <c r="F77" s="387"/>
      <c r="G77" s="387"/>
      <c r="H77" s="387"/>
      <c r="I77" s="387"/>
      <c r="J77" s="387"/>
      <c r="K77" s="387"/>
      <c r="L77" s="387"/>
      <c r="M77" s="387"/>
      <c r="N77" s="387"/>
      <c r="O77" s="387"/>
      <c r="P77" s="387"/>
      <c r="Q77" s="387"/>
      <c r="R77" s="387"/>
      <c r="S77" s="387"/>
      <c r="T77" s="387"/>
      <c r="U77" s="387"/>
      <c r="V77" s="388"/>
      <c r="W77" s="407" t="str">
        <f>Data!B900</f>
        <v>PRN</v>
      </c>
      <c r="X77" s="408"/>
      <c r="Y77" s="408"/>
      <c r="Z77" s="408"/>
      <c r="AA77" s="408"/>
      <c r="AB77" s="408"/>
      <c r="AC77" s="408"/>
      <c r="AD77" s="408"/>
      <c r="AE77" s="408"/>
      <c r="AF77" s="408"/>
      <c r="AG77" s="408"/>
      <c r="AH77" s="408"/>
      <c r="AI77" s="408"/>
      <c r="AJ77" s="409"/>
    </row>
    <row r="78" spans="1:36" x14ac:dyDescent="0.2">
      <c r="A78" s="386" t="s">
        <v>1232</v>
      </c>
      <c r="B78" s="387"/>
      <c r="C78" s="387"/>
      <c r="D78" s="387"/>
      <c r="E78" s="387"/>
      <c r="F78" s="387"/>
      <c r="G78" s="387"/>
      <c r="H78" s="387"/>
      <c r="I78" s="387"/>
      <c r="J78" s="387"/>
      <c r="K78" s="387"/>
      <c r="L78" s="387"/>
      <c r="M78" s="387"/>
      <c r="N78" s="387"/>
      <c r="O78" s="387"/>
      <c r="P78" s="387"/>
      <c r="Q78" s="387"/>
      <c r="R78" s="387"/>
      <c r="S78" s="387"/>
      <c r="T78" s="387"/>
      <c r="U78" s="387"/>
      <c r="V78" s="388"/>
      <c r="W78" s="407" t="str">
        <f>Data!B301</f>
        <v>PRN</v>
      </c>
      <c r="X78" s="408"/>
      <c r="Y78" s="408"/>
      <c r="Z78" s="408"/>
      <c r="AA78" s="408"/>
      <c r="AB78" s="408"/>
      <c r="AC78" s="408"/>
      <c r="AD78" s="408"/>
      <c r="AE78" s="408"/>
      <c r="AF78" s="408"/>
      <c r="AG78" s="408"/>
      <c r="AH78" s="408"/>
      <c r="AI78" s="408"/>
      <c r="AJ78" s="409"/>
    </row>
    <row r="79" spans="1:36" x14ac:dyDescent="0.2">
      <c r="A79" s="386" t="s">
        <v>1233</v>
      </c>
      <c r="B79" s="387"/>
      <c r="C79" s="387"/>
      <c r="D79" s="387"/>
      <c r="E79" s="387"/>
      <c r="F79" s="387"/>
      <c r="G79" s="387"/>
      <c r="H79" s="387"/>
      <c r="I79" s="387"/>
      <c r="J79" s="387"/>
      <c r="K79" s="387"/>
      <c r="L79" s="387"/>
      <c r="M79" s="387"/>
      <c r="N79" s="387"/>
      <c r="O79" s="387"/>
      <c r="P79" s="387"/>
      <c r="Q79" s="387"/>
      <c r="R79" s="387"/>
      <c r="S79" s="387"/>
      <c r="T79" s="387"/>
      <c r="U79" s="387"/>
      <c r="V79" s="388"/>
      <c r="W79" s="389" t="str">
        <f>Data!B302</f>
        <v>Daily</v>
      </c>
      <c r="X79" s="390"/>
      <c r="Y79" s="390"/>
      <c r="Z79" s="390"/>
      <c r="AA79" s="390"/>
      <c r="AB79" s="390"/>
      <c r="AC79" s="390"/>
      <c r="AD79" s="390"/>
      <c r="AE79" s="390"/>
      <c r="AF79" s="390"/>
      <c r="AG79" s="390"/>
      <c r="AH79" s="390"/>
      <c r="AI79" s="390"/>
      <c r="AJ79" s="391"/>
    </row>
    <row r="80" spans="1:36" ht="13.5" thickBot="1" x14ac:dyDescent="0.25">
      <c r="A80" s="395" t="s">
        <v>1234</v>
      </c>
      <c r="B80" s="396"/>
      <c r="C80" s="396"/>
      <c r="D80" s="396"/>
      <c r="E80" s="396"/>
      <c r="F80" s="396"/>
      <c r="G80" s="396"/>
      <c r="H80" s="396"/>
      <c r="I80" s="396"/>
      <c r="J80" s="396"/>
      <c r="K80" s="396"/>
      <c r="L80" s="396"/>
      <c r="M80" s="396"/>
      <c r="N80" s="396"/>
      <c r="O80" s="396"/>
      <c r="P80" s="396"/>
      <c r="Q80" s="396"/>
      <c r="R80" s="396"/>
      <c r="S80" s="396"/>
      <c r="T80" s="396"/>
      <c r="U80" s="396"/>
      <c r="V80" s="397"/>
      <c r="W80" s="389" t="str">
        <f>Data!B902</f>
        <v>Daily</v>
      </c>
      <c r="X80" s="390"/>
      <c r="Y80" s="390"/>
      <c r="Z80" s="390"/>
      <c r="AA80" s="390"/>
      <c r="AB80" s="390"/>
      <c r="AC80" s="390"/>
      <c r="AD80" s="390"/>
      <c r="AE80" s="390"/>
      <c r="AF80" s="390"/>
      <c r="AG80" s="390"/>
      <c r="AH80" s="390"/>
      <c r="AI80" s="390"/>
      <c r="AJ80" s="391"/>
    </row>
    <row r="81" spans="1:36" ht="3.75" customHeight="1" thickBot="1" x14ac:dyDescent="0.25"/>
    <row r="82" spans="1:36" x14ac:dyDescent="0.2">
      <c r="A82" s="78" t="s">
        <v>1235</v>
      </c>
      <c r="B82" s="79"/>
      <c r="C82" s="79"/>
      <c r="D82" s="79"/>
      <c r="E82" s="79"/>
      <c r="F82" s="79"/>
      <c r="G82" s="79"/>
      <c r="H82" s="79"/>
      <c r="I82" s="79"/>
      <c r="J82" s="79"/>
      <c r="K82" s="79"/>
      <c r="L82" s="79"/>
      <c r="M82" s="79"/>
      <c r="N82" s="79"/>
      <c r="O82" s="79"/>
      <c r="P82" s="79"/>
      <c r="Q82" s="79"/>
      <c r="R82" s="79" t="s">
        <v>1236</v>
      </c>
      <c r="S82" s="79"/>
      <c r="T82" s="79"/>
      <c r="U82" s="428" t="s">
        <v>1237</v>
      </c>
      <c r="V82" s="428"/>
      <c r="W82" s="428"/>
      <c r="X82" s="428"/>
      <c r="Y82" s="428"/>
      <c r="Z82" s="428"/>
      <c r="AA82" s="428"/>
      <c r="AB82" s="428"/>
      <c r="AC82" s="428"/>
      <c r="AD82" s="428"/>
      <c r="AE82" s="428"/>
      <c r="AF82" s="428"/>
      <c r="AG82" s="428"/>
      <c r="AH82" s="428"/>
      <c r="AI82" s="428"/>
      <c r="AJ82" s="429"/>
    </row>
    <row r="83" spans="1:36" ht="14.25" customHeight="1" x14ac:dyDescent="0.2">
      <c r="A83" s="420" t="s">
        <v>1238</v>
      </c>
      <c r="B83" s="421"/>
      <c r="C83" s="421"/>
      <c r="D83" s="421"/>
      <c r="E83" s="421"/>
      <c r="F83" s="421"/>
      <c r="G83" s="421"/>
      <c r="H83" s="421"/>
      <c r="I83" s="421"/>
      <c r="J83" s="421"/>
      <c r="K83" s="421"/>
      <c r="L83" s="421"/>
      <c r="M83" s="421"/>
      <c r="N83" s="421"/>
      <c r="O83" s="421"/>
      <c r="P83" s="421"/>
      <c r="Q83" s="421"/>
      <c r="R83" s="418"/>
      <c r="S83" s="418"/>
      <c r="T83" s="418"/>
      <c r="U83" s="418"/>
      <c r="V83" s="418"/>
      <c r="W83" s="418"/>
      <c r="X83" s="418"/>
      <c r="Y83" s="418"/>
      <c r="Z83" s="418"/>
      <c r="AA83" s="418"/>
      <c r="AB83" s="418"/>
      <c r="AC83" s="418"/>
      <c r="AD83" s="418"/>
      <c r="AE83" s="418"/>
      <c r="AF83" s="418"/>
      <c r="AG83" s="418"/>
      <c r="AH83" s="418"/>
      <c r="AI83" s="418"/>
      <c r="AJ83" s="419"/>
    </row>
    <row r="84" spans="1:36" ht="14.25" customHeight="1" x14ac:dyDescent="0.2">
      <c r="A84" s="420" t="s">
        <v>1239</v>
      </c>
      <c r="B84" s="421"/>
      <c r="C84" s="421"/>
      <c r="D84" s="421"/>
      <c r="E84" s="421"/>
      <c r="F84" s="421"/>
      <c r="G84" s="421"/>
      <c r="H84" s="421"/>
      <c r="I84" s="421"/>
      <c r="J84" s="421"/>
      <c r="K84" s="421"/>
      <c r="L84" s="421"/>
      <c r="M84" s="421"/>
      <c r="N84" s="421"/>
      <c r="O84" s="421"/>
      <c r="P84" s="421"/>
      <c r="Q84" s="421"/>
      <c r="R84" s="418"/>
      <c r="S84" s="418"/>
      <c r="T84" s="418"/>
      <c r="U84" s="418"/>
      <c r="V84" s="418"/>
      <c r="W84" s="418"/>
      <c r="X84" s="418"/>
      <c r="Y84" s="418"/>
      <c r="Z84" s="418"/>
      <c r="AA84" s="418"/>
      <c r="AB84" s="418"/>
      <c r="AC84" s="418"/>
      <c r="AD84" s="418"/>
      <c r="AE84" s="418"/>
      <c r="AF84" s="418"/>
      <c r="AG84" s="418"/>
      <c r="AH84" s="418"/>
      <c r="AI84" s="418"/>
      <c r="AJ84" s="419"/>
    </row>
    <row r="85" spans="1:36" ht="14.25" customHeight="1" x14ac:dyDescent="0.2">
      <c r="A85" s="420" t="s">
        <v>1240</v>
      </c>
      <c r="B85" s="421"/>
      <c r="C85" s="421"/>
      <c r="D85" s="421"/>
      <c r="E85" s="421"/>
      <c r="F85" s="421"/>
      <c r="G85" s="421"/>
      <c r="H85" s="421"/>
      <c r="I85" s="421"/>
      <c r="J85" s="421"/>
      <c r="K85" s="421"/>
      <c r="L85" s="421"/>
      <c r="M85" s="421"/>
      <c r="N85" s="421"/>
      <c r="O85" s="421"/>
      <c r="P85" s="421"/>
      <c r="Q85" s="421"/>
      <c r="R85" s="418"/>
      <c r="S85" s="418"/>
      <c r="T85" s="418"/>
      <c r="U85" s="418"/>
      <c r="V85" s="418"/>
      <c r="W85" s="418"/>
      <c r="X85" s="418"/>
      <c r="Y85" s="418"/>
      <c r="Z85" s="418"/>
      <c r="AA85" s="418"/>
      <c r="AB85" s="418"/>
      <c r="AC85" s="418"/>
      <c r="AD85" s="418"/>
      <c r="AE85" s="418"/>
      <c r="AF85" s="418"/>
      <c r="AG85" s="418"/>
      <c r="AH85" s="418"/>
      <c r="AI85" s="418"/>
      <c r="AJ85" s="419"/>
    </row>
    <row r="86" spans="1:36" ht="14.25" customHeight="1" x14ac:dyDescent="0.2">
      <c r="A86" s="420" t="s">
        <v>1241</v>
      </c>
      <c r="B86" s="421"/>
      <c r="C86" s="421"/>
      <c r="D86" s="421"/>
      <c r="E86" s="421"/>
      <c r="F86" s="421"/>
      <c r="G86" s="421"/>
      <c r="H86" s="421"/>
      <c r="I86" s="421"/>
      <c r="J86" s="421"/>
      <c r="K86" s="421"/>
      <c r="L86" s="421"/>
      <c r="M86" s="421"/>
      <c r="N86" s="421"/>
      <c r="O86" s="421"/>
      <c r="P86" s="421"/>
      <c r="Q86" s="421"/>
      <c r="R86" s="418"/>
      <c r="S86" s="418"/>
      <c r="T86" s="418"/>
      <c r="U86" s="418"/>
      <c r="V86" s="418"/>
      <c r="W86" s="418"/>
      <c r="X86" s="418"/>
      <c r="Y86" s="418"/>
      <c r="Z86" s="418"/>
      <c r="AA86" s="418"/>
      <c r="AB86" s="418"/>
      <c r="AC86" s="418"/>
      <c r="AD86" s="418"/>
      <c r="AE86" s="418"/>
      <c r="AF86" s="418"/>
      <c r="AG86" s="418"/>
      <c r="AH86" s="418"/>
      <c r="AI86" s="418"/>
      <c r="AJ86" s="419"/>
    </row>
    <row r="87" spans="1:36" ht="14.25" customHeight="1" x14ac:dyDescent="0.2">
      <c r="A87" s="420" t="s">
        <v>1242</v>
      </c>
      <c r="B87" s="421"/>
      <c r="C87" s="421"/>
      <c r="D87" s="421"/>
      <c r="E87" s="421"/>
      <c r="F87" s="421"/>
      <c r="G87" s="421"/>
      <c r="H87" s="421"/>
      <c r="I87" s="421"/>
      <c r="J87" s="421"/>
      <c r="K87" s="421"/>
      <c r="L87" s="421"/>
      <c r="M87" s="421"/>
      <c r="N87" s="421"/>
      <c r="O87" s="421"/>
      <c r="P87" s="421"/>
      <c r="Q87" s="421"/>
      <c r="R87" s="418"/>
      <c r="S87" s="418"/>
      <c r="T87" s="418"/>
      <c r="U87" s="418"/>
      <c r="V87" s="418"/>
      <c r="W87" s="418"/>
      <c r="X87" s="418"/>
      <c r="Y87" s="418"/>
      <c r="Z87" s="418"/>
      <c r="AA87" s="418"/>
      <c r="AB87" s="418"/>
      <c r="AC87" s="418"/>
      <c r="AD87" s="418"/>
      <c r="AE87" s="418"/>
      <c r="AF87" s="418"/>
      <c r="AG87" s="418"/>
      <c r="AH87" s="418"/>
      <c r="AI87" s="418"/>
      <c r="AJ87" s="419"/>
    </row>
    <row r="88" spans="1:36" ht="14.25" customHeight="1" thickBot="1" x14ac:dyDescent="0.25">
      <c r="A88" s="430" t="s">
        <v>1243</v>
      </c>
      <c r="B88" s="431"/>
      <c r="C88" s="431"/>
      <c r="D88" s="431"/>
      <c r="E88" s="431"/>
      <c r="F88" s="431"/>
      <c r="G88" s="431"/>
      <c r="H88" s="431"/>
      <c r="I88" s="431"/>
      <c r="J88" s="431"/>
      <c r="K88" s="431"/>
      <c r="L88" s="431"/>
      <c r="M88" s="431"/>
      <c r="N88" s="431"/>
      <c r="O88" s="431"/>
      <c r="P88" s="431"/>
      <c r="Q88" s="431"/>
      <c r="R88" s="413"/>
      <c r="S88" s="413"/>
      <c r="T88" s="413"/>
      <c r="U88" s="413"/>
      <c r="V88" s="413"/>
      <c r="W88" s="413"/>
      <c r="X88" s="413"/>
      <c r="Y88" s="413"/>
      <c r="Z88" s="413"/>
      <c r="AA88" s="413"/>
      <c r="AB88" s="413"/>
      <c r="AC88" s="413"/>
      <c r="AD88" s="413"/>
      <c r="AE88" s="413"/>
      <c r="AF88" s="413"/>
      <c r="AG88" s="413"/>
      <c r="AH88" s="413"/>
      <c r="AI88" s="413"/>
      <c r="AJ88" s="414"/>
    </row>
    <row r="89" spans="1:36" ht="4.5" customHeight="1" thickBot="1" x14ac:dyDescent="0.25"/>
    <row r="90" spans="1:36" ht="18" customHeight="1" x14ac:dyDescent="0.2">
      <c r="A90" s="78" t="s">
        <v>1244</v>
      </c>
      <c r="B90" s="80"/>
      <c r="C90" s="80"/>
      <c r="D90" s="80"/>
      <c r="E90" s="80"/>
      <c r="F90" s="80"/>
      <c r="G90" s="80"/>
      <c r="H90" s="80"/>
      <c r="I90" s="80"/>
      <c r="J90" s="80"/>
      <c r="K90" s="80"/>
      <c r="L90" s="80"/>
      <c r="M90" s="80"/>
      <c r="N90" s="80"/>
      <c r="O90" s="80"/>
      <c r="P90" s="80"/>
      <c r="Q90" s="80"/>
      <c r="R90" s="80"/>
      <c r="S90" s="80"/>
      <c r="T90" s="80"/>
      <c r="U90" s="80"/>
      <c r="V90" s="80"/>
      <c r="W90" s="80"/>
      <c r="X90" s="80"/>
      <c r="Y90" s="80"/>
      <c r="Z90" s="80"/>
      <c r="AA90" s="80"/>
      <c r="AB90" s="80"/>
      <c r="AC90" s="80"/>
      <c r="AD90" s="80"/>
      <c r="AE90" s="80"/>
      <c r="AF90" s="80"/>
      <c r="AG90" s="80"/>
      <c r="AH90" s="80"/>
      <c r="AI90" s="80"/>
      <c r="AJ90" s="81"/>
    </row>
    <row r="91" spans="1:36" ht="12" customHeight="1" x14ac:dyDescent="0.2">
      <c r="A91" s="424"/>
      <c r="B91" s="425"/>
      <c r="C91" s="425"/>
      <c r="D91" s="425"/>
      <c r="E91" s="425"/>
      <c r="F91" s="425"/>
      <c r="G91" s="425"/>
      <c r="H91" s="425"/>
      <c r="I91" s="425"/>
      <c r="J91" s="425"/>
      <c r="K91" s="425"/>
      <c r="L91" s="425"/>
      <c r="M91" s="425"/>
      <c r="N91" s="425"/>
      <c r="O91" s="425"/>
      <c r="P91" s="425"/>
      <c r="Q91" s="425"/>
      <c r="R91" s="425"/>
      <c r="S91" s="425"/>
      <c r="T91" s="425"/>
      <c r="U91" s="425"/>
      <c r="V91" s="425"/>
      <c r="W91" s="425"/>
      <c r="X91" s="425"/>
      <c r="Y91" s="425"/>
      <c r="Z91" s="425"/>
      <c r="AA91" s="425"/>
      <c r="AB91" s="425"/>
      <c r="AC91" s="425"/>
      <c r="AD91" s="425"/>
      <c r="AE91" s="425"/>
      <c r="AF91" s="425"/>
      <c r="AG91" s="425"/>
      <c r="AH91" s="425"/>
      <c r="AI91" s="425"/>
      <c r="AJ91" s="426"/>
    </row>
    <row r="92" spans="1:36" ht="13.5" customHeight="1" x14ac:dyDescent="0.2">
      <c r="A92" s="420"/>
      <c r="B92" s="421"/>
      <c r="C92" s="421"/>
      <c r="D92" s="421"/>
      <c r="E92" s="421"/>
      <c r="F92" s="421"/>
      <c r="G92" s="421"/>
      <c r="H92" s="421"/>
      <c r="I92" s="421"/>
      <c r="J92" s="421"/>
      <c r="K92" s="421"/>
      <c r="L92" s="421"/>
      <c r="M92" s="421"/>
      <c r="N92" s="421"/>
      <c r="O92" s="421"/>
      <c r="P92" s="421"/>
      <c r="Q92" s="421"/>
      <c r="R92" s="421"/>
      <c r="S92" s="421"/>
      <c r="T92" s="421"/>
      <c r="U92" s="421"/>
      <c r="V92" s="421"/>
      <c r="W92" s="421"/>
      <c r="X92" s="421"/>
      <c r="Y92" s="421"/>
      <c r="Z92" s="421"/>
      <c r="AA92" s="421"/>
      <c r="AB92" s="421"/>
      <c r="AC92" s="421"/>
      <c r="AD92" s="421"/>
      <c r="AE92" s="421"/>
      <c r="AF92" s="421"/>
      <c r="AG92" s="421"/>
      <c r="AH92" s="421"/>
      <c r="AI92" s="421"/>
      <c r="AJ92" s="427"/>
    </row>
    <row r="93" spans="1:36" ht="18" customHeight="1" thickBot="1" x14ac:dyDescent="0.25">
      <c r="A93" s="82"/>
      <c r="B93" s="83"/>
      <c r="C93" s="83"/>
      <c r="D93" s="83"/>
      <c r="E93" s="83"/>
      <c r="F93" s="83"/>
      <c r="G93" s="83"/>
      <c r="H93" s="83"/>
      <c r="I93" s="83"/>
      <c r="J93" s="83"/>
      <c r="K93" s="83"/>
      <c r="L93" s="83"/>
      <c r="M93" s="83"/>
      <c r="N93" s="83"/>
      <c r="O93" s="83"/>
      <c r="P93" s="83"/>
      <c r="Q93" s="83"/>
      <c r="R93" s="83"/>
      <c r="S93" s="83"/>
      <c r="T93" s="83"/>
      <c r="U93" s="83"/>
      <c r="V93" s="84"/>
      <c r="W93" s="84"/>
      <c r="X93" s="84"/>
      <c r="Y93" s="85" t="s">
        <v>1245</v>
      </c>
      <c r="Z93" s="85"/>
      <c r="AA93" s="85"/>
      <c r="AB93" s="85"/>
      <c r="AC93" s="85"/>
      <c r="AD93" s="85"/>
      <c r="AE93" s="85"/>
      <c r="AF93" s="85"/>
      <c r="AG93" s="83"/>
      <c r="AH93" s="83"/>
      <c r="AI93" s="83"/>
      <c r="AJ93" s="86"/>
    </row>
    <row r="94" spans="1:36" x14ac:dyDescent="0.2">
      <c r="A94" s="422" t="s">
        <v>4767</v>
      </c>
      <c r="B94" s="422"/>
      <c r="C94" s="422"/>
      <c r="D94" s="422"/>
      <c r="E94" s="422"/>
      <c r="F94" s="422"/>
      <c r="G94" s="422"/>
      <c r="H94" s="422"/>
      <c r="I94" s="422"/>
      <c r="J94" s="422"/>
      <c r="K94" s="422"/>
      <c r="L94" s="422"/>
      <c r="M94" s="422"/>
      <c r="N94" s="422"/>
      <c r="O94" s="422"/>
      <c r="P94" s="422"/>
      <c r="Q94" s="422"/>
      <c r="R94" s="422"/>
      <c r="S94" s="422"/>
      <c r="T94" s="422"/>
      <c r="U94" s="422"/>
      <c r="V94" s="422"/>
      <c r="W94" s="422"/>
      <c r="X94" s="422"/>
      <c r="Y94" s="422"/>
      <c r="Z94" s="422"/>
      <c r="AA94" s="422"/>
      <c r="AB94" s="422"/>
      <c r="AC94" s="422"/>
      <c r="AD94" s="422"/>
      <c r="AE94" s="422"/>
      <c r="AF94" s="422"/>
      <c r="AG94" s="422"/>
      <c r="AH94" s="422"/>
      <c r="AI94" s="422"/>
      <c r="AJ94" s="422"/>
    </row>
    <row r="95" spans="1:36" x14ac:dyDescent="0.2">
      <c r="A95" s="423"/>
      <c r="B95" s="423"/>
      <c r="C95" s="423"/>
      <c r="D95" s="423"/>
      <c r="E95" s="423"/>
      <c r="F95" s="423"/>
      <c r="G95" s="423"/>
      <c r="H95" s="423"/>
      <c r="I95" s="423"/>
      <c r="J95" s="423"/>
      <c r="K95" s="423"/>
      <c r="L95" s="423"/>
      <c r="M95" s="423"/>
      <c r="N95" s="423"/>
      <c r="O95" s="423"/>
      <c r="P95" s="423"/>
      <c r="Q95" s="423"/>
      <c r="R95" s="423"/>
      <c r="S95" s="423"/>
      <c r="T95" s="423"/>
      <c r="U95" s="423"/>
      <c r="V95" s="423"/>
      <c r="W95" s="423"/>
      <c r="X95" s="423"/>
      <c r="Y95" s="423"/>
      <c r="Z95" s="423"/>
      <c r="AA95" s="423"/>
      <c r="AB95" s="423"/>
      <c r="AC95" s="423"/>
      <c r="AD95" s="423"/>
      <c r="AE95" s="423"/>
      <c r="AF95" s="423"/>
      <c r="AG95" s="423"/>
      <c r="AH95" s="423"/>
      <c r="AI95" s="423"/>
      <c r="AJ95" s="423"/>
    </row>
    <row r="96" spans="1:36" ht="13.5" thickBot="1" x14ac:dyDescent="0.25">
      <c r="A96" s="423"/>
      <c r="B96" s="423"/>
      <c r="C96" s="423"/>
      <c r="D96" s="423"/>
      <c r="E96" s="423"/>
      <c r="F96" s="423"/>
      <c r="G96" s="423"/>
      <c r="H96" s="423"/>
      <c r="I96" s="423"/>
      <c r="J96" s="423"/>
      <c r="K96" s="423"/>
      <c r="L96" s="423"/>
      <c r="M96" s="423"/>
      <c r="N96" s="423"/>
      <c r="O96" s="423"/>
      <c r="P96" s="423"/>
      <c r="Q96" s="423"/>
      <c r="R96" s="423"/>
      <c r="S96" s="423"/>
      <c r="T96" s="423"/>
      <c r="U96" s="423"/>
      <c r="V96" s="423"/>
      <c r="W96" s="423"/>
      <c r="X96" s="423"/>
      <c r="Y96" s="423"/>
      <c r="Z96" s="423"/>
      <c r="AA96" s="423"/>
      <c r="AB96" s="423"/>
      <c r="AC96" s="423"/>
      <c r="AD96" s="423"/>
      <c r="AE96" s="423"/>
      <c r="AF96" s="423"/>
      <c r="AG96" s="423"/>
      <c r="AH96" s="423"/>
      <c r="AI96" s="423"/>
      <c r="AJ96" s="423"/>
    </row>
    <row r="97" spans="1:36" x14ac:dyDescent="0.2">
      <c r="A97" s="392" t="s">
        <v>1258</v>
      </c>
      <c r="B97" s="392"/>
      <c r="C97" s="392"/>
      <c r="D97" s="392"/>
      <c r="E97" s="392"/>
      <c r="F97" s="392"/>
      <c r="G97" s="392"/>
      <c r="H97" s="392"/>
      <c r="I97" s="392"/>
      <c r="J97" s="392"/>
      <c r="K97" s="392"/>
      <c r="L97" s="392"/>
      <c r="M97" s="392"/>
      <c r="N97" s="392"/>
      <c r="Z97" s="69" t="s">
        <v>1246</v>
      </c>
      <c r="AA97" s="70"/>
      <c r="AB97" s="70"/>
      <c r="AC97" s="70"/>
      <c r="AD97" s="70"/>
      <c r="AE97" s="70"/>
      <c r="AF97" s="70"/>
      <c r="AG97" s="70"/>
      <c r="AH97" s="70"/>
      <c r="AI97" s="70"/>
      <c r="AJ97" s="71"/>
    </row>
    <row r="98" spans="1:36" x14ac:dyDescent="0.2">
      <c r="A98" s="393"/>
      <c r="B98" s="393"/>
      <c r="C98" s="393"/>
      <c r="D98" s="393"/>
      <c r="E98" s="393"/>
      <c r="F98" s="393"/>
      <c r="G98" s="393"/>
      <c r="H98" s="393"/>
      <c r="I98" s="393"/>
      <c r="J98" s="393"/>
      <c r="K98" s="393"/>
      <c r="L98" s="393"/>
      <c r="M98" s="393"/>
      <c r="N98" s="393"/>
      <c r="P98" s="50" t="s">
        <v>1200</v>
      </c>
      <c r="Q98" s="56"/>
      <c r="R98" s="56"/>
      <c r="S98" s="56"/>
      <c r="T98" s="56"/>
      <c r="U98" s="56"/>
      <c r="Z98" s="72" t="s">
        <v>1247</v>
      </c>
      <c r="AJ98" s="73"/>
    </row>
    <row r="99" spans="1:36" ht="14.25" thickBot="1" x14ac:dyDescent="0.25">
      <c r="A99" s="74" t="s">
        <v>1248</v>
      </c>
      <c r="P99" s="74" t="s">
        <v>1249</v>
      </c>
      <c r="Z99" s="75" t="s">
        <v>1250</v>
      </c>
      <c r="AA99" s="76"/>
      <c r="AB99" s="76"/>
      <c r="AC99" s="76"/>
      <c r="AD99" s="76"/>
      <c r="AE99" s="76"/>
      <c r="AF99" s="76"/>
      <c r="AG99" s="76"/>
      <c r="AH99" s="76"/>
      <c r="AI99" s="76"/>
      <c r="AJ99" s="77"/>
    </row>
  </sheetData>
  <mergeCells count="178">
    <mergeCell ref="A1:AG1"/>
    <mergeCell ref="A5:AJ5"/>
    <mergeCell ref="W6:X6"/>
    <mergeCell ref="Y6:Z6"/>
    <mergeCell ref="AA6:AB6"/>
    <mergeCell ref="AC6:AD6"/>
    <mergeCell ref="AE6:AF6"/>
    <mergeCell ref="AG6:AH6"/>
    <mergeCell ref="AI6:AJ6"/>
    <mergeCell ref="AD3:AI3"/>
    <mergeCell ref="A4:AJ4"/>
    <mergeCell ref="AD2:AJ2"/>
    <mergeCell ref="F2:X2"/>
    <mergeCell ref="AI10:AJ10"/>
    <mergeCell ref="W7:X7"/>
    <mergeCell ref="Y7:Z7"/>
    <mergeCell ref="AA7:AB7"/>
    <mergeCell ref="AC7:AD7"/>
    <mergeCell ref="AE7:AF7"/>
    <mergeCell ref="AG7:AH7"/>
    <mergeCell ref="AI7:AJ7"/>
    <mergeCell ref="W10:X10"/>
    <mergeCell ref="Y10:Z10"/>
    <mergeCell ref="AA10:AB10"/>
    <mergeCell ref="AC10:AD10"/>
    <mergeCell ref="AE10:AF10"/>
    <mergeCell ref="AG10:AH10"/>
    <mergeCell ref="A13:AJ13"/>
    <mergeCell ref="AA12:AB12"/>
    <mergeCell ref="AC12:AD12"/>
    <mergeCell ref="AE12:AF12"/>
    <mergeCell ref="AG12:AH12"/>
    <mergeCell ref="A11:Q12"/>
    <mergeCell ref="W11:X11"/>
    <mergeCell ref="A14:V14"/>
    <mergeCell ref="W27:AJ27"/>
    <mergeCell ref="A25:V25"/>
    <mergeCell ref="A24:V24"/>
    <mergeCell ref="W24:AJ24"/>
    <mergeCell ref="W25:AJ25"/>
    <mergeCell ref="W23:AJ23"/>
    <mergeCell ref="A21:V21"/>
    <mergeCell ref="AG11:AH11"/>
    <mergeCell ref="AI11:AJ11"/>
    <mergeCell ref="W12:X12"/>
    <mergeCell ref="Y11:Z11"/>
    <mergeCell ref="AA11:AB11"/>
    <mergeCell ref="AC11:AD11"/>
    <mergeCell ref="AE11:AF11"/>
    <mergeCell ref="AI12:AJ12"/>
    <mergeCell ref="Y12:Z12"/>
    <mergeCell ref="A15:V15"/>
    <mergeCell ref="A19:V19"/>
    <mergeCell ref="A18:V18"/>
    <mergeCell ref="A28:V28"/>
    <mergeCell ref="A27:V27"/>
    <mergeCell ref="A26:V26"/>
    <mergeCell ref="A20:V20"/>
    <mergeCell ref="W20:AJ20"/>
    <mergeCell ref="W26:AJ26"/>
    <mergeCell ref="W21:AJ21"/>
    <mergeCell ref="A17:V17"/>
    <mergeCell ref="A16:V16"/>
    <mergeCell ref="W28:AJ28"/>
    <mergeCell ref="W29:AJ29"/>
    <mergeCell ref="W30:AJ30"/>
    <mergeCell ref="A36:V36"/>
    <mergeCell ref="A35:V35"/>
    <mergeCell ref="A34:V34"/>
    <mergeCell ref="A33:V33"/>
    <mergeCell ref="A30:V30"/>
    <mergeCell ref="A29:V29"/>
    <mergeCell ref="W36:AJ36"/>
    <mergeCell ref="A57:V57"/>
    <mergeCell ref="A56:V56"/>
    <mergeCell ref="W56:AJ56"/>
    <mergeCell ref="W57:AJ57"/>
    <mergeCell ref="A55:V55"/>
    <mergeCell ref="A52:V52"/>
    <mergeCell ref="W66:AJ66"/>
    <mergeCell ref="W71:AJ71"/>
    <mergeCell ref="W32:AJ32"/>
    <mergeCell ref="W33:AJ33"/>
    <mergeCell ref="W34:AJ34"/>
    <mergeCell ref="W35:AJ35"/>
    <mergeCell ref="A40:AJ40"/>
    <mergeCell ref="W39:AJ39"/>
    <mergeCell ref="W37:AJ37"/>
    <mergeCell ref="A48:V48"/>
    <mergeCell ref="W67:AJ67"/>
    <mergeCell ref="W68:AJ68"/>
    <mergeCell ref="A70:V70"/>
    <mergeCell ref="A69:V69"/>
    <mergeCell ref="A51:V51"/>
    <mergeCell ref="W51:AJ51"/>
    <mergeCell ref="W52:AJ52"/>
    <mergeCell ref="W47:AJ47"/>
    <mergeCell ref="A94:AJ96"/>
    <mergeCell ref="A86:Q86"/>
    <mergeCell ref="R86:T86"/>
    <mergeCell ref="U86:AJ86"/>
    <mergeCell ref="A87:Q87"/>
    <mergeCell ref="R87:T87"/>
    <mergeCell ref="W61:AJ61"/>
    <mergeCell ref="W58:AJ58"/>
    <mergeCell ref="W59:AJ59"/>
    <mergeCell ref="A91:AJ91"/>
    <mergeCell ref="A92:AJ92"/>
    <mergeCell ref="U82:AJ82"/>
    <mergeCell ref="A83:Q83"/>
    <mergeCell ref="R83:T83"/>
    <mergeCell ref="U83:AJ83"/>
    <mergeCell ref="A88:Q88"/>
    <mergeCell ref="A80:V80"/>
    <mergeCell ref="W80:AJ80"/>
    <mergeCell ref="W63:AJ63"/>
    <mergeCell ref="A61:V61"/>
    <mergeCell ref="A60:V60"/>
    <mergeCell ref="W60:AJ60"/>
    <mergeCell ref="W75:AJ75"/>
    <mergeCell ref="A72:V72"/>
    <mergeCell ref="A97:N98"/>
    <mergeCell ref="A7:Q9"/>
    <mergeCell ref="W14:AJ14"/>
    <mergeCell ref="W15:AJ15"/>
    <mergeCell ref="W16:AJ16"/>
    <mergeCell ref="W17:AJ17"/>
    <mergeCell ref="W18:AJ18"/>
    <mergeCell ref="W19:AJ19"/>
    <mergeCell ref="R88:T88"/>
    <mergeCell ref="A66:V66"/>
    <mergeCell ref="A65:V65"/>
    <mergeCell ref="U87:AJ87"/>
    <mergeCell ref="A84:Q84"/>
    <mergeCell ref="R84:T84"/>
    <mergeCell ref="U84:AJ84"/>
    <mergeCell ref="A85:Q85"/>
    <mergeCell ref="R85:T85"/>
    <mergeCell ref="U85:AJ85"/>
    <mergeCell ref="W65:AJ65"/>
    <mergeCell ref="W69:AJ69"/>
    <mergeCell ref="W70:AJ70"/>
    <mergeCell ref="A68:V68"/>
    <mergeCell ref="A67:V67"/>
    <mergeCell ref="A71:V71"/>
    <mergeCell ref="U88:AJ88"/>
    <mergeCell ref="A76:V76"/>
    <mergeCell ref="W76:AJ76"/>
    <mergeCell ref="W77:AJ77"/>
    <mergeCell ref="A79:V79"/>
    <mergeCell ref="A78:V78"/>
    <mergeCell ref="W78:AJ78"/>
    <mergeCell ref="W79:AJ79"/>
    <mergeCell ref="A77:V77"/>
    <mergeCell ref="A45:AJ45"/>
    <mergeCell ref="A38:V38"/>
    <mergeCell ref="A37:V37"/>
    <mergeCell ref="W38:AJ38"/>
    <mergeCell ref="B42:N43"/>
    <mergeCell ref="A75:V75"/>
    <mergeCell ref="A59:V59"/>
    <mergeCell ref="A46:Y46"/>
    <mergeCell ref="A39:V39"/>
    <mergeCell ref="A74:V74"/>
    <mergeCell ref="W74:AJ74"/>
    <mergeCell ref="W48:AJ48"/>
    <mergeCell ref="A58:V58"/>
    <mergeCell ref="A50:V50"/>
    <mergeCell ref="A49:V49"/>
    <mergeCell ref="W49:AJ49"/>
    <mergeCell ref="W50:AJ50"/>
    <mergeCell ref="W53:AJ53"/>
    <mergeCell ref="W55:AJ55"/>
    <mergeCell ref="A53:V53"/>
    <mergeCell ref="A63:V63"/>
    <mergeCell ref="A62:V62"/>
    <mergeCell ref="W62:AJ62"/>
    <mergeCell ref="W72:AJ72"/>
  </mergeCells>
  <pageMargins left="0.25" right="0.25" top="0.25" bottom="0.25" header="0" footer="0"/>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0">
    <tabColor theme="4" tint="-0.249977111117893"/>
  </sheetPr>
  <dimension ref="A1:AM51"/>
  <sheetViews>
    <sheetView showZeros="0" view="pageLayout" zoomScaleNormal="100" workbookViewId="0">
      <selection activeCell="L18" sqref="L18:R18"/>
    </sheetView>
  </sheetViews>
  <sheetFormatPr defaultColWidth="2.7109375" defaultRowHeight="12.75" x14ac:dyDescent="0.2"/>
  <sheetData>
    <row r="1" spans="1:39" x14ac:dyDescent="0.2">
      <c r="A1" s="300" t="str">
        <f>IF(OR(Data!B917=TRUE,Data!B929=TRUE),"AT RISK FOR SKIN BREAKDOWN","")&amp;IF(Data!B917=TRUE," -Bedbound","")&amp;IF(Data!B929=TRUE," -Chairbound","")&amp;IF(Data!B1610="Yes","  **LATEX ALLERGY**","")&amp;IF(AND(Data!B1644="Yes",Data!B1645="Yes"),"**DNR ON FILE**","")</f>
        <v/>
      </c>
      <c r="B1" s="300"/>
      <c r="C1" s="300"/>
      <c r="D1" s="300"/>
      <c r="E1" s="300"/>
      <c r="F1" s="300"/>
      <c r="G1" s="300"/>
      <c r="H1" s="300"/>
      <c r="I1" s="300"/>
      <c r="J1" s="300"/>
      <c r="K1" s="300"/>
      <c r="L1" s="300"/>
      <c r="M1" s="300"/>
      <c r="N1" s="300"/>
      <c r="O1" s="300"/>
      <c r="P1" s="300"/>
      <c r="Q1" s="300"/>
      <c r="R1" s="300"/>
      <c r="S1" s="300"/>
      <c r="T1" s="300"/>
      <c r="U1" s="300"/>
      <c r="V1" s="300"/>
      <c r="W1" s="300"/>
      <c r="X1" s="300"/>
      <c r="Y1" s="300"/>
      <c r="Z1" s="300"/>
      <c r="AA1" s="300"/>
      <c r="AB1" s="300"/>
      <c r="AC1" s="300"/>
      <c r="AD1" s="300"/>
      <c r="AE1" s="300"/>
      <c r="AF1" s="300"/>
      <c r="AG1" s="300"/>
      <c r="AH1" s="300"/>
      <c r="AI1" s="300"/>
      <c r="AJ1" s="300"/>
      <c r="AK1" s="300"/>
      <c r="AL1" s="300"/>
    </row>
    <row r="2" spans="1:39" x14ac:dyDescent="0.2">
      <c r="A2" t="s">
        <v>336</v>
      </c>
      <c r="E2" s="267" t="str">
        <f>_xlfn.CONCAT(Data!B2,", ",Data!B3," ",Data!B4)</f>
        <v xml:space="preserve">,  </v>
      </c>
      <c r="F2" s="267"/>
      <c r="G2" s="267"/>
      <c r="H2" s="267"/>
      <c r="I2" s="267"/>
      <c r="J2" s="267"/>
      <c r="K2" s="267"/>
      <c r="L2" s="267"/>
      <c r="M2" s="267"/>
      <c r="N2" s="267"/>
      <c r="O2" s="267"/>
      <c r="P2" s="267"/>
      <c r="Q2" s="267"/>
      <c r="R2" s="267"/>
      <c r="S2" s="267"/>
      <c r="T2" s="267"/>
      <c r="U2" s="267"/>
      <c r="V2" s="267"/>
      <c r="W2" s="267"/>
      <c r="Y2" t="s">
        <v>371</v>
      </c>
      <c r="AA2" s="269">
        <f>Data!B14</f>
        <v>0</v>
      </c>
      <c r="AB2" s="267"/>
      <c r="AC2" s="267"/>
      <c r="AD2" s="267"/>
      <c r="AE2" s="267"/>
      <c r="AF2" s="267"/>
      <c r="AG2" s="267"/>
      <c r="AH2" s="267"/>
    </row>
    <row r="4" spans="1:39" x14ac:dyDescent="0.2">
      <c r="A4" s="217" t="s">
        <v>435</v>
      </c>
      <c r="B4" s="217"/>
      <c r="C4" s="217"/>
      <c r="D4" s="217"/>
      <c r="E4" s="217"/>
      <c r="F4" s="217"/>
      <c r="G4" s="217"/>
      <c r="H4" s="217"/>
      <c r="I4" s="217"/>
      <c r="J4" s="217"/>
      <c r="K4" s="217"/>
      <c r="L4" s="217"/>
      <c r="M4" s="217"/>
      <c r="N4" s="217"/>
      <c r="O4" s="217"/>
      <c r="P4" s="217"/>
      <c r="Q4" s="217"/>
      <c r="R4" s="217"/>
      <c r="S4" s="217"/>
      <c r="T4" s="217"/>
      <c r="U4" s="217"/>
      <c r="V4" s="217"/>
      <c r="W4" s="217"/>
      <c r="X4" s="217"/>
      <c r="Y4" s="217"/>
      <c r="Z4" s="217"/>
      <c r="AA4" s="217"/>
      <c r="AB4" s="217"/>
      <c r="AC4" s="217"/>
      <c r="AD4" s="217"/>
      <c r="AE4" s="217"/>
      <c r="AF4" s="217"/>
      <c r="AG4" s="217"/>
      <c r="AH4" s="217"/>
      <c r="AI4" s="217"/>
      <c r="AJ4" s="217"/>
      <c r="AK4" s="217"/>
      <c r="AL4" s="217"/>
    </row>
    <row r="5" spans="1:39" x14ac:dyDescent="0.2">
      <c r="A5" s="217"/>
      <c r="B5" s="217"/>
      <c r="C5" s="217"/>
      <c r="D5" s="217"/>
      <c r="E5" s="217"/>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c r="AE5" s="217"/>
      <c r="AF5" s="217"/>
      <c r="AG5" s="217"/>
      <c r="AH5" s="217"/>
      <c r="AI5" s="217"/>
      <c r="AJ5" s="217"/>
      <c r="AK5" s="217"/>
      <c r="AL5" s="217"/>
    </row>
    <row r="6" spans="1:39" x14ac:dyDescent="0.2">
      <c r="A6" s="217"/>
      <c r="B6" s="217"/>
      <c r="C6" s="217"/>
      <c r="D6" s="217"/>
      <c r="E6" s="217"/>
      <c r="F6" s="217"/>
      <c r="G6" s="217"/>
      <c r="H6" s="217"/>
      <c r="I6" s="217"/>
      <c r="J6" s="217"/>
      <c r="K6" s="217"/>
      <c r="L6" s="217"/>
      <c r="M6" s="217"/>
      <c r="N6" s="217"/>
      <c r="O6" s="217"/>
      <c r="P6" s="217"/>
      <c r="Q6" s="217"/>
      <c r="R6" s="217"/>
      <c r="S6" s="217"/>
      <c r="T6" s="217"/>
      <c r="U6" s="217"/>
      <c r="V6" s="217"/>
      <c r="W6" s="217"/>
      <c r="X6" s="217"/>
      <c r="Y6" s="217"/>
      <c r="Z6" s="217"/>
      <c r="AA6" s="217"/>
      <c r="AB6" s="217"/>
      <c r="AC6" s="217"/>
      <c r="AD6" s="217"/>
      <c r="AE6" s="217"/>
      <c r="AF6" s="217"/>
      <c r="AG6" s="217"/>
      <c r="AH6" s="217"/>
      <c r="AI6" s="217"/>
      <c r="AJ6" s="217"/>
      <c r="AK6" s="217"/>
      <c r="AL6" s="217"/>
    </row>
    <row r="8" spans="1:39" x14ac:dyDescent="0.2">
      <c r="A8" s="4" t="s">
        <v>436</v>
      </c>
      <c r="AB8" s="6"/>
      <c r="AC8" s="6"/>
      <c r="AD8" s="6"/>
      <c r="AE8" s="6"/>
      <c r="AF8" s="6"/>
      <c r="AG8" s="6"/>
      <c r="AH8" s="6"/>
      <c r="AI8" s="6"/>
      <c r="AJ8" s="6"/>
      <c r="AK8" s="6"/>
    </row>
    <row r="9" spans="1:39" ht="12.75" customHeight="1" x14ac:dyDescent="0.2">
      <c r="A9" s="217" t="s">
        <v>437</v>
      </c>
      <c r="B9" s="217"/>
      <c r="C9" s="217"/>
      <c r="D9" s="217"/>
      <c r="E9" s="217"/>
      <c r="F9" s="217"/>
      <c r="G9" s="217"/>
      <c r="H9" s="217"/>
      <c r="I9" s="217"/>
      <c r="J9" s="217"/>
      <c r="K9" s="217"/>
      <c r="L9" s="217"/>
      <c r="M9" s="217"/>
      <c r="N9" s="217"/>
      <c r="O9" s="217"/>
      <c r="P9" s="217"/>
      <c r="Q9" s="217"/>
      <c r="R9" s="217"/>
      <c r="S9" s="217"/>
      <c r="T9" s="217"/>
      <c r="U9" s="217"/>
      <c r="V9" s="217"/>
      <c r="W9" s="217"/>
      <c r="X9" s="217"/>
      <c r="Y9" s="217"/>
      <c r="Z9" s="217"/>
      <c r="AA9" s="217"/>
      <c r="AB9" s="217"/>
      <c r="AC9" s="217"/>
      <c r="AD9" s="217"/>
      <c r="AE9" s="217"/>
      <c r="AF9" s="217"/>
      <c r="AG9" s="217"/>
      <c r="AH9" s="217"/>
      <c r="AI9" s="217"/>
      <c r="AJ9" s="217"/>
      <c r="AK9" s="217"/>
      <c r="AL9" s="5"/>
      <c r="AM9" s="5"/>
    </row>
    <row r="10" spans="1:39" x14ac:dyDescent="0.2">
      <c r="A10" s="217"/>
      <c r="B10" s="217"/>
      <c r="C10" s="217"/>
      <c r="D10" s="217"/>
      <c r="E10" s="217"/>
      <c r="F10" s="217"/>
      <c r="G10" s="217"/>
      <c r="H10" s="217"/>
      <c r="I10" s="217"/>
      <c r="J10" s="217"/>
      <c r="K10" s="217"/>
      <c r="L10" s="217"/>
      <c r="M10" s="217"/>
      <c r="N10" s="217"/>
      <c r="O10" s="217"/>
      <c r="P10" s="217"/>
      <c r="Q10" s="217"/>
      <c r="R10" s="217"/>
      <c r="S10" s="217"/>
      <c r="T10" s="217"/>
      <c r="U10" s="217"/>
      <c r="V10" s="217"/>
      <c r="W10" s="217"/>
      <c r="X10" s="217"/>
      <c r="Y10" s="217"/>
      <c r="Z10" s="217"/>
      <c r="AA10" s="217"/>
      <c r="AB10" s="217"/>
      <c r="AC10" s="217"/>
      <c r="AD10" s="217"/>
      <c r="AE10" s="217"/>
      <c r="AF10" s="217"/>
      <c r="AG10" s="217"/>
      <c r="AH10" s="217"/>
      <c r="AI10" s="217"/>
      <c r="AJ10" s="217"/>
      <c r="AK10" s="217"/>
      <c r="AL10" s="5"/>
      <c r="AM10" s="5"/>
    </row>
    <row r="11" spans="1:39" x14ac:dyDescent="0.2">
      <c r="A11" s="217"/>
      <c r="B11" s="217"/>
      <c r="C11" s="217"/>
      <c r="D11" s="217"/>
      <c r="E11" s="217"/>
      <c r="F11" s="217"/>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c r="AE11" s="217"/>
      <c r="AF11" s="217"/>
      <c r="AG11" s="217"/>
      <c r="AH11" s="217"/>
      <c r="AI11" s="217"/>
      <c r="AJ11" s="217"/>
      <c r="AK11" s="217"/>
      <c r="AL11" s="5"/>
      <c r="AM11" s="5"/>
    </row>
    <row r="12" spans="1:39" x14ac:dyDescent="0.2">
      <c r="A12" s="217"/>
      <c r="B12" s="217"/>
      <c r="C12" s="217"/>
      <c r="D12" s="217"/>
      <c r="E12" s="217"/>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5"/>
      <c r="AM12" s="5"/>
    </row>
    <row r="14" spans="1:39" x14ac:dyDescent="0.2">
      <c r="A14" s="254" t="s">
        <v>438</v>
      </c>
      <c r="B14" s="254"/>
      <c r="C14" s="254"/>
      <c r="D14" s="254"/>
      <c r="E14" s="254"/>
      <c r="F14" s="254"/>
      <c r="G14" s="254"/>
      <c r="H14" s="254"/>
      <c r="I14" s="254"/>
      <c r="J14" s="254"/>
      <c r="K14" s="254"/>
      <c r="L14" s="254" t="s">
        <v>456</v>
      </c>
      <c r="M14" s="254"/>
      <c r="N14" s="254"/>
      <c r="O14" s="254"/>
      <c r="P14" s="254"/>
      <c r="Q14" s="254"/>
      <c r="R14" s="254"/>
      <c r="S14" s="254" t="s">
        <v>439</v>
      </c>
      <c r="T14" s="254"/>
      <c r="U14" s="254"/>
      <c r="V14" s="254"/>
      <c r="W14" s="254"/>
      <c r="X14" s="287" t="s">
        <v>440</v>
      </c>
      <c r="Y14" s="288"/>
      <c r="Z14" s="288"/>
      <c r="AA14" s="288"/>
      <c r="AB14" s="288"/>
      <c r="AC14" s="288"/>
      <c r="AD14" s="288"/>
      <c r="AE14" s="288"/>
      <c r="AF14" s="288"/>
      <c r="AG14" s="288"/>
      <c r="AH14" s="288"/>
      <c r="AI14" s="288"/>
      <c r="AJ14" s="288"/>
      <c r="AK14" s="288"/>
      <c r="AL14" s="289"/>
    </row>
    <row r="15" spans="1:39" x14ac:dyDescent="0.2">
      <c r="A15" s="254" t="s">
        <v>441</v>
      </c>
      <c r="B15" s="254"/>
      <c r="C15" s="254"/>
      <c r="D15" s="254"/>
      <c r="E15" s="254"/>
      <c r="F15" s="254"/>
      <c r="G15" s="254"/>
      <c r="H15" s="254"/>
      <c r="I15" s="254"/>
      <c r="J15" s="254"/>
      <c r="K15" s="254"/>
      <c r="L15" s="262">
        <f>Data!B481</f>
        <v>0</v>
      </c>
      <c r="M15" s="262"/>
      <c r="N15" s="262"/>
      <c r="O15" s="262"/>
      <c r="P15" s="262"/>
      <c r="Q15" s="262"/>
      <c r="R15" s="262"/>
      <c r="S15" s="262">
        <f>Data!B482</f>
        <v>0</v>
      </c>
      <c r="T15" s="262"/>
      <c r="U15" s="262"/>
      <c r="V15" s="262"/>
      <c r="W15" s="262"/>
      <c r="X15" s="324" t="str">
        <f>_xlfn.CONCAT(Data!B483,IF(Data!B484="","",", "&amp;Data!B484))</f>
        <v/>
      </c>
      <c r="Y15" s="325"/>
      <c r="Z15" s="325"/>
      <c r="AA15" s="325"/>
      <c r="AB15" s="325"/>
      <c r="AC15" s="325"/>
      <c r="AD15" s="325"/>
      <c r="AE15" s="325"/>
      <c r="AF15" s="325"/>
      <c r="AG15" s="325"/>
      <c r="AH15" s="325"/>
      <c r="AI15" s="325"/>
      <c r="AJ15" s="325"/>
      <c r="AK15" s="325"/>
      <c r="AL15" s="326"/>
    </row>
    <row r="16" spans="1:39" x14ac:dyDescent="0.2">
      <c r="A16" s="254" t="s">
        <v>442</v>
      </c>
      <c r="B16" s="254"/>
      <c r="C16" s="254"/>
      <c r="D16" s="254"/>
      <c r="E16" s="254"/>
      <c r="F16" s="254"/>
      <c r="G16" s="254"/>
      <c r="H16" s="254"/>
      <c r="I16" s="254"/>
      <c r="J16" s="254"/>
      <c r="K16" s="254"/>
      <c r="L16" s="262">
        <f>Data!B495</f>
        <v>0</v>
      </c>
      <c r="M16" s="262"/>
      <c r="N16" s="262"/>
      <c r="O16" s="262"/>
      <c r="P16" s="262"/>
      <c r="Q16" s="262"/>
      <c r="R16" s="262"/>
      <c r="S16" s="262">
        <f>Data!B496</f>
        <v>0</v>
      </c>
      <c r="T16" s="262"/>
      <c r="U16" s="262"/>
      <c r="V16" s="262"/>
      <c r="W16" s="262"/>
      <c r="X16" s="324"/>
      <c r="Y16" s="325"/>
      <c r="Z16" s="325"/>
      <c r="AA16" s="325"/>
      <c r="AB16" s="325"/>
      <c r="AC16" s="325"/>
      <c r="AD16" s="325"/>
      <c r="AE16" s="325"/>
      <c r="AF16" s="325"/>
      <c r="AG16" s="325"/>
      <c r="AH16" s="325"/>
      <c r="AI16" s="325"/>
      <c r="AJ16" s="325"/>
      <c r="AK16" s="325"/>
      <c r="AL16" s="326"/>
    </row>
    <row r="17" spans="1:39" x14ac:dyDescent="0.2">
      <c r="A17" s="254" t="s">
        <v>443</v>
      </c>
      <c r="B17" s="254"/>
      <c r="C17" s="254"/>
      <c r="D17" s="254"/>
      <c r="E17" s="254"/>
      <c r="F17" s="254"/>
      <c r="G17" s="254"/>
      <c r="H17" s="254"/>
      <c r="I17" s="254"/>
      <c r="J17" s="254"/>
      <c r="K17" s="254"/>
      <c r="L17" s="262">
        <f>Data!B506</f>
        <v>0</v>
      </c>
      <c r="M17" s="262"/>
      <c r="N17" s="262"/>
      <c r="O17" s="262"/>
      <c r="P17" s="262"/>
      <c r="Q17" s="262"/>
      <c r="R17" s="262"/>
      <c r="S17" s="262">
        <f>Data!B507</f>
        <v>0</v>
      </c>
      <c r="T17" s="262"/>
      <c r="U17" s="262"/>
      <c r="V17" s="262"/>
      <c r="W17" s="262"/>
      <c r="X17" s="324" t="str">
        <f>_xlfn.CONCAT(Data!B508,IF(Data!B509="","",", "&amp;Data!B509))</f>
        <v/>
      </c>
      <c r="Y17" s="325"/>
      <c r="Z17" s="325"/>
      <c r="AA17" s="325"/>
      <c r="AB17" s="325"/>
      <c r="AC17" s="325"/>
      <c r="AD17" s="325"/>
      <c r="AE17" s="325"/>
      <c r="AF17" s="325"/>
      <c r="AG17" s="325"/>
      <c r="AH17" s="325"/>
      <c r="AI17" s="325"/>
      <c r="AJ17" s="325"/>
      <c r="AK17" s="325"/>
      <c r="AL17" s="326"/>
    </row>
    <row r="18" spans="1:39" x14ac:dyDescent="0.2">
      <c r="A18" s="254" t="s">
        <v>444</v>
      </c>
      <c r="B18" s="254"/>
      <c r="C18" s="254"/>
      <c r="D18" s="254"/>
      <c r="E18" s="254"/>
      <c r="F18" s="254"/>
      <c r="G18" s="254"/>
      <c r="H18" s="254"/>
      <c r="I18" s="254"/>
      <c r="J18" s="254"/>
      <c r="K18" s="254"/>
      <c r="L18" s="262">
        <f>Data!B518</f>
        <v>0</v>
      </c>
      <c r="M18" s="262"/>
      <c r="N18" s="262"/>
      <c r="O18" s="262"/>
      <c r="P18" s="262"/>
      <c r="Q18" s="262"/>
      <c r="R18" s="262"/>
      <c r="S18" s="262">
        <f>Data!B519</f>
        <v>0</v>
      </c>
      <c r="T18" s="262"/>
      <c r="U18" s="262"/>
      <c r="V18" s="262"/>
      <c r="W18" s="262"/>
      <c r="X18" s="324" t="str">
        <f>_xlfn.CONCAT(Data!B520,IF(Data!B521="","",", "&amp;Data!B521))</f>
        <v/>
      </c>
      <c r="Y18" s="325"/>
      <c r="Z18" s="325"/>
      <c r="AA18" s="325"/>
      <c r="AB18" s="325"/>
      <c r="AC18" s="325"/>
      <c r="AD18" s="325"/>
      <c r="AE18" s="325"/>
      <c r="AF18" s="325"/>
      <c r="AG18" s="325"/>
      <c r="AH18" s="325"/>
      <c r="AI18" s="325"/>
      <c r="AJ18" s="325"/>
      <c r="AK18" s="325"/>
      <c r="AL18" s="326"/>
    </row>
    <row r="19" spans="1:39" x14ac:dyDescent="0.2">
      <c r="A19" s="254" t="s">
        <v>445</v>
      </c>
      <c r="B19" s="254"/>
      <c r="C19" s="254"/>
      <c r="D19" s="254"/>
      <c r="E19" s="254"/>
      <c r="F19" s="254"/>
      <c r="G19" s="254"/>
      <c r="H19" s="254"/>
      <c r="I19" s="254"/>
      <c r="J19" s="254"/>
      <c r="K19" s="254"/>
      <c r="L19" s="262">
        <f>Data!B541</f>
        <v>0</v>
      </c>
      <c r="M19" s="262"/>
      <c r="N19" s="262"/>
      <c r="O19" s="262"/>
      <c r="P19" s="262"/>
      <c r="Q19" s="262"/>
      <c r="R19" s="262"/>
      <c r="S19" s="262">
        <f>Data!B542</f>
        <v>0</v>
      </c>
      <c r="T19" s="262"/>
      <c r="U19" s="262"/>
      <c r="V19" s="262"/>
      <c r="W19" s="262"/>
      <c r="X19" s="324">
        <f>Data!B536</f>
        <v>0</v>
      </c>
      <c r="Y19" s="325"/>
      <c r="Z19" s="325"/>
      <c r="AA19" s="325"/>
      <c r="AB19" s="325"/>
      <c r="AC19" s="325"/>
      <c r="AD19" s="325"/>
      <c r="AE19" s="325"/>
      <c r="AF19" s="325"/>
      <c r="AG19" s="325"/>
      <c r="AH19" s="325"/>
      <c r="AI19" s="325"/>
      <c r="AJ19" s="325"/>
      <c r="AK19" s="325"/>
      <c r="AL19" s="326"/>
    </row>
    <row r="20" spans="1:39" x14ac:dyDescent="0.2">
      <c r="A20" s="254" t="s">
        <v>446</v>
      </c>
      <c r="B20" s="254"/>
      <c r="C20" s="254"/>
      <c r="D20" s="254"/>
      <c r="E20" s="254"/>
      <c r="F20" s="254"/>
      <c r="G20" s="254"/>
      <c r="H20" s="254"/>
      <c r="I20" s="254"/>
      <c r="J20" s="254"/>
      <c r="K20" s="254"/>
      <c r="L20" s="262">
        <f>Data!B468</f>
        <v>0</v>
      </c>
      <c r="M20" s="262"/>
      <c r="N20" s="262"/>
      <c r="O20" s="262"/>
      <c r="P20" s="262"/>
      <c r="Q20" s="262"/>
      <c r="R20" s="262"/>
      <c r="S20" s="262">
        <f>Data!B469</f>
        <v>0</v>
      </c>
      <c r="T20" s="262"/>
      <c r="U20" s="262"/>
      <c r="V20" s="262"/>
      <c r="W20" s="262"/>
      <c r="X20" s="324" t="str">
        <f>_xlfn.CONCAT(Data!B470,IF(Data!B471="","",", "&amp;Data!B471))</f>
        <v/>
      </c>
      <c r="Y20" s="325"/>
      <c r="Z20" s="325"/>
      <c r="AA20" s="325"/>
      <c r="AB20" s="325"/>
      <c r="AC20" s="325"/>
      <c r="AD20" s="325"/>
      <c r="AE20" s="325"/>
      <c r="AF20" s="325"/>
      <c r="AG20" s="325"/>
      <c r="AH20" s="325"/>
      <c r="AI20" s="325"/>
      <c r="AJ20" s="325"/>
      <c r="AK20" s="325"/>
      <c r="AL20" s="326"/>
    </row>
    <row r="22" spans="1:39" x14ac:dyDescent="0.2">
      <c r="A22" s="4" t="s">
        <v>447</v>
      </c>
    </row>
    <row r="23" spans="1:39" ht="12.75" customHeight="1" x14ac:dyDescent="0.2">
      <c r="A23" s="217" t="s">
        <v>448</v>
      </c>
      <c r="B23" s="217"/>
      <c r="C23" s="217"/>
      <c r="D23" s="217"/>
      <c r="E23" s="217"/>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c r="AE23" s="217"/>
      <c r="AF23" s="217"/>
      <c r="AG23" s="217"/>
      <c r="AH23" s="217"/>
      <c r="AI23" s="217"/>
      <c r="AJ23" s="217"/>
      <c r="AK23" s="217"/>
      <c r="AL23" s="5"/>
      <c r="AM23" s="5"/>
    </row>
    <row r="24" spans="1:39" x14ac:dyDescent="0.2">
      <c r="A24" s="217"/>
      <c r="B24" s="217"/>
      <c r="C24" s="217"/>
      <c r="D24" s="217"/>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7"/>
      <c r="AI24" s="217"/>
      <c r="AJ24" s="217"/>
      <c r="AK24" s="217"/>
      <c r="AL24" s="5"/>
      <c r="AM24" s="5"/>
    </row>
    <row r="26" spans="1:39" ht="12.75" customHeight="1" x14ac:dyDescent="0.2">
      <c r="A26" s="7" t="s">
        <v>449</v>
      </c>
      <c r="B26" s="8"/>
      <c r="C26" s="8"/>
      <c r="D26" s="8"/>
      <c r="E26" s="8"/>
      <c r="F26" s="8"/>
      <c r="G26" s="285" t="s">
        <v>450</v>
      </c>
      <c r="H26" s="285"/>
      <c r="I26" s="285"/>
      <c r="J26" s="285"/>
      <c r="K26" s="285"/>
      <c r="L26" s="285"/>
      <c r="M26" s="285"/>
      <c r="N26" s="285"/>
      <c r="O26" s="285"/>
      <c r="P26" s="285"/>
      <c r="Q26" s="285"/>
      <c r="R26" s="285"/>
      <c r="S26" s="285"/>
      <c r="T26" s="285"/>
      <c r="U26" s="285"/>
      <c r="V26" s="285"/>
      <c r="W26" s="285"/>
      <c r="X26" s="285"/>
      <c r="Y26" s="285"/>
      <c r="Z26" s="285"/>
      <c r="AA26" s="285"/>
      <c r="AB26" s="285"/>
      <c r="AC26" s="285"/>
      <c r="AD26" s="285"/>
      <c r="AE26" s="285"/>
      <c r="AF26" s="285"/>
      <c r="AG26" s="285"/>
      <c r="AH26" s="285"/>
      <c r="AI26" s="285"/>
      <c r="AJ26" s="285"/>
      <c r="AK26" s="285"/>
      <c r="AL26" s="285"/>
      <c r="AM26" s="10"/>
    </row>
    <row r="27" spans="1:39" x14ac:dyDescent="0.2">
      <c r="A27" s="271" t="str">
        <f>IF(Data!B1016=TRUE,"Yes","No")</f>
        <v>No</v>
      </c>
      <c r="B27" s="271"/>
      <c r="C27" s="271"/>
      <c r="D27" s="271"/>
      <c r="E27" t="s">
        <v>451</v>
      </c>
      <c r="AI27" s="5"/>
      <c r="AJ27" s="5"/>
      <c r="AK27" s="5"/>
    </row>
    <row r="28" spans="1:39" x14ac:dyDescent="0.2">
      <c r="A28" s="271" t="str">
        <f>IF(Data!B1017=TRUE,"Yes","No")</f>
        <v>No</v>
      </c>
      <c r="B28" s="271"/>
      <c r="C28" s="271"/>
      <c r="D28" s="271"/>
      <c r="E28" t="s">
        <v>3362</v>
      </c>
      <c r="AI28" s="5"/>
      <c r="AJ28" s="5"/>
      <c r="AK28" s="5"/>
    </row>
    <row r="29" spans="1:39" x14ac:dyDescent="0.2">
      <c r="A29" s="271" t="str">
        <f>IF(Data!B1018=TRUE,"Yes","No")</f>
        <v>No</v>
      </c>
      <c r="B29" s="271"/>
      <c r="C29" s="271"/>
      <c r="D29" s="271"/>
      <c r="E29" t="s">
        <v>453</v>
      </c>
      <c r="N29" s="9"/>
      <c r="O29" s="9"/>
      <c r="P29" s="286"/>
      <c r="Q29" s="286"/>
      <c r="R29" s="286"/>
      <c r="S29" s="286"/>
      <c r="T29" s="286"/>
      <c r="U29" s="286"/>
      <c r="V29" s="286"/>
      <c r="W29" s="286"/>
      <c r="X29" s="286"/>
      <c r="Y29" s="286"/>
      <c r="Z29" s="286"/>
      <c r="AA29" s="286"/>
      <c r="AB29" s="286"/>
      <c r="AC29" s="286"/>
    </row>
    <row r="31" spans="1:39" x14ac:dyDescent="0.2">
      <c r="A31" t="s">
        <v>454</v>
      </c>
    </row>
    <row r="33" spans="1:38" x14ac:dyDescent="0.2">
      <c r="A33" s="217" t="s">
        <v>455</v>
      </c>
      <c r="B33" s="217"/>
      <c r="C33" s="217"/>
      <c r="D33" s="217"/>
      <c r="E33" s="217"/>
      <c r="F33" s="217"/>
      <c r="G33" s="217"/>
      <c r="H33" s="217"/>
      <c r="I33" s="217"/>
      <c r="J33" s="217"/>
      <c r="K33" s="217"/>
      <c r="L33" s="217"/>
      <c r="M33" s="217"/>
      <c r="N33" s="217"/>
      <c r="O33" s="217"/>
      <c r="P33" s="217"/>
      <c r="Q33" s="217"/>
      <c r="R33" s="217"/>
      <c r="S33" s="217"/>
      <c r="T33" s="217"/>
      <c r="U33" s="217"/>
      <c r="V33" s="217"/>
      <c r="W33" s="217"/>
      <c r="X33" s="217"/>
      <c r="Y33" s="217"/>
      <c r="Z33" s="217"/>
      <c r="AA33" s="217"/>
      <c r="AB33" s="217"/>
      <c r="AC33" s="217"/>
      <c r="AD33" s="217"/>
      <c r="AE33" s="217"/>
      <c r="AF33" s="217"/>
      <c r="AG33" s="217"/>
      <c r="AH33" s="217"/>
      <c r="AI33" s="217"/>
      <c r="AJ33" s="217"/>
      <c r="AK33" s="217"/>
      <c r="AL33" s="217"/>
    </row>
    <row r="34" spans="1:38" x14ac:dyDescent="0.2">
      <c r="A34" s="217"/>
      <c r="B34" s="217"/>
      <c r="C34" s="217"/>
      <c r="D34" s="217"/>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7"/>
      <c r="AI34" s="217"/>
      <c r="AJ34" s="217"/>
      <c r="AK34" s="217"/>
      <c r="AL34" s="217"/>
    </row>
    <row r="35" spans="1:38" x14ac:dyDescent="0.2">
      <c r="A35" s="217"/>
      <c r="B35" s="217"/>
      <c r="C35" s="217"/>
      <c r="D35" s="217"/>
      <c r="E35" s="217"/>
      <c r="F35" s="217"/>
      <c r="G35" s="217"/>
      <c r="H35" s="217"/>
      <c r="I35" s="217"/>
      <c r="J35" s="217"/>
      <c r="K35" s="217"/>
      <c r="L35" s="217"/>
      <c r="M35" s="217"/>
      <c r="N35" s="217"/>
      <c r="O35" s="217"/>
      <c r="P35" s="217"/>
      <c r="Q35" s="217"/>
      <c r="R35" s="217"/>
      <c r="S35" s="217"/>
      <c r="T35" s="217"/>
      <c r="U35" s="217"/>
      <c r="V35" s="217"/>
      <c r="W35" s="217"/>
      <c r="X35" s="217"/>
      <c r="Y35" s="217"/>
      <c r="Z35" s="217"/>
      <c r="AA35" s="217"/>
      <c r="AB35" s="217"/>
      <c r="AC35" s="217"/>
      <c r="AD35" s="217"/>
      <c r="AE35" s="217"/>
      <c r="AF35" s="217"/>
      <c r="AG35" s="217"/>
      <c r="AH35" s="217"/>
      <c r="AI35" s="217"/>
      <c r="AJ35" s="217"/>
      <c r="AK35" s="217"/>
      <c r="AL35" s="217"/>
    </row>
    <row r="36" spans="1:38" x14ac:dyDescent="0.2">
      <c r="A36" s="217"/>
      <c r="B36" s="217"/>
      <c r="C36" s="217"/>
      <c r="D36" s="217"/>
      <c r="E36" s="217"/>
      <c r="F36" s="217"/>
      <c r="G36" s="217"/>
      <c r="H36" s="217"/>
      <c r="I36" s="217"/>
      <c r="J36" s="217"/>
      <c r="K36" s="217"/>
      <c r="L36" s="217"/>
      <c r="M36" s="217"/>
      <c r="N36" s="217"/>
      <c r="O36" s="217"/>
      <c r="P36" s="217"/>
      <c r="Q36" s="217"/>
      <c r="R36" s="217"/>
      <c r="S36" s="217"/>
      <c r="T36" s="217"/>
      <c r="U36" s="217"/>
      <c r="V36" s="217"/>
      <c r="W36" s="217"/>
      <c r="X36" s="217"/>
      <c r="Y36" s="217"/>
      <c r="Z36" s="217"/>
      <c r="AA36" s="217"/>
      <c r="AB36" s="217"/>
      <c r="AC36" s="217"/>
      <c r="AD36" s="217"/>
      <c r="AE36" s="217"/>
      <c r="AF36" s="217"/>
      <c r="AG36" s="217"/>
      <c r="AH36" s="217"/>
      <c r="AI36" s="217"/>
      <c r="AJ36" s="217"/>
      <c r="AK36" s="217"/>
      <c r="AL36" s="217"/>
    </row>
    <row r="44" spans="1:38" x14ac:dyDescent="0.2">
      <c r="A44" s="240"/>
      <c r="B44" s="240"/>
      <c r="C44" s="240"/>
      <c r="D44" s="240"/>
      <c r="E44" s="240"/>
      <c r="F44" s="240"/>
      <c r="G44" s="240"/>
      <c r="H44" s="240"/>
      <c r="I44" s="240"/>
      <c r="J44" s="240"/>
      <c r="K44" s="240"/>
      <c r="L44" s="240"/>
      <c r="M44" s="240"/>
      <c r="N44" s="240"/>
      <c r="O44" s="240"/>
      <c r="P44" s="240"/>
    </row>
    <row r="45" spans="1:38" x14ac:dyDescent="0.2">
      <c r="A45" s="240"/>
      <c r="B45" s="240"/>
      <c r="C45" s="240"/>
      <c r="D45" s="240"/>
      <c r="E45" s="240"/>
      <c r="F45" s="240"/>
      <c r="G45" s="240"/>
      <c r="H45" s="240"/>
      <c r="I45" s="240"/>
      <c r="J45" s="240"/>
      <c r="K45" s="240"/>
      <c r="L45" s="240"/>
      <c r="M45" s="240"/>
      <c r="N45" s="240"/>
      <c r="O45" s="240"/>
      <c r="P45" s="240"/>
    </row>
    <row r="46" spans="1:38" x14ac:dyDescent="0.2">
      <c r="A46" s="266"/>
      <c r="B46" s="266"/>
      <c r="C46" s="266"/>
      <c r="D46" s="266"/>
      <c r="E46" s="266"/>
      <c r="F46" s="266"/>
      <c r="G46" s="266"/>
      <c r="H46" s="266"/>
      <c r="I46" s="266"/>
      <c r="J46" s="266"/>
      <c r="K46" s="266"/>
      <c r="L46" s="266"/>
      <c r="M46" s="266"/>
      <c r="N46" s="266"/>
      <c r="O46" s="266"/>
      <c r="P46" s="266"/>
      <c r="R46" s="269">
        <f>IF(Data!B1653="",Data!B34,Data!B1653)</f>
        <v>0</v>
      </c>
      <c r="S46" s="267"/>
      <c r="T46" s="267"/>
      <c r="U46" s="267"/>
      <c r="V46" s="267"/>
      <c r="W46" s="267"/>
      <c r="X46" s="267"/>
      <c r="Y46" s="267"/>
    </row>
    <row r="47" spans="1:38" x14ac:dyDescent="0.2">
      <c r="A47" t="s">
        <v>367</v>
      </c>
      <c r="R47" t="s">
        <v>368</v>
      </c>
    </row>
    <row r="48" spans="1:38" x14ac:dyDescent="0.2">
      <c r="A48" s="240"/>
      <c r="B48" s="240"/>
      <c r="C48" s="240"/>
      <c r="D48" s="240"/>
      <c r="E48" s="240"/>
      <c r="F48" s="240"/>
      <c r="G48" s="240"/>
      <c r="H48" s="240"/>
      <c r="I48" s="240"/>
      <c r="J48" s="240"/>
      <c r="K48" s="240"/>
      <c r="L48" s="240"/>
      <c r="M48" s="240"/>
      <c r="N48" s="240"/>
      <c r="O48" s="240"/>
      <c r="P48" s="240"/>
    </row>
    <row r="49" spans="1:31" x14ac:dyDescent="0.2">
      <c r="A49" s="240"/>
      <c r="B49" s="240"/>
      <c r="C49" s="240"/>
      <c r="D49" s="240"/>
      <c r="E49" s="240"/>
      <c r="F49" s="240"/>
      <c r="G49" s="240"/>
      <c r="H49" s="240"/>
      <c r="I49" s="240"/>
      <c r="J49" s="240"/>
      <c r="K49" s="240"/>
      <c r="L49" s="240"/>
      <c r="M49" s="240"/>
      <c r="N49" s="240"/>
      <c r="O49" s="240"/>
      <c r="P49" s="240"/>
    </row>
    <row r="50" spans="1:31" x14ac:dyDescent="0.2">
      <c r="A50" s="266"/>
      <c r="B50" s="266"/>
      <c r="C50" s="266"/>
      <c r="D50" s="266"/>
      <c r="E50" s="266"/>
      <c r="F50" s="266"/>
      <c r="G50" s="266"/>
      <c r="H50" s="266"/>
      <c r="I50" s="266"/>
      <c r="J50" s="266"/>
      <c r="K50" s="266"/>
      <c r="L50" s="266"/>
      <c r="M50" s="266"/>
      <c r="N50" s="266"/>
      <c r="O50" s="266"/>
      <c r="P50" s="266"/>
      <c r="R50" s="267">
        <f>IF(Data!B1658="",Data!B175,Data!B1658)</f>
        <v>0</v>
      </c>
      <c r="S50" s="267"/>
      <c r="T50" s="267"/>
      <c r="U50" s="267"/>
      <c r="V50" s="267"/>
      <c r="W50" s="267"/>
      <c r="X50" s="267"/>
      <c r="Y50" s="267"/>
      <c r="Z50" s="267"/>
      <c r="AA50" s="267"/>
      <c r="AB50" s="267"/>
      <c r="AC50" s="267"/>
      <c r="AD50" s="267"/>
      <c r="AE50" s="267"/>
    </row>
    <row r="51" spans="1:31" x14ac:dyDescent="0.2">
      <c r="A51" t="s">
        <v>2881</v>
      </c>
      <c r="R51" t="s">
        <v>369</v>
      </c>
    </row>
  </sheetData>
  <mergeCells count="44">
    <mergeCell ref="A1:AL1"/>
    <mergeCell ref="P29:AC29"/>
    <mergeCell ref="A33:AL36"/>
    <mergeCell ref="E2:W2"/>
    <mergeCell ref="AA2:AH2"/>
    <mergeCell ref="A4:AL6"/>
    <mergeCell ref="A14:K14"/>
    <mergeCell ref="L14:R14"/>
    <mergeCell ref="S14:W14"/>
    <mergeCell ref="X14:AL14"/>
    <mergeCell ref="A9:AK12"/>
    <mergeCell ref="L16:R16"/>
    <mergeCell ref="S16:W16"/>
    <mergeCell ref="A18:K18"/>
    <mergeCell ref="A19:K19"/>
    <mergeCell ref="X17:AL17"/>
    <mergeCell ref="X18:AL18"/>
    <mergeCell ref="S15:W15"/>
    <mergeCell ref="A16:K16"/>
    <mergeCell ref="L19:R19"/>
    <mergeCell ref="S19:W19"/>
    <mergeCell ref="X15:AL15"/>
    <mergeCell ref="X16:AL16"/>
    <mergeCell ref="A17:K17"/>
    <mergeCell ref="L17:R17"/>
    <mergeCell ref="S17:W17"/>
    <mergeCell ref="A15:K15"/>
    <mergeCell ref="L15:R15"/>
    <mergeCell ref="L18:R18"/>
    <mergeCell ref="X19:AL19"/>
    <mergeCell ref="S18:W18"/>
    <mergeCell ref="A48:P50"/>
    <mergeCell ref="R50:AE50"/>
    <mergeCell ref="A20:K20"/>
    <mergeCell ref="L20:R20"/>
    <mergeCell ref="S20:W20"/>
    <mergeCell ref="X20:AL20"/>
    <mergeCell ref="A27:D27"/>
    <mergeCell ref="A28:D28"/>
    <mergeCell ref="A29:D29"/>
    <mergeCell ref="G26:AL26"/>
    <mergeCell ref="A23:AK24"/>
    <mergeCell ref="A44:P46"/>
    <mergeCell ref="R46:Y46"/>
  </mergeCells>
  <pageMargins left="0.25" right="0.25" top="0.75" bottom="0.75" header="0.3" footer="0.3"/>
  <pageSetup orientation="portrait" r:id="rId1"/>
  <headerFooter>
    <oddHeader>&amp;L&amp;G&amp;RVitals Waiver
Consent to Photograph</oddHeader>
    <oddFooter>&amp;LDS&amp;C3088 Mercer University Drive Suite 100 Atlanta, GA 30341
678-310-6305 Fax 404-935-6110&amp;RPP.M</oddFooter>
  </headerFooter>
  <legacyDrawingHF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3">
    <tabColor theme="4" tint="-0.249977111117893"/>
  </sheetPr>
  <dimension ref="A1:AM48"/>
  <sheetViews>
    <sheetView showZeros="0" view="pageLayout" topLeftCell="A25" zoomScaleNormal="100" workbookViewId="0">
      <selection activeCell="R43" sqref="R43:Y43"/>
    </sheetView>
  </sheetViews>
  <sheetFormatPr defaultColWidth="2.7109375" defaultRowHeight="12.75" x14ac:dyDescent="0.2"/>
  <sheetData>
    <row r="1" spans="1:39" x14ac:dyDescent="0.2">
      <c r="A1" t="s">
        <v>336</v>
      </c>
      <c r="E1" s="233" t="str">
        <f>_xlfn.CONCAT(Data!B2,", ",Data!B3," ",Data!B4)</f>
        <v xml:space="preserve">,  </v>
      </c>
      <c r="F1" s="233"/>
      <c r="G1" s="233"/>
      <c r="H1" s="233"/>
      <c r="I1" s="233"/>
      <c r="J1" s="233"/>
      <c r="K1" s="233"/>
      <c r="L1" s="233"/>
      <c r="M1" s="233"/>
      <c r="N1" s="233"/>
      <c r="O1" s="233"/>
      <c r="P1" s="233"/>
      <c r="Q1" s="233"/>
      <c r="R1" s="233"/>
      <c r="S1" s="233"/>
      <c r="W1" t="s">
        <v>371</v>
      </c>
      <c r="Y1" s="218">
        <f>Data!B14</f>
        <v>0</v>
      </c>
      <c r="Z1" s="219"/>
      <c r="AA1" s="219"/>
      <c r="AB1" s="219"/>
      <c r="AC1" s="219"/>
      <c r="AD1" s="219"/>
    </row>
    <row r="3" spans="1:39" ht="12.75" customHeight="1" x14ac:dyDescent="0.2">
      <c r="A3" s="217" t="s">
        <v>1002</v>
      </c>
      <c r="B3" s="217"/>
      <c r="C3" s="217"/>
      <c r="D3" s="217"/>
      <c r="E3" s="217"/>
      <c r="F3" s="217"/>
      <c r="G3" s="217"/>
      <c r="H3" s="217"/>
      <c r="I3" s="217"/>
      <c r="J3" s="217"/>
      <c r="K3" s="217"/>
      <c r="L3" s="217"/>
      <c r="M3" s="217"/>
      <c r="N3" s="217"/>
      <c r="O3" s="217"/>
      <c r="P3" s="217"/>
      <c r="Q3" s="217"/>
      <c r="R3" s="217"/>
      <c r="S3" s="217"/>
      <c r="T3" s="217"/>
      <c r="U3" s="217"/>
      <c r="V3" s="217"/>
      <c r="W3" s="217"/>
      <c r="X3" s="217"/>
      <c r="Y3" s="217"/>
      <c r="Z3" s="217"/>
      <c r="AA3" s="217"/>
      <c r="AB3" s="217"/>
      <c r="AC3" s="217"/>
      <c r="AD3" s="217"/>
      <c r="AE3" s="217"/>
      <c r="AF3" s="217"/>
      <c r="AG3" s="217"/>
      <c r="AH3" s="217"/>
      <c r="AI3" s="217"/>
      <c r="AJ3" s="217"/>
      <c r="AK3" s="217"/>
      <c r="AL3" s="5"/>
      <c r="AM3" s="5"/>
    </row>
    <row r="4" spans="1:39" x14ac:dyDescent="0.2">
      <c r="A4" s="217"/>
      <c r="B4" s="217"/>
      <c r="C4" s="217"/>
      <c r="D4" s="217"/>
      <c r="E4" s="217"/>
      <c r="F4" s="217"/>
      <c r="G4" s="217"/>
      <c r="H4" s="217"/>
      <c r="I4" s="217"/>
      <c r="J4" s="217"/>
      <c r="K4" s="217"/>
      <c r="L4" s="217"/>
      <c r="M4" s="217"/>
      <c r="N4" s="217"/>
      <c r="O4" s="217"/>
      <c r="P4" s="217"/>
      <c r="Q4" s="217"/>
      <c r="R4" s="217"/>
      <c r="S4" s="217"/>
      <c r="T4" s="217"/>
      <c r="U4" s="217"/>
      <c r="V4" s="217"/>
      <c r="W4" s="217"/>
      <c r="X4" s="217"/>
      <c r="Y4" s="217"/>
      <c r="Z4" s="217"/>
      <c r="AA4" s="217"/>
      <c r="AB4" s="217"/>
      <c r="AC4" s="217"/>
      <c r="AD4" s="217"/>
      <c r="AE4" s="217"/>
      <c r="AF4" s="217"/>
      <c r="AG4" s="217"/>
      <c r="AH4" s="217"/>
      <c r="AI4" s="217"/>
      <c r="AJ4" s="217"/>
      <c r="AK4" s="217"/>
      <c r="AL4" s="5"/>
      <c r="AM4" s="5"/>
    </row>
    <row r="5" spans="1:39" x14ac:dyDescent="0.2">
      <c r="A5" s="217"/>
      <c r="B5" s="217"/>
      <c r="C5" s="217"/>
      <c r="D5" s="217"/>
      <c r="E5" s="217"/>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c r="AE5" s="217"/>
      <c r="AF5" s="217"/>
      <c r="AG5" s="217"/>
      <c r="AH5" s="217"/>
      <c r="AI5" s="217"/>
      <c r="AJ5" s="217"/>
      <c r="AK5" s="217"/>
      <c r="AL5" s="5"/>
      <c r="AM5" s="5"/>
    </row>
    <row r="6" spans="1:39" ht="14.25" x14ac:dyDescent="0.2">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row>
    <row r="7" spans="1:39" ht="12.75" customHeight="1" x14ac:dyDescent="0.2">
      <c r="A7" s="217" t="s">
        <v>1003</v>
      </c>
      <c r="B7" s="217"/>
      <c r="C7" s="217"/>
      <c r="D7" s="217"/>
      <c r="E7" s="217"/>
      <c r="F7" s="217"/>
      <c r="G7" s="217"/>
      <c r="H7" s="217"/>
      <c r="I7" s="217"/>
      <c r="J7" s="217"/>
      <c r="K7" s="217"/>
      <c r="L7" s="217"/>
      <c r="M7" s="217"/>
      <c r="N7" s="217"/>
      <c r="O7" s="217"/>
      <c r="P7" s="217"/>
      <c r="Q7" s="217"/>
      <c r="R7" s="217"/>
      <c r="S7" s="217"/>
      <c r="T7" s="217"/>
      <c r="U7" s="217"/>
      <c r="V7" s="217"/>
      <c r="W7" s="217"/>
      <c r="X7" s="217"/>
      <c r="Y7" s="217"/>
      <c r="Z7" s="217"/>
      <c r="AA7" s="217"/>
      <c r="AB7" s="217"/>
      <c r="AC7" s="217"/>
      <c r="AD7" s="217"/>
      <c r="AE7" s="217"/>
      <c r="AF7" s="217"/>
      <c r="AG7" s="217"/>
      <c r="AH7" s="217"/>
      <c r="AI7" s="217"/>
      <c r="AJ7" s="217"/>
      <c r="AK7" s="217"/>
      <c r="AL7" s="5"/>
      <c r="AM7" s="5"/>
    </row>
    <row r="8" spans="1:39" x14ac:dyDescent="0.2">
      <c r="A8" s="217"/>
      <c r="B8" s="217"/>
      <c r="C8" s="217"/>
      <c r="D8" s="217"/>
      <c r="E8" s="217"/>
      <c r="F8" s="217"/>
      <c r="G8" s="217"/>
      <c r="H8" s="217"/>
      <c r="I8" s="217"/>
      <c r="J8" s="217"/>
      <c r="K8" s="217"/>
      <c r="L8" s="217"/>
      <c r="M8" s="217"/>
      <c r="N8" s="217"/>
      <c r="O8" s="217"/>
      <c r="P8" s="217"/>
      <c r="Q8" s="217"/>
      <c r="R8" s="217"/>
      <c r="S8" s="217"/>
      <c r="T8" s="217"/>
      <c r="U8" s="217"/>
      <c r="V8" s="217"/>
      <c r="W8" s="217"/>
      <c r="X8" s="217"/>
      <c r="Y8" s="217"/>
      <c r="Z8" s="217"/>
      <c r="AA8" s="217"/>
      <c r="AB8" s="217"/>
      <c r="AC8" s="217"/>
      <c r="AD8" s="217"/>
      <c r="AE8" s="217"/>
      <c r="AF8" s="217"/>
      <c r="AG8" s="217"/>
      <c r="AH8" s="217"/>
      <c r="AI8" s="217"/>
      <c r="AJ8" s="217"/>
      <c r="AK8" s="217"/>
      <c r="AL8" s="5"/>
      <c r="AM8" s="5"/>
    </row>
    <row r="9" spans="1:39" x14ac:dyDescent="0.2">
      <c r="A9" s="217"/>
      <c r="B9" s="217"/>
      <c r="C9" s="217"/>
      <c r="D9" s="217"/>
      <c r="E9" s="217"/>
      <c r="F9" s="217"/>
      <c r="G9" s="217"/>
      <c r="H9" s="217"/>
      <c r="I9" s="217"/>
      <c r="J9" s="217"/>
      <c r="K9" s="217"/>
      <c r="L9" s="217"/>
      <c r="M9" s="217"/>
      <c r="N9" s="217"/>
      <c r="O9" s="217"/>
      <c r="P9" s="217"/>
      <c r="Q9" s="217"/>
      <c r="R9" s="217"/>
      <c r="S9" s="217"/>
      <c r="T9" s="217"/>
      <c r="U9" s="217"/>
      <c r="V9" s="217"/>
      <c r="W9" s="217"/>
      <c r="X9" s="217"/>
      <c r="Y9" s="217"/>
      <c r="Z9" s="217"/>
      <c r="AA9" s="217"/>
      <c r="AB9" s="217"/>
      <c r="AC9" s="217"/>
      <c r="AD9" s="217"/>
      <c r="AE9" s="217"/>
      <c r="AF9" s="217"/>
      <c r="AG9" s="217"/>
      <c r="AH9" s="217"/>
      <c r="AI9" s="217"/>
      <c r="AJ9" s="217"/>
      <c r="AK9" s="217"/>
      <c r="AL9" s="5"/>
      <c r="AM9" s="5"/>
    </row>
    <row r="10" spans="1:39" x14ac:dyDescent="0.2">
      <c r="A10" s="217"/>
      <c r="B10" s="217"/>
      <c r="C10" s="217"/>
      <c r="D10" s="217"/>
      <c r="E10" s="217"/>
      <c r="F10" s="217"/>
      <c r="G10" s="217"/>
      <c r="H10" s="217"/>
      <c r="I10" s="217"/>
      <c r="J10" s="217"/>
      <c r="K10" s="217"/>
      <c r="L10" s="217"/>
      <c r="M10" s="217"/>
      <c r="N10" s="217"/>
      <c r="O10" s="217"/>
      <c r="P10" s="217"/>
      <c r="Q10" s="217"/>
      <c r="R10" s="217"/>
      <c r="S10" s="217"/>
      <c r="T10" s="217"/>
      <c r="U10" s="217"/>
      <c r="V10" s="217"/>
      <c r="W10" s="217"/>
      <c r="X10" s="217"/>
      <c r="Y10" s="217"/>
      <c r="Z10" s="217"/>
      <c r="AA10" s="217"/>
      <c r="AB10" s="217"/>
      <c r="AC10" s="217"/>
      <c r="AD10" s="217"/>
      <c r="AE10" s="217"/>
      <c r="AF10" s="217"/>
      <c r="AG10" s="217"/>
      <c r="AH10" s="217"/>
      <c r="AI10" s="217"/>
      <c r="AJ10" s="217"/>
      <c r="AK10" s="217"/>
      <c r="AL10" s="5"/>
      <c r="AM10" s="5"/>
    </row>
    <row r="11" spans="1:39" ht="14.25" x14ac:dyDescent="0.2">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row>
    <row r="12" spans="1:39" ht="12.75" customHeight="1" x14ac:dyDescent="0.2">
      <c r="A12" s="217" t="s">
        <v>1004</v>
      </c>
      <c r="B12" s="217"/>
      <c r="C12" s="217"/>
      <c r="D12" s="217"/>
      <c r="E12" s="217"/>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5"/>
      <c r="AM12" s="5"/>
    </row>
    <row r="13" spans="1:39" x14ac:dyDescent="0.2">
      <c r="A13" s="217"/>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5"/>
      <c r="AM13" s="5"/>
    </row>
    <row r="14" spans="1:39" ht="14.25" x14ac:dyDescent="0.2">
      <c r="A14" s="12"/>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row>
    <row r="15" spans="1:39" ht="12.75" customHeight="1" x14ac:dyDescent="0.2">
      <c r="A15" s="217" t="s">
        <v>1005</v>
      </c>
      <c r="B15" s="217"/>
      <c r="C15" s="217"/>
      <c r="D15" s="217"/>
      <c r="E15" s="217"/>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c r="AE15" s="217"/>
      <c r="AF15" s="217"/>
      <c r="AG15" s="217"/>
      <c r="AH15" s="217"/>
      <c r="AI15" s="217"/>
      <c r="AJ15" s="217"/>
      <c r="AK15" s="217"/>
      <c r="AL15" s="5"/>
      <c r="AM15" s="5"/>
    </row>
    <row r="16" spans="1:39" x14ac:dyDescent="0.2">
      <c r="A16" s="217"/>
      <c r="B16" s="217"/>
      <c r="C16" s="217"/>
      <c r="D16" s="217"/>
      <c r="E16" s="217"/>
      <c r="F16" s="217"/>
      <c r="G16" s="217"/>
      <c r="H16" s="217"/>
      <c r="I16" s="217"/>
      <c r="J16" s="217"/>
      <c r="K16" s="217"/>
      <c r="L16" s="217"/>
      <c r="M16" s="217"/>
      <c r="N16" s="217"/>
      <c r="O16" s="217"/>
      <c r="P16" s="217"/>
      <c r="Q16" s="217"/>
      <c r="R16" s="217"/>
      <c r="S16" s="217"/>
      <c r="T16" s="217"/>
      <c r="U16" s="217"/>
      <c r="V16" s="217"/>
      <c r="W16" s="217"/>
      <c r="X16" s="217"/>
      <c r="Y16" s="217"/>
      <c r="Z16" s="217"/>
      <c r="AA16" s="217"/>
      <c r="AB16" s="217"/>
      <c r="AC16" s="217"/>
      <c r="AD16" s="217"/>
      <c r="AE16" s="217"/>
      <c r="AF16" s="217"/>
      <c r="AG16" s="217"/>
      <c r="AH16" s="217"/>
      <c r="AI16" s="217"/>
      <c r="AJ16" s="217"/>
      <c r="AK16" s="217"/>
      <c r="AL16" s="5"/>
      <c r="AM16" s="5"/>
    </row>
    <row r="17" spans="1:39" x14ac:dyDescent="0.2">
      <c r="A17" s="217"/>
      <c r="B17" s="217"/>
      <c r="C17" s="217"/>
      <c r="D17" s="217"/>
      <c r="E17" s="217"/>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c r="AE17" s="217"/>
      <c r="AF17" s="217"/>
      <c r="AG17" s="217"/>
      <c r="AH17" s="217"/>
      <c r="AI17" s="217"/>
      <c r="AJ17" s="217"/>
      <c r="AK17" s="217"/>
      <c r="AL17" s="5"/>
      <c r="AM17" s="5"/>
    </row>
    <row r="18" spans="1:39" ht="14.25" x14ac:dyDescent="0.2">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row>
    <row r="19" spans="1:39" ht="12.75" customHeight="1" x14ac:dyDescent="0.2">
      <c r="A19" s="217" t="s">
        <v>1006</v>
      </c>
      <c r="B19" s="217"/>
      <c r="C19" s="217"/>
      <c r="D19" s="217"/>
      <c r="E19" s="217"/>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7"/>
      <c r="AI19" s="217"/>
      <c r="AJ19" s="217"/>
      <c r="AK19" s="217"/>
      <c r="AL19" s="5"/>
      <c r="AM19" s="5"/>
    </row>
    <row r="20" spans="1:39" x14ac:dyDescent="0.2">
      <c r="A20" s="217"/>
      <c r="B20" s="217"/>
      <c r="C20" s="217"/>
      <c r="D20" s="217"/>
      <c r="E20" s="217"/>
      <c r="F20" s="217"/>
      <c r="G20" s="217"/>
      <c r="H20" s="217"/>
      <c r="I20" s="217"/>
      <c r="J20" s="217"/>
      <c r="K20" s="217"/>
      <c r="L20" s="217"/>
      <c r="M20" s="217"/>
      <c r="N20" s="217"/>
      <c r="O20" s="217"/>
      <c r="P20" s="217"/>
      <c r="Q20" s="217"/>
      <c r="R20" s="217"/>
      <c r="S20" s="217"/>
      <c r="T20" s="217"/>
      <c r="U20" s="217"/>
      <c r="V20" s="217"/>
      <c r="W20" s="217"/>
      <c r="X20" s="217"/>
      <c r="Y20" s="217"/>
      <c r="Z20" s="217"/>
      <c r="AA20" s="217"/>
      <c r="AB20" s="217"/>
      <c r="AC20" s="217"/>
      <c r="AD20" s="217"/>
      <c r="AE20" s="217"/>
      <c r="AF20" s="217"/>
      <c r="AG20" s="217"/>
      <c r="AH20" s="217"/>
      <c r="AI20" s="217"/>
      <c r="AJ20" s="217"/>
      <c r="AK20" s="217"/>
      <c r="AL20" s="5"/>
      <c r="AM20" s="5"/>
    </row>
    <row r="21" spans="1:39" x14ac:dyDescent="0.2">
      <c r="A21" s="217"/>
      <c r="B21" s="217"/>
      <c r="C21" s="217"/>
      <c r="D21" s="217"/>
      <c r="E21" s="217"/>
      <c r="F21" s="217"/>
      <c r="G21" s="217"/>
      <c r="H21" s="217"/>
      <c r="I21" s="217"/>
      <c r="J21" s="217"/>
      <c r="K21" s="217"/>
      <c r="L21" s="217"/>
      <c r="M21" s="217"/>
      <c r="N21" s="217"/>
      <c r="O21" s="217"/>
      <c r="P21" s="217"/>
      <c r="Q21" s="217"/>
      <c r="R21" s="217"/>
      <c r="S21" s="217"/>
      <c r="T21" s="217"/>
      <c r="U21" s="217"/>
      <c r="V21" s="217"/>
      <c r="W21" s="217"/>
      <c r="X21" s="217"/>
      <c r="Y21" s="217"/>
      <c r="Z21" s="217"/>
      <c r="AA21" s="217"/>
      <c r="AB21" s="217"/>
      <c r="AC21" s="217"/>
      <c r="AD21" s="217"/>
      <c r="AE21" s="217"/>
      <c r="AF21" s="217"/>
      <c r="AG21" s="217"/>
      <c r="AH21" s="217"/>
      <c r="AI21" s="217"/>
      <c r="AJ21" s="217"/>
      <c r="AK21" s="217"/>
      <c r="AL21" s="5"/>
      <c r="AM21" s="5"/>
    </row>
    <row r="22" spans="1:39" ht="14.25" x14ac:dyDescent="0.2">
      <c r="A22" s="217"/>
      <c r="B22" s="217"/>
      <c r="C22" s="217"/>
      <c r="D22" s="217"/>
      <c r="E22" s="217"/>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c r="AE22" s="217"/>
      <c r="AF22" s="217"/>
      <c r="AG22" s="217"/>
      <c r="AH22" s="217"/>
      <c r="AI22" s="217"/>
      <c r="AJ22" s="217"/>
      <c r="AK22" s="217"/>
      <c r="AL22" s="12"/>
      <c r="AM22" s="12"/>
    </row>
    <row r="23" spans="1:39" ht="14.25" x14ac:dyDescent="0.2">
      <c r="A23" s="12" t="s">
        <v>583</v>
      </c>
      <c r="B23" s="12"/>
      <c r="C23" s="12"/>
      <c r="D23" s="12"/>
      <c r="E23" s="12"/>
      <c r="F23" s="12"/>
      <c r="G23" s="462">
        <f>Data!B185</f>
        <v>0</v>
      </c>
      <c r="H23" s="462"/>
      <c r="I23" s="462"/>
      <c r="J23" s="462"/>
      <c r="K23" s="462"/>
      <c r="L23" s="462"/>
      <c r="M23" s="462"/>
      <c r="N23" s="462"/>
      <c r="O23" s="462"/>
      <c r="P23" s="462"/>
      <c r="Q23" s="12"/>
      <c r="R23" s="12" t="s">
        <v>1007</v>
      </c>
      <c r="S23" s="12"/>
      <c r="T23" s="12"/>
      <c r="U23" s="42"/>
      <c r="V23" s="461">
        <f>Data!B21</f>
        <v>0</v>
      </c>
      <c r="W23" s="461"/>
      <c r="X23" s="461"/>
      <c r="Y23" s="461"/>
      <c r="Z23" s="461"/>
      <c r="AA23" s="461"/>
      <c r="AB23" s="461"/>
      <c r="AC23" s="461"/>
      <c r="AD23" s="461"/>
      <c r="AE23" s="461"/>
      <c r="AF23" s="461"/>
      <c r="AG23" s="27"/>
      <c r="AH23" s="12"/>
      <c r="AI23" s="12"/>
      <c r="AJ23" s="12"/>
      <c r="AK23" s="12"/>
      <c r="AL23" s="12"/>
      <c r="AM23" s="12"/>
    </row>
    <row r="24" spans="1:39" ht="14.25" x14ac:dyDescent="0.2">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row>
    <row r="25" spans="1:39" ht="14.25" customHeight="1" x14ac:dyDescent="0.2">
      <c r="A25" s="101">
        <f>Data!B1020</f>
        <v>0</v>
      </c>
      <c r="B25" s="101"/>
      <c r="C25" s="101"/>
      <c r="D25" s="101"/>
      <c r="E25" s="101"/>
      <c r="F25" s="260" t="s">
        <v>1008</v>
      </c>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c r="AE25" s="260"/>
      <c r="AF25" s="260"/>
      <c r="AG25" s="260"/>
      <c r="AH25" s="260"/>
      <c r="AI25" s="260"/>
      <c r="AJ25" s="260"/>
      <c r="AK25" s="260"/>
      <c r="AL25" s="260"/>
      <c r="AM25" s="14"/>
    </row>
    <row r="26" spans="1:39" ht="14.25" x14ac:dyDescent="0.2">
      <c r="A26" s="12"/>
      <c r="B26" s="12"/>
      <c r="C26" s="12"/>
      <c r="D26" s="12"/>
      <c r="E26" s="12"/>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c r="AE26" s="260"/>
      <c r="AF26" s="260"/>
      <c r="AG26" s="260"/>
      <c r="AH26" s="260"/>
      <c r="AI26" s="260"/>
      <c r="AJ26" s="260"/>
      <c r="AK26" s="260"/>
      <c r="AL26" s="260"/>
      <c r="AM26" s="14"/>
    </row>
    <row r="27" spans="1:39" ht="14.25" x14ac:dyDescent="0.2">
      <c r="A27" s="12"/>
      <c r="B27" s="12"/>
      <c r="C27" s="12"/>
      <c r="D27" s="12"/>
      <c r="E27" s="12"/>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14"/>
    </row>
    <row r="28" spans="1:39" ht="14.25" x14ac:dyDescent="0.2">
      <c r="A28" s="12"/>
      <c r="B28" s="12"/>
      <c r="C28" s="12"/>
      <c r="D28" s="12"/>
      <c r="E28" s="12"/>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c r="AE28" s="260"/>
      <c r="AF28" s="260"/>
      <c r="AG28" s="260"/>
      <c r="AH28" s="260"/>
      <c r="AI28" s="260"/>
      <c r="AJ28" s="260"/>
      <c r="AK28" s="260"/>
      <c r="AL28" s="260"/>
      <c r="AM28" s="14"/>
    </row>
    <row r="29" spans="1:39" ht="14.25" x14ac:dyDescent="0.2">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row>
    <row r="30" spans="1:39" ht="12.75" customHeight="1" x14ac:dyDescent="0.2">
      <c r="A30" s="260" t="s">
        <v>1009</v>
      </c>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c r="AE30" s="260"/>
      <c r="AF30" s="260"/>
      <c r="AG30" s="260"/>
      <c r="AH30" s="260"/>
      <c r="AI30" s="260"/>
      <c r="AJ30" s="260"/>
      <c r="AK30" s="260"/>
      <c r="AL30" s="14"/>
      <c r="AM30" s="14"/>
    </row>
    <row r="31" spans="1:39" x14ac:dyDescent="0.2">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c r="AE31" s="260"/>
      <c r="AF31" s="260"/>
      <c r="AG31" s="260"/>
      <c r="AH31" s="260"/>
      <c r="AI31" s="260"/>
      <c r="AJ31" s="260"/>
      <c r="AK31" s="260"/>
      <c r="AL31" s="14"/>
      <c r="AM31" s="14"/>
    </row>
    <row r="32" spans="1:39" x14ac:dyDescent="0.2">
      <c r="A32" s="14"/>
      <c r="B32" s="14"/>
      <c r="C32" s="14"/>
      <c r="D32" s="14"/>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row>
    <row r="33" spans="1:39" ht="12.75" customHeight="1" x14ac:dyDescent="0.2">
      <c r="A33" s="460" t="s">
        <v>608</v>
      </c>
      <c r="B33" s="460"/>
      <c r="C33" s="460"/>
      <c r="D33" s="460"/>
      <c r="E33" s="460"/>
      <c r="F33" s="460"/>
      <c r="G33" s="460"/>
      <c r="H33" s="460"/>
      <c r="I33" s="460"/>
      <c r="J33" s="460"/>
      <c r="K33" s="460"/>
      <c r="L33" s="460"/>
      <c r="M33" s="460"/>
      <c r="N33" s="460"/>
      <c r="O33" s="460"/>
      <c r="P33" s="460"/>
      <c r="Q33" s="460"/>
      <c r="R33" s="460"/>
      <c r="S33" s="460"/>
      <c r="T33" s="460"/>
      <c r="U33" s="460"/>
      <c r="V33" s="460"/>
      <c r="W33" s="460"/>
      <c r="X33" s="460"/>
      <c r="Y33" s="460"/>
      <c r="Z33" s="460"/>
      <c r="AA33" s="460"/>
      <c r="AB33" s="460"/>
      <c r="AC33" s="460"/>
      <c r="AD33" s="460"/>
      <c r="AE33" s="460"/>
      <c r="AF33" s="460"/>
      <c r="AG33" s="460"/>
      <c r="AH33" s="460"/>
      <c r="AI33" s="460"/>
      <c r="AJ33" s="460"/>
      <c r="AK33" s="460"/>
      <c r="AL33" s="29"/>
      <c r="AM33" s="29"/>
    </row>
    <row r="34" spans="1:39" x14ac:dyDescent="0.2">
      <c r="A34" s="460"/>
      <c r="B34" s="460"/>
      <c r="C34" s="460"/>
      <c r="D34" s="460"/>
      <c r="E34" s="460"/>
      <c r="F34" s="460"/>
      <c r="G34" s="460"/>
      <c r="H34" s="460"/>
      <c r="I34" s="460"/>
      <c r="J34" s="460"/>
      <c r="K34" s="460"/>
      <c r="L34" s="460"/>
      <c r="M34" s="460"/>
      <c r="N34" s="460"/>
      <c r="O34" s="460"/>
      <c r="P34" s="460"/>
      <c r="Q34" s="460"/>
      <c r="R34" s="460"/>
      <c r="S34" s="460"/>
      <c r="T34" s="460"/>
      <c r="U34" s="460"/>
      <c r="V34" s="460"/>
      <c r="W34" s="460"/>
      <c r="X34" s="460"/>
      <c r="Y34" s="460"/>
      <c r="Z34" s="460"/>
      <c r="AA34" s="460"/>
      <c r="AB34" s="460"/>
      <c r="AC34" s="460"/>
      <c r="AD34" s="460"/>
      <c r="AE34" s="460"/>
      <c r="AF34" s="460"/>
      <c r="AG34" s="460"/>
      <c r="AH34" s="460"/>
      <c r="AI34" s="460"/>
      <c r="AJ34" s="460"/>
      <c r="AK34" s="460"/>
      <c r="AL34" s="29"/>
      <c r="AM34" s="29"/>
    </row>
    <row r="41" spans="1:39" x14ac:dyDescent="0.2">
      <c r="A41" s="240"/>
      <c r="B41" s="240"/>
      <c r="C41" s="240"/>
      <c r="D41" s="240"/>
      <c r="E41" s="240"/>
      <c r="F41" s="240"/>
      <c r="G41" s="240"/>
      <c r="H41" s="240"/>
      <c r="I41" s="240"/>
      <c r="J41" s="240"/>
      <c r="K41" s="240"/>
      <c r="L41" s="240"/>
      <c r="M41" s="240"/>
      <c r="N41" s="240"/>
      <c r="O41" s="240"/>
      <c r="P41" s="240"/>
    </row>
    <row r="42" spans="1:39" x14ac:dyDescent="0.2">
      <c r="A42" s="240"/>
      <c r="B42" s="240"/>
      <c r="C42" s="240"/>
      <c r="D42" s="240"/>
      <c r="E42" s="240"/>
      <c r="F42" s="240"/>
      <c r="G42" s="240"/>
      <c r="H42" s="240"/>
      <c r="I42" s="240"/>
      <c r="J42" s="240"/>
      <c r="K42" s="240"/>
      <c r="L42" s="240"/>
      <c r="M42" s="240"/>
      <c r="N42" s="240"/>
      <c r="O42" s="240"/>
      <c r="P42" s="240"/>
    </row>
    <row r="43" spans="1:39" x14ac:dyDescent="0.2">
      <c r="A43" s="266"/>
      <c r="B43" s="266"/>
      <c r="C43" s="266"/>
      <c r="D43" s="266"/>
      <c r="E43" s="266"/>
      <c r="F43" s="266"/>
      <c r="G43" s="266"/>
      <c r="H43" s="266"/>
      <c r="I43" s="266"/>
      <c r="J43" s="266"/>
      <c r="K43" s="266"/>
      <c r="L43" s="266"/>
      <c r="M43" s="266"/>
      <c r="N43" s="266"/>
      <c r="O43" s="266"/>
      <c r="P43" s="266"/>
      <c r="R43" s="269">
        <f>Data!B34</f>
        <v>0</v>
      </c>
      <c r="S43" s="267"/>
      <c r="T43" s="267"/>
      <c r="U43" s="267"/>
      <c r="V43" s="267"/>
      <c r="W43" s="267"/>
      <c r="X43" s="267"/>
      <c r="Y43" s="267"/>
    </row>
    <row r="44" spans="1:39" x14ac:dyDescent="0.2">
      <c r="A44" t="s">
        <v>367</v>
      </c>
      <c r="R44" t="s">
        <v>368</v>
      </c>
    </row>
    <row r="45" spans="1:39" x14ac:dyDescent="0.2">
      <c r="A45" s="240"/>
      <c r="B45" s="240"/>
      <c r="C45" s="240"/>
      <c r="D45" s="240"/>
      <c r="E45" s="240"/>
      <c r="F45" s="240"/>
      <c r="G45" s="240"/>
      <c r="H45" s="240"/>
      <c r="I45" s="240"/>
      <c r="J45" s="240"/>
      <c r="K45" s="240"/>
      <c r="L45" s="240"/>
      <c r="M45" s="240"/>
      <c r="N45" s="240"/>
      <c r="O45" s="240"/>
      <c r="P45" s="240"/>
    </row>
    <row r="46" spans="1:39" x14ac:dyDescent="0.2">
      <c r="A46" s="240"/>
      <c r="B46" s="240"/>
      <c r="C46" s="240"/>
      <c r="D46" s="240"/>
      <c r="E46" s="240"/>
      <c r="F46" s="240"/>
      <c r="G46" s="240"/>
      <c r="H46" s="240"/>
      <c r="I46" s="240"/>
      <c r="J46" s="240"/>
      <c r="K46" s="240"/>
      <c r="L46" s="240"/>
      <c r="M46" s="240"/>
      <c r="N46" s="240"/>
      <c r="O46" s="240"/>
      <c r="P46" s="240"/>
    </row>
    <row r="47" spans="1:39" x14ac:dyDescent="0.2">
      <c r="A47" s="266"/>
      <c r="B47" s="266"/>
      <c r="C47" s="266"/>
      <c r="D47" s="266"/>
      <c r="E47" s="266"/>
      <c r="F47" s="266"/>
      <c r="G47" s="266"/>
      <c r="H47" s="266"/>
      <c r="I47" s="266"/>
      <c r="J47" s="266"/>
      <c r="K47" s="266"/>
      <c r="L47" s="266"/>
      <c r="M47" s="266"/>
      <c r="N47" s="266"/>
      <c r="O47" s="266"/>
      <c r="P47" s="266"/>
      <c r="R47" s="267">
        <f>Data!B175</f>
        <v>0</v>
      </c>
      <c r="S47" s="267"/>
      <c r="T47" s="267"/>
      <c r="U47" s="267"/>
      <c r="V47" s="267"/>
      <c r="W47" s="267"/>
      <c r="X47" s="267"/>
      <c r="Y47" s="267"/>
      <c r="Z47" s="267"/>
      <c r="AA47" s="267"/>
      <c r="AB47" s="267"/>
      <c r="AC47" s="267"/>
      <c r="AD47" s="267"/>
      <c r="AE47" s="267"/>
    </row>
    <row r="48" spans="1:39" x14ac:dyDescent="0.2">
      <c r="A48" t="s">
        <v>370</v>
      </c>
      <c r="R48" t="s">
        <v>369</v>
      </c>
    </row>
  </sheetData>
  <mergeCells count="16">
    <mergeCell ref="A45:P47"/>
    <mergeCell ref="R47:AE47"/>
    <mergeCell ref="A41:P43"/>
    <mergeCell ref="R43:Y43"/>
    <mergeCell ref="A19:AK22"/>
    <mergeCell ref="A30:AK31"/>
    <mergeCell ref="A33:AK34"/>
    <mergeCell ref="F25:AL28"/>
    <mergeCell ref="V23:AF23"/>
    <mergeCell ref="G23:P23"/>
    <mergeCell ref="A15:AK17"/>
    <mergeCell ref="E1:S1"/>
    <mergeCell ref="Y1:AD1"/>
    <mergeCell ref="A3:AK5"/>
    <mergeCell ref="A7:AK10"/>
    <mergeCell ref="A12:AK13"/>
  </mergeCells>
  <pageMargins left="0.25" right="0.25" top="0.75" bottom="0.75" header="0.3" footer="0.3"/>
  <pageSetup orientation="portrait" horizontalDpi="4294967293" verticalDpi="1200" r:id="rId1"/>
  <headerFooter>
    <oddHeader>&amp;L&amp;G&amp;RConsent  to Personal Support Services, Emergency Treatment,
Release of Information and Statement to Remit Payment</oddHeader>
    <oddFooter>&amp;LDS&amp;C3088 Mercer University Drive Suite 100 Atlanta, GA 30341
678-310-6305 Fax 404-935-6110&amp;RM</oddFooter>
  </headerFooter>
  <legacyDrawingHF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5">
    <tabColor rgb="FF7030A0"/>
  </sheetPr>
  <dimension ref="A2:AK49"/>
  <sheetViews>
    <sheetView showZeros="0" view="pageLayout" topLeftCell="A16" zoomScaleNormal="100" workbookViewId="0">
      <selection activeCell="AB4" sqref="AB4:AF4"/>
    </sheetView>
  </sheetViews>
  <sheetFormatPr defaultColWidth="2.7109375" defaultRowHeight="12.75" x14ac:dyDescent="0.2"/>
  <cols>
    <col min="2" max="2" width="4" bestFit="1" customWidth="1"/>
  </cols>
  <sheetData>
    <row r="2" spans="1:32" x14ac:dyDescent="0.2">
      <c r="A2" t="s">
        <v>336</v>
      </c>
      <c r="E2" s="233" t="str">
        <f>_xlfn.CONCAT(Data!B2,", ",Data!B3," ",Data!B4)</f>
        <v xml:space="preserve">,  </v>
      </c>
      <c r="F2" s="233"/>
      <c r="G2" s="233"/>
      <c r="H2" s="233"/>
      <c r="I2" s="233"/>
      <c r="J2" s="233"/>
      <c r="K2" s="233"/>
      <c r="L2" s="233"/>
      <c r="M2" s="233"/>
      <c r="N2" s="233"/>
      <c r="O2" s="233"/>
      <c r="P2" s="233"/>
      <c r="Q2" s="233"/>
      <c r="R2" s="233"/>
      <c r="S2" s="233"/>
      <c r="W2" t="s">
        <v>371</v>
      </c>
      <c r="Y2" s="218">
        <f>Data!B14</f>
        <v>0</v>
      </c>
      <c r="Z2" s="219"/>
      <c r="AA2" s="219"/>
      <c r="AB2" s="219"/>
      <c r="AC2" s="219"/>
    </row>
    <row r="4" spans="1:32" x14ac:dyDescent="0.2">
      <c r="A4" t="s">
        <v>922</v>
      </c>
      <c r="F4" s="218">
        <f>Data!B30</f>
        <v>0</v>
      </c>
      <c r="G4" s="219"/>
      <c r="H4" s="219"/>
      <c r="I4" s="219"/>
      <c r="J4" s="219"/>
      <c r="L4" t="s">
        <v>924</v>
      </c>
      <c r="Q4" s="218">
        <f>Data!B32</f>
        <v>0</v>
      </c>
      <c r="R4" s="219"/>
      <c r="S4" s="219"/>
      <c r="T4" s="219"/>
      <c r="U4" s="219"/>
      <c r="W4" t="s">
        <v>582</v>
      </c>
      <c r="AB4" s="218">
        <f>Data!B33</f>
        <v>0</v>
      </c>
      <c r="AC4" s="219"/>
      <c r="AD4" s="219"/>
      <c r="AE4" s="219"/>
      <c r="AF4" s="219"/>
    </row>
    <row r="6" spans="1:32" x14ac:dyDescent="0.2">
      <c r="A6" t="s">
        <v>1023</v>
      </c>
    </row>
    <row r="8" spans="1:32" x14ac:dyDescent="0.2">
      <c r="A8" t="s">
        <v>3353</v>
      </c>
    </row>
    <row r="9" spans="1:32" x14ac:dyDescent="0.2">
      <c r="B9">
        <v>1</v>
      </c>
      <c r="C9" t="s">
        <v>395</v>
      </c>
      <c r="D9" t="s">
        <v>1024</v>
      </c>
    </row>
    <row r="10" spans="1:32" x14ac:dyDescent="0.2">
      <c r="B10">
        <v>2</v>
      </c>
      <c r="C10" t="s">
        <v>395</v>
      </c>
      <c r="D10" t="s">
        <v>1025</v>
      </c>
    </row>
    <row r="11" spans="1:32" x14ac:dyDescent="0.2">
      <c r="B11">
        <v>3</v>
      </c>
      <c r="C11" t="s">
        <v>395</v>
      </c>
      <c r="D11" t="s">
        <v>1026</v>
      </c>
    </row>
    <row r="12" spans="1:32" x14ac:dyDescent="0.2">
      <c r="B12">
        <v>4</v>
      </c>
      <c r="C12" t="s">
        <v>395</v>
      </c>
      <c r="D12" t="s">
        <v>1027</v>
      </c>
    </row>
    <row r="13" spans="1:32" x14ac:dyDescent="0.2">
      <c r="B13">
        <v>5</v>
      </c>
      <c r="C13" t="s">
        <v>395</v>
      </c>
      <c r="D13" t="s">
        <v>1028</v>
      </c>
    </row>
    <row r="14" spans="1:32" x14ac:dyDescent="0.2">
      <c r="B14">
        <v>6</v>
      </c>
      <c r="C14" t="s">
        <v>395</v>
      </c>
      <c r="D14" t="s">
        <v>1029</v>
      </c>
    </row>
    <row r="15" spans="1:32" x14ac:dyDescent="0.2">
      <c r="B15">
        <v>7</v>
      </c>
      <c r="C15" t="s">
        <v>395</v>
      </c>
      <c r="D15" t="s">
        <v>1030</v>
      </c>
    </row>
    <row r="16" spans="1:32" x14ac:dyDescent="0.2">
      <c r="B16">
        <v>8</v>
      </c>
      <c r="C16" t="s">
        <v>395</v>
      </c>
      <c r="D16" t="s">
        <v>1031</v>
      </c>
    </row>
    <row r="17" spans="1:4" x14ac:dyDescent="0.2">
      <c r="B17">
        <v>9</v>
      </c>
      <c r="C17" t="s">
        <v>395</v>
      </c>
      <c r="D17" t="s">
        <v>1032</v>
      </c>
    </row>
    <row r="18" spans="1:4" x14ac:dyDescent="0.2">
      <c r="B18">
        <v>10</v>
      </c>
      <c r="C18" t="s">
        <v>395</v>
      </c>
      <c r="D18" t="s">
        <v>1033</v>
      </c>
    </row>
    <row r="19" spans="1:4" x14ac:dyDescent="0.2">
      <c r="B19">
        <v>11</v>
      </c>
      <c r="C19" t="s">
        <v>395</v>
      </c>
      <c r="D19" t="s">
        <v>1034</v>
      </c>
    </row>
    <row r="20" spans="1:4" x14ac:dyDescent="0.2">
      <c r="B20">
        <v>12</v>
      </c>
      <c r="C20" t="s">
        <v>395</v>
      </c>
      <c r="D20" t="s">
        <v>1035</v>
      </c>
    </row>
    <row r="21" spans="1:4" x14ac:dyDescent="0.2">
      <c r="B21">
        <v>13</v>
      </c>
      <c r="C21" t="s">
        <v>395</v>
      </c>
      <c r="D21" t="s">
        <v>2962</v>
      </c>
    </row>
    <row r="22" spans="1:4" x14ac:dyDescent="0.2">
      <c r="B22">
        <v>14</v>
      </c>
      <c r="C22" t="s">
        <v>395</v>
      </c>
      <c r="D22" t="s">
        <v>3351</v>
      </c>
    </row>
    <row r="24" spans="1:4" x14ac:dyDescent="0.2">
      <c r="A24" t="s">
        <v>1036</v>
      </c>
    </row>
    <row r="26" spans="1:4" x14ac:dyDescent="0.2">
      <c r="A26" t="s">
        <v>1037</v>
      </c>
    </row>
    <row r="27" spans="1:4" x14ac:dyDescent="0.2">
      <c r="B27">
        <v>1</v>
      </c>
      <c r="C27" t="s">
        <v>395</v>
      </c>
      <c r="D27" t="s">
        <v>1038</v>
      </c>
    </row>
    <row r="28" spans="1:4" x14ac:dyDescent="0.2">
      <c r="B28">
        <v>2</v>
      </c>
      <c r="C28" t="s">
        <v>395</v>
      </c>
      <c r="D28" t="s">
        <v>1039</v>
      </c>
    </row>
    <row r="29" spans="1:4" x14ac:dyDescent="0.2">
      <c r="B29">
        <v>3</v>
      </c>
      <c r="C29" t="s">
        <v>395</v>
      </c>
      <c r="D29" t="s">
        <v>1040</v>
      </c>
    </row>
    <row r="30" spans="1:4" x14ac:dyDescent="0.2">
      <c r="B30">
        <v>4</v>
      </c>
      <c r="C30" t="s">
        <v>395</v>
      </c>
      <c r="D30" t="s">
        <v>3363</v>
      </c>
    </row>
    <row r="31" spans="1:4" x14ac:dyDescent="0.2">
      <c r="B31">
        <v>5</v>
      </c>
      <c r="C31" t="s">
        <v>395</v>
      </c>
      <c r="D31" t="s">
        <v>1041</v>
      </c>
    </row>
    <row r="32" spans="1:4" x14ac:dyDescent="0.2">
      <c r="B32">
        <v>6</v>
      </c>
      <c r="C32" t="s">
        <v>395</v>
      </c>
      <c r="D32" t="s">
        <v>3469</v>
      </c>
    </row>
    <row r="33" spans="1:37" x14ac:dyDescent="0.2">
      <c r="B33">
        <v>7</v>
      </c>
      <c r="C33" t="s">
        <v>395</v>
      </c>
      <c r="D33" t="s">
        <v>3470</v>
      </c>
    </row>
    <row r="35" spans="1:37" x14ac:dyDescent="0.2">
      <c r="A35" s="260" t="s">
        <v>1391</v>
      </c>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c r="AE35" s="260"/>
      <c r="AF35" s="260"/>
      <c r="AG35" s="260"/>
      <c r="AH35" s="260"/>
      <c r="AI35" s="260"/>
      <c r="AJ35" s="260"/>
      <c r="AK35" s="260"/>
    </row>
    <row r="36" spans="1:37" x14ac:dyDescent="0.2">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c r="AE36" s="260"/>
      <c r="AF36" s="260"/>
      <c r="AG36" s="260"/>
      <c r="AH36" s="260"/>
      <c r="AI36" s="260"/>
      <c r="AJ36" s="260"/>
      <c r="AK36" s="260"/>
    </row>
    <row r="37" spans="1:37" x14ac:dyDescent="0.2">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c r="AI37" s="260"/>
      <c r="AJ37" s="260"/>
      <c r="AK37" s="260"/>
    </row>
    <row r="39" spans="1:37" x14ac:dyDescent="0.2">
      <c r="A39" t="s">
        <v>1042</v>
      </c>
    </row>
    <row r="42" spans="1:37" x14ac:dyDescent="0.2">
      <c r="A42" s="240"/>
      <c r="B42" s="240"/>
      <c r="C42" s="240"/>
      <c r="D42" s="240"/>
      <c r="E42" s="240"/>
      <c r="F42" s="240"/>
      <c r="G42" s="240"/>
      <c r="H42" s="240"/>
      <c r="I42" s="240"/>
      <c r="J42" s="240"/>
      <c r="K42" s="240"/>
      <c r="L42" s="240"/>
      <c r="M42" s="240"/>
      <c r="N42" s="240"/>
      <c r="O42" s="240"/>
      <c r="P42" s="240"/>
    </row>
    <row r="43" spans="1:37" x14ac:dyDescent="0.2">
      <c r="A43" s="240"/>
      <c r="B43" s="240"/>
      <c r="C43" s="240"/>
      <c r="D43" s="240"/>
      <c r="E43" s="240"/>
      <c r="F43" s="240"/>
      <c r="G43" s="240"/>
      <c r="H43" s="240"/>
      <c r="I43" s="240"/>
      <c r="J43" s="240"/>
      <c r="K43" s="240"/>
      <c r="L43" s="240"/>
      <c r="M43" s="240"/>
      <c r="N43" s="240"/>
      <c r="O43" s="240"/>
      <c r="P43" s="240"/>
    </row>
    <row r="44" spans="1:37" x14ac:dyDescent="0.2">
      <c r="A44" s="266"/>
      <c r="B44" s="266"/>
      <c r="C44" s="266"/>
      <c r="D44" s="266"/>
      <c r="E44" s="266"/>
      <c r="F44" s="266"/>
      <c r="G44" s="266"/>
      <c r="H44" s="266"/>
      <c r="I44" s="266"/>
      <c r="J44" s="266"/>
      <c r="K44" s="266"/>
      <c r="L44" s="266"/>
      <c r="M44" s="266"/>
      <c r="N44" s="266"/>
      <c r="O44" s="266"/>
      <c r="P44" s="266"/>
      <c r="R44" s="269">
        <f>Data!B34</f>
        <v>0</v>
      </c>
      <c r="S44" s="267"/>
      <c r="T44" s="267"/>
      <c r="U44" s="267"/>
      <c r="V44" s="267"/>
      <c r="W44" s="267"/>
      <c r="X44" s="267"/>
      <c r="Y44" s="267"/>
    </row>
    <row r="45" spans="1:37" x14ac:dyDescent="0.2">
      <c r="A45" t="s">
        <v>616</v>
      </c>
      <c r="R45" t="s">
        <v>368</v>
      </c>
    </row>
    <row r="46" spans="1:37" x14ac:dyDescent="0.2">
      <c r="A46" s="240"/>
      <c r="B46" s="240"/>
      <c r="C46" s="240"/>
      <c r="D46" s="240"/>
      <c r="E46" s="240"/>
      <c r="F46" s="240"/>
      <c r="G46" s="240"/>
      <c r="H46" s="240"/>
      <c r="I46" s="240"/>
      <c r="J46" s="240"/>
      <c r="K46" s="240"/>
      <c r="L46" s="240"/>
      <c r="M46" s="240"/>
      <c r="N46" s="240"/>
      <c r="O46" s="240"/>
      <c r="P46" s="240"/>
    </row>
    <row r="47" spans="1:37" x14ac:dyDescent="0.2">
      <c r="A47" s="240"/>
      <c r="B47" s="240"/>
      <c r="C47" s="240"/>
      <c r="D47" s="240"/>
      <c r="E47" s="240"/>
      <c r="F47" s="240"/>
      <c r="G47" s="240"/>
      <c r="H47" s="240"/>
      <c r="I47" s="240"/>
      <c r="J47" s="240"/>
      <c r="K47" s="240"/>
      <c r="L47" s="240"/>
      <c r="M47" s="240"/>
      <c r="N47" s="240"/>
      <c r="O47" s="240"/>
      <c r="P47" s="240"/>
    </row>
    <row r="48" spans="1:37" x14ac:dyDescent="0.2">
      <c r="A48" s="266"/>
      <c r="B48" s="266"/>
      <c r="C48" s="266"/>
      <c r="D48" s="266"/>
      <c r="E48" s="266"/>
      <c r="F48" s="266"/>
      <c r="G48" s="266"/>
      <c r="H48" s="266"/>
      <c r="I48" s="266"/>
      <c r="J48" s="266"/>
      <c r="K48" s="266"/>
      <c r="L48" s="266"/>
      <c r="M48" s="266"/>
      <c r="N48" s="266"/>
      <c r="O48" s="266"/>
      <c r="P48" s="266"/>
      <c r="R48" s="267">
        <f>Data!B175</f>
        <v>0</v>
      </c>
      <c r="S48" s="267"/>
      <c r="T48" s="267"/>
      <c r="U48" s="267"/>
      <c r="V48" s="267"/>
      <c r="W48" s="267"/>
      <c r="X48" s="267"/>
      <c r="Y48" s="267"/>
      <c r="Z48" s="267"/>
      <c r="AA48" s="267"/>
      <c r="AB48" s="267"/>
      <c r="AC48" s="267"/>
      <c r="AD48" s="267"/>
      <c r="AE48" s="267"/>
    </row>
    <row r="49" spans="1:18" x14ac:dyDescent="0.2">
      <c r="A49" t="s">
        <v>617</v>
      </c>
      <c r="R49" t="s">
        <v>369</v>
      </c>
    </row>
  </sheetData>
  <mergeCells count="10">
    <mergeCell ref="A46:P48"/>
    <mergeCell ref="R48:AE48"/>
    <mergeCell ref="E2:S2"/>
    <mergeCell ref="Y2:AC2"/>
    <mergeCell ref="F4:J4"/>
    <mergeCell ref="Q4:U4"/>
    <mergeCell ref="AB4:AF4"/>
    <mergeCell ref="A42:P44"/>
    <mergeCell ref="R44:Y44"/>
    <mergeCell ref="A35:AK37"/>
  </mergeCells>
  <pageMargins left="0.25" right="0.25" top="0.75" bottom="0.75" header="0.3" footer="0.3"/>
  <pageSetup orientation="portrait" horizontalDpi="4294967293" verticalDpi="1200" r:id="rId1"/>
  <headerFooter>
    <oddHeader>&amp;L&amp;G&amp;RMedicaid Document Confirmation Form</oddHeader>
    <oddFooter>&amp;LPS&amp;C3088 Mercer University Drive Suite 100 Atlanta, GA 30341
678-310-6305 Fax 404-935-6110&amp;RM</oddFooter>
  </headerFooter>
  <legacyDrawingHF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2">
    <tabColor rgb="FF7030A0"/>
  </sheetPr>
  <dimension ref="A1:AM49"/>
  <sheetViews>
    <sheetView showZeros="0" view="pageLayout" topLeftCell="A16" zoomScaleNormal="100" workbookViewId="0">
      <selection activeCell="A38" sqref="A38:P38"/>
    </sheetView>
  </sheetViews>
  <sheetFormatPr defaultColWidth="2.7109375" defaultRowHeight="12.75" x14ac:dyDescent="0.2"/>
  <sheetData>
    <row r="1" spans="1:39" ht="14.25" x14ac:dyDescent="0.2">
      <c r="A1" s="463" t="s">
        <v>972</v>
      </c>
      <c r="B1" s="463"/>
      <c r="C1" s="463"/>
      <c r="D1" s="463"/>
      <c r="E1" s="463"/>
      <c r="F1" s="463"/>
      <c r="G1" s="463"/>
      <c r="H1" s="463"/>
      <c r="I1" s="463"/>
      <c r="J1" s="463"/>
      <c r="K1" s="463"/>
      <c r="L1" s="463"/>
      <c r="M1" s="463"/>
      <c r="N1" s="463"/>
      <c r="O1" s="463"/>
      <c r="P1" s="463"/>
      <c r="Q1" s="12"/>
      <c r="R1" s="465" t="str">
        <f>_xlfn.CONCAT(Data!B2,", ",Data!B3," ",Data!B4)</f>
        <v xml:space="preserve">,  </v>
      </c>
      <c r="S1" s="465"/>
      <c r="T1" s="465"/>
      <c r="U1" s="465"/>
      <c r="V1" s="465"/>
      <c r="W1" s="465"/>
      <c r="X1" s="465"/>
      <c r="Y1" s="465"/>
      <c r="Z1" s="465"/>
      <c r="AA1" s="465"/>
      <c r="AB1" s="465"/>
      <c r="AC1" s="465"/>
      <c r="AD1" s="465"/>
      <c r="AE1" s="465"/>
      <c r="AF1" s="465"/>
      <c r="AG1" s="465"/>
      <c r="AH1" s="465"/>
      <c r="AI1" s="465"/>
      <c r="AJ1" s="465"/>
      <c r="AK1" s="465"/>
      <c r="AL1" s="11"/>
      <c r="AM1" s="11"/>
    </row>
    <row r="2" spans="1:39" ht="14.25" x14ac:dyDescent="0.2">
      <c r="A2" s="463"/>
      <c r="B2" s="463"/>
      <c r="C2" s="463"/>
      <c r="D2" s="463"/>
      <c r="E2" s="463"/>
      <c r="F2" s="463"/>
      <c r="G2" s="463"/>
      <c r="H2" s="463"/>
      <c r="I2" s="463"/>
      <c r="J2" s="463"/>
      <c r="K2" s="463"/>
      <c r="L2" s="463"/>
      <c r="M2" s="463"/>
      <c r="N2" s="463"/>
      <c r="O2" s="463"/>
      <c r="P2" s="463"/>
      <c r="Q2" s="12"/>
      <c r="R2" s="12" t="s">
        <v>973</v>
      </c>
      <c r="S2" s="12"/>
      <c r="T2" s="12"/>
      <c r="U2" s="12"/>
      <c r="V2" s="12"/>
      <c r="W2" s="12"/>
      <c r="X2" s="12"/>
      <c r="Y2" s="12"/>
      <c r="Z2" s="12"/>
      <c r="AA2" s="12"/>
      <c r="AB2" s="12"/>
      <c r="AC2" s="12"/>
      <c r="AD2" s="12"/>
      <c r="AE2" s="12"/>
      <c r="AF2" s="12"/>
      <c r="AG2" s="12"/>
      <c r="AH2" s="12"/>
      <c r="AI2" s="12"/>
      <c r="AJ2" s="12"/>
      <c r="AK2" s="12"/>
      <c r="AL2" s="11"/>
      <c r="AM2" s="11"/>
    </row>
    <row r="3" spans="1:39" ht="14.25" x14ac:dyDescent="0.2">
      <c r="A3" s="463"/>
      <c r="B3" s="463"/>
      <c r="C3" s="463"/>
      <c r="D3" s="463"/>
      <c r="E3" s="463"/>
      <c r="F3" s="463"/>
      <c r="G3" s="463"/>
      <c r="H3" s="463"/>
      <c r="I3" s="463"/>
      <c r="J3" s="463"/>
      <c r="K3" s="463"/>
      <c r="L3" s="463"/>
      <c r="M3" s="463"/>
      <c r="N3" s="463"/>
      <c r="O3" s="463"/>
      <c r="P3" s="463"/>
      <c r="Q3" s="12"/>
      <c r="R3" s="466">
        <f>Data!B14</f>
        <v>0</v>
      </c>
      <c r="S3" s="467"/>
      <c r="T3" s="467"/>
      <c r="U3" s="467"/>
      <c r="V3" s="467"/>
      <c r="W3" s="467"/>
      <c r="X3" s="467"/>
      <c r="Y3" s="467"/>
      <c r="Z3" s="467"/>
      <c r="AA3" s="467"/>
      <c r="AB3" s="467"/>
      <c r="AC3" s="467"/>
      <c r="AD3" s="467"/>
      <c r="AE3" s="467"/>
      <c r="AF3" s="467"/>
      <c r="AG3" s="467"/>
      <c r="AH3" s="467"/>
      <c r="AI3" s="467"/>
      <c r="AJ3" s="467"/>
      <c r="AK3" s="467"/>
      <c r="AL3" s="11"/>
      <c r="AM3" s="11"/>
    </row>
    <row r="4" spans="1:39" ht="14.25" x14ac:dyDescent="0.2">
      <c r="A4" s="463"/>
      <c r="B4" s="463"/>
      <c r="C4" s="463"/>
      <c r="D4" s="463"/>
      <c r="E4" s="463"/>
      <c r="F4" s="463"/>
      <c r="G4" s="463"/>
      <c r="H4" s="463"/>
      <c r="I4" s="463"/>
      <c r="J4" s="463"/>
      <c r="K4" s="463"/>
      <c r="L4" s="463"/>
      <c r="M4" s="463"/>
      <c r="N4" s="463"/>
      <c r="O4" s="463"/>
      <c r="P4" s="463"/>
      <c r="Q4" s="12"/>
      <c r="R4" s="12" t="s">
        <v>27</v>
      </c>
      <c r="S4" s="12"/>
      <c r="T4" s="12"/>
      <c r="U4" s="12"/>
      <c r="V4" s="12"/>
      <c r="W4" s="12"/>
      <c r="X4" s="12"/>
      <c r="Y4" s="12"/>
      <c r="Z4" s="12"/>
      <c r="AA4" s="12"/>
      <c r="AB4" s="12"/>
      <c r="AC4" s="12"/>
      <c r="AD4" s="12"/>
      <c r="AE4" s="12"/>
      <c r="AF4" s="12"/>
      <c r="AG4" s="12"/>
      <c r="AH4" s="12"/>
      <c r="AI4" s="12"/>
      <c r="AJ4" s="12"/>
      <c r="AK4" s="12"/>
      <c r="AL4" s="11"/>
      <c r="AM4" s="11"/>
    </row>
    <row r="5" spans="1:39" ht="14.25" x14ac:dyDescent="0.2">
      <c r="A5" s="463"/>
      <c r="B5" s="463"/>
      <c r="C5" s="463"/>
      <c r="D5" s="463"/>
      <c r="E5" s="463"/>
      <c r="F5" s="463"/>
      <c r="G5" s="463"/>
      <c r="H5" s="463"/>
      <c r="I5" s="463"/>
      <c r="J5" s="463"/>
      <c r="K5" s="463"/>
      <c r="L5" s="463"/>
      <c r="M5" s="463"/>
      <c r="N5" s="463"/>
      <c r="O5" s="463"/>
      <c r="P5" s="463"/>
      <c r="Q5" s="12" t="s">
        <v>974</v>
      </c>
      <c r="R5" s="12"/>
      <c r="S5" s="12"/>
      <c r="T5" s="12"/>
      <c r="U5" s="12"/>
      <c r="V5" s="12"/>
      <c r="W5" s="12"/>
      <c r="X5" s="12"/>
      <c r="Y5" s="12"/>
      <c r="Z5" s="12"/>
      <c r="AA5" s="12"/>
      <c r="AB5" s="12"/>
      <c r="AC5" s="12"/>
      <c r="AD5" s="12"/>
      <c r="AE5" s="12"/>
      <c r="AF5" s="12"/>
      <c r="AG5" s="12"/>
      <c r="AH5" s="12"/>
      <c r="AI5" s="12"/>
      <c r="AJ5" s="12"/>
      <c r="AK5" s="12"/>
      <c r="AL5" s="11"/>
      <c r="AM5" s="11"/>
    </row>
    <row r="6" spans="1:39" ht="14.25" x14ac:dyDescent="0.2">
      <c r="A6" s="463"/>
      <c r="B6" s="463"/>
      <c r="C6" s="463"/>
      <c r="D6" s="463"/>
      <c r="E6" s="463"/>
      <c r="F6" s="463"/>
      <c r="G6" s="463"/>
      <c r="H6" s="463"/>
      <c r="I6" s="463"/>
      <c r="J6" s="463"/>
      <c r="K6" s="463"/>
      <c r="L6" s="463"/>
      <c r="M6" s="463"/>
      <c r="N6" s="463"/>
      <c r="O6" s="463"/>
      <c r="P6" s="463"/>
      <c r="Q6" s="11"/>
      <c r="R6" s="11"/>
      <c r="S6" s="11"/>
      <c r="T6" s="11"/>
      <c r="U6" s="11"/>
      <c r="V6" s="11"/>
      <c r="W6" s="11"/>
      <c r="X6" s="11"/>
      <c r="Y6" s="11"/>
      <c r="Z6" s="11"/>
      <c r="AA6" s="11"/>
      <c r="AB6" s="11"/>
      <c r="AC6" s="11"/>
      <c r="AD6" s="11"/>
      <c r="AE6" s="11"/>
      <c r="AF6" s="11"/>
      <c r="AG6" s="11"/>
      <c r="AH6" s="11"/>
      <c r="AI6" s="11"/>
      <c r="AJ6" s="11"/>
      <c r="AK6" s="11"/>
      <c r="AL6" s="11"/>
      <c r="AM6" s="11"/>
    </row>
    <row r="7" spans="1:39" ht="14.25" x14ac:dyDescent="0.2">
      <c r="A7" s="463"/>
      <c r="B7" s="463"/>
      <c r="C7" s="463"/>
      <c r="D7" s="463"/>
      <c r="E7" s="463"/>
      <c r="F7" s="463"/>
      <c r="G7" s="463"/>
      <c r="H7" s="463"/>
      <c r="I7" s="463"/>
      <c r="J7" s="463"/>
      <c r="K7" s="463"/>
      <c r="L7" s="463"/>
      <c r="M7" s="463"/>
      <c r="N7" s="463"/>
      <c r="O7" s="463"/>
      <c r="P7" s="463"/>
      <c r="Q7" s="11"/>
      <c r="R7" s="11"/>
      <c r="S7" s="11"/>
      <c r="T7" s="11"/>
      <c r="U7" s="11"/>
      <c r="V7" s="11"/>
      <c r="W7" s="11"/>
      <c r="X7" s="11"/>
      <c r="Y7" s="11"/>
      <c r="Z7" s="11"/>
      <c r="AA7" s="11"/>
      <c r="AB7" s="11"/>
      <c r="AC7" s="11"/>
      <c r="AD7" s="11"/>
      <c r="AE7" s="11"/>
      <c r="AF7" s="11"/>
      <c r="AG7" s="11"/>
      <c r="AH7" s="11"/>
      <c r="AI7" s="11"/>
      <c r="AJ7" s="11"/>
      <c r="AK7" s="11"/>
      <c r="AL7" s="11"/>
      <c r="AM7" s="11"/>
    </row>
    <row r="8" spans="1:39" ht="18" customHeight="1" thickBot="1" x14ac:dyDescent="0.25">
      <c r="A8" s="464"/>
      <c r="B8" s="464"/>
      <c r="C8" s="464"/>
      <c r="D8" s="464"/>
      <c r="E8" s="464"/>
      <c r="F8" s="464"/>
      <c r="G8" s="464"/>
      <c r="H8" s="464"/>
      <c r="I8" s="464"/>
      <c r="J8" s="464"/>
      <c r="K8" s="464"/>
      <c r="L8" s="464"/>
      <c r="M8" s="464"/>
      <c r="N8" s="464"/>
      <c r="O8" s="464"/>
      <c r="P8" s="464"/>
      <c r="Q8" s="38"/>
      <c r="R8" s="38"/>
      <c r="S8" s="38"/>
      <c r="T8" s="38"/>
      <c r="U8" s="38"/>
      <c r="V8" s="38"/>
      <c r="W8" s="38"/>
      <c r="X8" s="38"/>
      <c r="Y8" s="38"/>
      <c r="Z8" s="38"/>
      <c r="AA8" s="38"/>
      <c r="AB8" s="38"/>
      <c r="AC8" s="38"/>
      <c r="AD8" s="38"/>
      <c r="AE8" s="38"/>
      <c r="AF8" s="38"/>
      <c r="AG8" s="38"/>
      <c r="AH8" s="38"/>
      <c r="AI8" s="38"/>
      <c r="AJ8" s="38"/>
      <c r="AK8" s="38"/>
      <c r="AL8" s="38"/>
      <c r="AM8" s="11"/>
    </row>
    <row r="9" spans="1:39" ht="13.5" thickTop="1" x14ac:dyDescent="0.2"/>
    <row r="10" spans="1:39" ht="13.5" thickBot="1" x14ac:dyDescent="0.25">
      <c r="A10" s="468" t="s">
        <v>975</v>
      </c>
      <c r="B10" s="468"/>
      <c r="C10" s="468"/>
      <c r="D10" s="468"/>
      <c r="E10" s="468"/>
      <c r="F10" s="468"/>
      <c r="G10" s="468"/>
      <c r="H10" s="468"/>
      <c r="I10" s="468"/>
      <c r="J10" s="468"/>
      <c r="K10" s="468"/>
      <c r="L10" s="468"/>
      <c r="M10" s="468"/>
      <c r="N10" s="468"/>
      <c r="O10" s="468"/>
      <c r="P10" s="468"/>
      <c r="Q10" s="468"/>
      <c r="R10" s="468"/>
      <c r="S10" s="468"/>
      <c r="T10" s="468"/>
      <c r="U10" s="468"/>
      <c r="V10" s="468"/>
      <c r="W10" s="468"/>
      <c r="X10" s="468"/>
      <c r="Y10" s="468"/>
      <c r="Z10" s="468"/>
      <c r="AA10" s="468"/>
      <c r="AB10" s="468"/>
      <c r="AC10" s="468"/>
      <c r="AD10" s="468"/>
      <c r="AE10" s="468"/>
      <c r="AF10" s="468"/>
      <c r="AG10" s="468"/>
      <c r="AH10" s="468"/>
      <c r="AI10" s="468"/>
      <c r="AJ10" s="468"/>
      <c r="AK10" s="468"/>
      <c r="AL10" s="468"/>
    </row>
    <row r="11" spans="1:39" ht="13.5" thickTop="1" x14ac:dyDescent="0.2"/>
    <row r="12" spans="1:39" x14ac:dyDescent="0.2">
      <c r="A12" t="s">
        <v>976</v>
      </c>
      <c r="P12" s="291" t="s">
        <v>977</v>
      </c>
      <c r="Q12" s="291"/>
      <c r="R12" s="291"/>
      <c r="S12" s="291"/>
      <c r="T12" s="291"/>
      <c r="U12" s="291"/>
      <c r="V12" s="291"/>
      <c r="W12" s="291"/>
      <c r="X12" s="291"/>
      <c r="Y12" s="291"/>
      <c r="Z12" s="291"/>
      <c r="AA12" s="291"/>
      <c r="AB12" s="291"/>
      <c r="AC12" s="291"/>
      <c r="AD12" s="291"/>
      <c r="AE12" s="291"/>
      <c r="AF12" s="291"/>
      <c r="AG12" s="291"/>
      <c r="AH12" s="291"/>
      <c r="AI12" s="291"/>
      <c r="AJ12" s="291"/>
      <c r="AK12" s="291"/>
      <c r="AL12" s="291"/>
    </row>
    <row r="13" spans="1:39" x14ac:dyDescent="0.2">
      <c r="P13" s="333" t="s">
        <v>978</v>
      </c>
      <c r="Q13" s="333"/>
      <c r="R13" s="333"/>
      <c r="S13" s="333"/>
      <c r="T13" s="333"/>
      <c r="U13" s="333"/>
      <c r="V13" s="333"/>
      <c r="W13" s="333"/>
      <c r="X13" s="333"/>
      <c r="Y13" s="333"/>
      <c r="Z13" s="333"/>
      <c r="AA13" s="333"/>
      <c r="AB13" s="333"/>
      <c r="AC13" s="333"/>
      <c r="AD13" s="333"/>
      <c r="AE13" s="333"/>
      <c r="AF13" s="333"/>
      <c r="AG13" s="333"/>
      <c r="AH13" s="333"/>
      <c r="AI13" s="333"/>
      <c r="AJ13" s="333"/>
      <c r="AK13" s="333"/>
      <c r="AL13" s="333"/>
    </row>
    <row r="14" spans="1:39" x14ac:dyDescent="0.2">
      <c r="P14" s="291" t="s">
        <v>979</v>
      </c>
      <c r="Q14" s="291"/>
      <c r="R14" s="291"/>
      <c r="S14" s="291"/>
      <c r="T14" s="291"/>
      <c r="U14" s="291"/>
      <c r="V14" s="291"/>
      <c r="W14" s="291"/>
      <c r="X14" s="291"/>
      <c r="Y14" s="291"/>
      <c r="Z14" s="291"/>
      <c r="AA14" s="291"/>
      <c r="AB14" s="291"/>
      <c r="AC14" s="291"/>
      <c r="AD14" s="291"/>
      <c r="AE14" s="291"/>
      <c r="AF14" s="291"/>
      <c r="AG14" s="291"/>
      <c r="AH14" s="291"/>
      <c r="AI14" s="291"/>
      <c r="AJ14" s="291"/>
      <c r="AK14" s="291"/>
      <c r="AL14" s="291"/>
    </row>
    <row r="15" spans="1:39" x14ac:dyDescent="0.2">
      <c r="P15" s="333" t="s">
        <v>980</v>
      </c>
      <c r="Q15" s="333"/>
      <c r="R15" s="333"/>
      <c r="S15" s="333"/>
      <c r="T15" s="333"/>
      <c r="U15" s="333"/>
      <c r="V15" s="333"/>
      <c r="W15" s="333"/>
      <c r="X15" s="333"/>
      <c r="Y15" s="333"/>
      <c r="Z15" s="333"/>
      <c r="AA15" s="333"/>
      <c r="AB15" s="333"/>
      <c r="AC15" s="333"/>
      <c r="AD15" s="333"/>
      <c r="AE15" s="333"/>
      <c r="AF15" s="333"/>
      <c r="AG15" s="333"/>
      <c r="AH15" s="333"/>
      <c r="AI15" s="333"/>
      <c r="AJ15" s="333"/>
      <c r="AK15" s="333"/>
      <c r="AL15" s="333"/>
    </row>
    <row r="16" spans="1:39" x14ac:dyDescent="0.2">
      <c r="A16" t="s">
        <v>981</v>
      </c>
      <c r="H16" s="361" t="s">
        <v>982</v>
      </c>
      <c r="I16" s="361"/>
      <c r="J16" s="361"/>
      <c r="K16" s="361"/>
      <c r="L16" s="361"/>
      <c r="M16" s="361"/>
      <c r="N16" s="361"/>
      <c r="O16" s="361"/>
      <c r="P16" s="361"/>
      <c r="Q16" s="361"/>
      <c r="R16" s="361"/>
      <c r="S16" s="361"/>
      <c r="T16" s="361"/>
      <c r="U16" s="361"/>
      <c r="V16" s="361"/>
      <c r="W16" s="361"/>
      <c r="X16" s="361"/>
      <c r="Y16" s="361"/>
      <c r="Z16" s="361"/>
      <c r="AA16" s="361"/>
      <c r="AB16" s="361"/>
      <c r="AC16" s="361"/>
      <c r="AD16" s="361"/>
      <c r="AE16" s="361"/>
      <c r="AF16" s="361"/>
      <c r="AG16" s="361"/>
      <c r="AH16" s="361"/>
      <c r="AI16" s="361"/>
      <c r="AJ16" s="361"/>
      <c r="AK16" s="361"/>
      <c r="AL16" s="361"/>
    </row>
    <row r="17" spans="1:39" x14ac:dyDescent="0.2">
      <c r="H17" s="261" t="s">
        <v>983</v>
      </c>
      <c r="I17" s="261"/>
      <c r="J17" s="261"/>
      <c r="K17" s="261"/>
      <c r="L17" s="261"/>
      <c r="M17" s="261"/>
      <c r="N17" s="261"/>
      <c r="O17" s="261"/>
      <c r="P17" s="261"/>
      <c r="Q17" s="261"/>
      <c r="R17" s="261"/>
      <c r="S17" s="261"/>
      <c r="T17" s="261"/>
      <c r="U17" s="261"/>
      <c r="V17" s="261"/>
      <c r="W17" s="261"/>
      <c r="X17" s="261"/>
      <c r="Y17" s="261"/>
      <c r="Z17" s="261"/>
      <c r="AA17" s="261"/>
      <c r="AB17" s="261"/>
      <c r="AC17" s="261"/>
      <c r="AD17" s="261"/>
      <c r="AE17" s="261"/>
      <c r="AF17" s="261"/>
      <c r="AG17" s="261"/>
      <c r="AH17" s="261"/>
      <c r="AI17" s="261"/>
      <c r="AJ17" s="261"/>
      <c r="AK17" s="261"/>
      <c r="AL17" s="261"/>
    </row>
    <row r="18" spans="1:39" x14ac:dyDescent="0.2">
      <c r="H18" s="266"/>
      <c r="I18" s="266"/>
      <c r="J18" s="266"/>
      <c r="K18" s="266"/>
      <c r="L18" s="266"/>
      <c r="M18" s="266"/>
      <c r="N18" s="266"/>
      <c r="O18" s="266"/>
      <c r="P18" s="266"/>
      <c r="Q18" s="266"/>
      <c r="R18" s="266"/>
      <c r="S18" s="266"/>
      <c r="T18" s="266"/>
      <c r="U18" s="266"/>
      <c r="V18" s="266"/>
      <c r="W18" s="266"/>
      <c r="X18" s="266"/>
      <c r="Y18" s="266"/>
      <c r="Z18" s="266"/>
      <c r="AA18" s="266"/>
      <c r="AB18" s="266"/>
      <c r="AC18" s="266"/>
      <c r="AD18" s="266"/>
      <c r="AE18" s="266"/>
      <c r="AF18" s="266"/>
      <c r="AG18" s="266"/>
      <c r="AH18" s="266"/>
      <c r="AI18" s="266"/>
      <c r="AJ18" s="266"/>
      <c r="AK18" s="266"/>
      <c r="AL18" s="266"/>
    </row>
    <row r="19" spans="1:39" x14ac:dyDescent="0.2">
      <c r="H19" s="261" t="s">
        <v>980</v>
      </c>
      <c r="I19" s="261"/>
      <c r="J19" s="261"/>
      <c r="K19" s="261"/>
      <c r="L19" s="261"/>
      <c r="M19" s="261"/>
      <c r="N19" s="261"/>
      <c r="O19" s="261"/>
      <c r="P19" s="261"/>
      <c r="Q19" s="261"/>
      <c r="R19" s="261"/>
      <c r="S19" s="261"/>
      <c r="T19" s="261"/>
      <c r="U19" s="261"/>
      <c r="V19" s="261"/>
      <c r="W19" s="261"/>
      <c r="X19" s="261"/>
      <c r="Y19" s="261"/>
      <c r="Z19" s="261"/>
      <c r="AA19" s="261"/>
      <c r="AB19" s="261"/>
      <c r="AC19" s="261"/>
      <c r="AD19" s="261"/>
      <c r="AE19" s="261"/>
      <c r="AF19" s="261"/>
      <c r="AG19" s="261"/>
      <c r="AH19" s="261"/>
      <c r="AI19" s="261"/>
      <c r="AJ19" s="261"/>
      <c r="AK19" s="261"/>
      <c r="AL19" s="261"/>
    </row>
    <row r="20" spans="1:39" x14ac:dyDescent="0.2">
      <c r="A20" t="s">
        <v>984</v>
      </c>
    </row>
    <row r="21" spans="1:39" x14ac:dyDescent="0.2">
      <c r="A21" s="291" t="s">
        <v>985</v>
      </c>
      <c r="B21" s="291"/>
      <c r="C21" s="291"/>
      <c r="D21" s="291"/>
      <c r="E21" s="291"/>
      <c r="F21" s="291"/>
      <c r="G21" s="291"/>
      <c r="H21" s="291"/>
      <c r="I21" s="291"/>
      <c r="J21" s="291"/>
      <c r="K21" s="291"/>
      <c r="L21" s="291"/>
      <c r="M21" s="291"/>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1"/>
      <c r="AK21" s="291"/>
      <c r="AL21" s="291"/>
    </row>
    <row r="22" spans="1:39" x14ac:dyDescent="0.2">
      <c r="A22" s="288"/>
      <c r="B22" s="288"/>
      <c r="C22" s="288"/>
      <c r="D22" s="288"/>
      <c r="E22" s="288"/>
      <c r="F22" s="288"/>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8"/>
      <c r="AJ22" s="288"/>
      <c r="AK22" s="288"/>
      <c r="AL22" s="288"/>
    </row>
    <row r="23" spans="1:39" x14ac:dyDescent="0.2">
      <c r="A23" t="s">
        <v>986</v>
      </c>
      <c r="I23" s="266" t="s">
        <v>987</v>
      </c>
      <c r="J23" s="266"/>
      <c r="K23" s="266"/>
      <c r="L23" s="266"/>
      <c r="M23" s="266"/>
      <c r="N23" s="266"/>
      <c r="O23" s="266"/>
      <c r="P23" s="266"/>
      <c r="Q23" s="266"/>
      <c r="R23" s="266"/>
      <c r="S23" s="266"/>
      <c r="T23" s="266"/>
      <c r="U23" s="266"/>
      <c r="V23" s="266"/>
      <c r="W23" s="266"/>
      <c r="X23" s="266"/>
      <c r="Y23" s="266"/>
      <c r="Z23" s="266"/>
      <c r="AA23" s="266"/>
      <c r="AB23" s="266"/>
      <c r="AC23" s="266"/>
      <c r="AD23" s="266"/>
      <c r="AE23" s="266"/>
      <c r="AF23" s="266"/>
      <c r="AG23" s="266"/>
      <c r="AH23" s="266"/>
      <c r="AI23" s="266"/>
      <c r="AJ23" s="266"/>
      <c r="AK23" s="266"/>
      <c r="AL23" s="266"/>
    </row>
    <row r="24" spans="1:39" x14ac:dyDescent="0.2">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8"/>
      <c r="AJ24" s="288"/>
      <c r="AK24" s="288"/>
      <c r="AL24" s="288"/>
    </row>
    <row r="25" spans="1:39" ht="12.75" customHeight="1" x14ac:dyDescent="0.2">
      <c r="D25" s="260" t="s">
        <v>988</v>
      </c>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c r="AE25" s="260"/>
      <c r="AF25" s="260"/>
      <c r="AG25" s="260"/>
      <c r="AH25" s="260"/>
      <c r="AI25" s="260"/>
      <c r="AJ25" s="260"/>
      <c r="AK25" s="260"/>
      <c r="AL25" s="14"/>
      <c r="AM25" s="14"/>
    </row>
    <row r="26" spans="1:39" x14ac:dyDescent="0.2">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c r="AE26" s="260"/>
      <c r="AF26" s="260"/>
      <c r="AG26" s="260"/>
      <c r="AH26" s="260"/>
      <c r="AI26" s="260"/>
      <c r="AJ26" s="260"/>
      <c r="AK26" s="260"/>
      <c r="AL26" s="14"/>
      <c r="AM26" s="14"/>
    </row>
    <row r="27" spans="1:39" x14ac:dyDescent="0.2">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14"/>
      <c r="AM27" s="14"/>
    </row>
    <row r="28" spans="1:39" x14ac:dyDescent="0.2">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c r="AE28" s="260"/>
      <c r="AF28" s="260"/>
      <c r="AG28" s="260"/>
      <c r="AH28" s="260"/>
      <c r="AI28" s="260"/>
      <c r="AJ28" s="260"/>
      <c r="AK28" s="260"/>
      <c r="AL28" s="14"/>
      <c r="AM28" s="14"/>
    </row>
    <row r="29" spans="1:39" x14ac:dyDescent="0.2">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c r="AE29" s="260"/>
      <c r="AF29" s="260"/>
      <c r="AG29" s="260"/>
      <c r="AH29" s="260"/>
      <c r="AI29" s="260"/>
      <c r="AJ29" s="260"/>
      <c r="AK29" s="260"/>
      <c r="AL29" s="14"/>
      <c r="AM29" s="14"/>
    </row>
    <row r="30" spans="1:39" x14ac:dyDescent="0.2">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c r="AE30" s="260"/>
      <c r="AF30" s="260"/>
      <c r="AG30" s="260"/>
      <c r="AH30" s="260"/>
      <c r="AI30" s="260"/>
      <c r="AJ30" s="260"/>
      <c r="AK30" s="260"/>
      <c r="AL30" s="14"/>
      <c r="AM30" s="14"/>
    </row>
    <row r="31" spans="1:39" x14ac:dyDescent="0.2">
      <c r="E31" s="40" t="s">
        <v>741</v>
      </c>
      <c r="F31" t="s">
        <v>989</v>
      </c>
      <c r="AE31" s="240"/>
      <c r="AF31" s="240"/>
      <c r="AG31" s="240"/>
      <c r="AH31" s="240"/>
      <c r="AI31" s="240"/>
      <c r="AJ31" s="240"/>
      <c r="AK31" s="240"/>
    </row>
    <row r="32" spans="1:39" ht="15" x14ac:dyDescent="0.2">
      <c r="E32" s="41" t="s">
        <v>990</v>
      </c>
      <c r="F32" t="s">
        <v>991</v>
      </c>
      <c r="AE32" s="261" t="s">
        <v>992</v>
      </c>
      <c r="AF32" s="261"/>
      <c r="AG32" s="261"/>
      <c r="AH32" s="261"/>
      <c r="AI32" s="261"/>
      <c r="AJ32" s="261"/>
      <c r="AK32" s="261"/>
      <c r="AL32" s="8"/>
      <c r="AM32" s="8"/>
    </row>
    <row r="33" spans="1:39" ht="12.75" customHeight="1" x14ac:dyDescent="0.2">
      <c r="E33" s="40" t="s">
        <v>741</v>
      </c>
      <c r="F33" s="260" t="s">
        <v>993</v>
      </c>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c r="AE33" s="260"/>
      <c r="AF33" s="260"/>
      <c r="AG33" s="260"/>
      <c r="AH33" s="260"/>
      <c r="AI33" s="260"/>
      <c r="AJ33" s="260"/>
      <c r="AK33" s="260"/>
      <c r="AL33" s="5"/>
      <c r="AM33" s="5"/>
    </row>
    <row r="34" spans="1:39" x14ac:dyDescent="0.2">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c r="AE34" s="260"/>
      <c r="AF34" s="260"/>
      <c r="AG34" s="260"/>
      <c r="AH34" s="260"/>
      <c r="AI34" s="260"/>
      <c r="AJ34" s="260"/>
      <c r="AK34" s="260"/>
      <c r="AL34" s="5"/>
      <c r="AM34" s="5"/>
    </row>
    <row r="35" spans="1:39" ht="12.75" customHeight="1" x14ac:dyDescent="0.2">
      <c r="D35" s="469" t="s">
        <v>994</v>
      </c>
      <c r="E35" s="469"/>
      <c r="F35" s="469"/>
      <c r="G35" s="469"/>
      <c r="H35" s="469"/>
      <c r="I35" s="469"/>
      <c r="J35" s="469"/>
      <c r="K35" s="469"/>
      <c r="L35" s="469"/>
      <c r="M35" s="469"/>
      <c r="N35" s="469"/>
      <c r="O35" s="469"/>
      <c r="P35" s="469"/>
      <c r="Q35" s="469"/>
      <c r="R35" s="469"/>
      <c r="S35" s="469"/>
      <c r="T35" s="469"/>
      <c r="U35" s="469"/>
      <c r="V35" s="469"/>
      <c r="W35" s="469"/>
      <c r="X35" s="469"/>
      <c r="Y35" s="469"/>
      <c r="Z35" s="469"/>
      <c r="AA35" s="469"/>
      <c r="AB35" s="469"/>
      <c r="AC35" s="469"/>
      <c r="AD35" s="469"/>
      <c r="AE35" s="469"/>
      <c r="AF35" s="469"/>
      <c r="AG35" s="469"/>
      <c r="AH35" s="469"/>
      <c r="AI35" s="469"/>
      <c r="AJ35" s="469"/>
      <c r="AK35" s="469"/>
      <c r="AL35" s="97"/>
      <c r="AM35" s="97"/>
    </row>
    <row r="36" spans="1:39" x14ac:dyDescent="0.2">
      <c r="D36" s="469"/>
      <c r="E36" s="469"/>
      <c r="F36" s="469"/>
      <c r="G36" s="469"/>
      <c r="H36" s="469"/>
      <c r="I36" s="469"/>
      <c r="J36" s="469"/>
      <c r="K36" s="469"/>
      <c r="L36" s="469"/>
      <c r="M36" s="469"/>
      <c r="N36" s="469"/>
      <c r="O36" s="469"/>
      <c r="P36" s="469"/>
      <c r="Q36" s="469"/>
      <c r="R36" s="469"/>
      <c r="S36" s="469"/>
      <c r="T36" s="469"/>
      <c r="U36" s="469"/>
      <c r="V36" s="469"/>
      <c r="W36" s="469"/>
      <c r="X36" s="469"/>
      <c r="Y36" s="469"/>
      <c r="Z36" s="469"/>
      <c r="AA36" s="469"/>
      <c r="AB36" s="469"/>
      <c r="AC36" s="469"/>
      <c r="AD36" s="469"/>
      <c r="AE36" s="469"/>
      <c r="AF36" s="469"/>
      <c r="AG36" s="469"/>
      <c r="AH36" s="469"/>
      <c r="AI36" s="469"/>
      <c r="AJ36" s="469"/>
      <c r="AK36" s="469"/>
      <c r="AL36" s="97"/>
      <c r="AM36" s="97"/>
    </row>
    <row r="38" spans="1:39" x14ac:dyDescent="0.2">
      <c r="A38" s="269">
        <f>Data!B34</f>
        <v>0</v>
      </c>
      <c r="B38" s="267"/>
      <c r="C38" s="267"/>
      <c r="D38" s="267"/>
      <c r="E38" s="267"/>
      <c r="F38" s="267"/>
      <c r="G38" s="267"/>
      <c r="H38" s="267"/>
      <c r="I38" s="267"/>
      <c r="J38" s="267"/>
      <c r="K38" s="267"/>
      <c r="L38" s="267"/>
      <c r="M38" s="267"/>
      <c r="N38" s="267"/>
      <c r="O38" s="267"/>
      <c r="P38" s="267"/>
      <c r="V38" s="266"/>
      <c r="W38" s="266"/>
      <c r="X38" s="266"/>
      <c r="Y38" s="266"/>
      <c r="Z38" s="266"/>
      <c r="AA38" s="266"/>
      <c r="AB38" s="266"/>
      <c r="AC38" s="266"/>
      <c r="AD38" s="266"/>
      <c r="AE38" s="266"/>
      <c r="AF38" s="266"/>
      <c r="AG38" s="266"/>
      <c r="AH38" s="266"/>
      <c r="AI38" s="266"/>
      <c r="AJ38" s="266"/>
      <c r="AK38" s="266"/>
    </row>
    <row r="39" spans="1:39" x14ac:dyDescent="0.2">
      <c r="A39" s="240" t="s">
        <v>992</v>
      </c>
      <c r="B39" s="240"/>
      <c r="C39" s="240"/>
      <c r="D39" s="240"/>
      <c r="E39" s="240"/>
      <c r="F39" s="240"/>
      <c r="G39" s="240"/>
      <c r="H39" s="240"/>
      <c r="I39" s="240"/>
      <c r="J39" s="240"/>
      <c r="K39" s="240"/>
      <c r="L39" s="240"/>
      <c r="M39" s="240"/>
      <c r="N39" s="240"/>
      <c r="O39" s="240"/>
      <c r="P39" s="240"/>
      <c r="V39" s="240" t="s">
        <v>995</v>
      </c>
      <c r="W39" s="240"/>
      <c r="X39" s="240"/>
      <c r="Y39" s="240"/>
      <c r="Z39" s="240"/>
      <c r="AA39" s="240"/>
      <c r="AB39" s="240"/>
      <c r="AC39" s="240"/>
      <c r="AD39" s="240"/>
      <c r="AE39" s="240"/>
      <c r="AF39" s="240"/>
      <c r="AG39" s="240"/>
      <c r="AH39" s="240"/>
      <c r="AI39" s="240"/>
      <c r="AJ39" s="240"/>
      <c r="AK39" s="240"/>
      <c r="AL39" s="240"/>
    </row>
    <row r="42" spans="1:39" x14ac:dyDescent="0.2">
      <c r="A42" s="266"/>
      <c r="B42" s="266"/>
      <c r="C42" s="266"/>
      <c r="D42" s="266"/>
      <c r="E42" s="266"/>
      <c r="F42" s="266"/>
      <c r="G42" s="266"/>
      <c r="H42" s="266"/>
      <c r="I42" s="266"/>
      <c r="J42" s="266"/>
      <c r="K42" s="266"/>
      <c r="L42" s="266"/>
      <c r="M42" s="266"/>
      <c r="N42" s="266"/>
      <c r="O42" s="266"/>
      <c r="P42" s="266"/>
      <c r="V42" s="266"/>
      <c r="W42" s="266"/>
      <c r="X42" s="266"/>
      <c r="Y42" s="266"/>
      <c r="Z42" s="266"/>
      <c r="AA42" s="266"/>
      <c r="AB42" s="266"/>
      <c r="AC42" s="266"/>
      <c r="AD42" s="266"/>
      <c r="AE42" s="266"/>
      <c r="AF42" s="266"/>
      <c r="AG42" s="266"/>
      <c r="AH42" s="266"/>
      <c r="AI42" s="266"/>
      <c r="AJ42" s="266"/>
      <c r="AK42" s="266"/>
    </row>
    <row r="43" spans="1:39" x14ac:dyDescent="0.2">
      <c r="A43" s="240" t="s">
        <v>996</v>
      </c>
      <c r="B43" s="240"/>
      <c r="C43" s="240"/>
      <c r="D43" s="240"/>
      <c r="E43" s="240"/>
      <c r="F43" s="240"/>
      <c r="G43" s="240"/>
      <c r="H43" s="240"/>
      <c r="I43" s="14"/>
      <c r="J43" s="14"/>
      <c r="K43" s="260" t="s">
        <v>997</v>
      </c>
      <c r="L43" s="260"/>
      <c r="M43" s="260"/>
      <c r="N43" s="260"/>
      <c r="O43" s="260"/>
      <c r="P43" s="14"/>
      <c r="V43" s="260" t="s">
        <v>998</v>
      </c>
      <c r="W43" s="260"/>
      <c r="X43" s="260"/>
      <c r="Y43" s="260"/>
      <c r="Z43" s="260"/>
      <c r="AA43" s="260"/>
      <c r="AB43" s="260"/>
      <c r="AC43" s="260"/>
      <c r="AD43" s="260"/>
      <c r="AE43" s="260"/>
      <c r="AF43" s="260"/>
      <c r="AG43" s="260"/>
      <c r="AH43" s="260"/>
      <c r="AI43" s="260"/>
      <c r="AJ43" s="217" t="s">
        <v>992</v>
      </c>
      <c r="AK43" s="217"/>
      <c r="AL43" s="217"/>
    </row>
    <row r="44" spans="1:39" x14ac:dyDescent="0.2">
      <c r="I44" s="14"/>
      <c r="J44" s="14"/>
      <c r="K44" s="260"/>
      <c r="L44" s="260"/>
      <c r="M44" s="260"/>
      <c r="N44" s="260"/>
      <c r="O44" s="260"/>
      <c r="P44" s="14"/>
      <c r="V44" s="260"/>
      <c r="W44" s="260"/>
      <c r="X44" s="260"/>
      <c r="Y44" s="260"/>
      <c r="Z44" s="260"/>
      <c r="AA44" s="260"/>
      <c r="AB44" s="260"/>
      <c r="AC44" s="260"/>
      <c r="AD44" s="260"/>
      <c r="AE44" s="260"/>
      <c r="AF44" s="260"/>
      <c r="AG44" s="260"/>
      <c r="AH44" s="260"/>
      <c r="AI44" s="260"/>
      <c r="AJ44" s="5"/>
      <c r="AK44" s="5"/>
    </row>
    <row r="45" spans="1:39" x14ac:dyDescent="0.2">
      <c r="I45" s="14"/>
      <c r="J45" s="14"/>
      <c r="K45" s="260"/>
      <c r="L45" s="260"/>
      <c r="M45" s="260"/>
      <c r="N45" s="260"/>
      <c r="O45" s="260"/>
      <c r="P45" s="14"/>
      <c r="V45" s="260"/>
      <c r="W45" s="260"/>
      <c r="X45" s="260"/>
      <c r="Y45" s="260"/>
      <c r="Z45" s="260"/>
      <c r="AA45" s="260"/>
      <c r="AB45" s="260"/>
      <c r="AC45" s="260"/>
      <c r="AD45" s="260"/>
      <c r="AE45" s="260"/>
      <c r="AF45" s="260"/>
      <c r="AG45" s="260"/>
      <c r="AH45" s="260"/>
      <c r="AI45" s="260"/>
    </row>
    <row r="46" spans="1:39" ht="13.5" thickBot="1" x14ac:dyDescent="0.25">
      <c r="A46" s="39"/>
      <c r="B46" s="39"/>
      <c r="C46" s="39"/>
      <c r="D46" s="39"/>
      <c r="E46" s="39"/>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row>
    <row r="47" spans="1:39" ht="13.5" thickTop="1" x14ac:dyDescent="0.2">
      <c r="A47" s="471" t="s">
        <v>999</v>
      </c>
      <c r="B47" s="471"/>
      <c r="C47" s="471"/>
      <c r="D47" s="471"/>
      <c r="E47" s="471"/>
      <c r="F47" s="471"/>
      <c r="G47" s="471"/>
      <c r="H47" s="471"/>
      <c r="I47" s="471"/>
      <c r="J47" s="471"/>
      <c r="K47" s="471"/>
      <c r="L47" s="471"/>
      <c r="M47" s="471"/>
      <c r="N47" s="471"/>
      <c r="O47" s="471"/>
      <c r="P47" s="471"/>
      <c r="Q47" s="471"/>
      <c r="R47" s="471"/>
      <c r="S47" s="471"/>
      <c r="T47" s="471"/>
      <c r="U47" s="471"/>
      <c r="V47" s="471"/>
      <c r="W47" s="471"/>
      <c r="X47" s="471"/>
      <c r="Y47" s="471"/>
      <c r="Z47" s="471"/>
      <c r="AA47" s="471"/>
      <c r="AB47" s="471"/>
      <c r="AC47" s="471"/>
      <c r="AD47" s="471"/>
      <c r="AE47" s="471"/>
      <c r="AF47" s="471"/>
      <c r="AG47" s="471"/>
      <c r="AH47" s="471"/>
      <c r="AI47" s="471"/>
      <c r="AJ47" s="471"/>
      <c r="AK47" s="471"/>
      <c r="AL47" s="98"/>
    </row>
    <row r="49" spans="1:37" x14ac:dyDescent="0.2">
      <c r="A49" s="470">
        <v>40909</v>
      </c>
      <c r="B49" s="470"/>
      <c r="C49" s="470"/>
      <c r="D49" s="470"/>
      <c r="E49" s="470"/>
      <c r="F49" s="470"/>
      <c r="G49" s="470"/>
      <c r="O49" s="240" t="s">
        <v>1000</v>
      </c>
      <c r="P49" s="240"/>
      <c r="Q49" s="240"/>
      <c r="R49" s="240"/>
      <c r="S49" s="240"/>
      <c r="T49" s="240"/>
      <c r="U49" s="240"/>
      <c r="V49" s="240"/>
      <c r="W49" s="240"/>
      <c r="X49" s="240"/>
      <c r="Y49" s="240"/>
      <c r="Z49" s="240"/>
      <c r="AA49" s="240"/>
      <c r="AB49" s="240"/>
      <c r="AI49" s="240" t="s">
        <v>1001</v>
      </c>
      <c r="AJ49" s="240"/>
      <c r="AK49" s="240"/>
    </row>
  </sheetData>
  <mergeCells count="35">
    <mergeCell ref="A49:G49"/>
    <mergeCell ref="O49:AB49"/>
    <mergeCell ref="AI49:AK49"/>
    <mergeCell ref="A42:P42"/>
    <mergeCell ref="V42:AK42"/>
    <mergeCell ref="A43:H43"/>
    <mergeCell ref="K43:O45"/>
    <mergeCell ref="V43:AI45"/>
    <mergeCell ref="AJ43:AL43"/>
    <mergeCell ref="A47:AK47"/>
    <mergeCell ref="A39:P39"/>
    <mergeCell ref="V39:AL39"/>
    <mergeCell ref="A21:AL21"/>
    <mergeCell ref="A22:AL22"/>
    <mergeCell ref="I23:AL23"/>
    <mergeCell ref="I24:AL24"/>
    <mergeCell ref="A38:P38"/>
    <mergeCell ref="V38:AK38"/>
    <mergeCell ref="D25:AK30"/>
    <mergeCell ref="D35:AK36"/>
    <mergeCell ref="F33:AK34"/>
    <mergeCell ref="AE31:AK31"/>
    <mergeCell ref="AE32:AK32"/>
    <mergeCell ref="H19:AL19"/>
    <mergeCell ref="A1:P8"/>
    <mergeCell ref="R1:AK1"/>
    <mergeCell ref="R3:AK3"/>
    <mergeCell ref="A10:AL10"/>
    <mergeCell ref="P12:AL12"/>
    <mergeCell ref="P13:AL13"/>
    <mergeCell ref="P14:AL14"/>
    <mergeCell ref="P15:AL15"/>
    <mergeCell ref="H16:AL16"/>
    <mergeCell ref="H17:AL17"/>
    <mergeCell ref="H18:AL18"/>
  </mergeCells>
  <pageMargins left="0.25" right="0.25" top="0.75" bottom="0.75" header="0.3" footer="0.3"/>
  <pageSetup orientation="portrait" horizontalDpi="4294967293" verticalDpi="1200" r:id="rId1"/>
  <headerFooter>
    <oddHeader>&amp;L&amp;G&amp;RAppendix L</oddHeader>
    <oddFooter>&amp;LPS&amp;C3088 Mercer University Drive Suite 100 Atlanta, GA 30341
678-310-6305 Fax 404-935-6110&amp;RM</oddFooter>
  </headerFooter>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1">
    <tabColor rgb="FF7030A0"/>
  </sheetPr>
  <dimension ref="A1:AL52"/>
  <sheetViews>
    <sheetView showZeros="0" view="pageLayout" zoomScaleNormal="100" workbookViewId="0">
      <selection activeCell="AL6" sqref="AL6"/>
    </sheetView>
  </sheetViews>
  <sheetFormatPr defaultColWidth="2.7109375" defaultRowHeight="12.75" x14ac:dyDescent="0.2"/>
  <sheetData>
    <row r="1" spans="1:38" x14ac:dyDescent="0.2">
      <c r="A1" t="s">
        <v>336</v>
      </c>
      <c r="E1" s="233" t="str">
        <f>_xlfn.CONCAT(Data!B2,", ",Data!B3," ",Data!B4)</f>
        <v xml:space="preserve">,  </v>
      </c>
      <c r="F1" s="233"/>
      <c r="G1" s="233"/>
      <c r="H1" s="233"/>
      <c r="I1" s="233"/>
      <c r="J1" s="233"/>
      <c r="K1" s="233"/>
      <c r="L1" s="233"/>
      <c r="M1" s="233"/>
      <c r="N1" s="233"/>
      <c r="O1" s="233"/>
      <c r="P1" s="233"/>
      <c r="R1" t="s">
        <v>371</v>
      </c>
      <c r="T1" s="218">
        <f>Data!B14</f>
        <v>0</v>
      </c>
      <c r="U1" s="218"/>
      <c r="V1" s="218"/>
      <c r="W1" s="218"/>
      <c r="X1" s="218"/>
      <c r="Y1" s="218"/>
      <c r="Z1" t="s">
        <v>920</v>
      </c>
      <c r="AE1" s="233" t="str">
        <f>IF(Data!B178=TRUE,"Medicaid","")</f>
        <v/>
      </c>
      <c r="AF1" s="233"/>
      <c r="AG1" s="233"/>
      <c r="AH1" s="233"/>
      <c r="AI1" s="233"/>
      <c r="AJ1" s="233"/>
      <c r="AK1" s="233"/>
      <c r="AL1" s="233"/>
    </row>
    <row r="2" spans="1:38" x14ac:dyDescent="0.2">
      <c r="A2" t="s">
        <v>343</v>
      </c>
      <c r="D2" s="233" t="str">
        <f>_xlfn.CONCAT(Data!B5," ",IF(Data!B6="","","Apt"&amp;Data!B6)," ",Data!B7,", ",Data!B8," ",Data!B9)</f>
        <v xml:space="preserve">  ,  </v>
      </c>
      <c r="E2" s="233"/>
      <c r="F2" s="233"/>
      <c r="G2" s="233"/>
      <c r="H2" s="233"/>
      <c r="I2" s="233"/>
      <c r="J2" s="233"/>
      <c r="K2" s="233"/>
      <c r="L2" s="233"/>
      <c r="M2" s="233"/>
      <c r="N2" s="233"/>
      <c r="O2" s="233"/>
      <c r="P2" s="233"/>
      <c r="Q2" s="233"/>
      <c r="R2" s="233"/>
      <c r="S2" s="233"/>
      <c r="T2" s="233"/>
      <c r="U2" s="233"/>
      <c r="V2" s="233"/>
      <c r="W2" s="233"/>
      <c r="X2" s="233"/>
      <c r="Y2" s="233"/>
      <c r="Z2" s="233"/>
      <c r="AA2" s="233"/>
      <c r="AB2" s="233"/>
      <c r="AC2" s="233"/>
      <c r="AE2" s="233" t="str">
        <f>IF(Data!B179=TRUE,"Personal Care","")</f>
        <v/>
      </c>
      <c r="AF2" s="233"/>
      <c r="AG2" s="233"/>
      <c r="AH2" s="233"/>
      <c r="AI2" s="233"/>
      <c r="AJ2" s="233"/>
      <c r="AK2" s="233"/>
      <c r="AL2" s="233"/>
    </row>
    <row r="3" spans="1:38" x14ac:dyDescent="0.2">
      <c r="A3" t="s">
        <v>668</v>
      </c>
      <c r="D3" s="233">
        <f>Data!B10</f>
        <v>0</v>
      </c>
      <c r="E3" s="233"/>
      <c r="F3" s="233"/>
      <c r="G3" s="233"/>
      <c r="H3" s="233"/>
      <c r="I3" s="233"/>
      <c r="J3" s="233"/>
      <c r="K3" t="s">
        <v>669</v>
      </c>
      <c r="P3" s="472" t="str">
        <f>IF(Data!B11&lt;&gt;"",TEXT(Data!B11,"(###) ###-####"),"No home phone.")</f>
        <v>No home phone.</v>
      </c>
      <c r="Q3" s="472"/>
      <c r="R3" s="472"/>
      <c r="S3" s="472"/>
      <c r="T3" s="472"/>
      <c r="U3" s="472"/>
      <c r="V3" s="472"/>
      <c r="AE3" s="233" t="str">
        <f>IF(Data!B180=TRUE,"Companion Care","")</f>
        <v/>
      </c>
      <c r="AF3" s="233"/>
      <c r="AG3" s="233"/>
      <c r="AH3" s="233"/>
      <c r="AI3" s="233"/>
      <c r="AJ3" s="233"/>
      <c r="AK3" s="233"/>
      <c r="AL3" s="233"/>
    </row>
    <row r="4" spans="1:38" s="187" customFormat="1" x14ac:dyDescent="0.2">
      <c r="D4" s="189"/>
      <c r="E4" s="189"/>
      <c r="F4" s="189"/>
      <c r="G4" s="189"/>
      <c r="H4" s="189"/>
      <c r="I4" s="189"/>
      <c r="J4" s="189"/>
      <c r="P4" s="191"/>
      <c r="Q4" s="191"/>
      <c r="R4" s="191"/>
      <c r="S4" s="191"/>
      <c r="T4" s="191"/>
      <c r="U4" s="191"/>
      <c r="V4" s="191"/>
      <c r="AE4" s="233" t="str">
        <f>IF(Data!B1604=TRUE, "Skilled Nursing","")</f>
        <v/>
      </c>
      <c r="AF4" s="233"/>
      <c r="AG4" s="233"/>
      <c r="AH4" s="233"/>
      <c r="AI4" s="233"/>
      <c r="AJ4" s="233"/>
      <c r="AK4" s="233"/>
      <c r="AL4" s="233"/>
    </row>
    <row r="5" spans="1:38" x14ac:dyDescent="0.2">
      <c r="A5" t="s">
        <v>921</v>
      </c>
      <c r="F5" s="233" t="str">
        <f>IF(Data!B13="","N/A",Data!B13)</f>
        <v>N/A</v>
      </c>
      <c r="G5" s="233"/>
      <c r="H5" s="233"/>
      <c r="I5" s="233"/>
      <c r="J5" s="233"/>
      <c r="K5" s="233"/>
      <c r="L5" s="233"/>
      <c r="M5" s="233"/>
      <c r="N5" s="233"/>
      <c r="O5" s="233"/>
      <c r="P5" s="233"/>
      <c r="Q5" s="233"/>
      <c r="R5" s="233"/>
      <c r="S5" s="233"/>
      <c r="T5" s="233"/>
      <c r="U5" s="233"/>
      <c r="W5" t="s">
        <v>670</v>
      </c>
      <c r="AB5" s="298" t="str">
        <f>IF(Data!B12&lt;&gt;"",TEXT(Data!B12,"(###) ###-####"),"No cell phone.")</f>
        <v>No cell phone.</v>
      </c>
      <c r="AC5" s="298"/>
      <c r="AD5" s="298"/>
      <c r="AE5" s="298"/>
      <c r="AF5" s="298"/>
      <c r="AG5" s="298"/>
      <c r="AH5" s="298"/>
    </row>
    <row r="6" spans="1:38" x14ac:dyDescent="0.2">
      <c r="A6" t="s">
        <v>922</v>
      </c>
      <c r="F6" s="218">
        <f>Data!B30</f>
        <v>0</v>
      </c>
      <c r="G6" s="219"/>
      <c r="H6" s="219"/>
      <c r="I6" s="219"/>
      <c r="J6" s="219"/>
      <c r="L6" t="s">
        <v>924</v>
      </c>
      <c r="Q6" s="280">
        <f>Data!B32</f>
        <v>0</v>
      </c>
      <c r="R6" s="310"/>
      <c r="S6" s="310"/>
      <c r="T6" s="310"/>
      <c r="U6" s="310"/>
      <c r="W6" t="s">
        <v>582</v>
      </c>
      <c r="AB6" s="218">
        <f>Data!B33</f>
        <v>0</v>
      </c>
      <c r="AC6" s="219"/>
      <c r="AD6" s="219"/>
      <c r="AE6" s="219"/>
      <c r="AF6" s="219"/>
    </row>
    <row r="7" spans="1:38" x14ac:dyDescent="0.2">
      <c r="A7" t="s">
        <v>923</v>
      </c>
      <c r="F7" s="219">
        <f>Data!B31</f>
        <v>0</v>
      </c>
      <c r="G7" s="219"/>
      <c r="H7" s="219"/>
      <c r="I7" s="219"/>
      <c r="J7" s="219"/>
      <c r="K7" s="219"/>
      <c r="L7" s="219"/>
      <c r="M7" s="219"/>
      <c r="N7" s="219"/>
      <c r="O7" s="219"/>
      <c r="P7" s="219"/>
      <c r="Q7" s="219"/>
      <c r="R7" s="219"/>
      <c r="S7" s="219"/>
      <c r="T7" s="219"/>
      <c r="U7" s="219"/>
      <c r="W7" t="s">
        <v>948</v>
      </c>
      <c r="AC7" s="218">
        <f>Data!B35</f>
        <v>0</v>
      </c>
      <c r="AD7" s="218"/>
      <c r="AE7" s="218"/>
      <c r="AF7" s="218"/>
      <c r="AG7" s="218"/>
      <c r="AH7" s="7"/>
      <c r="AI7" s="7"/>
      <c r="AJ7" s="7"/>
    </row>
    <row r="8" spans="1:38" x14ac:dyDescent="0.2">
      <c r="A8" s="340" t="s">
        <v>926</v>
      </c>
      <c r="B8" s="340"/>
      <c r="C8" s="340"/>
      <c r="D8" s="340"/>
      <c r="E8" s="340"/>
      <c r="F8" s="340"/>
      <c r="G8" s="340"/>
      <c r="H8" s="340"/>
      <c r="I8" s="340"/>
      <c r="J8" s="340"/>
      <c r="K8" s="340"/>
      <c r="L8" s="340"/>
      <c r="M8" s="340"/>
      <c r="N8" s="340"/>
      <c r="O8" s="340"/>
      <c r="P8" s="340"/>
      <c r="Q8" s="340"/>
      <c r="R8" s="340"/>
      <c r="S8" s="340"/>
      <c r="T8" s="340"/>
      <c r="U8" s="340"/>
      <c r="V8" s="340"/>
      <c r="W8" s="340"/>
      <c r="X8" s="340"/>
      <c r="Y8" s="340"/>
      <c r="Z8" s="340"/>
      <c r="AA8" s="340"/>
      <c r="AB8" s="340"/>
      <c r="AC8" s="340"/>
      <c r="AD8" s="340"/>
      <c r="AE8" s="340"/>
      <c r="AF8" s="340"/>
      <c r="AG8" s="340"/>
      <c r="AH8" s="340"/>
      <c r="AI8" s="340"/>
      <c r="AJ8" s="340"/>
      <c r="AK8" s="340"/>
      <c r="AL8" s="340"/>
    </row>
    <row r="9" spans="1:38" x14ac:dyDescent="0.2">
      <c r="A9" s="255">
        <f>Data!B177</f>
        <v>0</v>
      </c>
      <c r="B9" s="255"/>
      <c r="C9" s="255"/>
      <c r="D9" s="255"/>
      <c r="E9" s="255"/>
      <c r="F9" s="255"/>
      <c r="G9" s="255"/>
      <c r="H9" s="255"/>
      <c r="I9" s="255"/>
      <c r="J9" s="255"/>
      <c r="K9" s="255"/>
      <c r="L9" s="255"/>
      <c r="M9" s="255"/>
      <c r="N9" s="255"/>
      <c r="O9" s="255"/>
      <c r="P9" s="255"/>
      <c r="Q9" s="255"/>
      <c r="R9" s="255"/>
      <c r="S9" s="255"/>
      <c r="T9" s="255"/>
      <c r="U9" s="255"/>
      <c r="V9" s="255"/>
      <c r="W9" s="255"/>
      <c r="X9" s="255"/>
      <c r="Y9" s="255"/>
      <c r="Z9" s="255"/>
      <c r="AA9" s="255"/>
      <c r="AB9" s="255"/>
      <c r="AC9" s="255"/>
      <c r="AD9" s="255"/>
      <c r="AE9" s="255"/>
      <c r="AF9" s="255"/>
      <c r="AG9" s="255"/>
      <c r="AH9" s="255"/>
      <c r="AI9" s="255"/>
      <c r="AJ9" s="255"/>
      <c r="AK9" s="255"/>
      <c r="AL9" s="255"/>
    </row>
    <row r="10" spans="1:38" x14ac:dyDescent="0.2">
      <c r="A10" s="255"/>
      <c r="B10" s="255"/>
      <c r="C10" s="255"/>
      <c r="D10" s="255"/>
      <c r="E10" s="255"/>
      <c r="F10" s="255"/>
      <c r="G10" s="255"/>
      <c r="H10" s="255"/>
      <c r="I10" s="255"/>
      <c r="J10" s="255"/>
      <c r="K10" s="255"/>
      <c r="L10" s="255"/>
      <c r="M10" s="255"/>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c r="AL10" s="255"/>
    </row>
    <row r="11" spans="1:38" x14ac:dyDescent="0.2">
      <c r="A11" s="340" t="s">
        <v>960</v>
      </c>
      <c r="B11" s="340"/>
      <c r="C11" s="340"/>
      <c r="D11" s="340"/>
      <c r="E11" s="340"/>
      <c r="F11" s="340"/>
      <c r="G11" s="340"/>
      <c r="H11" s="340"/>
      <c r="I11" s="340"/>
      <c r="J11" s="340"/>
      <c r="K11" s="340"/>
      <c r="L11" s="340"/>
      <c r="M11" s="340"/>
      <c r="N11" s="340"/>
      <c r="O11" s="340"/>
      <c r="P11" s="340"/>
      <c r="Q11" s="340"/>
      <c r="R11" s="340"/>
      <c r="S11" s="340"/>
      <c r="T11" s="340"/>
      <c r="U11" s="340"/>
      <c r="V11" s="340"/>
      <c r="W11" s="340"/>
      <c r="X11" s="340"/>
      <c r="Y11" s="340"/>
      <c r="Z11" s="340"/>
      <c r="AA11" s="340"/>
      <c r="AB11" s="340"/>
      <c r="AC11" s="340"/>
      <c r="AD11" s="340"/>
      <c r="AE11" s="340"/>
      <c r="AF11" s="340"/>
      <c r="AG11" s="340"/>
      <c r="AH11" s="340"/>
      <c r="AI11" s="340"/>
      <c r="AJ11" s="340"/>
      <c r="AK11" s="340"/>
      <c r="AL11" s="340"/>
    </row>
    <row r="12" spans="1:38" x14ac:dyDescent="0.2">
      <c r="A12" s="344" t="s">
        <v>934</v>
      </c>
      <c r="B12" s="344"/>
      <c r="C12" s="344"/>
      <c r="D12" s="344"/>
      <c r="E12" s="344"/>
      <c r="F12" s="344"/>
      <c r="G12" s="344"/>
      <c r="H12" s="344"/>
      <c r="I12" s="344"/>
      <c r="J12" s="344"/>
      <c r="K12" s="344"/>
      <c r="L12" s="344"/>
      <c r="M12" s="344"/>
      <c r="N12" s="344"/>
      <c r="O12" s="344"/>
      <c r="P12" s="344"/>
      <c r="Q12" s="344"/>
      <c r="R12" s="344"/>
      <c r="S12" s="344"/>
      <c r="T12" s="344"/>
      <c r="U12" s="344"/>
      <c r="V12" s="8"/>
      <c r="W12" s="16" t="s">
        <v>938</v>
      </c>
      <c r="X12" s="8"/>
      <c r="Y12" s="8"/>
      <c r="Z12" s="8"/>
      <c r="AA12" s="300" t="str">
        <f>schtest!C36&amp;" days per week"</f>
        <v>0 days per week</v>
      </c>
      <c r="AB12" s="300"/>
      <c r="AC12" s="300"/>
      <c r="AD12" s="300"/>
      <c r="AE12" s="300"/>
      <c r="AF12" s="300"/>
      <c r="AG12" s="8"/>
      <c r="AH12" s="8"/>
      <c r="AI12" s="8"/>
      <c r="AJ12" s="8"/>
      <c r="AK12" s="8"/>
      <c r="AL12" s="8"/>
    </row>
    <row r="13" spans="1:38" x14ac:dyDescent="0.2">
      <c r="A13" s="344" t="s">
        <v>630</v>
      </c>
      <c r="B13" s="344"/>
      <c r="C13" s="344"/>
      <c r="D13" s="344" t="s">
        <v>624</v>
      </c>
      <c r="E13" s="344"/>
      <c r="F13" s="344"/>
      <c r="G13" s="344" t="s">
        <v>932</v>
      </c>
      <c r="H13" s="344"/>
      <c r="I13" s="344"/>
      <c r="J13" s="344" t="s">
        <v>626</v>
      </c>
      <c r="K13" s="344"/>
      <c r="L13" s="344"/>
      <c r="M13" s="344" t="s">
        <v>933</v>
      </c>
      <c r="N13" s="344"/>
      <c r="O13" s="344"/>
      <c r="P13" s="344" t="s">
        <v>628</v>
      </c>
      <c r="Q13" s="344"/>
      <c r="R13" s="344"/>
      <c r="S13" s="344" t="s">
        <v>629</v>
      </c>
      <c r="T13" s="344"/>
      <c r="U13" s="344"/>
      <c r="W13" s="16" t="s">
        <v>935</v>
      </c>
      <c r="Z13" s="4" t="s">
        <v>939</v>
      </c>
    </row>
    <row r="14" spans="1:38" x14ac:dyDescent="0.2">
      <c r="A14" s="353" t="str">
        <f>_xlfn.CONCAT(Data!B367,IF(Data!B381="","",", "&amp;Data!B381),IF(Data!B395="","",", "&amp;Data!B395))</f>
        <v/>
      </c>
      <c r="B14" s="353"/>
      <c r="C14" s="353"/>
      <c r="D14" s="353" t="str">
        <f>_xlfn.CONCAT(Data!B369,IF(Data!B383="","",", "&amp;Data!B383),IF(Data!B397="","",", "&amp;Data!B397))</f>
        <v/>
      </c>
      <c r="E14" s="353"/>
      <c r="F14" s="353"/>
      <c r="G14" s="353" t="str">
        <f>_xlfn.CONCAT(Data!B371,IF(Data!B385="","",", "&amp;Data!B385),IF(Data!B399="","",", "&amp;Data!B399))</f>
        <v/>
      </c>
      <c r="H14" s="353"/>
      <c r="I14" s="353"/>
      <c r="J14" s="353" t="str">
        <f>_xlfn.CONCAT(Data!B373,IF(Data!B387="","",", "&amp;Data!B387),IF(Data!B401="","",", "&amp;Data!B401))</f>
        <v/>
      </c>
      <c r="K14" s="353"/>
      <c r="L14" s="353"/>
      <c r="M14" s="353" t="str">
        <f>_xlfn.CONCAT(Data!B375,IF(Data!B389="","",", "&amp;Data!B389),IF(Data!B403="","",", "&amp;Data!B403))</f>
        <v/>
      </c>
      <c r="N14" s="353"/>
      <c r="O14" s="353"/>
      <c r="P14" s="353" t="str">
        <f>_xlfn.CONCAT(Data!B377,IF(Data!B391="","",", "&amp;Data!B391),IF(Data!B405="","",", "&amp;Data!B405))</f>
        <v/>
      </c>
      <c r="Q14" s="353"/>
      <c r="R14" s="353"/>
      <c r="S14" s="353" t="str">
        <f>_xlfn.CONCAT(Data!B379,IF(Data!B393="","",", "&amp;Data!B393),IF(Data!B407="","",", "&amp;Data!B407))</f>
        <v/>
      </c>
      <c r="T14" s="353"/>
      <c r="U14" s="353"/>
      <c r="W14" s="16" t="s">
        <v>936</v>
      </c>
      <c r="Z14" s="4" t="s">
        <v>939</v>
      </c>
    </row>
    <row r="15" spans="1:38" x14ac:dyDescent="0.2">
      <c r="A15" s="353"/>
      <c r="B15" s="353"/>
      <c r="C15" s="353"/>
      <c r="D15" s="353"/>
      <c r="E15" s="353"/>
      <c r="F15" s="353"/>
      <c r="G15" s="353"/>
      <c r="H15" s="353"/>
      <c r="I15" s="353"/>
      <c r="J15" s="353"/>
      <c r="K15" s="353"/>
      <c r="L15" s="353"/>
      <c r="M15" s="353"/>
      <c r="N15" s="353"/>
      <c r="O15" s="353"/>
      <c r="P15" s="353"/>
      <c r="Q15" s="353"/>
      <c r="R15" s="353"/>
      <c r="S15" s="353"/>
      <c r="T15" s="353"/>
      <c r="U15" s="353"/>
      <c r="W15" s="16" t="s">
        <v>937</v>
      </c>
      <c r="AD15" s="474">
        <f>Data!G407</f>
        <v>0</v>
      </c>
      <c r="AE15" s="219"/>
      <c r="AF15" s="219"/>
      <c r="AG15" s="219"/>
      <c r="AH15" s="219"/>
    </row>
    <row r="16" spans="1:38" x14ac:dyDescent="0.2">
      <c r="A16" s="353"/>
      <c r="B16" s="353"/>
      <c r="C16" s="353"/>
      <c r="D16" s="353"/>
      <c r="E16" s="353"/>
      <c r="F16" s="353"/>
      <c r="G16" s="353"/>
      <c r="H16" s="353"/>
      <c r="I16" s="353"/>
      <c r="J16" s="353"/>
      <c r="K16" s="353"/>
      <c r="L16" s="353"/>
      <c r="M16" s="353"/>
      <c r="N16" s="353"/>
      <c r="O16" s="353"/>
      <c r="P16" s="353"/>
      <c r="Q16" s="353"/>
      <c r="R16" s="353"/>
      <c r="S16" s="353"/>
      <c r="T16" s="353"/>
      <c r="U16" s="353"/>
      <c r="W16" s="16" t="s">
        <v>949</v>
      </c>
      <c r="AD16" s="475">
        <f>IF(Data!B28="CCSP",AD15*4,AD15*2)</f>
        <v>0</v>
      </c>
      <c r="AE16" s="475"/>
      <c r="AF16" s="475"/>
      <c r="AG16" s="475"/>
      <c r="AH16" s="475"/>
      <c r="AI16" s="475"/>
    </row>
    <row r="17" spans="1:38" x14ac:dyDescent="0.2">
      <c r="A17" s="340" t="s">
        <v>950</v>
      </c>
      <c r="B17" s="340"/>
      <c r="C17" s="340"/>
      <c r="D17" s="340"/>
      <c r="E17" s="340"/>
      <c r="F17" s="340"/>
      <c r="G17" s="340"/>
      <c r="H17" s="340"/>
      <c r="I17" s="340"/>
      <c r="J17" s="340"/>
      <c r="K17" s="340"/>
      <c r="L17" s="340"/>
      <c r="M17" s="340"/>
      <c r="N17" s="340"/>
      <c r="O17" s="340"/>
      <c r="P17" s="340"/>
      <c r="Q17" s="340"/>
      <c r="R17" s="340"/>
      <c r="S17" s="340"/>
      <c r="T17" s="340"/>
      <c r="U17" s="340"/>
      <c r="V17" s="340"/>
      <c r="W17" s="340"/>
      <c r="X17" s="340"/>
      <c r="Y17" s="340"/>
      <c r="Z17" s="340"/>
      <c r="AA17" s="340"/>
      <c r="AB17" s="340"/>
      <c r="AC17" s="340"/>
      <c r="AD17" s="340"/>
      <c r="AE17" s="340"/>
      <c r="AF17" s="340"/>
      <c r="AG17" s="340"/>
      <c r="AH17" s="340"/>
      <c r="AI17" s="340"/>
      <c r="AJ17" s="340"/>
      <c r="AK17" s="340"/>
      <c r="AL17" s="340"/>
    </row>
    <row r="18" spans="1:38" x14ac:dyDescent="0.2">
      <c r="A18" t="s">
        <v>951</v>
      </c>
      <c r="G18" s="4" t="s">
        <v>70</v>
      </c>
      <c r="K18" t="s">
        <v>952</v>
      </c>
      <c r="Q18" s="233" t="str">
        <f>IF(Data!B28="CCSP","Monthly","Bi-Weekly")</f>
        <v>Bi-Weekly</v>
      </c>
      <c r="R18" s="233"/>
      <c r="S18" s="233"/>
      <c r="T18" s="233"/>
      <c r="U18" s="233"/>
      <c r="V18" s="233"/>
      <c r="W18" s="233"/>
      <c r="Y18" t="s">
        <v>583</v>
      </c>
      <c r="AD18" s="233">
        <f>Data!B28</f>
        <v>0</v>
      </c>
      <c r="AE18" s="233"/>
      <c r="AF18" s="233"/>
      <c r="AG18" s="233"/>
      <c r="AH18" s="233"/>
      <c r="AI18" s="233"/>
    </row>
    <row r="19" spans="1:38" ht="15" x14ac:dyDescent="0.2">
      <c r="A19" s="3" t="str">
        <f>IF(Data!B99=TRUE,"P","")</f>
        <v/>
      </c>
      <c r="B19" t="s">
        <v>953</v>
      </c>
      <c r="O19" t="s">
        <v>955</v>
      </c>
      <c r="U19" s="473">
        <v>5.07</v>
      </c>
      <c r="V19" s="233"/>
      <c r="W19" s="233"/>
      <c r="X19" t="s">
        <v>956</v>
      </c>
      <c r="AA19" t="s">
        <v>957</v>
      </c>
      <c r="AD19" s="473">
        <v>10.14</v>
      </c>
      <c r="AE19" s="233"/>
      <c r="AF19" s="233"/>
      <c r="AG19" t="s">
        <v>956</v>
      </c>
    </row>
    <row r="20" spans="1:38" ht="15" x14ac:dyDescent="0.2">
      <c r="A20" s="3" t="str">
        <f>IF(Data!B100=TRUE,"P","")</f>
        <v/>
      </c>
      <c r="B20" t="s">
        <v>954</v>
      </c>
      <c r="O20" t="s">
        <v>955</v>
      </c>
      <c r="U20" s="473">
        <v>4.51</v>
      </c>
      <c r="V20" s="233"/>
      <c r="W20" s="233"/>
      <c r="X20" t="s">
        <v>956</v>
      </c>
      <c r="AA20" t="s">
        <v>957</v>
      </c>
      <c r="AD20" s="473">
        <v>9.02</v>
      </c>
      <c r="AE20" s="233"/>
      <c r="AF20" s="233"/>
      <c r="AG20" t="s">
        <v>956</v>
      </c>
    </row>
    <row r="21" spans="1:38" x14ac:dyDescent="0.2">
      <c r="A21" t="s">
        <v>958</v>
      </c>
      <c r="O21" t="s">
        <v>959</v>
      </c>
      <c r="AA21" t="s">
        <v>1253</v>
      </c>
      <c r="AE21" s="476">
        <f>Data!B101</f>
        <v>0</v>
      </c>
      <c r="AF21" s="476"/>
      <c r="AG21" s="476"/>
      <c r="AH21" s="476"/>
      <c r="AI21" s="476"/>
      <c r="AJ21" s="476"/>
      <c r="AK21" s="476"/>
    </row>
    <row r="22" spans="1:38" x14ac:dyDescent="0.2">
      <c r="A22" s="340" t="s">
        <v>3471</v>
      </c>
      <c r="B22" s="340"/>
      <c r="C22" s="340"/>
      <c r="D22" s="340"/>
      <c r="E22" s="340"/>
      <c r="F22" s="340"/>
      <c r="G22" s="340"/>
      <c r="H22" s="340"/>
      <c r="I22" s="340"/>
      <c r="J22" s="340"/>
      <c r="K22" s="340"/>
      <c r="L22" s="340"/>
      <c r="M22" s="340"/>
      <c r="N22" s="340"/>
      <c r="O22" s="340"/>
      <c r="P22" s="340"/>
      <c r="Q22" s="340"/>
      <c r="R22" s="340"/>
      <c r="S22" s="340"/>
      <c r="T22" s="340"/>
      <c r="U22" s="340"/>
      <c r="V22" s="340"/>
      <c r="W22" s="340"/>
      <c r="X22" s="340"/>
      <c r="Y22" s="340"/>
      <c r="Z22" s="340"/>
      <c r="AA22" s="340"/>
      <c r="AB22" s="340"/>
      <c r="AC22" s="340"/>
      <c r="AD22" s="340"/>
      <c r="AE22" s="340"/>
      <c r="AF22" s="340"/>
      <c r="AG22" s="340"/>
      <c r="AH22" s="340"/>
      <c r="AI22" s="340"/>
      <c r="AJ22" s="340"/>
      <c r="AK22" s="340"/>
      <c r="AL22" s="340"/>
    </row>
    <row r="23" spans="1:38" x14ac:dyDescent="0.2">
      <c r="A23" s="276">
        <f>Data!B281</f>
        <v>0</v>
      </c>
      <c r="B23" s="276"/>
      <c r="C23" s="276"/>
      <c r="D23" s="260" t="s">
        <v>3364</v>
      </c>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c r="AE23" s="260"/>
      <c r="AF23" s="260"/>
      <c r="AG23" s="260"/>
      <c r="AH23" s="260"/>
      <c r="AI23" s="260"/>
      <c r="AJ23" s="260"/>
      <c r="AK23" s="260"/>
      <c r="AL23" s="260"/>
    </row>
    <row r="24" spans="1:38" x14ac:dyDescent="0.2">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c r="AE24" s="260"/>
      <c r="AF24" s="260"/>
      <c r="AG24" s="260"/>
      <c r="AH24" s="260"/>
      <c r="AI24" s="260"/>
      <c r="AJ24" s="260"/>
      <c r="AK24" s="260"/>
      <c r="AL24" s="260"/>
    </row>
    <row r="25" spans="1:38" x14ac:dyDescent="0.2">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c r="AE25" s="260"/>
      <c r="AF25" s="260"/>
      <c r="AG25" s="260"/>
      <c r="AH25" s="260"/>
      <c r="AI25" s="260"/>
      <c r="AJ25" s="260"/>
      <c r="AK25" s="260"/>
      <c r="AL25" s="260"/>
    </row>
    <row r="26" spans="1:38" x14ac:dyDescent="0.2">
      <c r="A26" s="276">
        <f>Data!B278</f>
        <v>0</v>
      </c>
      <c r="B26" s="276"/>
      <c r="C26" s="276"/>
      <c r="D26" s="260" t="s">
        <v>962</v>
      </c>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c r="AE26" s="260"/>
      <c r="AF26" s="260"/>
      <c r="AG26" s="260"/>
      <c r="AH26" s="260"/>
      <c r="AI26" s="260"/>
      <c r="AJ26" s="260"/>
      <c r="AK26" s="260"/>
      <c r="AL26" s="260"/>
    </row>
    <row r="27" spans="1:38" x14ac:dyDescent="0.2">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row>
    <row r="28" spans="1:38" x14ac:dyDescent="0.2">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c r="AE28" s="260"/>
      <c r="AF28" s="260"/>
      <c r="AG28" s="260"/>
      <c r="AH28" s="260"/>
      <c r="AI28" s="260"/>
      <c r="AJ28" s="260"/>
      <c r="AK28" s="260"/>
      <c r="AL28" s="260"/>
    </row>
    <row r="29" spans="1:38" x14ac:dyDescent="0.2">
      <c r="A29" s="340" t="s">
        <v>963</v>
      </c>
      <c r="B29" s="340"/>
      <c r="C29" s="340"/>
      <c r="D29" s="340"/>
      <c r="E29" s="340"/>
      <c r="F29" s="340"/>
      <c r="G29" s="340"/>
      <c r="H29" s="340"/>
      <c r="I29" s="340"/>
      <c r="J29" s="340"/>
      <c r="K29" s="340"/>
      <c r="L29" s="340"/>
      <c r="M29" s="340"/>
      <c r="N29" s="340"/>
      <c r="O29" s="340"/>
      <c r="P29" s="340"/>
      <c r="Q29" s="340"/>
      <c r="R29" s="340"/>
      <c r="S29" s="340"/>
      <c r="T29" s="340"/>
      <c r="U29" s="340"/>
      <c r="V29" s="340"/>
      <c r="W29" s="340"/>
      <c r="X29" s="340"/>
      <c r="Y29" s="340"/>
      <c r="Z29" s="340"/>
      <c r="AA29" s="340"/>
      <c r="AB29" s="340"/>
      <c r="AC29" s="340"/>
      <c r="AD29" s="340"/>
      <c r="AE29" s="340"/>
      <c r="AF29" s="340"/>
      <c r="AG29" s="340"/>
      <c r="AH29" s="340"/>
      <c r="AI29" s="340"/>
      <c r="AJ29" s="340"/>
      <c r="AK29" s="340"/>
      <c r="AL29" s="340"/>
    </row>
    <row r="30" spans="1:38" x14ac:dyDescent="0.2">
      <c r="A30" s="260" t="s">
        <v>964</v>
      </c>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c r="AE30" s="260"/>
      <c r="AF30" s="260"/>
      <c r="AG30" s="260"/>
      <c r="AH30" s="260"/>
      <c r="AI30" s="260"/>
      <c r="AJ30" s="260"/>
      <c r="AK30" s="260"/>
      <c r="AL30" s="260"/>
    </row>
    <row r="31" spans="1:38" x14ac:dyDescent="0.2">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c r="AE31" s="260"/>
      <c r="AF31" s="260"/>
      <c r="AG31" s="260"/>
      <c r="AH31" s="260"/>
      <c r="AI31" s="260"/>
      <c r="AJ31" s="260"/>
      <c r="AK31" s="260"/>
      <c r="AL31" s="260"/>
    </row>
    <row r="32" spans="1:38" x14ac:dyDescent="0.2">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c r="AE32" s="260"/>
      <c r="AF32" s="260"/>
      <c r="AG32" s="260"/>
      <c r="AH32" s="260"/>
      <c r="AI32" s="260"/>
      <c r="AJ32" s="260"/>
      <c r="AK32" s="260"/>
      <c r="AL32" s="260"/>
    </row>
    <row r="33" spans="1:38" x14ac:dyDescent="0.2">
      <c r="A33" t="s">
        <v>965</v>
      </c>
    </row>
    <row r="34" spans="1:38" x14ac:dyDescent="0.2">
      <c r="A34" s="340" t="s">
        <v>966</v>
      </c>
      <c r="B34" s="340"/>
      <c r="C34" s="340"/>
      <c r="D34" s="340"/>
      <c r="E34" s="340"/>
      <c r="F34" s="340"/>
      <c r="G34" s="340"/>
      <c r="H34" s="340"/>
      <c r="I34" s="340"/>
      <c r="J34" s="340"/>
      <c r="K34" s="340"/>
      <c r="L34" s="340"/>
      <c r="M34" s="340"/>
      <c r="N34" s="340"/>
      <c r="O34" s="340"/>
      <c r="P34" s="340"/>
      <c r="Q34" s="340"/>
      <c r="R34" s="340"/>
      <c r="S34" s="340"/>
      <c r="T34" s="340"/>
      <c r="U34" s="340"/>
      <c r="V34" s="340"/>
      <c r="W34" s="340"/>
      <c r="X34" s="340"/>
      <c r="Y34" s="340"/>
      <c r="Z34" s="340"/>
      <c r="AA34" s="340"/>
      <c r="AB34" s="340"/>
      <c r="AC34" s="340"/>
      <c r="AD34" s="340"/>
      <c r="AE34" s="340"/>
      <c r="AF34" s="340"/>
      <c r="AG34" s="340"/>
      <c r="AH34" s="340"/>
      <c r="AI34" s="340"/>
      <c r="AJ34" s="340"/>
      <c r="AK34" s="340"/>
      <c r="AL34" s="340"/>
    </row>
    <row r="35" spans="1:38" x14ac:dyDescent="0.2">
      <c r="A35" s="260" t="s">
        <v>967</v>
      </c>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c r="AE35" s="260"/>
      <c r="AF35" s="260"/>
      <c r="AG35" s="260"/>
      <c r="AH35" s="260"/>
      <c r="AI35" s="260"/>
      <c r="AJ35" s="260"/>
      <c r="AK35" s="260"/>
      <c r="AL35" s="260"/>
    </row>
    <row r="36" spans="1:38" x14ac:dyDescent="0.2">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c r="AE36" s="260"/>
      <c r="AF36" s="260"/>
      <c r="AG36" s="260"/>
      <c r="AH36" s="260"/>
      <c r="AI36" s="260"/>
      <c r="AJ36" s="260"/>
      <c r="AK36" s="260"/>
      <c r="AL36" s="260"/>
    </row>
    <row r="37" spans="1:38" x14ac:dyDescent="0.2">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c r="AI37" s="260"/>
      <c r="AJ37" s="260"/>
      <c r="AK37" s="260"/>
      <c r="AL37" s="260"/>
    </row>
    <row r="38" spans="1:38" x14ac:dyDescent="0.2">
      <c r="A38" t="s">
        <v>968</v>
      </c>
    </row>
    <row r="39" spans="1:38" x14ac:dyDescent="0.2">
      <c r="A39" t="s">
        <v>969</v>
      </c>
    </row>
    <row r="40" spans="1:38" x14ac:dyDescent="0.2">
      <c r="A40" s="340" t="s">
        <v>971</v>
      </c>
      <c r="B40" s="340"/>
      <c r="C40" s="340"/>
      <c r="D40" s="340"/>
      <c r="E40" s="340"/>
      <c r="F40" s="340"/>
      <c r="G40" s="340"/>
      <c r="H40" s="340"/>
      <c r="I40" s="340"/>
      <c r="J40" s="340"/>
      <c r="K40" s="340"/>
      <c r="L40" s="340"/>
      <c r="M40" s="340"/>
      <c r="N40" s="340"/>
      <c r="O40" s="340"/>
      <c r="P40" s="340"/>
      <c r="Q40" s="340"/>
      <c r="R40" s="340"/>
      <c r="S40" s="340"/>
      <c r="T40" s="340"/>
      <c r="U40" s="340"/>
      <c r="V40" s="340"/>
      <c r="W40" s="340"/>
      <c r="X40" s="340"/>
      <c r="Y40" s="340"/>
      <c r="Z40" s="340"/>
      <c r="AA40" s="340"/>
      <c r="AB40" s="340"/>
      <c r="AC40" s="340"/>
      <c r="AD40" s="340"/>
      <c r="AE40" s="340"/>
      <c r="AF40" s="340"/>
      <c r="AG40" s="340"/>
      <c r="AH40" s="340"/>
      <c r="AI40" s="340"/>
      <c r="AJ40" s="340"/>
      <c r="AK40" s="340"/>
      <c r="AL40" s="340"/>
    </row>
    <row r="41" spans="1:38" x14ac:dyDescent="0.2">
      <c r="A41" s="260" t="s">
        <v>970</v>
      </c>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c r="AE41" s="260"/>
      <c r="AF41" s="260"/>
      <c r="AG41" s="260"/>
      <c r="AH41" s="260"/>
      <c r="AI41" s="260"/>
      <c r="AJ41" s="260"/>
      <c r="AK41" s="260"/>
      <c r="AL41" s="260"/>
    </row>
    <row r="42" spans="1:38" x14ac:dyDescent="0.2">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c r="AE42" s="260"/>
      <c r="AF42" s="260"/>
      <c r="AG42" s="260"/>
      <c r="AH42" s="260"/>
      <c r="AI42" s="260"/>
      <c r="AJ42" s="260"/>
      <c r="AK42" s="260"/>
      <c r="AL42" s="260"/>
    </row>
    <row r="43" spans="1:38" x14ac:dyDescent="0.2">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c r="AE43" s="260"/>
      <c r="AF43" s="260"/>
      <c r="AG43" s="260"/>
      <c r="AH43" s="260"/>
      <c r="AI43" s="260"/>
      <c r="AJ43" s="260"/>
      <c r="AK43" s="260"/>
      <c r="AL43" s="260"/>
    </row>
    <row r="44" spans="1:38" x14ac:dyDescent="0.2">
      <c r="A44" s="14"/>
      <c r="B44" s="14"/>
      <c r="C44" s="14"/>
      <c r="D44" s="14"/>
      <c r="E44" s="14"/>
      <c r="F44" s="14"/>
      <c r="G44" s="14"/>
      <c r="H44" s="14"/>
      <c r="I44" s="14"/>
      <c r="J44" s="14"/>
      <c r="K44" s="14"/>
      <c r="L44" s="14"/>
      <c r="M44" s="14"/>
      <c r="N44" s="14"/>
      <c r="O44" s="14"/>
      <c r="P44" s="14"/>
      <c r="Q44" s="14"/>
      <c r="R44" s="14"/>
      <c r="S44" s="14"/>
      <c r="T44" s="14"/>
      <c r="U44" s="14"/>
      <c r="V44" s="14"/>
      <c r="W44" s="14"/>
      <c r="X44" s="14"/>
      <c r="Y44" s="14"/>
      <c r="Z44" s="14"/>
      <c r="AA44" s="14"/>
      <c r="AB44" s="14"/>
      <c r="AC44" s="14"/>
      <c r="AD44" s="14"/>
      <c r="AE44" s="14"/>
      <c r="AF44" s="14"/>
      <c r="AG44" s="14"/>
      <c r="AH44" s="14"/>
      <c r="AI44" s="14"/>
      <c r="AJ44" s="14"/>
      <c r="AK44" s="14"/>
      <c r="AL44" s="14"/>
    </row>
    <row r="45" spans="1:38" x14ac:dyDescent="0.2">
      <c r="A45" s="14"/>
      <c r="B45" s="14"/>
      <c r="C45" s="14"/>
      <c r="D45" s="14"/>
      <c r="E45" s="14"/>
      <c r="F45" s="14"/>
      <c r="G45" s="14"/>
      <c r="H45" s="14"/>
      <c r="I45" s="14"/>
      <c r="J45" s="14"/>
      <c r="K45" s="14"/>
      <c r="L45" s="14"/>
      <c r="M45" s="14"/>
      <c r="N45" s="14"/>
      <c r="O45" s="14"/>
      <c r="P45" s="14"/>
      <c r="Q45" s="14"/>
      <c r="R45" s="14"/>
      <c r="S45" s="14"/>
      <c r="T45" s="14"/>
      <c r="U45" s="14"/>
      <c r="V45" s="14"/>
      <c r="W45" s="14"/>
      <c r="X45" s="14"/>
      <c r="Y45" s="14"/>
      <c r="Z45" s="14"/>
      <c r="AA45" s="14"/>
      <c r="AB45" s="14"/>
      <c r="AC45" s="14"/>
      <c r="AD45" s="14"/>
      <c r="AE45" s="14"/>
      <c r="AF45" s="14"/>
      <c r="AG45" s="14"/>
      <c r="AH45" s="14"/>
      <c r="AI45" s="14"/>
      <c r="AJ45" s="14"/>
      <c r="AK45" s="14"/>
      <c r="AL45" s="14"/>
    </row>
    <row r="46" spans="1:38" x14ac:dyDescent="0.2">
      <c r="A46" s="34"/>
      <c r="B46" s="34"/>
      <c r="C46" s="34"/>
      <c r="D46" s="34"/>
      <c r="E46" s="34"/>
      <c r="F46" s="34"/>
      <c r="G46" s="34"/>
      <c r="H46" s="34"/>
      <c r="I46" s="34"/>
      <c r="J46" s="34"/>
      <c r="K46" s="34"/>
      <c r="L46" s="34"/>
      <c r="M46" s="34"/>
      <c r="N46" s="34"/>
      <c r="O46" s="34"/>
      <c r="Q46" s="269">
        <f>Data!B34</f>
        <v>0</v>
      </c>
      <c r="R46" s="267"/>
      <c r="S46" s="267"/>
      <c r="T46" s="267"/>
      <c r="U46" s="267"/>
      <c r="V46" s="267"/>
      <c r="X46" s="34"/>
      <c r="Y46" s="34"/>
      <c r="Z46" s="34"/>
      <c r="AA46" s="34"/>
      <c r="AB46" s="34"/>
      <c r="AC46" s="34"/>
      <c r="AD46" s="34"/>
      <c r="AE46" s="34"/>
      <c r="AF46" s="34"/>
      <c r="AG46" s="34"/>
      <c r="AH46" s="34"/>
      <c r="AI46" s="34"/>
      <c r="AJ46" s="34"/>
      <c r="AK46" s="34"/>
    </row>
    <row r="47" spans="1:38" x14ac:dyDescent="0.2">
      <c r="A47" t="s">
        <v>944</v>
      </c>
      <c r="Q47" t="s">
        <v>368</v>
      </c>
      <c r="X47" t="s">
        <v>943</v>
      </c>
    </row>
    <row r="51" spans="1:27" x14ac:dyDescent="0.2">
      <c r="A51" s="34"/>
      <c r="B51" s="34"/>
      <c r="C51" s="34"/>
      <c r="D51" s="34"/>
      <c r="E51" s="34"/>
      <c r="F51" s="34"/>
      <c r="G51" s="34"/>
      <c r="H51" s="34"/>
      <c r="I51" s="34"/>
      <c r="J51" s="34"/>
      <c r="K51" s="34"/>
      <c r="L51" s="34"/>
      <c r="M51" s="34"/>
      <c r="N51" s="34"/>
      <c r="O51" s="34"/>
      <c r="Q51" s="276">
        <f>Data!B175</f>
        <v>0</v>
      </c>
      <c r="R51" s="276"/>
      <c r="S51" s="276"/>
      <c r="T51" s="276"/>
      <c r="U51" s="276"/>
      <c r="V51" s="276"/>
      <c r="W51" s="276"/>
      <c r="X51" s="276"/>
      <c r="Y51" s="276"/>
      <c r="Z51" s="276"/>
      <c r="AA51" s="276"/>
    </row>
    <row r="52" spans="1:27" x14ac:dyDescent="0.2">
      <c r="A52" t="s">
        <v>2889</v>
      </c>
      <c r="Q52" t="s">
        <v>2890</v>
      </c>
    </row>
  </sheetData>
  <mergeCells count="58">
    <mergeCell ref="A26:C26"/>
    <mergeCell ref="D26:AL28"/>
    <mergeCell ref="AE21:AK21"/>
    <mergeCell ref="A22:AL22"/>
    <mergeCell ref="Q51:AA51"/>
    <mergeCell ref="A41:AL43"/>
    <mergeCell ref="Q46:V46"/>
    <mergeCell ref="A40:AL40"/>
    <mergeCell ref="A29:AL29"/>
    <mergeCell ref="A30:AL32"/>
    <mergeCell ref="A34:AL34"/>
    <mergeCell ref="A35:AL37"/>
    <mergeCell ref="A23:C23"/>
    <mergeCell ref="D23:AL25"/>
    <mergeCell ref="S13:U13"/>
    <mergeCell ref="AC7:AG7"/>
    <mergeCell ref="A12:U12"/>
    <mergeCell ref="AA12:AF12"/>
    <mergeCell ref="A13:C13"/>
    <mergeCell ref="D13:F13"/>
    <mergeCell ref="G13:I13"/>
    <mergeCell ref="J13:L13"/>
    <mergeCell ref="M13:O13"/>
    <mergeCell ref="P13:R13"/>
    <mergeCell ref="U19:W19"/>
    <mergeCell ref="AD19:AF19"/>
    <mergeCell ref="P14:R16"/>
    <mergeCell ref="U20:W20"/>
    <mergeCell ref="AD20:AF20"/>
    <mergeCell ref="AD15:AH15"/>
    <mergeCell ref="AD18:AI18"/>
    <mergeCell ref="AD16:AI16"/>
    <mergeCell ref="A17:AL17"/>
    <mergeCell ref="Q18:W18"/>
    <mergeCell ref="A14:C16"/>
    <mergeCell ref="D14:F16"/>
    <mergeCell ref="S14:U16"/>
    <mergeCell ref="G14:I16"/>
    <mergeCell ref="J14:L16"/>
    <mergeCell ref="M14:O16"/>
    <mergeCell ref="E1:P1"/>
    <mergeCell ref="AE1:AL1"/>
    <mergeCell ref="D2:AC2"/>
    <mergeCell ref="AE2:AL2"/>
    <mergeCell ref="T1:Y1"/>
    <mergeCell ref="AE3:AL3"/>
    <mergeCell ref="P3:V3"/>
    <mergeCell ref="A8:AL8"/>
    <mergeCell ref="A11:AL11"/>
    <mergeCell ref="D3:J3"/>
    <mergeCell ref="F5:U5"/>
    <mergeCell ref="F6:J6"/>
    <mergeCell ref="Q6:U6"/>
    <mergeCell ref="AB6:AF6"/>
    <mergeCell ref="F7:U7"/>
    <mergeCell ref="A9:AL10"/>
    <mergeCell ref="AB5:AH5"/>
    <mergeCell ref="AE4:AL4"/>
  </mergeCells>
  <pageMargins left="0.25" right="0.25" top="0.75" bottom="0.75" header="0.3" footer="0.3"/>
  <pageSetup orientation="portrait" horizontalDpi="4294967293" verticalDpi="1200" r:id="rId1"/>
  <headerFooter>
    <oddHeader>&amp;L&amp;G&amp;RMedicaid Service Agreement
Private Home Care Provider</oddHeader>
    <oddFooter>&amp;LPS&amp;C3088 Mercer University Drive Suite 100 Atlanta, GA 30341
678-310-6305 Fax 404-935-6110&amp;RM</oddFooter>
  </headerFooter>
  <legacyDrawingHF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7">
    <tabColor rgb="FF7030A0"/>
  </sheetPr>
  <dimension ref="A1:AL52"/>
  <sheetViews>
    <sheetView showZeros="0" view="pageLayout" zoomScaleNormal="100" workbookViewId="0">
      <selection activeCell="F6" sqref="F6:J6"/>
    </sheetView>
  </sheetViews>
  <sheetFormatPr defaultColWidth="2.7109375" defaultRowHeight="12.75" x14ac:dyDescent="0.2"/>
  <sheetData>
    <row r="1" spans="1:38" x14ac:dyDescent="0.2">
      <c r="A1" t="s">
        <v>336</v>
      </c>
      <c r="E1" s="233" t="str">
        <f>_xlfn.CONCAT(Data!B2,", ",Data!B3," ",Data!B4)</f>
        <v xml:space="preserve">,  </v>
      </c>
      <c r="F1" s="233"/>
      <c r="G1" s="233"/>
      <c r="H1" s="233"/>
      <c r="I1" s="233"/>
      <c r="J1" s="233"/>
      <c r="K1" s="233"/>
      <c r="L1" s="233"/>
      <c r="M1" s="233"/>
      <c r="N1" s="233"/>
      <c r="O1" s="233"/>
      <c r="P1" s="233"/>
      <c r="R1" t="s">
        <v>371</v>
      </c>
      <c r="T1" s="218">
        <f>Data!B14</f>
        <v>0</v>
      </c>
      <c r="U1" s="218"/>
      <c r="V1" s="218"/>
      <c r="W1" s="218"/>
      <c r="X1" s="218"/>
      <c r="Y1" s="218"/>
      <c r="Z1" t="s">
        <v>920</v>
      </c>
      <c r="AE1" s="233" t="str">
        <f>IF(Data!B178=TRUE,"Medicaid","")</f>
        <v/>
      </c>
      <c r="AF1" s="233"/>
      <c r="AG1" s="233"/>
      <c r="AH1" s="233"/>
      <c r="AI1" s="233"/>
      <c r="AJ1" s="233"/>
      <c r="AK1" s="233"/>
      <c r="AL1" s="233"/>
    </row>
    <row r="2" spans="1:38" x14ac:dyDescent="0.2">
      <c r="A2" t="s">
        <v>343</v>
      </c>
      <c r="D2" s="233" t="str">
        <f>_xlfn.CONCAT(Data!B5," ",IF(Data!B6="","","Apt"&amp;Data!B6)," ",Data!B7,", ",Data!B8," ",Data!B9)</f>
        <v xml:space="preserve">  ,  </v>
      </c>
      <c r="E2" s="233"/>
      <c r="F2" s="233"/>
      <c r="G2" s="233"/>
      <c r="H2" s="233"/>
      <c r="I2" s="233"/>
      <c r="J2" s="233"/>
      <c r="K2" s="233"/>
      <c r="L2" s="233"/>
      <c r="M2" s="233"/>
      <c r="N2" s="233"/>
      <c r="O2" s="233"/>
      <c r="P2" s="233"/>
      <c r="Q2" s="233"/>
      <c r="R2" s="233"/>
      <c r="S2" s="233"/>
      <c r="T2" s="233"/>
      <c r="U2" s="233"/>
      <c r="V2" s="233"/>
      <c r="W2" s="233"/>
      <c r="X2" s="233"/>
      <c r="Y2" s="233"/>
      <c r="Z2" s="233"/>
      <c r="AA2" s="233"/>
      <c r="AB2" s="233"/>
      <c r="AC2" s="233"/>
      <c r="AE2" s="233" t="str">
        <f>IF(Data!B179=TRUE,"Personal Care","")</f>
        <v/>
      </c>
      <c r="AF2" s="233"/>
      <c r="AG2" s="233"/>
      <c r="AH2" s="233"/>
      <c r="AI2" s="233"/>
      <c r="AJ2" s="233"/>
      <c r="AK2" s="233"/>
      <c r="AL2" s="233"/>
    </row>
    <row r="3" spans="1:38" x14ac:dyDescent="0.2">
      <c r="A3" t="s">
        <v>668</v>
      </c>
      <c r="D3" s="233">
        <f>Data!B10</f>
        <v>0</v>
      </c>
      <c r="E3" s="233"/>
      <c r="F3" s="233"/>
      <c r="G3" s="233"/>
      <c r="H3" s="233"/>
      <c r="I3" s="233"/>
      <c r="J3" s="233"/>
      <c r="K3" t="s">
        <v>669</v>
      </c>
      <c r="P3" s="219" t="str">
        <f>IF(Data!B11&lt;&gt;"",TEXT(Data!B11,"(###) ###-####"),"No home phone.")</f>
        <v>No home phone.</v>
      </c>
      <c r="Q3" s="219"/>
      <c r="R3" s="219"/>
      <c r="S3" s="219"/>
      <c r="T3" s="219"/>
      <c r="U3" s="219"/>
      <c r="V3" s="219"/>
      <c r="AE3" s="233" t="str">
        <f>IF(Data!B180=TRUE,"Companion Care","")</f>
        <v/>
      </c>
      <c r="AF3" s="233"/>
      <c r="AG3" s="233"/>
      <c r="AH3" s="233"/>
      <c r="AI3" s="233"/>
      <c r="AJ3" s="233"/>
      <c r="AK3" s="233"/>
      <c r="AL3" s="233"/>
    </row>
    <row r="4" spans="1:38" s="187" customFormat="1" x14ac:dyDescent="0.2">
      <c r="D4" s="189"/>
      <c r="E4" s="189"/>
      <c r="F4" s="189"/>
      <c r="G4" s="189"/>
      <c r="H4" s="189"/>
      <c r="I4" s="189"/>
      <c r="J4" s="189"/>
      <c r="P4" s="188"/>
      <c r="Q4" s="188"/>
      <c r="R4" s="188"/>
      <c r="S4" s="188"/>
      <c r="T4" s="188"/>
      <c r="U4" s="188"/>
      <c r="V4" s="188"/>
      <c r="AE4" s="233" t="str">
        <f>IF(Data!B1604=TRUE, "Skilled Nursing","")</f>
        <v/>
      </c>
      <c r="AF4" s="233"/>
      <c r="AG4" s="233"/>
      <c r="AH4" s="233"/>
      <c r="AI4" s="233"/>
      <c r="AJ4" s="233"/>
      <c r="AK4" s="233"/>
      <c r="AL4" s="233"/>
    </row>
    <row r="5" spans="1:38" x14ac:dyDescent="0.2">
      <c r="A5" t="s">
        <v>921</v>
      </c>
      <c r="F5" s="233" t="str">
        <f>IF(Data!B13="","N/A",Data!B13)</f>
        <v>N/A</v>
      </c>
      <c r="G5" s="233"/>
      <c r="H5" s="233"/>
      <c r="I5" s="233"/>
      <c r="J5" s="233"/>
      <c r="K5" s="233"/>
      <c r="L5" s="233"/>
      <c r="M5" s="233"/>
      <c r="N5" s="233"/>
      <c r="O5" s="233"/>
      <c r="P5" s="233"/>
      <c r="Q5" s="233"/>
      <c r="R5" s="233"/>
      <c r="S5" s="233"/>
      <c r="T5" s="233"/>
      <c r="U5" s="233"/>
      <c r="W5" t="s">
        <v>670</v>
      </c>
      <c r="AB5" s="219" t="str">
        <f>IF(Data!B12&lt;&gt;"",TEXT(Data!B12,"(###) ###-####"),"No cell phone.")</f>
        <v>No cell phone.</v>
      </c>
      <c r="AC5" s="219"/>
      <c r="AD5" s="219"/>
      <c r="AE5" s="219"/>
      <c r="AF5" s="219"/>
      <c r="AG5" s="219"/>
      <c r="AH5" s="219"/>
    </row>
    <row r="6" spans="1:38" x14ac:dyDescent="0.2">
      <c r="A6" t="s">
        <v>922</v>
      </c>
      <c r="F6" s="218">
        <f>Data!B30</f>
        <v>0</v>
      </c>
      <c r="G6" s="219"/>
      <c r="H6" s="219"/>
      <c r="I6" s="219"/>
      <c r="J6" s="219"/>
      <c r="L6" t="s">
        <v>924</v>
      </c>
      <c r="Q6" s="480">
        <f>Data!B32</f>
        <v>0</v>
      </c>
      <c r="R6" s="481"/>
      <c r="S6" s="481"/>
      <c r="T6" s="481"/>
      <c r="U6" s="481"/>
      <c r="W6" t="s">
        <v>582</v>
      </c>
      <c r="AB6" s="218">
        <f>Data!B33</f>
        <v>0</v>
      </c>
      <c r="AC6" s="219"/>
      <c r="AD6" s="219"/>
      <c r="AE6" s="219"/>
      <c r="AF6" s="219"/>
    </row>
    <row r="7" spans="1:38" x14ac:dyDescent="0.2">
      <c r="A7" t="s">
        <v>923</v>
      </c>
      <c r="F7" s="219">
        <f>Data!B31</f>
        <v>0</v>
      </c>
      <c r="G7" s="219"/>
      <c r="H7" s="219"/>
      <c r="I7" s="219"/>
      <c r="J7" s="219"/>
      <c r="K7" s="219"/>
      <c r="L7" s="219"/>
      <c r="M7" s="219"/>
      <c r="N7" s="219"/>
      <c r="O7" s="219"/>
      <c r="P7" s="219"/>
      <c r="Q7" s="219"/>
      <c r="R7" s="219"/>
      <c r="S7" s="219"/>
      <c r="T7" s="219"/>
      <c r="U7" s="219"/>
      <c r="W7" t="s">
        <v>948</v>
      </c>
      <c r="AC7" s="218">
        <f>Data!B35</f>
        <v>0</v>
      </c>
      <c r="AD7" s="218"/>
      <c r="AE7" s="218"/>
      <c r="AF7" s="218"/>
      <c r="AG7" s="218"/>
      <c r="AH7" s="7"/>
      <c r="AI7" s="7"/>
      <c r="AJ7" s="7"/>
    </row>
    <row r="8" spans="1:38" x14ac:dyDescent="0.2">
      <c r="A8" s="340" t="s">
        <v>926</v>
      </c>
      <c r="B8" s="340"/>
      <c r="C8" s="340"/>
      <c r="D8" s="340"/>
      <c r="E8" s="340"/>
      <c r="F8" s="340"/>
      <c r="G8" s="340"/>
      <c r="H8" s="340"/>
      <c r="I8" s="340"/>
      <c r="J8" s="340"/>
      <c r="K8" s="340"/>
      <c r="L8" s="340"/>
      <c r="M8" s="340"/>
      <c r="N8" s="340"/>
      <c r="O8" s="340"/>
      <c r="P8" s="340"/>
      <c r="Q8" s="340"/>
      <c r="R8" s="340"/>
      <c r="S8" s="340"/>
      <c r="T8" s="340"/>
      <c r="U8" s="340"/>
      <c r="V8" s="340"/>
      <c r="W8" s="340"/>
      <c r="X8" s="340"/>
      <c r="Y8" s="340"/>
      <c r="Z8" s="340"/>
      <c r="AA8" s="340"/>
      <c r="AB8" s="340"/>
      <c r="AC8" s="340"/>
      <c r="AD8" s="340"/>
      <c r="AE8" s="340"/>
      <c r="AF8" s="340"/>
      <c r="AG8" s="340"/>
      <c r="AH8" s="340"/>
      <c r="AI8" s="340"/>
      <c r="AJ8" s="340"/>
      <c r="AK8" s="340"/>
      <c r="AL8" s="340"/>
    </row>
    <row r="9" spans="1:38" x14ac:dyDescent="0.2">
      <c r="A9" s="255">
        <f>Data!B177</f>
        <v>0</v>
      </c>
      <c r="B9" s="255"/>
      <c r="C9" s="255"/>
      <c r="D9" s="255"/>
      <c r="E9" s="255"/>
      <c r="F9" s="255"/>
      <c r="G9" s="255"/>
      <c r="H9" s="255"/>
      <c r="I9" s="255"/>
      <c r="J9" s="255"/>
      <c r="K9" s="255"/>
      <c r="L9" s="255"/>
      <c r="M9" s="255"/>
      <c r="N9" s="255"/>
      <c r="O9" s="255"/>
      <c r="P9" s="255"/>
      <c r="Q9" s="255"/>
      <c r="R9" s="255"/>
      <c r="S9" s="255"/>
      <c r="T9" s="255"/>
      <c r="U9" s="255"/>
      <c r="V9" s="255"/>
      <c r="W9" s="255"/>
      <c r="X9" s="255"/>
      <c r="Y9" s="255"/>
      <c r="Z9" s="255"/>
      <c r="AA9" s="255"/>
      <c r="AB9" s="255"/>
      <c r="AC9" s="255"/>
      <c r="AD9" s="255"/>
      <c r="AE9" s="255"/>
      <c r="AF9" s="255"/>
      <c r="AG9" s="255"/>
      <c r="AH9" s="255"/>
      <c r="AI9" s="255"/>
      <c r="AJ9" s="255"/>
      <c r="AK9" s="255"/>
      <c r="AL9" s="255"/>
    </row>
    <row r="10" spans="1:38" x14ac:dyDescent="0.2">
      <c r="A10" s="255"/>
      <c r="B10" s="255"/>
      <c r="C10" s="255"/>
      <c r="D10" s="255"/>
      <c r="E10" s="255"/>
      <c r="F10" s="255"/>
      <c r="G10" s="255"/>
      <c r="H10" s="255"/>
      <c r="I10" s="255"/>
      <c r="J10" s="255"/>
      <c r="K10" s="255"/>
      <c r="L10" s="255"/>
      <c r="M10" s="255"/>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c r="AL10" s="255"/>
    </row>
    <row r="11" spans="1:38" x14ac:dyDescent="0.2">
      <c r="A11" s="340" t="s">
        <v>960</v>
      </c>
      <c r="B11" s="340"/>
      <c r="C11" s="340"/>
      <c r="D11" s="340"/>
      <c r="E11" s="340"/>
      <c r="F11" s="340"/>
      <c r="G11" s="340"/>
      <c r="H11" s="340"/>
      <c r="I11" s="340"/>
      <c r="J11" s="340"/>
      <c r="K11" s="340"/>
      <c r="L11" s="340"/>
      <c r="M11" s="340"/>
      <c r="N11" s="340"/>
      <c r="O11" s="340"/>
      <c r="P11" s="340"/>
      <c r="Q11" s="340"/>
      <c r="R11" s="340"/>
      <c r="S11" s="340"/>
      <c r="T11" s="340"/>
      <c r="U11" s="340"/>
      <c r="V11" s="340"/>
      <c r="W11" s="340"/>
      <c r="X11" s="340"/>
      <c r="Y11" s="340"/>
      <c r="Z11" s="340"/>
      <c r="AA11" s="340"/>
      <c r="AB11" s="340"/>
      <c r="AC11" s="340"/>
      <c r="AD11" s="340"/>
      <c r="AE11" s="340"/>
      <c r="AF11" s="340"/>
      <c r="AG11" s="340"/>
      <c r="AH11" s="340"/>
      <c r="AI11" s="340"/>
      <c r="AJ11" s="340"/>
      <c r="AK11" s="340"/>
      <c r="AL11" s="340"/>
    </row>
    <row r="12" spans="1:38" x14ac:dyDescent="0.2">
      <c r="A12" s="477" t="s">
        <v>2894</v>
      </c>
      <c r="B12" s="477"/>
      <c r="C12" s="477"/>
      <c r="D12" s="477"/>
      <c r="E12" s="477"/>
      <c r="F12" s="477"/>
      <c r="G12" s="477"/>
      <c r="H12" s="478">
        <f>Data!B1405</f>
        <v>0</v>
      </c>
      <c r="I12" s="478"/>
      <c r="J12" s="478"/>
      <c r="K12" s="478"/>
      <c r="L12" s="478"/>
      <c r="M12" s="478"/>
      <c r="N12" s="478"/>
      <c r="O12" s="478"/>
      <c r="P12" s="478"/>
      <c r="Q12" s="478"/>
      <c r="R12" s="478"/>
      <c r="S12" s="478"/>
      <c r="T12" s="478"/>
      <c r="U12" s="478"/>
      <c r="V12" s="478"/>
      <c r="W12" s="478"/>
      <c r="X12" s="478"/>
      <c r="Y12" s="478"/>
      <c r="Z12" s="478"/>
      <c r="AA12" s="478"/>
      <c r="AB12" s="478"/>
      <c r="AC12" s="478"/>
      <c r="AD12" s="478"/>
      <c r="AE12" s="478"/>
      <c r="AF12" s="478"/>
      <c r="AG12" s="478"/>
      <c r="AH12" s="478"/>
      <c r="AI12" s="478"/>
      <c r="AJ12" s="478"/>
      <c r="AK12" s="478"/>
      <c r="AL12" s="478"/>
    </row>
    <row r="13" spans="1:38" x14ac:dyDescent="0.2">
      <c r="A13" s="130"/>
      <c r="B13" s="130"/>
      <c r="C13" s="130"/>
      <c r="D13" s="130"/>
      <c r="E13" s="130"/>
      <c r="F13" s="130"/>
      <c r="G13" s="130"/>
      <c r="H13" s="478"/>
      <c r="I13" s="478"/>
      <c r="J13" s="478"/>
      <c r="K13" s="478"/>
      <c r="L13" s="478"/>
      <c r="M13" s="478"/>
      <c r="N13" s="478"/>
      <c r="O13" s="478"/>
      <c r="P13" s="478"/>
      <c r="Q13" s="478"/>
      <c r="R13" s="478"/>
      <c r="S13" s="478"/>
      <c r="T13" s="478"/>
      <c r="U13" s="478"/>
      <c r="V13" s="478"/>
      <c r="W13" s="478"/>
      <c r="X13" s="478"/>
      <c r="Y13" s="478"/>
      <c r="Z13" s="478"/>
      <c r="AA13" s="478"/>
      <c r="AB13" s="478"/>
      <c r="AC13" s="478"/>
      <c r="AD13" s="478"/>
      <c r="AE13" s="478"/>
      <c r="AF13" s="478"/>
      <c r="AG13" s="478"/>
      <c r="AH13" s="478"/>
      <c r="AI13" s="478"/>
      <c r="AJ13" s="478"/>
      <c r="AK13" s="478"/>
      <c r="AL13" s="478"/>
    </row>
    <row r="14" spans="1:38" x14ac:dyDescent="0.2">
      <c r="A14" s="344" t="s">
        <v>934</v>
      </c>
      <c r="B14" s="344"/>
      <c r="C14" s="344"/>
      <c r="D14" s="344"/>
      <c r="E14" s="344"/>
      <c r="F14" s="344"/>
      <c r="G14" s="344"/>
      <c r="H14" s="344"/>
      <c r="I14" s="344"/>
      <c r="J14" s="344"/>
      <c r="K14" s="344"/>
      <c r="L14" s="344"/>
      <c r="M14" s="344"/>
      <c r="N14" s="344"/>
      <c r="O14" s="344"/>
      <c r="P14" s="344"/>
      <c r="Q14" s="344"/>
      <c r="R14" s="344"/>
      <c r="S14" s="344"/>
      <c r="T14" s="344"/>
      <c r="U14" s="344"/>
      <c r="V14" s="8"/>
      <c r="W14" s="16" t="s">
        <v>938</v>
      </c>
      <c r="X14" s="8"/>
      <c r="Y14" s="8"/>
      <c r="Z14" s="8"/>
      <c r="AA14" s="300" t="str">
        <f>Data!B1408&amp;" days per week"</f>
        <v xml:space="preserve"> days per week</v>
      </c>
      <c r="AB14" s="300"/>
      <c r="AC14" s="300"/>
      <c r="AD14" s="300"/>
      <c r="AE14" s="300"/>
      <c r="AF14" s="300"/>
      <c r="AG14" s="8"/>
      <c r="AH14" s="8"/>
      <c r="AI14" s="8"/>
      <c r="AJ14" s="8"/>
      <c r="AK14" s="8"/>
      <c r="AL14" s="8"/>
    </row>
    <row r="15" spans="1:38" x14ac:dyDescent="0.2">
      <c r="A15" s="344" t="s">
        <v>630</v>
      </c>
      <c r="B15" s="344"/>
      <c r="C15" s="344"/>
      <c r="D15" s="344" t="s">
        <v>624</v>
      </c>
      <c r="E15" s="344"/>
      <c r="F15" s="344"/>
      <c r="G15" s="344" t="s">
        <v>932</v>
      </c>
      <c r="H15" s="344"/>
      <c r="I15" s="344"/>
      <c r="J15" s="344" t="s">
        <v>626</v>
      </c>
      <c r="K15" s="344"/>
      <c r="L15" s="344"/>
      <c r="M15" s="344" t="s">
        <v>933</v>
      </c>
      <c r="N15" s="344"/>
      <c r="O15" s="344"/>
      <c r="P15" s="344" t="s">
        <v>628</v>
      </c>
      <c r="Q15" s="344"/>
      <c r="R15" s="344"/>
      <c r="S15" s="344" t="s">
        <v>629</v>
      </c>
      <c r="T15" s="344"/>
      <c r="U15" s="344"/>
      <c r="W15" s="16" t="s">
        <v>935</v>
      </c>
      <c r="Z15" s="4" t="s">
        <v>939</v>
      </c>
    </row>
    <row r="16" spans="1:38" x14ac:dyDescent="0.2">
      <c r="A16" s="353" t="str">
        <f>_xlfn.CONCAT(Data!B1283,IF(Data!B1297="","",", "&amp;Data!B1297),IF(Data!B1311="","",", "&amp;Data!B1311))</f>
        <v/>
      </c>
      <c r="B16" s="353"/>
      <c r="C16" s="353"/>
      <c r="D16" s="353" t="str">
        <f>_xlfn.CONCAT(Data!B1284,IF(Data!B1298="","",", "&amp;Data!B1298),IF(Data!B1312="","",", "&amp;Data!B1312))</f>
        <v/>
      </c>
      <c r="E16" s="353"/>
      <c r="F16" s="353"/>
      <c r="G16" s="353" t="str">
        <f>_xlfn.CONCAT(Data!B1285,IF(Data!B1299="","",", "&amp;Data!B1299),IF(Data!B1313="","",", "&amp;Data!B1313))</f>
        <v/>
      </c>
      <c r="H16" s="353"/>
      <c r="I16" s="353"/>
      <c r="J16" s="353" t="str">
        <f>_xlfn.CONCAT(Data!B1286,IF(Data!B1300="","",", "&amp;Data!B1300),IF(Data!B1314="","",", "&amp;Data!B1314))</f>
        <v/>
      </c>
      <c r="K16" s="353"/>
      <c r="L16" s="353"/>
      <c r="M16" s="353" t="str">
        <f>_xlfn.CONCAT(Data!B1287,IF(Data!B1301="","",", "&amp;Data!B1301),IF(Data!B1315="","",", "&amp;Data!B1315))</f>
        <v/>
      </c>
      <c r="N16" s="353"/>
      <c r="O16" s="353"/>
      <c r="P16" s="353" t="str">
        <f>_xlfn.CONCAT(Data!B1288,IF(Data!B1302="","",", "&amp;Data!B1302),IF(Data!B1316="","",", "&amp;Data!B1316))</f>
        <v/>
      </c>
      <c r="Q16" s="353"/>
      <c r="R16" s="353"/>
      <c r="S16" s="353" t="str">
        <f>_xlfn.CONCAT(Data!B1289,IF(Data!B1303="","",", "&amp;Data!B1303),IF(Data!B1317="","",", "&amp;Data!B1317))</f>
        <v/>
      </c>
      <c r="T16" s="353"/>
      <c r="U16" s="353"/>
      <c r="W16" s="16" t="s">
        <v>936</v>
      </c>
      <c r="Z16" s="4" t="s">
        <v>939</v>
      </c>
    </row>
    <row r="17" spans="1:38" x14ac:dyDescent="0.2">
      <c r="A17" s="353"/>
      <c r="B17" s="353"/>
      <c r="C17" s="353"/>
      <c r="D17" s="353"/>
      <c r="E17" s="353"/>
      <c r="F17" s="353"/>
      <c r="G17" s="353"/>
      <c r="H17" s="353"/>
      <c r="I17" s="353"/>
      <c r="J17" s="353"/>
      <c r="K17" s="353"/>
      <c r="L17" s="353"/>
      <c r="M17" s="353"/>
      <c r="N17" s="353"/>
      <c r="O17" s="353"/>
      <c r="P17" s="353"/>
      <c r="Q17" s="353"/>
      <c r="R17" s="353"/>
      <c r="S17" s="353"/>
      <c r="T17" s="353"/>
      <c r="U17" s="353"/>
      <c r="W17" s="16" t="s">
        <v>937</v>
      </c>
      <c r="AD17" s="474">
        <f>Data!B1409</f>
        <v>0</v>
      </c>
      <c r="AE17" s="219"/>
      <c r="AF17" s="219"/>
      <c r="AG17" s="219"/>
      <c r="AH17" s="219"/>
    </row>
    <row r="18" spans="1:38" x14ac:dyDescent="0.2">
      <c r="A18" s="353"/>
      <c r="B18" s="353"/>
      <c r="C18" s="353"/>
      <c r="D18" s="353"/>
      <c r="E18" s="353"/>
      <c r="F18" s="353"/>
      <c r="G18" s="353"/>
      <c r="H18" s="353"/>
      <c r="I18" s="353"/>
      <c r="J18" s="353"/>
      <c r="K18" s="353"/>
      <c r="L18" s="353"/>
      <c r="M18" s="353"/>
      <c r="N18" s="353"/>
      <c r="O18" s="353"/>
      <c r="P18" s="353"/>
      <c r="Q18" s="353"/>
      <c r="R18" s="353"/>
      <c r="S18" s="353"/>
      <c r="T18" s="353"/>
      <c r="U18" s="353"/>
      <c r="W18" s="16" t="s">
        <v>949</v>
      </c>
      <c r="AD18" s="475">
        <f>Data!B1410</f>
        <v>0</v>
      </c>
      <c r="AE18" s="475"/>
      <c r="AF18" s="475"/>
      <c r="AG18" s="475"/>
      <c r="AH18" s="475"/>
      <c r="AI18" s="475"/>
    </row>
    <row r="19" spans="1:38" x14ac:dyDescent="0.2">
      <c r="A19" s="340" t="s">
        <v>950</v>
      </c>
      <c r="B19" s="340"/>
      <c r="C19" s="340"/>
      <c r="D19" s="340"/>
      <c r="E19" s="340"/>
      <c r="F19" s="340"/>
      <c r="G19" s="340"/>
      <c r="H19" s="340"/>
      <c r="I19" s="340"/>
      <c r="J19" s="340"/>
      <c r="K19" s="340"/>
      <c r="L19" s="340"/>
      <c r="M19" s="340"/>
      <c r="N19" s="340"/>
      <c r="O19" s="340"/>
      <c r="P19" s="340"/>
      <c r="Q19" s="340"/>
      <c r="R19" s="340"/>
      <c r="S19" s="340"/>
      <c r="T19" s="340"/>
      <c r="U19" s="340"/>
      <c r="V19" s="340"/>
      <c r="W19" s="340"/>
      <c r="X19" s="340"/>
      <c r="Y19" s="340"/>
      <c r="Z19" s="340"/>
      <c r="AA19" s="340"/>
      <c r="AB19" s="340"/>
      <c r="AC19" s="340"/>
      <c r="AD19" s="340"/>
      <c r="AE19" s="340"/>
      <c r="AF19" s="340"/>
      <c r="AG19" s="340"/>
      <c r="AH19" s="340"/>
      <c r="AI19" s="340"/>
      <c r="AJ19" s="340"/>
      <c r="AK19" s="340"/>
      <c r="AL19" s="340"/>
    </row>
    <row r="20" spans="1:38" x14ac:dyDescent="0.2">
      <c r="A20" t="s">
        <v>951</v>
      </c>
      <c r="G20" s="4" t="s">
        <v>70</v>
      </c>
      <c r="K20" t="s">
        <v>952</v>
      </c>
      <c r="Q20" s="233" t="str">
        <f>IF(Data!B28="CCSP","Monthly","Bi-Weekly")</f>
        <v>Bi-Weekly</v>
      </c>
      <c r="R20" s="233"/>
      <c r="S20" s="233"/>
      <c r="T20" s="233"/>
      <c r="U20" s="233"/>
      <c r="V20" s="233"/>
      <c r="W20" s="233"/>
      <c r="Y20" t="s">
        <v>583</v>
      </c>
      <c r="AD20" s="233">
        <f>Data!B28</f>
        <v>0</v>
      </c>
      <c r="AE20" s="233"/>
      <c r="AF20" s="233"/>
      <c r="AG20" s="233"/>
      <c r="AH20" s="233"/>
      <c r="AI20" s="233"/>
    </row>
    <row r="21" spans="1:38" ht="15" x14ac:dyDescent="0.2">
      <c r="A21" s="3" t="str">
        <f>IF(Data!B99=TRUE,"P","")</f>
        <v/>
      </c>
      <c r="B21" t="s">
        <v>953</v>
      </c>
      <c r="O21" t="s">
        <v>955</v>
      </c>
      <c r="U21" s="473">
        <v>5.07</v>
      </c>
      <c r="V21" s="233"/>
      <c r="W21" s="233"/>
      <c r="X21" t="s">
        <v>956</v>
      </c>
      <c r="AA21" t="s">
        <v>957</v>
      </c>
      <c r="AD21" s="473">
        <v>10.14</v>
      </c>
      <c r="AE21" s="233"/>
      <c r="AF21" s="233"/>
      <c r="AG21" t="s">
        <v>956</v>
      </c>
    </row>
    <row r="22" spans="1:38" ht="15" x14ac:dyDescent="0.2">
      <c r="A22" s="3" t="str">
        <f>IF(Data!B100=TRUE,"P","")</f>
        <v/>
      </c>
      <c r="B22" t="s">
        <v>954</v>
      </c>
      <c r="O22" t="s">
        <v>955</v>
      </c>
      <c r="U22" s="473">
        <v>4.51</v>
      </c>
      <c r="V22" s="233"/>
      <c r="W22" s="233"/>
      <c r="X22" t="s">
        <v>956</v>
      </c>
      <c r="AA22" t="s">
        <v>957</v>
      </c>
      <c r="AD22" s="473">
        <v>9.02</v>
      </c>
      <c r="AE22" s="233"/>
      <c r="AF22" s="233"/>
      <c r="AG22" t="s">
        <v>956</v>
      </c>
    </row>
    <row r="23" spans="1:38" x14ac:dyDescent="0.2">
      <c r="A23" t="s">
        <v>958</v>
      </c>
      <c r="O23" t="s">
        <v>959</v>
      </c>
      <c r="AA23" t="s">
        <v>1253</v>
      </c>
      <c r="AE23" s="476">
        <f>Data!B101</f>
        <v>0</v>
      </c>
      <c r="AF23" s="476"/>
      <c r="AG23" s="476"/>
      <c r="AH23" s="476"/>
      <c r="AI23" s="476"/>
      <c r="AJ23" s="476"/>
      <c r="AK23" s="476"/>
    </row>
    <row r="24" spans="1:38" x14ac:dyDescent="0.2">
      <c r="A24" s="340" t="s">
        <v>961</v>
      </c>
      <c r="B24" s="340"/>
      <c r="C24" s="340"/>
      <c r="D24" s="340"/>
      <c r="E24" s="340"/>
      <c r="F24" s="340"/>
      <c r="G24" s="340"/>
      <c r="H24" s="340"/>
      <c r="I24" s="340"/>
      <c r="J24" s="340"/>
      <c r="K24" s="340"/>
      <c r="L24" s="340"/>
      <c r="M24" s="340"/>
      <c r="N24" s="340"/>
      <c r="O24" s="340"/>
      <c r="P24" s="340"/>
      <c r="Q24" s="340"/>
      <c r="R24" s="340"/>
      <c r="S24" s="340"/>
      <c r="T24" s="340"/>
      <c r="U24" s="340"/>
      <c r="V24" s="340"/>
      <c r="W24" s="340"/>
      <c r="X24" s="340"/>
      <c r="Y24" s="340"/>
      <c r="Z24" s="340"/>
      <c r="AA24" s="340"/>
      <c r="AB24" s="340"/>
      <c r="AC24" s="340"/>
      <c r="AD24" s="340"/>
      <c r="AE24" s="340"/>
      <c r="AF24" s="340"/>
      <c r="AG24" s="340"/>
      <c r="AH24" s="340"/>
      <c r="AI24" s="340"/>
      <c r="AJ24" s="340"/>
      <c r="AK24" s="340"/>
      <c r="AL24" s="340"/>
    </row>
    <row r="25" spans="1:38" x14ac:dyDescent="0.2">
      <c r="A25" s="276">
        <f>Data!B281</f>
        <v>0</v>
      </c>
      <c r="B25" s="276"/>
      <c r="C25" s="276"/>
      <c r="D25" s="260" t="s">
        <v>3364</v>
      </c>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c r="AE25" s="260"/>
      <c r="AF25" s="260"/>
      <c r="AG25" s="260"/>
      <c r="AH25" s="260"/>
      <c r="AI25" s="260"/>
      <c r="AJ25" s="260"/>
      <c r="AK25" s="260"/>
      <c r="AL25" s="260"/>
    </row>
    <row r="26" spans="1:38" x14ac:dyDescent="0.2">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c r="AE26" s="260"/>
      <c r="AF26" s="260"/>
      <c r="AG26" s="260"/>
      <c r="AH26" s="260"/>
      <c r="AI26" s="260"/>
      <c r="AJ26" s="260"/>
      <c r="AK26" s="260"/>
      <c r="AL26" s="260"/>
    </row>
    <row r="27" spans="1:38" x14ac:dyDescent="0.2">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row>
    <row r="28" spans="1:38" x14ac:dyDescent="0.2">
      <c r="A28" s="276">
        <f>Data!B278</f>
        <v>0</v>
      </c>
      <c r="B28" s="276"/>
      <c r="C28" s="276"/>
      <c r="D28" s="260" t="s">
        <v>962</v>
      </c>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c r="AE28" s="260"/>
      <c r="AF28" s="260"/>
      <c r="AG28" s="260"/>
      <c r="AH28" s="260"/>
      <c r="AI28" s="260"/>
      <c r="AJ28" s="260"/>
      <c r="AK28" s="260"/>
      <c r="AL28" s="260"/>
    </row>
    <row r="29" spans="1:38" x14ac:dyDescent="0.2">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c r="AE29" s="260"/>
      <c r="AF29" s="260"/>
      <c r="AG29" s="260"/>
      <c r="AH29" s="260"/>
      <c r="AI29" s="260"/>
      <c r="AJ29" s="260"/>
      <c r="AK29" s="260"/>
      <c r="AL29" s="260"/>
    </row>
    <row r="30" spans="1:38" x14ac:dyDescent="0.2">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c r="AE30" s="260"/>
      <c r="AF30" s="260"/>
      <c r="AG30" s="260"/>
      <c r="AH30" s="260"/>
      <c r="AI30" s="260"/>
      <c r="AJ30" s="260"/>
      <c r="AK30" s="260"/>
      <c r="AL30" s="260"/>
    </row>
    <row r="31" spans="1:38" x14ac:dyDescent="0.2">
      <c r="A31" s="340" t="s">
        <v>963</v>
      </c>
      <c r="B31" s="340"/>
      <c r="C31" s="340"/>
      <c r="D31" s="340"/>
      <c r="E31" s="340"/>
      <c r="F31" s="340"/>
      <c r="G31" s="340"/>
      <c r="H31" s="340"/>
      <c r="I31" s="340"/>
      <c r="J31" s="340"/>
      <c r="K31" s="340"/>
      <c r="L31" s="340"/>
      <c r="M31" s="340"/>
      <c r="N31" s="340"/>
      <c r="O31" s="340"/>
      <c r="P31" s="340"/>
      <c r="Q31" s="340"/>
      <c r="R31" s="340"/>
      <c r="S31" s="340"/>
      <c r="T31" s="340"/>
      <c r="U31" s="340"/>
      <c r="V31" s="340"/>
      <c r="W31" s="340"/>
      <c r="X31" s="340"/>
      <c r="Y31" s="340"/>
      <c r="Z31" s="340"/>
      <c r="AA31" s="340"/>
      <c r="AB31" s="340"/>
      <c r="AC31" s="340"/>
      <c r="AD31" s="340"/>
      <c r="AE31" s="340"/>
      <c r="AF31" s="340"/>
      <c r="AG31" s="340"/>
      <c r="AH31" s="340"/>
      <c r="AI31" s="340"/>
      <c r="AJ31" s="340"/>
      <c r="AK31" s="340"/>
      <c r="AL31" s="340"/>
    </row>
    <row r="32" spans="1:38" x14ac:dyDescent="0.2">
      <c r="A32" s="260" t="s">
        <v>964</v>
      </c>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c r="AE32" s="260"/>
      <c r="AF32" s="260"/>
      <c r="AG32" s="260"/>
      <c r="AH32" s="260"/>
      <c r="AI32" s="260"/>
      <c r="AJ32" s="260"/>
      <c r="AK32" s="260"/>
      <c r="AL32" s="260"/>
    </row>
    <row r="33" spans="1:38" x14ac:dyDescent="0.2">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c r="AE33" s="260"/>
      <c r="AF33" s="260"/>
      <c r="AG33" s="260"/>
      <c r="AH33" s="260"/>
      <c r="AI33" s="260"/>
      <c r="AJ33" s="260"/>
      <c r="AK33" s="260"/>
      <c r="AL33" s="260"/>
    </row>
    <row r="34" spans="1:38" x14ac:dyDescent="0.2">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c r="AE34" s="260"/>
      <c r="AF34" s="260"/>
      <c r="AG34" s="260"/>
      <c r="AH34" s="260"/>
      <c r="AI34" s="260"/>
      <c r="AJ34" s="260"/>
      <c r="AK34" s="260"/>
      <c r="AL34" s="260"/>
    </row>
    <row r="35" spans="1:38" x14ac:dyDescent="0.2">
      <c r="A35" t="s">
        <v>965</v>
      </c>
    </row>
    <row r="36" spans="1:38" x14ac:dyDescent="0.2">
      <c r="A36" s="340" t="s">
        <v>966</v>
      </c>
      <c r="B36" s="340"/>
      <c r="C36" s="340"/>
      <c r="D36" s="340"/>
      <c r="E36" s="340"/>
      <c r="F36" s="340"/>
      <c r="G36" s="340"/>
      <c r="H36" s="340"/>
      <c r="I36" s="340"/>
      <c r="J36" s="340"/>
      <c r="K36" s="340"/>
      <c r="L36" s="340"/>
      <c r="M36" s="340"/>
      <c r="N36" s="340"/>
      <c r="O36" s="340"/>
      <c r="P36" s="340"/>
      <c r="Q36" s="340"/>
      <c r="R36" s="340"/>
      <c r="S36" s="340"/>
      <c r="T36" s="340"/>
      <c r="U36" s="340"/>
      <c r="V36" s="340"/>
      <c r="W36" s="340"/>
      <c r="X36" s="340"/>
      <c r="Y36" s="340"/>
      <c r="Z36" s="340"/>
      <c r="AA36" s="340"/>
      <c r="AB36" s="340"/>
      <c r="AC36" s="340"/>
      <c r="AD36" s="340"/>
      <c r="AE36" s="340"/>
      <c r="AF36" s="340"/>
      <c r="AG36" s="340"/>
      <c r="AH36" s="340"/>
      <c r="AI36" s="340"/>
      <c r="AJ36" s="340"/>
      <c r="AK36" s="340"/>
      <c r="AL36" s="340"/>
    </row>
    <row r="37" spans="1:38" x14ac:dyDescent="0.2">
      <c r="A37" s="260" t="s">
        <v>967</v>
      </c>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c r="AI37" s="260"/>
      <c r="AJ37" s="260"/>
      <c r="AK37" s="260"/>
      <c r="AL37" s="260"/>
    </row>
    <row r="38" spans="1:38" x14ac:dyDescent="0.2">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0"/>
      <c r="AF38" s="260"/>
      <c r="AG38" s="260"/>
      <c r="AH38" s="260"/>
      <c r="AI38" s="260"/>
      <c r="AJ38" s="260"/>
      <c r="AK38" s="260"/>
      <c r="AL38" s="260"/>
    </row>
    <row r="39" spans="1:38" x14ac:dyDescent="0.2">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c r="AE39" s="260"/>
      <c r="AF39" s="260"/>
      <c r="AG39" s="260"/>
      <c r="AH39" s="260"/>
      <c r="AI39" s="260"/>
      <c r="AJ39" s="260"/>
      <c r="AK39" s="260"/>
      <c r="AL39" s="260"/>
    </row>
    <row r="40" spans="1:38" x14ac:dyDescent="0.2">
      <c r="A40" t="s">
        <v>968</v>
      </c>
    </row>
    <row r="41" spans="1:38" x14ac:dyDescent="0.2">
      <c r="A41" t="s">
        <v>969</v>
      </c>
    </row>
    <row r="42" spans="1:38" x14ac:dyDescent="0.2">
      <c r="A42" s="340" t="s">
        <v>971</v>
      </c>
      <c r="B42" s="340"/>
      <c r="C42" s="340"/>
      <c r="D42" s="340"/>
      <c r="E42" s="340"/>
      <c r="F42" s="340"/>
      <c r="G42" s="340"/>
      <c r="H42" s="340"/>
      <c r="I42" s="340"/>
      <c r="J42" s="340"/>
      <c r="K42" s="340"/>
      <c r="L42" s="340"/>
      <c r="M42" s="340"/>
      <c r="N42" s="340"/>
      <c r="O42" s="340"/>
      <c r="P42" s="340"/>
      <c r="Q42" s="340"/>
      <c r="R42" s="340"/>
      <c r="S42" s="340"/>
      <c r="T42" s="340"/>
      <c r="U42" s="340"/>
      <c r="V42" s="340"/>
      <c r="W42" s="340"/>
      <c r="X42" s="340"/>
      <c r="Y42" s="340"/>
      <c r="Z42" s="340"/>
      <c r="AA42" s="340"/>
      <c r="AB42" s="340"/>
      <c r="AC42" s="340"/>
      <c r="AD42" s="340"/>
      <c r="AE42" s="340"/>
      <c r="AF42" s="340"/>
      <c r="AG42" s="340"/>
      <c r="AH42" s="340"/>
      <c r="AI42" s="340"/>
      <c r="AJ42" s="340"/>
      <c r="AK42" s="340"/>
      <c r="AL42" s="340"/>
    </row>
    <row r="43" spans="1:38" x14ac:dyDescent="0.2">
      <c r="A43" s="260" t="s">
        <v>970</v>
      </c>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c r="AE43" s="260"/>
      <c r="AF43" s="260"/>
      <c r="AG43" s="260"/>
      <c r="AH43" s="260"/>
      <c r="AI43" s="260"/>
      <c r="AJ43" s="260"/>
      <c r="AK43" s="260"/>
      <c r="AL43" s="260"/>
    </row>
    <row r="44" spans="1:38" x14ac:dyDescent="0.2">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c r="AE44" s="260"/>
      <c r="AF44" s="260"/>
      <c r="AG44" s="260"/>
      <c r="AH44" s="260"/>
      <c r="AI44" s="260"/>
      <c r="AJ44" s="260"/>
      <c r="AK44" s="260"/>
      <c r="AL44" s="260"/>
    </row>
    <row r="45" spans="1:38" x14ac:dyDescent="0.2">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c r="AE45" s="260"/>
      <c r="AF45" s="260"/>
      <c r="AG45" s="260"/>
      <c r="AH45" s="260"/>
      <c r="AI45" s="260"/>
      <c r="AJ45" s="260"/>
      <c r="AK45" s="260"/>
      <c r="AL45" s="260"/>
    </row>
    <row r="46" spans="1:38" x14ac:dyDescent="0.2">
      <c r="A46" s="14"/>
      <c r="B46" s="14"/>
      <c r="C46" s="14"/>
      <c r="D46" s="14"/>
      <c r="E46" s="14"/>
      <c r="F46" s="14"/>
      <c r="G46" s="14"/>
      <c r="H46" s="14"/>
      <c r="I46" s="14"/>
      <c r="J46" s="14"/>
      <c r="K46" s="14"/>
      <c r="L46" s="14"/>
      <c r="M46" s="14"/>
      <c r="N46" s="14"/>
      <c r="O46" s="14"/>
      <c r="P46" s="14"/>
      <c r="Q46" s="14"/>
      <c r="R46" s="14"/>
      <c r="S46" s="14"/>
      <c r="T46" s="14"/>
      <c r="U46" s="14"/>
      <c r="V46" s="14"/>
      <c r="W46" s="14"/>
      <c r="X46" s="14"/>
      <c r="Y46" s="14"/>
      <c r="Z46" s="14"/>
      <c r="AA46" s="14"/>
      <c r="AB46" s="14"/>
      <c r="AC46" s="14"/>
      <c r="AD46" s="14"/>
      <c r="AE46" s="14"/>
      <c r="AF46" s="14"/>
      <c r="AG46" s="14"/>
      <c r="AH46" s="14"/>
      <c r="AI46" s="14"/>
      <c r="AJ46" s="14"/>
      <c r="AK46" s="14"/>
      <c r="AL46" s="14"/>
    </row>
    <row r="47" spans="1:38" x14ac:dyDescent="0.2">
      <c r="A47" s="34"/>
      <c r="B47" s="34"/>
      <c r="C47" s="34"/>
      <c r="D47" s="34"/>
      <c r="E47" s="34"/>
      <c r="F47" s="34"/>
      <c r="G47" s="34"/>
      <c r="H47" s="34"/>
      <c r="I47" s="34"/>
      <c r="J47" s="34"/>
      <c r="K47" s="34"/>
      <c r="L47" s="34"/>
      <c r="M47" s="34"/>
      <c r="N47" s="34"/>
      <c r="O47" s="34"/>
      <c r="Q47" s="269">
        <f>Data!B1403</f>
        <v>0</v>
      </c>
      <c r="R47" s="267"/>
      <c r="S47" s="267"/>
      <c r="T47" s="267"/>
      <c r="U47" s="267"/>
      <c r="V47" s="267"/>
      <c r="X47" s="34"/>
      <c r="Y47" s="34"/>
      <c r="Z47" s="34"/>
      <c r="AA47" s="34"/>
      <c r="AB47" s="34"/>
      <c r="AC47" s="34"/>
      <c r="AD47" s="34"/>
      <c r="AE47" s="34"/>
      <c r="AF47" s="34"/>
      <c r="AG47" s="34"/>
      <c r="AH47" s="34"/>
      <c r="AI47" s="34"/>
      <c r="AJ47" s="34"/>
      <c r="AK47" s="34"/>
    </row>
    <row r="48" spans="1:38" x14ac:dyDescent="0.2">
      <c r="A48" t="s">
        <v>944</v>
      </c>
      <c r="Q48" t="s">
        <v>368</v>
      </c>
      <c r="X48" t="s">
        <v>943</v>
      </c>
    </row>
    <row r="50" spans="1:37" x14ac:dyDescent="0.2">
      <c r="A50" s="34"/>
      <c r="B50" s="34"/>
      <c r="C50" s="34"/>
      <c r="D50" s="34"/>
      <c r="E50" s="34"/>
      <c r="F50" s="34"/>
      <c r="G50" s="34"/>
      <c r="H50" s="34"/>
      <c r="I50" s="34"/>
      <c r="J50" s="34"/>
      <c r="K50" s="34"/>
      <c r="L50" s="34"/>
      <c r="M50" s="34"/>
      <c r="N50" s="34"/>
      <c r="O50" s="34"/>
      <c r="Q50" s="276">
        <f>Data!B1407</f>
        <v>0</v>
      </c>
      <c r="R50" s="276"/>
      <c r="S50" s="276"/>
      <c r="T50" s="276"/>
      <c r="U50" s="276"/>
      <c r="V50" s="276"/>
      <c r="W50" s="276"/>
      <c r="X50" s="276"/>
      <c r="Y50" s="276"/>
      <c r="Z50" s="276"/>
      <c r="AA50" s="276"/>
      <c r="AD50" s="269">
        <f>Data!B1403</f>
        <v>0</v>
      </c>
      <c r="AE50" s="269"/>
      <c r="AF50" s="269"/>
      <c r="AG50" s="269"/>
      <c r="AH50" s="269"/>
      <c r="AI50" s="269"/>
      <c r="AJ50" s="269"/>
      <c r="AK50" s="269"/>
    </row>
    <row r="51" spans="1:37" x14ac:dyDescent="0.2">
      <c r="A51" t="s">
        <v>2889</v>
      </c>
      <c r="Q51" t="s">
        <v>2890</v>
      </c>
      <c r="AD51" t="s">
        <v>368</v>
      </c>
    </row>
    <row r="52" spans="1:37" x14ac:dyDescent="0.2">
      <c r="G52" t="s">
        <v>2957</v>
      </c>
      <c r="O52" s="479">
        <f>Data!B1404</f>
        <v>0</v>
      </c>
      <c r="P52" s="479"/>
      <c r="Q52" s="479"/>
      <c r="R52" s="479"/>
      <c r="S52" s="479"/>
      <c r="T52" s="479"/>
      <c r="U52" s="479"/>
      <c r="V52" s="479"/>
      <c r="W52" s="479"/>
      <c r="X52" s="479"/>
    </row>
  </sheetData>
  <mergeCells count="62">
    <mergeCell ref="O52:X52"/>
    <mergeCell ref="F7:U7"/>
    <mergeCell ref="AC7:AG7"/>
    <mergeCell ref="E1:P1"/>
    <mergeCell ref="T1:Y1"/>
    <mergeCell ref="AE1:AL1"/>
    <mergeCell ref="D2:AC2"/>
    <mergeCell ref="AE2:AL2"/>
    <mergeCell ref="D3:J3"/>
    <mergeCell ref="P3:V3"/>
    <mergeCell ref="AE3:AL3"/>
    <mergeCell ref="F5:U5"/>
    <mergeCell ref="AB5:AH5"/>
    <mergeCell ref="F6:J6"/>
    <mergeCell ref="Q6:U6"/>
    <mergeCell ref="AB6:AF6"/>
    <mergeCell ref="A8:AL8"/>
    <mergeCell ref="A9:AL10"/>
    <mergeCell ref="A11:AL11"/>
    <mergeCell ref="A14:U14"/>
    <mergeCell ref="AA14:AF14"/>
    <mergeCell ref="P15:R15"/>
    <mergeCell ref="S15:U15"/>
    <mergeCell ref="A16:C18"/>
    <mergeCell ref="D16:F18"/>
    <mergeCell ref="G16:I18"/>
    <mergeCell ref="J16:L18"/>
    <mergeCell ref="M16:O18"/>
    <mergeCell ref="P16:R18"/>
    <mergeCell ref="S16:U18"/>
    <mergeCell ref="A15:C15"/>
    <mergeCell ref="D15:F15"/>
    <mergeCell ref="G15:I15"/>
    <mergeCell ref="J15:L15"/>
    <mergeCell ref="M15:O15"/>
    <mergeCell ref="AE23:AK23"/>
    <mergeCell ref="A24:AL24"/>
    <mergeCell ref="A25:C25"/>
    <mergeCell ref="D25:AL27"/>
    <mergeCell ref="AD17:AH17"/>
    <mergeCell ref="AD18:AI18"/>
    <mergeCell ref="A19:AL19"/>
    <mergeCell ref="Q20:W20"/>
    <mergeCell ref="AD20:AI20"/>
    <mergeCell ref="U21:W21"/>
    <mergeCell ref="AD21:AF21"/>
    <mergeCell ref="AE4:AL4"/>
    <mergeCell ref="A42:AL42"/>
    <mergeCell ref="A43:AL45"/>
    <mergeCell ref="Q47:V47"/>
    <mergeCell ref="Q50:AA50"/>
    <mergeCell ref="A12:G12"/>
    <mergeCell ref="H12:AL13"/>
    <mergeCell ref="AD50:AK50"/>
    <mergeCell ref="A28:C28"/>
    <mergeCell ref="D28:AL30"/>
    <mergeCell ref="A31:AL31"/>
    <mergeCell ref="A32:AL34"/>
    <mergeCell ref="A36:AL36"/>
    <mergeCell ref="A37:AL39"/>
    <mergeCell ref="U22:W22"/>
    <mergeCell ref="AD22:AF22"/>
  </mergeCells>
  <pageMargins left="0.25" right="0.25" top="0.75" bottom="0.75" header="0.3" footer="0.3"/>
  <pageSetup orientation="portrait" horizontalDpi="4294967293" verticalDpi="1200" r:id="rId1"/>
  <headerFooter>
    <oddHeader>&amp;L&amp;G&amp;RMedicaid Service Agreement
Private Home Care Provider</oddHeader>
    <oddFooter>&amp;LPS&amp;C3088 Mercer University Drive Suite 100 Atlanta, GA 30341
678-310-6305 Fax 404-935-6110&amp;RM</oddFooter>
  </headerFooter>
  <legacyDrawingHF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0DF51-3BEB-4389-91F4-10EF0AAF5A0C}">
  <sheetPr codeName="Sheet80">
    <tabColor rgb="FF7030A0"/>
  </sheetPr>
  <dimension ref="A1:AL51"/>
  <sheetViews>
    <sheetView showZeros="0" view="pageLayout" zoomScaleNormal="100" workbookViewId="0">
      <selection activeCell="AC4" sqref="AC4:AI4"/>
    </sheetView>
  </sheetViews>
  <sheetFormatPr defaultColWidth="2.7109375" defaultRowHeight="12.75" x14ac:dyDescent="0.2"/>
  <sheetData>
    <row r="1" spans="1:38" x14ac:dyDescent="0.2">
      <c r="A1" t="s">
        <v>336</v>
      </c>
      <c r="E1" s="233" t="str">
        <f>_xlfn.CONCAT(Data!B2,", ",Data!B3," ",Data!B4)</f>
        <v xml:space="preserve">,  </v>
      </c>
      <c r="F1" s="233"/>
      <c r="G1" s="233"/>
      <c r="H1" s="233"/>
      <c r="I1" s="233"/>
      <c r="J1" s="233"/>
      <c r="K1" s="233"/>
      <c r="L1" s="233"/>
      <c r="M1" s="233"/>
      <c r="N1" s="233"/>
      <c r="O1" s="233"/>
      <c r="P1" s="233"/>
      <c r="R1" t="s">
        <v>371</v>
      </c>
      <c r="T1" s="218">
        <f>Data!B14</f>
        <v>0</v>
      </c>
      <c r="U1" s="218"/>
      <c r="V1" s="218"/>
      <c r="W1" s="218"/>
      <c r="X1" s="218"/>
      <c r="Y1" s="218"/>
      <c r="Z1" t="s">
        <v>920</v>
      </c>
      <c r="AE1" s="233" t="str">
        <f>IF(Data!B179=TRUE,"Personal Care","")</f>
        <v/>
      </c>
      <c r="AF1" s="233"/>
      <c r="AG1" s="233"/>
      <c r="AH1" s="233"/>
      <c r="AI1" s="233"/>
      <c r="AJ1" s="233"/>
      <c r="AK1" s="233"/>
      <c r="AL1" s="233"/>
    </row>
    <row r="2" spans="1:38" x14ac:dyDescent="0.2">
      <c r="A2" t="s">
        <v>343</v>
      </c>
      <c r="D2" s="233" t="str">
        <f>_xlfn.CONCAT(Data!B5," ",IF(Data!B6="","","Apt"&amp;Data!B6)," ",Data!B7,", ",Data!B8," ",Data!B9)</f>
        <v xml:space="preserve">  ,  </v>
      </c>
      <c r="E2" s="233"/>
      <c r="F2" s="233"/>
      <c r="G2" s="233"/>
      <c r="H2" s="233"/>
      <c r="I2" s="233"/>
      <c r="J2" s="233"/>
      <c r="K2" s="233"/>
      <c r="L2" s="233"/>
      <c r="M2" s="233"/>
      <c r="N2" s="233"/>
      <c r="O2" s="233"/>
      <c r="P2" s="233"/>
      <c r="Q2" s="233"/>
      <c r="R2" s="233"/>
      <c r="S2" s="233"/>
      <c r="T2" s="233"/>
      <c r="U2" s="233"/>
      <c r="V2" s="233"/>
      <c r="W2" s="233"/>
      <c r="X2" s="233"/>
      <c r="Y2" s="233"/>
      <c r="Z2" s="233"/>
      <c r="AA2" s="233"/>
      <c r="AB2" s="233"/>
      <c r="AC2" s="233"/>
      <c r="AE2" s="233" t="str">
        <f>IF(Data!B180=TRUE,"Companion Care","")</f>
        <v/>
      </c>
      <c r="AF2" s="233"/>
      <c r="AG2" s="233"/>
      <c r="AH2" s="233"/>
      <c r="AI2" s="233"/>
      <c r="AJ2" s="233"/>
      <c r="AK2" s="233"/>
      <c r="AL2" s="233"/>
    </row>
    <row r="3" spans="1:38" s="192" customFormat="1" x14ac:dyDescent="0.2">
      <c r="D3" s="193"/>
      <c r="E3" s="193"/>
      <c r="F3" s="193"/>
      <c r="G3" s="193"/>
      <c r="H3" s="193"/>
      <c r="I3" s="193"/>
      <c r="J3" s="193"/>
      <c r="K3" s="193"/>
      <c r="L3" s="193"/>
      <c r="M3" s="193"/>
      <c r="N3" s="193"/>
      <c r="O3" s="193"/>
      <c r="P3" s="193"/>
      <c r="Q3" s="193"/>
      <c r="R3" s="193"/>
      <c r="S3" s="193"/>
      <c r="T3" s="193"/>
      <c r="U3" s="193"/>
      <c r="V3" s="193"/>
      <c r="W3" s="193"/>
      <c r="X3" s="193"/>
      <c r="Y3" s="193"/>
      <c r="Z3" s="193"/>
      <c r="AA3" s="193"/>
      <c r="AB3" s="193"/>
      <c r="AC3" s="193"/>
      <c r="AE3" s="233" t="str">
        <f>IF(Data!B1604=TRUE,"Skilled Nursing","")</f>
        <v/>
      </c>
      <c r="AF3" s="233"/>
      <c r="AG3" s="233"/>
      <c r="AH3" s="233"/>
      <c r="AI3" s="233"/>
      <c r="AJ3" s="233"/>
      <c r="AK3" s="233"/>
      <c r="AL3" s="233"/>
    </row>
    <row r="4" spans="1:38" x14ac:dyDescent="0.2">
      <c r="A4" t="s">
        <v>668</v>
      </c>
      <c r="D4" s="233">
        <f>Data!B10</f>
        <v>0</v>
      </c>
      <c r="E4" s="233"/>
      <c r="F4" s="233"/>
      <c r="G4" s="233"/>
      <c r="H4" s="233"/>
      <c r="I4" s="233"/>
      <c r="J4" s="233"/>
      <c r="K4" t="s">
        <v>669</v>
      </c>
      <c r="P4" s="472" t="str">
        <f>IF(Data!B11&lt;&gt;"",TEXT(Data!B11,"(###) ###-####"),"No home phone.")</f>
        <v>No home phone.</v>
      </c>
      <c r="Q4" s="472"/>
      <c r="R4" s="472"/>
      <c r="S4" s="472"/>
      <c r="T4" s="472"/>
      <c r="U4" s="472"/>
      <c r="V4" s="472"/>
      <c r="X4" t="s">
        <v>670</v>
      </c>
      <c r="AC4" s="472" t="str">
        <f>IF(Data!B12&lt;&gt;"",TEXT(Data!B12,"(###) ###-####"),"No cell phone.")</f>
        <v>No cell phone.</v>
      </c>
      <c r="AD4" s="472"/>
      <c r="AE4" s="472"/>
      <c r="AF4" s="472"/>
      <c r="AG4" s="472"/>
      <c r="AH4" s="472"/>
      <c r="AI4" s="472"/>
    </row>
    <row r="5" spans="1:38" x14ac:dyDescent="0.2">
      <c r="A5" t="s">
        <v>921</v>
      </c>
      <c r="F5" s="233" t="str">
        <f>IF(Data!B13="","N/A",Data!B13)</f>
        <v>N/A</v>
      </c>
      <c r="G5" s="233"/>
      <c r="H5" s="233"/>
      <c r="I5" s="233"/>
      <c r="J5" s="233"/>
      <c r="K5" s="233"/>
      <c r="L5" s="233"/>
      <c r="M5" s="233"/>
      <c r="N5" s="233"/>
      <c r="O5" s="233"/>
      <c r="P5" s="233"/>
      <c r="Q5" s="233"/>
      <c r="R5" s="233"/>
      <c r="S5" s="233"/>
      <c r="T5" s="233"/>
      <c r="U5" s="233"/>
      <c r="W5" t="s">
        <v>1254</v>
      </c>
      <c r="Z5" s="233">
        <f>Data!B174</f>
        <v>0</v>
      </c>
      <c r="AA5" s="233"/>
      <c r="AB5" s="233"/>
      <c r="AC5" s="233"/>
      <c r="AD5" s="233"/>
      <c r="AE5" s="233"/>
      <c r="AF5" s="233"/>
      <c r="AG5" s="233"/>
      <c r="AH5" s="233"/>
      <c r="AI5" s="233"/>
      <c r="AJ5" s="233"/>
    </row>
    <row r="7" spans="1:38" x14ac:dyDescent="0.2">
      <c r="A7" t="s">
        <v>922</v>
      </c>
      <c r="F7" s="218">
        <f>Data!B30</f>
        <v>0</v>
      </c>
      <c r="G7" s="219"/>
      <c r="H7" s="219"/>
      <c r="I7" s="219"/>
      <c r="J7" s="219"/>
      <c r="L7" t="s">
        <v>924</v>
      </c>
      <c r="Q7" s="480">
        <f>Data!B32</f>
        <v>0</v>
      </c>
      <c r="R7" s="481"/>
      <c r="S7" s="481"/>
      <c r="T7" s="481"/>
      <c r="U7" s="481"/>
      <c r="W7" t="s">
        <v>582</v>
      </c>
      <c r="AB7" s="218">
        <f>Data!B33</f>
        <v>0</v>
      </c>
      <c r="AC7" s="219"/>
      <c r="AD7" s="219"/>
      <c r="AE7" s="219"/>
      <c r="AF7" s="219"/>
    </row>
    <row r="8" spans="1:38" x14ac:dyDescent="0.2">
      <c r="A8" t="s">
        <v>923</v>
      </c>
      <c r="F8" s="219">
        <f>Data!B31</f>
        <v>0</v>
      </c>
      <c r="G8" s="219"/>
      <c r="H8" s="219"/>
      <c r="I8" s="219"/>
      <c r="J8" s="219"/>
      <c r="K8" s="219"/>
      <c r="L8" s="219"/>
      <c r="M8" s="219"/>
      <c r="N8" s="219"/>
      <c r="O8" s="219"/>
      <c r="P8" s="219"/>
      <c r="Q8" s="219"/>
      <c r="R8" s="219"/>
      <c r="S8" s="219"/>
      <c r="T8" s="219"/>
      <c r="U8" s="219"/>
      <c r="W8" t="s">
        <v>925</v>
      </c>
      <c r="AF8" s="218">
        <f>Data!B35</f>
        <v>0</v>
      </c>
      <c r="AG8" s="219"/>
      <c r="AH8" s="219"/>
      <c r="AI8" s="219"/>
      <c r="AJ8" s="219"/>
    </row>
    <row r="9" spans="1:38" x14ac:dyDescent="0.2">
      <c r="A9" t="s">
        <v>926</v>
      </c>
    </row>
    <row r="10" spans="1:38" x14ac:dyDescent="0.2">
      <c r="A10" s="255">
        <f>Data!B177</f>
        <v>0</v>
      </c>
      <c r="B10" s="255"/>
      <c r="C10" s="255"/>
      <c r="D10" s="255"/>
      <c r="E10" s="255"/>
      <c r="F10" s="255"/>
      <c r="G10" s="255"/>
      <c r="H10" s="255"/>
      <c r="I10" s="255"/>
      <c r="J10" s="255"/>
      <c r="K10" s="255"/>
      <c r="L10" s="255"/>
      <c r="M10" s="255"/>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c r="AL10" s="255"/>
    </row>
    <row r="11" spans="1:38" x14ac:dyDescent="0.2">
      <c r="A11" s="255"/>
      <c r="B11" s="255"/>
      <c r="C11" s="255"/>
      <c r="D11" s="255"/>
      <c r="E11" s="255"/>
      <c r="F11" s="255"/>
      <c r="G11" s="255"/>
      <c r="H11" s="255"/>
      <c r="I11" s="255"/>
      <c r="J11" s="255"/>
      <c r="K11" s="255"/>
      <c r="L11" s="255"/>
      <c r="M11" s="255"/>
      <c r="N11" s="255"/>
      <c r="O11" s="255"/>
      <c r="P11" s="255"/>
      <c r="Q11" s="255"/>
      <c r="R11" s="255"/>
      <c r="S11" s="255"/>
      <c r="T11" s="255"/>
      <c r="U11" s="255"/>
      <c r="V11" s="255"/>
      <c r="W11" s="255"/>
      <c r="X11" s="255"/>
      <c r="Y11" s="255"/>
      <c r="Z11" s="255"/>
      <c r="AA11" s="255"/>
      <c r="AB11" s="255"/>
      <c r="AC11" s="255"/>
      <c r="AD11" s="255"/>
      <c r="AE11" s="255"/>
      <c r="AF11" s="255"/>
      <c r="AG11" s="255"/>
      <c r="AH11" s="255"/>
      <c r="AI11" s="255"/>
      <c r="AJ11" s="255"/>
      <c r="AK11" s="255"/>
      <c r="AL11" s="255"/>
    </row>
    <row r="12" spans="1:38" x14ac:dyDescent="0.2">
      <c r="A12" s="340" t="s">
        <v>927</v>
      </c>
      <c r="B12" s="340"/>
      <c r="C12" s="340"/>
      <c r="D12" s="340"/>
      <c r="E12" s="340"/>
      <c r="F12" s="340"/>
      <c r="G12" s="340"/>
      <c r="H12" s="340"/>
      <c r="I12" s="340"/>
      <c r="J12" s="340"/>
      <c r="K12" s="340"/>
      <c r="L12" s="340"/>
      <c r="M12" s="340"/>
      <c r="N12" s="340"/>
      <c r="O12" s="340"/>
      <c r="P12" s="340"/>
      <c r="Q12" s="340"/>
      <c r="R12" s="340"/>
      <c r="S12" s="340"/>
      <c r="T12" s="340"/>
      <c r="U12" s="340"/>
      <c r="V12" s="340"/>
      <c r="W12" s="340"/>
      <c r="X12" s="340"/>
      <c r="Y12" s="340"/>
      <c r="Z12" s="340"/>
      <c r="AA12" s="340"/>
      <c r="AB12" s="340"/>
      <c r="AC12" s="340"/>
      <c r="AD12" s="340"/>
      <c r="AE12" s="340"/>
      <c r="AF12" s="340"/>
      <c r="AG12" s="340"/>
      <c r="AH12" s="340"/>
      <c r="AI12" s="340"/>
      <c r="AJ12" s="340"/>
      <c r="AK12" s="340"/>
      <c r="AL12" s="340"/>
    </row>
    <row r="13" spans="1:38" x14ac:dyDescent="0.2">
      <c r="A13" t="s">
        <v>928</v>
      </c>
      <c r="G13" s="233">
        <f>Data!B110</f>
        <v>0</v>
      </c>
      <c r="H13" s="233"/>
      <c r="I13" s="233"/>
      <c r="J13" s="233"/>
      <c r="K13" s="233"/>
      <c r="L13" s="233"/>
      <c r="M13" t="s">
        <v>342</v>
      </c>
      <c r="N13" s="4"/>
      <c r="P13" s="233">
        <f>IF(Data!B110="Self","Same as client",Data!B111)</f>
        <v>0</v>
      </c>
      <c r="Q13" s="233"/>
      <c r="R13" s="233"/>
      <c r="S13" s="233"/>
      <c r="T13" s="233"/>
      <c r="U13" s="233"/>
      <c r="V13" s="233"/>
      <c r="W13" s="233"/>
      <c r="X13" s="4"/>
      <c r="Y13" t="s">
        <v>929</v>
      </c>
      <c r="Z13" s="4"/>
      <c r="AA13" s="4"/>
      <c r="AE13" s="233" t="str">
        <f>IF(Data!B115=TRUE,"Check","Credit Card")</f>
        <v>Credit Card</v>
      </c>
      <c r="AF13" s="233"/>
      <c r="AG13" s="233"/>
      <c r="AH13" s="233"/>
      <c r="AI13" s="233"/>
      <c r="AJ13" s="233"/>
      <c r="AK13" s="233"/>
    </row>
    <row r="14" spans="1:38" x14ac:dyDescent="0.2">
      <c r="A14" t="s">
        <v>343</v>
      </c>
      <c r="D14" s="219">
        <f>IF(Data!B110="Self",D2,Data!B112)</f>
        <v>0</v>
      </c>
      <c r="E14" s="219"/>
      <c r="F14" s="219"/>
      <c r="G14" s="219"/>
      <c r="H14" s="219"/>
      <c r="I14" s="219"/>
      <c r="J14" s="219"/>
      <c r="K14" s="219"/>
      <c r="L14" s="219"/>
      <c r="M14" s="219"/>
      <c r="N14" s="219"/>
      <c r="O14" s="219"/>
      <c r="P14" s="219"/>
      <c r="Q14" s="219"/>
      <c r="R14" s="219"/>
      <c r="S14" s="219"/>
      <c r="T14" s="219"/>
      <c r="U14" s="219"/>
      <c r="V14" s="219"/>
      <c r="W14" s="219"/>
      <c r="Y14" t="s">
        <v>348</v>
      </c>
      <c r="AB14" s="298">
        <f>IF(Data!B110="Self","Same as client",Data!B113)</f>
        <v>0</v>
      </c>
      <c r="AC14" s="298"/>
      <c r="AD14" s="298"/>
      <c r="AE14" s="298"/>
      <c r="AF14" s="298"/>
      <c r="AG14" s="298"/>
      <c r="AH14" s="298"/>
      <c r="AI14" s="298"/>
    </row>
    <row r="15" spans="1:38" x14ac:dyDescent="0.2">
      <c r="A15" t="s">
        <v>715</v>
      </c>
      <c r="C15" s="233">
        <f>IF(Data!B110="Self","Same as client",Data!B114)</f>
        <v>0</v>
      </c>
      <c r="D15" s="233"/>
      <c r="E15" s="233"/>
      <c r="F15" s="233"/>
      <c r="G15" s="233"/>
      <c r="H15" s="233"/>
      <c r="I15" s="233"/>
      <c r="J15" s="233"/>
      <c r="K15" s="233"/>
      <c r="L15" s="233"/>
      <c r="M15" s="233"/>
      <c r="N15" s="233"/>
      <c r="O15" s="233"/>
      <c r="P15" s="233"/>
      <c r="Q15" t="s">
        <v>930</v>
      </c>
      <c r="V15" s="233" t="str">
        <f>IF(Data!B117="","N/A",Data!B117)</f>
        <v>N/A</v>
      </c>
      <c r="W15" s="233"/>
      <c r="X15" s="233"/>
      <c r="Y15" s="233"/>
      <c r="Z15" s="233"/>
      <c r="AA15" s="233"/>
      <c r="AB15" s="233"/>
      <c r="AC15" s="233"/>
      <c r="AD15" s="233"/>
      <c r="AE15" s="233"/>
      <c r="AF15" s="233"/>
      <c r="AG15" s="233"/>
      <c r="AH15" s="233"/>
      <c r="AI15" s="233"/>
      <c r="AJ15" s="233"/>
      <c r="AK15" s="233"/>
      <c r="AL15" s="233"/>
    </row>
    <row r="16" spans="1:38" x14ac:dyDescent="0.2">
      <c r="A16" s="340" t="s">
        <v>931</v>
      </c>
      <c r="B16" s="340"/>
      <c r="C16" s="340"/>
      <c r="D16" s="340"/>
      <c r="E16" s="340"/>
      <c r="F16" s="340"/>
      <c r="G16" s="340"/>
      <c r="H16" s="340"/>
      <c r="I16" s="340"/>
      <c r="J16" s="340"/>
      <c r="K16" s="340"/>
      <c r="L16" s="340"/>
      <c r="M16" s="340"/>
      <c r="N16" s="340"/>
      <c r="O16" s="340"/>
      <c r="P16" s="340"/>
      <c r="Q16" s="340"/>
      <c r="R16" s="340"/>
      <c r="S16" s="340"/>
      <c r="T16" s="340"/>
      <c r="U16" s="340"/>
      <c r="V16" s="340"/>
      <c r="W16" s="340"/>
      <c r="X16" s="340"/>
      <c r="Y16" s="340"/>
      <c r="Z16" s="340"/>
      <c r="AA16" s="340"/>
      <c r="AB16" s="340"/>
      <c r="AC16" s="340"/>
      <c r="AD16" s="340"/>
      <c r="AE16" s="340"/>
      <c r="AF16" s="340"/>
      <c r="AG16" s="340"/>
      <c r="AH16" s="340"/>
      <c r="AI16" s="340"/>
      <c r="AJ16" s="340"/>
      <c r="AK16" s="340"/>
      <c r="AL16" s="340"/>
    </row>
    <row r="17" spans="1:38" x14ac:dyDescent="0.2">
      <c r="A17" s="344" t="s">
        <v>934</v>
      </c>
      <c r="B17" s="344"/>
      <c r="C17" s="344"/>
      <c r="D17" s="344"/>
      <c r="E17" s="344"/>
      <c r="F17" s="344"/>
      <c r="G17" s="344"/>
      <c r="H17" s="344"/>
      <c r="I17" s="344"/>
      <c r="J17" s="344"/>
      <c r="K17" s="344"/>
      <c r="L17" s="344"/>
      <c r="M17" s="344"/>
      <c r="N17" s="344"/>
      <c r="O17" s="344"/>
      <c r="P17" s="344"/>
      <c r="Q17" s="344"/>
      <c r="R17" s="344"/>
      <c r="S17" s="344"/>
      <c r="T17" s="344"/>
      <c r="U17" s="344"/>
      <c r="V17" s="8"/>
      <c r="W17" s="16" t="s">
        <v>938</v>
      </c>
      <c r="X17" s="8"/>
      <c r="Y17" s="8"/>
      <c r="Z17" s="8"/>
      <c r="AA17" s="300" t="str">
        <f>SCHDualMPP!B27&amp;" days per week"</f>
        <v>0 days per week</v>
      </c>
      <c r="AB17" s="300"/>
      <c r="AC17" s="300"/>
      <c r="AD17" s="300"/>
      <c r="AE17" s="300"/>
      <c r="AF17" s="300"/>
      <c r="AG17" s="8"/>
      <c r="AH17" s="8"/>
      <c r="AI17" s="8"/>
      <c r="AJ17" s="8"/>
      <c r="AK17" s="8"/>
      <c r="AL17" s="8"/>
    </row>
    <row r="18" spans="1:38" x14ac:dyDescent="0.2">
      <c r="A18" s="344" t="s">
        <v>630</v>
      </c>
      <c r="B18" s="344"/>
      <c r="C18" s="344"/>
      <c r="D18" s="344" t="s">
        <v>624</v>
      </c>
      <c r="E18" s="344"/>
      <c r="F18" s="344"/>
      <c r="G18" s="344" t="s">
        <v>932</v>
      </c>
      <c r="H18" s="344"/>
      <c r="I18" s="344"/>
      <c r="J18" s="344" t="s">
        <v>626</v>
      </c>
      <c r="K18" s="344"/>
      <c r="L18" s="344"/>
      <c r="M18" s="344" t="s">
        <v>933</v>
      </c>
      <c r="N18" s="344"/>
      <c r="O18" s="344"/>
      <c r="P18" s="344" t="s">
        <v>628</v>
      </c>
      <c r="Q18" s="344"/>
      <c r="R18" s="344"/>
      <c r="S18" s="344" t="s">
        <v>629</v>
      </c>
      <c r="T18" s="344"/>
      <c r="U18" s="344"/>
      <c r="W18" s="16" t="s">
        <v>935</v>
      </c>
      <c r="Z18" s="4" t="s">
        <v>939</v>
      </c>
    </row>
    <row r="19" spans="1:38" x14ac:dyDescent="0.2">
      <c r="A19" s="353" t="str">
        <f>_xlfn.CONCAT(IF(Data!B1769&lt;&gt;"",Data!B1769,""),IF(Data!B1783&lt;&gt;"",", "&amp;Data!B1783,""),IF(Data!B1797&lt;&gt;"",", "&amp;Data!B1797,""))</f>
        <v/>
      </c>
      <c r="B19" s="353"/>
      <c r="C19" s="353"/>
      <c r="D19" s="353" t="str">
        <f>_xlfn.CONCAT(IF(Data!B1770&lt;&gt;"",Data!B1770,""),IF(Data!B1784&lt;&gt;"",", "&amp;Data!B1784,""),IF(Data!B1798&lt;&gt;"",", "&amp;Data!B1798,""))</f>
        <v/>
      </c>
      <c r="E19" s="353"/>
      <c r="F19" s="353"/>
      <c r="G19" s="353" t="str">
        <f>_xlfn.CONCAT(IF(Data!B1771&lt;&gt;"",Data!B1771,""),IF(Data!B1785&lt;&gt;"",", "&amp;Data!B1785,""),IF(Data!B1799&lt;&gt;"",", "&amp;Data!B1799,""))</f>
        <v/>
      </c>
      <c r="H19" s="353"/>
      <c r="I19" s="353"/>
      <c r="J19" s="353" t="str">
        <f>_xlfn.CONCAT(IF(Data!B1772&lt;&gt;"",Data!B1772,""),IF(Data!B1786&lt;&gt;"",", "&amp;Data!B1786,""),IF(Data!B1800&lt;&gt;"",", "&amp;Data!B1800,""))</f>
        <v/>
      </c>
      <c r="K19" s="353"/>
      <c r="L19" s="353"/>
      <c r="M19" s="353" t="str">
        <f>_xlfn.CONCAT(IF(Data!B1773&lt;&gt;"",Data!B1773,""),IF(Data!B1787&lt;&gt;"",", "&amp;Data!B1787,""),IF(Data!B1801&lt;&gt;"",", "&amp;Data!B1801,""))</f>
        <v/>
      </c>
      <c r="N19" s="353"/>
      <c r="O19" s="353"/>
      <c r="P19" s="353" t="str">
        <f>_xlfn.CONCAT(IF(Data!B1774&lt;&gt;"",Data!B1774,""),IF(Data!B1788&lt;&gt;"",", "&amp;Data!B1788,""),IF(Data!B1802&lt;&gt;"",", "&amp;Data!B1802,""))</f>
        <v/>
      </c>
      <c r="Q19" s="353"/>
      <c r="R19" s="353"/>
      <c r="S19" s="353" t="str">
        <f>_xlfn.CONCAT(IF(Data!B1775&lt;&gt;"",Data!B1775,""),IF(Data!B1789&lt;&gt;"",", "&amp;Data!B1789,""),IF(Data!B1803&lt;&gt;"",", "&amp;Data!B1803,""))</f>
        <v/>
      </c>
      <c r="T19" s="353"/>
      <c r="U19" s="353"/>
      <c r="W19" s="16" t="s">
        <v>936</v>
      </c>
      <c r="Z19" s="4" t="s">
        <v>939</v>
      </c>
    </row>
    <row r="20" spans="1:38" x14ac:dyDescent="0.2">
      <c r="A20" s="353"/>
      <c r="B20" s="353"/>
      <c r="C20" s="353"/>
      <c r="D20" s="353"/>
      <c r="E20" s="353"/>
      <c r="F20" s="353"/>
      <c r="G20" s="353"/>
      <c r="H20" s="353"/>
      <c r="I20" s="353"/>
      <c r="J20" s="353"/>
      <c r="K20" s="353"/>
      <c r="L20" s="353"/>
      <c r="M20" s="353"/>
      <c r="N20" s="353"/>
      <c r="O20" s="353"/>
      <c r="P20" s="353"/>
      <c r="Q20" s="353"/>
      <c r="R20" s="353"/>
      <c r="S20" s="353"/>
      <c r="T20" s="353"/>
      <c r="U20" s="353"/>
      <c r="W20" s="16" t="s">
        <v>937</v>
      </c>
      <c r="AD20" s="474">
        <f>SCHDualMPP!F10</f>
        <v>0</v>
      </c>
      <c r="AE20" s="219"/>
      <c r="AF20" s="219"/>
      <c r="AG20" s="219"/>
      <c r="AH20" s="219"/>
    </row>
    <row r="21" spans="1:38" x14ac:dyDescent="0.2">
      <c r="A21" s="353"/>
      <c r="B21" s="353"/>
      <c r="C21" s="353"/>
      <c r="D21" s="353"/>
      <c r="E21" s="353"/>
      <c r="F21" s="353"/>
      <c r="G21" s="353"/>
      <c r="H21" s="353"/>
      <c r="I21" s="353"/>
      <c r="J21" s="353"/>
      <c r="K21" s="353"/>
      <c r="L21" s="353"/>
      <c r="M21" s="353"/>
      <c r="N21" s="353"/>
      <c r="O21" s="353"/>
      <c r="P21" s="353"/>
      <c r="Q21" s="353"/>
      <c r="R21" s="353"/>
      <c r="S21" s="353"/>
      <c r="T21" s="353"/>
      <c r="U21" s="353"/>
      <c r="W21" s="16" t="s">
        <v>941</v>
      </c>
      <c r="AD21" s="486">
        <f>SCHDualMPP!N25</f>
        <v>0</v>
      </c>
      <c r="AE21" s="486"/>
      <c r="AF21" s="486"/>
      <c r="AG21" s="486"/>
      <c r="AH21" s="486"/>
      <c r="AI21" s="486"/>
    </row>
    <row r="22" spans="1:38" x14ac:dyDescent="0.2">
      <c r="N22" s="487"/>
      <c r="O22" s="488"/>
      <c r="P22" s="488"/>
      <c r="Q22" s="488"/>
      <c r="R22" s="488"/>
    </row>
    <row r="23" spans="1:38" x14ac:dyDescent="0.2">
      <c r="A23" t="s">
        <v>2951</v>
      </c>
      <c r="K23" s="489">
        <f>Data!B107</f>
        <v>0</v>
      </c>
      <c r="L23" s="233"/>
      <c r="M23" s="233"/>
      <c r="N23" s="233"/>
      <c r="O23" s="233"/>
      <c r="P23" s="4"/>
      <c r="Q23" s="4"/>
      <c r="R23" s="4"/>
      <c r="U23" t="s">
        <v>2947</v>
      </c>
      <c r="AG23" s="476">
        <f>Data!G104</f>
        <v>0</v>
      </c>
      <c r="AH23" s="476"/>
      <c r="AI23" s="476"/>
      <c r="AJ23" s="476"/>
      <c r="AK23" s="476"/>
    </row>
    <row r="24" spans="1:38" x14ac:dyDescent="0.2">
      <c r="A24" t="s">
        <v>2946</v>
      </c>
      <c r="J24" s="128"/>
      <c r="K24" s="489">
        <f>Data!B106</f>
        <v>0</v>
      </c>
      <c r="L24" s="233"/>
      <c r="M24" s="233"/>
      <c r="N24" s="233"/>
      <c r="O24" s="233"/>
      <c r="U24" t="s">
        <v>2948</v>
      </c>
      <c r="AG24" s="476">
        <f>Data!G105</f>
        <v>0</v>
      </c>
      <c r="AH24" s="476"/>
      <c r="AI24" s="476"/>
      <c r="AJ24" s="476"/>
      <c r="AK24" s="476"/>
    </row>
    <row r="25" spans="1:38" x14ac:dyDescent="0.2">
      <c r="A25" t="s">
        <v>2950</v>
      </c>
      <c r="I25" s="129"/>
      <c r="J25" s="129"/>
      <c r="K25" s="483">
        <f>Data!B108</f>
        <v>0</v>
      </c>
      <c r="L25" s="476"/>
      <c r="M25" s="476"/>
      <c r="N25" s="476"/>
      <c r="O25" s="476"/>
      <c r="U25" t="s">
        <v>2955</v>
      </c>
      <c r="AG25" s="483">
        <f>Data!B105</f>
        <v>0</v>
      </c>
      <c r="AH25" s="476"/>
      <c r="AI25" s="476"/>
      <c r="AJ25" s="476"/>
      <c r="AK25" s="476"/>
    </row>
    <row r="26" spans="1:38" x14ac:dyDescent="0.2">
      <c r="I26" s="484"/>
      <c r="J26" s="233"/>
      <c r="K26" s="233"/>
      <c r="L26" s="233"/>
      <c r="M26" s="233"/>
    </row>
    <row r="27" spans="1:38" x14ac:dyDescent="0.2">
      <c r="A27" s="460" t="s">
        <v>946</v>
      </c>
      <c r="B27" s="460"/>
      <c r="C27" s="460"/>
      <c r="D27" s="460"/>
      <c r="E27" s="460"/>
      <c r="F27" s="460"/>
      <c r="G27" s="460"/>
      <c r="H27" s="460"/>
      <c r="I27" s="460"/>
      <c r="J27" s="460"/>
      <c r="K27" s="460"/>
      <c r="L27" s="460"/>
      <c r="M27" s="460"/>
      <c r="N27" s="460"/>
      <c r="O27" s="460"/>
      <c r="P27" s="460"/>
      <c r="Q27" s="460"/>
      <c r="R27" s="460"/>
      <c r="S27" s="460"/>
      <c r="T27" s="460"/>
      <c r="U27" s="460"/>
      <c r="V27" s="460"/>
      <c r="W27" s="460"/>
      <c r="X27" s="460"/>
      <c r="Y27" s="460"/>
      <c r="Z27" s="460"/>
      <c r="AA27" s="460"/>
      <c r="AB27" s="460"/>
      <c r="AC27" s="460"/>
      <c r="AD27" s="460"/>
      <c r="AE27" s="460"/>
      <c r="AF27" s="460"/>
      <c r="AG27" s="460"/>
      <c r="AH27" s="460"/>
      <c r="AI27" s="460"/>
      <c r="AJ27" s="460"/>
      <c r="AK27" s="460"/>
      <c r="AL27" s="460"/>
    </row>
    <row r="28" spans="1:38" x14ac:dyDescent="0.2">
      <c r="A28" s="460"/>
      <c r="B28" s="460"/>
      <c r="C28" s="460"/>
      <c r="D28" s="460"/>
      <c r="E28" s="460"/>
      <c r="F28" s="460"/>
      <c r="G28" s="460"/>
      <c r="H28" s="460"/>
      <c r="I28" s="460"/>
      <c r="J28" s="460"/>
      <c r="K28" s="460"/>
      <c r="L28" s="460"/>
      <c r="M28" s="460"/>
      <c r="N28" s="460"/>
      <c r="O28" s="460"/>
      <c r="P28" s="460"/>
      <c r="Q28" s="460"/>
      <c r="R28" s="460"/>
      <c r="S28" s="460"/>
      <c r="T28" s="460"/>
      <c r="U28" s="460"/>
      <c r="V28" s="460"/>
      <c r="W28" s="460"/>
      <c r="X28" s="460"/>
      <c r="Y28" s="460"/>
      <c r="Z28" s="460"/>
      <c r="AA28" s="460"/>
      <c r="AB28" s="460"/>
      <c r="AC28" s="460"/>
      <c r="AD28" s="460"/>
      <c r="AE28" s="460"/>
      <c r="AF28" s="460"/>
      <c r="AG28" s="460"/>
      <c r="AH28" s="460"/>
      <c r="AI28" s="460"/>
      <c r="AJ28" s="460"/>
      <c r="AK28" s="460"/>
      <c r="AL28" s="460"/>
    </row>
    <row r="30" spans="1:38" x14ac:dyDescent="0.2">
      <c r="A30" s="260" t="s">
        <v>942</v>
      </c>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c r="AE30" s="260"/>
      <c r="AF30" s="260"/>
      <c r="AG30" s="260"/>
      <c r="AH30" s="260"/>
      <c r="AI30" s="260"/>
      <c r="AJ30" s="260"/>
      <c r="AK30" s="260"/>
      <c r="AL30" s="260"/>
    </row>
    <row r="31" spans="1:38" x14ac:dyDescent="0.2">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c r="AE31" s="260"/>
      <c r="AF31" s="260"/>
      <c r="AG31" s="260"/>
      <c r="AH31" s="260"/>
      <c r="AI31" s="260"/>
      <c r="AJ31" s="260"/>
      <c r="AK31" s="260"/>
      <c r="AL31" s="260"/>
    </row>
    <row r="32" spans="1:38" ht="9.75" customHeight="1" x14ac:dyDescent="0.2">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c r="AE32" s="260"/>
      <c r="AF32" s="260"/>
      <c r="AG32" s="260"/>
      <c r="AH32" s="260"/>
      <c r="AI32" s="260"/>
      <c r="AJ32" s="260"/>
      <c r="AK32" s="260"/>
      <c r="AL32" s="260"/>
    </row>
    <row r="34" spans="1:38" x14ac:dyDescent="0.2">
      <c r="A34" s="485" t="s">
        <v>947</v>
      </c>
      <c r="B34" s="485"/>
      <c r="C34" s="485"/>
      <c r="D34" s="485"/>
      <c r="E34" s="485"/>
      <c r="F34" s="485"/>
      <c r="G34" s="485"/>
      <c r="H34" s="485"/>
      <c r="I34" s="485"/>
      <c r="J34" s="485"/>
      <c r="K34" s="485"/>
      <c r="L34" s="485"/>
      <c r="M34" s="485"/>
      <c r="N34" s="485"/>
      <c r="O34" s="485"/>
      <c r="P34" s="485"/>
      <c r="Q34" s="485"/>
      <c r="R34" s="485"/>
      <c r="S34" s="485"/>
      <c r="T34" s="485"/>
      <c r="U34" s="485"/>
      <c r="V34" s="485"/>
      <c r="W34" s="485"/>
      <c r="X34" s="485"/>
      <c r="Y34" s="485"/>
      <c r="Z34" s="485"/>
      <c r="AA34" s="485"/>
      <c r="AB34" s="485"/>
      <c r="AC34" s="485"/>
      <c r="AD34" s="485"/>
      <c r="AE34" s="485"/>
      <c r="AF34" s="485"/>
      <c r="AG34" s="485"/>
      <c r="AH34" s="485"/>
      <c r="AI34" s="485"/>
      <c r="AJ34" s="485"/>
      <c r="AK34" s="485"/>
      <c r="AL34" s="485"/>
    </row>
    <row r="35" spans="1:38" ht="18" customHeight="1" x14ac:dyDescent="0.2">
      <c r="A35" s="485"/>
      <c r="B35" s="485"/>
      <c r="C35" s="485"/>
      <c r="D35" s="485"/>
      <c r="E35" s="485"/>
      <c r="F35" s="485"/>
      <c r="G35" s="485"/>
      <c r="H35" s="485"/>
      <c r="I35" s="485"/>
      <c r="J35" s="485"/>
      <c r="K35" s="485"/>
      <c r="L35" s="485"/>
      <c r="M35" s="485"/>
      <c r="N35" s="485"/>
      <c r="O35" s="485"/>
      <c r="P35" s="485"/>
      <c r="Q35" s="485"/>
      <c r="R35" s="485"/>
      <c r="S35" s="485"/>
      <c r="T35" s="485"/>
      <c r="U35" s="485"/>
      <c r="V35" s="485"/>
      <c r="W35" s="485"/>
      <c r="X35" s="485"/>
      <c r="Y35" s="485"/>
      <c r="Z35" s="485"/>
      <c r="AA35" s="485"/>
      <c r="AB35" s="485"/>
      <c r="AC35" s="485"/>
      <c r="AD35" s="485"/>
      <c r="AE35" s="485"/>
      <c r="AF35" s="485"/>
      <c r="AG35" s="485"/>
      <c r="AH35" s="485"/>
      <c r="AI35" s="485"/>
      <c r="AJ35" s="485"/>
      <c r="AK35" s="485"/>
      <c r="AL35" s="485"/>
    </row>
    <row r="37" spans="1:38" x14ac:dyDescent="0.2">
      <c r="A37" s="482" t="s">
        <v>945</v>
      </c>
      <c r="B37" s="482"/>
      <c r="C37" s="482"/>
      <c r="D37" s="482"/>
      <c r="E37" s="482"/>
      <c r="F37" s="482"/>
      <c r="G37" s="482"/>
      <c r="H37" s="482"/>
      <c r="I37" s="482"/>
      <c r="J37" s="482"/>
      <c r="K37" s="482"/>
      <c r="L37" s="482"/>
      <c r="M37" s="482"/>
      <c r="N37" s="482"/>
      <c r="O37" s="482"/>
      <c r="P37" s="482"/>
      <c r="Q37" s="482"/>
      <c r="R37" s="482"/>
      <c r="S37" s="482"/>
      <c r="T37" s="482"/>
      <c r="U37" s="482"/>
      <c r="V37" s="482"/>
      <c r="W37" s="482"/>
      <c r="X37" s="482"/>
      <c r="Y37" s="482"/>
      <c r="Z37" s="482"/>
      <c r="AA37" s="482"/>
      <c r="AB37" s="482"/>
      <c r="AC37" s="482"/>
      <c r="AD37" s="482"/>
      <c r="AE37" s="482"/>
      <c r="AF37" s="482"/>
      <c r="AG37" s="482"/>
      <c r="AH37" s="482"/>
      <c r="AI37" s="482"/>
      <c r="AJ37" s="482"/>
      <c r="AK37" s="482"/>
      <c r="AL37" s="482"/>
    </row>
    <row r="38" spans="1:38" x14ac:dyDescent="0.2">
      <c r="A38" s="482"/>
      <c r="B38" s="482"/>
      <c r="C38" s="482"/>
      <c r="D38" s="482"/>
      <c r="E38" s="482"/>
      <c r="F38" s="482"/>
      <c r="G38" s="482"/>
      <c r="H38" s="482"/>
      <c r="I38" s="482"/>
      <c r="J38" s="482"/>
      <c r="K38" s="482"/>
      <c r="L38" s="482"/>
      <c r="M38" s="482"/>
      <c r="N38" s="482"/>
      <c r="O38" s="482"/>
      <c r="P38" s="482"/>
      <c r="Q38" s="482"/>
      <c r="R38" s="482"/>
      <c r="S38" s="482"/>
      <c r="T38" s="482"/>
      <c r="U38" s="482"/>
      <c r="V38" s="482"/>
      <c r="W38" s="482"/>
      <c r="X38" s="482"/>
      <c r="Y38" s="482"/>
      <c r="Z38" s="482"/>
      <c r="AA38" s="482"/>
      <c r="AB38" s="482"/>
      <c r="AC38" s="482"/>
      <c r="AD38" s="482"/>
      <c r="AE38" s="482"/>
      <c r="AF38" s="482"/>
      <c r="AG38" s="482"/>
      <c r="AH38" s="482"/>
      <c r="AI38" s="482"/>
      <c r="AJ38" s="482"/>
      <c r="AK38" s="482"/>
      <c r="AL38" s="482"/>
    </row>
    <row r="39" spans="1:38" x14ac:dyDescent="0.2">
      <c r="A39" s="482"/>
      <c r="B39" s="482"/>
      <c r="C39" s="482"/>
      <c r="D39" s="482"/>
      <c r="E39" s="482"/>
      <c r="F39" s="482"/>
      <c r="G39" s="482"/>
      <c r="H39" s="482"/>
      <c r="I39" s="482"/>
      <c r="J39" s="482"/>
      <c r="K39" s="482"/>
      <c r="L39" s="482"/>
      <c r="M39" s="482"/>
      <c r="N39" s="482"/>
      <c r="O39" s="482"/>
      <c r="P39" s="482"/>
      <c r="Q39" s="482"/>
      <c r="R39" s="482"/>
      <c r="S39" s="482"/>
      <c r="T39" s="482"/>
      <c r="U39" s="482"/>
      <c r="V39" s="482"/>
      <c r="W39" s="482"/>
      <c r="X39" s="482"/>
      <c r="Y39" s="482"/>
      <c r="Z39" s="482"/>
      <c r="AA39" s="482"/>
      <c r="AB39" s="482"/>
      <c r="AC39" s="482"/>
      <c r="AD39" s="482"/>
      <c r="AE39" s="482"/>
      <c r="AF39" s="482"/>
      <c r="AG39" s="482"/>
      <c r="AH39" s="482"/>
      <c r="AI39" s="482"/>
      <c r="AJ39" s="482"/>
      <c r="AK39" s="482"/>
      <c r="AL39" s="482"/>
    </row>
    <row r="40" spans="1:38" x14ac:dyDescent="0.2">
      <c r="A40" s="482"/>
      <c r="B40" s="482"/>
      <c r="C40" s="482"/>
      <c r="D40" s="482"/>
      <c r="E40" s="482"/>
      <c r="F40" s="482"/>
      <c r="G40" s="482"/>
      <c r="H40" s="482"/>
      <c r="I40" s="482"/>
      <c r="J40" s="482"/>
      <c r="K40" s="482"/>
      <c r="L40" s="482"/>
      <c r="M40" s="482"/>
      <c r="N40" s="482"/>
      <c r="O40" s="482"/>
      <c r="P40" s="482"/>
      <c r="Q40" s="482"/>
      <c r="R40" s="482"/>
      <c r="S40" s="482"/>
      <c r="T40" s="482"/>
      <c r="U40" s="482"/>
      <c r="V40" s="482"/>
      <c r="W40" s="482"/>
      <c r="X40" s="482"/>
      <c r="Y40" s="482"/>
      <c r="Z40" s="482"/>
      <c r="AA40" s="482"/>
      <c r="AB40" s="482"/>
      <c r="AC40" s="482"/>
      <c r="AD40" s="482"/>
      <c r="AE40" s="482"/>
      <c r="AF40" s="482"/>
      <c r="AG40" s="482"/>
      <c r="AH40" s="482"/>
      <c r="AI40" s="482"/>
      <c r="AJ40" s="482"/>
      <c r="AK40" s="482"/>
      <c r="AL40" s="482"/>
    </row>
    <row r="45" spans="1:38" x14ac:dyDescent="0.2">
      <c r="A45" s="34"/>
      <c r="B45" s="34"/>
      <c r="C45" s="34"/>
      <c r="D45" s="34"/>
      <c r="E45" s="34"/>
      <c r="F45" s="34"/>
      <c r="G45" s="34"/>
      <c r="H45" s="34"/>
      <c r="I45" s="34"/>
      <c r="J45" s="34"/>
      <c r="K45" s="34"/>
      <c r="L45" s="34"/>
      <c r="M45" s="34"/>
      <c r="N45" s="34"/>
      <c r="O45" s="34"/>
      <c r="Q45" s="269">
        <f>Data!B34</f>
        <v>0</v>
      </c>
      <c r="R45" s="267"/>
      <c r="S45" s="267"/>
      <c r="T45" s="267"/>
      <c r="U45" s="267"/>
      <c r="V45" s="267"/>
      <c r="X45" s="34"/>
      <c r="Y45" s="34"/>
      <c r="Z45" s="34"/>
      <c r="AA45" s="34"/>
      <c r="AB45" s="34"/>
      <c r="AC45" s="34"/>
      <c r="AD45" s="34"/>
      <c r="AE45" s="34"/>
      <c r="AF45" s="34"/>
      <c r="AG45" s="34"/>
      <c r="AH45" s="34"/>
      <c r="AI45" s="34"/>
      <c r="AJ45" s="34"/>
      <c r="AK45" s="34"/>
      <c r="AL45" s="34"/>
    </row>
    <row r="46" spans="1:38" x14ac:dyDescent="0.2">
      <c r="A46" t="s">
        <v>944</v>
      </c>
      <c r="Q46" t="s">
        <v>368</v>
      </c>
      <c r="X46" t="s">
        <v>2959</v>
      </c>
    </row>
    <row r="50" spans="1:27" x14ac:dyDescent="0.2">
      <c r="A50" s="34"/>
      <c r="B50" s="34"/>
      <c r="C50" s="34"/>
      <c r="D50" s="34"/>
      <c r="E50" s="34"/>
      <c r="F50" s="34"/>
      <c r="G50" s="34"/>
      <c r="H50" s="34"/>
      <c r="I50" s="34"/>
      <c r="J50" s="34"/>
      <c r="K50" s="34"/>
      <c r="L50" s="34"/>
      <c r="M50" s="34"/>
      <c r="N50" s="34"/>
      <c r="O50" s="34"/>
      <c r="Q50" s="276">
        <f>Data!B175</f>
        <v>0</v>
      </c>
      <c r="R50" s="276"/>
      <c r="S50" s="276"/>
      <c r="T50" s="276"/>
      <c r="U50" s="276"/>
      <c r="V50" s="276"/>
      <c r="W50" s="276"/>
      <c r="X50" s="276"/>
      <c r="Y50" s="276"/>
      <c r="Z50" s="276"/>
      <c r="AA50" s="276"/>
    </row>
    <row r="51" spans="1:27" x14ac:dyDescent="0.2">
      <c r="A51" t="s">
        <v>2889</v>
      </c>
      <c r="Q51" t="s">
        <v>1465</v>
      </c>
    </row>
  </sheetData>
  <mergeCells count="58">
    <mergeCell ref="D4:J4"/>
    <mergeCell ref="P4:V4"/>
    <mergeCell ref="AC4:AI4"/>
    <mergeCell ref="E1:P1"/>
    <mergeCell ref="T1:Y1"/>
    <mergeCell ref="AE1:AL1"/>
    <mergeCell ref="D2:AC2"/>
    <mergeCell ref="AE2:AL2"/>
    <mergeCell ref="AE3:AL3"/>
    <mergeCell ref="D14:W14"/>
    <mergeCell ref="AB14:AI14"/>
    <mergeCell ref="F5:U5"/>
    <mergeCell ref="Z5:AJ5"/>
    <mergeCell ref="F7:J7"/>
    <mergeCell ref="Q7:U7"/>
    <mergeCell ref="AB7:AF7"/>
    <mergeCell ref="F8:U8"/>
    <mergeCell ref="AF8:AJ8"/>
    <mergeCell ref="A10:AL11"/>
    <mergeCell ref="A12:AL12"/>
    <mergeCell ref="G13:L13"/>
    <mergeCell ref="P13:W13"/>
    <mergeCell ref="AE13:AK13"/>
    <mergeCell ref="C15:P15"/>
    <mergeCell ref="V15:AL15"/>
    <mergeCell ref="A16:AL16"/>
    <mergeCell ref="A17:U17"/>
    <mergeCell ref="AA17:AF17"/>
    <mergeCell ref="K24:O24"/>
    <mergeCell ref="AG24:AK24"/>
    <mergeCell ref="P18:R18"/>
    <mergeCell ref="S18:U18"/>
    <mergeCell ref="A19:C21"/>
    <mergeCell ref="D19:F21"/>
    <mergeCell ref="G19:I21"/>
    <mergeCell ref="J19:L21"/>
    <mergeCell ref="M19:O21"/>
    <mergeCell ref="P19:R21"/>
    <mergeCell ref="S19:U21"/>
    <mergeCell ref="A18:C18"/>
    <mergeCell ref="D18:F18"/>
    <mergeCell ref="G18:I18"/>
    <mergeCell ref="J18:L18"/>
    <mergeCell ref="M18:O18"/>
    <mergeCell ref="AD20:AH20"/>
    <mergeCell ref="AD21:AI21"/>
    <mergeCell ref="N22:R22"/>
    <mergeCell ref="K23:O23"/>
    <mergeCell ref="AG23:AK23"/>
    <mergeCell ref="A37:AL40"/>
    <mergeCell ref="Q45:V45"/>
    <mergeCell ref="Q50:AA50"/>
    <mergeCell ref="K25:O25"/>
    <mergeCell ref="AG25:AK25"/>
    <mergeCell ref="I26:M26"/>
    <mergeCell ref="A27:AL28"/>
    <mergeCell ref="A30:AL32"/>
    <mergeCell ref="A34:AL35"/>
  </mergeCells>
  <pageMargins left="0.25" right="0.25" top="0.75" bottom="0.75" header="0.3" footer="0.3"/>
  <pageSetup orientation="portrait" horizontalDpi="4294967293" verticalDpi="1200" r:id="rId1"/>
  <headerFooter>
    <oddHeader>&amp;L&amp;G&amp;RPrivate Pay Service Agreement</oddHeader>
    <oddFooter>&amp;LPS&amp;C3088 Mercer University Drive Suite 100 Atlanta, GA 30341
678-310-6305 Fax 404-935-6110&amp;RPP</oddFooter>
  </headerFooter>
  <legacyDrawingHF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4">
    <tabColor rgb="FF7030A0"/>
  </sheetPr>
  <dimension ref="A1:AL51"/>
  <sheetViews>
    <sheetView showZeros="0" view="pageLayout" zoomScaleNormal="100" workbookViewId="0">
      <selection activeCell="AC4" sqref="AC4:AI4"/>
    </sheetView>
  </sheetViews>
  <sheetFormatPr defaultColWidth="2.7109375" defaultRowHeight="12.75" x14ac:dyDescent="0.2"/>
  <sheetData>
    <row r="1" spans="1:38" x14ac:dyDescent="0.2">
      <c r="A1" t="s">
        <v>336</v>
      </c>
      <c r="E1" s="233" t="str">
        <f>_xlfn.CONCAT(Data!B2,", ",Data!B3," ",Data!B4)</f>
        <v xml:space="preserve">,  </v>
      </c>
      <c r="F1" s="233"/>
      <c r="G1" s="233"/>
      <c r="H1" s="233"/>
      <c r="I1" s="233"/>
      <c r="J1" s="233"/>
      <c r="K1" s="233"/>
      <c r="L1" s="233"/>
      <c r="M1" s="233"/>
      <c r="N1" s="233"/>
      <c r="O1" s="233"/>
      <c r="P1" s="233"/>
      <c r="R1" t="s">
        <v>371</v>
      </c>
      <c r="T1" s="218">
        <f>Data!B14</f>
        <v>0</v>
      </c>
      <c r="U1" s="218"/>
      <c r="V1" s="218"/>
      <c r="W1" s="218"/>
      <c r="X1" s="218"/>
      <c r="Y1" s="218"/>
      <c r="Z1" t="s">
        <v>920</v>
      </c>
      <c r="AE1" s="233" t="str">
        <f>IF(Data!B179=TRUE,"Personal Care","")</f>
        <v/>
      </c>
      <c r="AF1" s="233"/>
      <c r="AG1" s="233"/>
      <c r="AH1" s="233"/>
      <c r="AI1" s="233"/>
      <c r="AJ1" s="233"/>
      <c r="AK1" s="233"/>
      <c r="AL1" s="233"/>
    </row>
    <row r="2" spans="1:38" x14ac:dyDescent="0.2">
      <c r="A2" t="s">
        <v>343</v>
      </c>
      <c r="D2" s="233" t="str">
        <f>_xlfn.CONCAT(Data!B5," ",IF(Data!B6="","","Apt"&amp;Data!B6)," ",Data!B7,", ",Data!B8," ",Data!B9)</f>
        <v xml:space="preserve">  ,  </v>
      </c>
      <c r="E2" s="233"/>
      <c r="F2" s="233"/>
      <c r="G2" s="233"/>
      <c r="H2" s="233"/>
      <c r="I2" s="233"/>
      <c r="J2" s="233"/>
      <c r="K2" s="233"/>
      <c r="L2" s="233"/>
      <c r="M2" s="233"/>
      <c r="N2" s="233"/>
      <c r="O2" s="233"/>
      <c r="P2" s="233"/>
      <c r="Q2" s="233"/>
      <c r="R2" s="233"/>
      <c r="S2" s="233"/>
      <c r="T2" s="233"/>
      <c r="U2" s="233"/>
      <c r="V2" s="233"/>
      <c r="W2" s="233"/>
      <c r="X2" s="233"/>
      <c r="Y2" s="233"/>
      <c r="Z2" s="233"/>
      <c r="AA2" s="233"/>
      <c r="AB2" s="233"/>
      <c r="AC2" s="233"/>
      <c r="AE2" s="233" t="str">
        <f>IF(Data!B180=TRUE,"Companion Care","")</f>
        <v/>
      </c>
      <c r="AF2" s="233"/>
      <c r="AG2" s="233"/>
      <c r="AH2" s="233"/>
      <c r="AI2" s="233"/>
      <c r="AJ2" s="233"/>
      <c r="AK2" s="233"/>
      <c r="AL2" s="233"/>
    </row>
    <row r="3" spans="1:38" s="192" customFormat="1" x14ac:dyDescent="0.2">
      <c r="D3" s="193"/>
      <c r="E3" s="193"/>
      <c r="F3" s="193"/>
      <c r="G3" s="193"/>
      <c r="H3" s="193"/>
      <c r="I3" s="193"/>
      <c r="J3" s="193"/>
      <c r="K3" s="193"/>
      <c r="L3" s="193"/>
      <c r="M3" s="193"/>
      <c r="N3" s="193"/>
      <c r="O3" s="193"/>
      <c r="P3" s="193"/>
      <c r="Q3" s="193"/>
      <c r="R3" s="193"/>
      <c r="S3" s="193"/>
      <c r="T3" s="193"/>
      <c r="U3" s="193"/>
      <c r="V3" s="193"/>
      <c r="W3" s="193"/>
      <c r="X3" s="193"/>
      <c r="Y3" s="193"/>
      <c r="Z3" s="193"/>
      <c r="AA3" s="193"/>
      <c r="AB3" s="193"/>
      <c r="AC3" s="193"/>
      <c r="AE3" s="233" t="str">
        <f>IF(Data!B1604=TRUE,"Skilled Nursing","")</f>
        <v/>
      </c>
      <c r="AF3" s="233"/>
      <c r="AG3" s="233"/>
      <c r="AH3" s="233"/>
      <c r="AI3" s="233"/>
      <c r="AJ3" s="233"/>
      <c r="AK3" s="233"/>
      <c r="AL3" s="233"/>
    </row>
    <row r="4" spans="1:38" x14ac:dyDescent="0.2">
      <c r="A4" t="s">
        <v>668</v>
      </c>
      <c r="D4" s="233">
        <f>Data!B10</f>
        <v>0</v>
      </c>
      <c r="E4" s="233"/>
      <c r="F4" s="233"/>
      <c r="G4" s="233"/>
      <c r="H4" s="233"/>
      <c r="I4" s="233"/>
      <c r="J4" s="233"/>
      <c r="K4" t="s">
        <v>669</v>
      </c>
      <c r="P4" s="298" t="str">
        <f>IF(Data!B11&lt;&gt;"",TEXT(Data!B11,"(###) ###-####"),"No home phone.")</f>
        <v>No home phone.</v>
      </c>
      <c r="Q4" s="298"/>
      <c r="R4" s="298"/>
      <c r="S4" s="298"/>
      <c r="T4" s="298"/>
      <c r="U4" s="298"/>
      <c r="V4" s="298"/>
      <c r="X4" t="s">
        <v>670</v>
      </c>
      <c r="AC4" s="298" t="str">
        <f>IF(Data!B12&lt;&gt;"",TEXT(Data!B12,"(###) ###-####"),"No cell phone.")</f>
        <v>No cell phone.</v>
      </c>
      <c r="AD4" s="298"/>
      <c r="AE4" s="298"/>
      <c r="AF4" s="298"/>
      <c r="AG4" s="298"/>
      <c r="AH4" s="298"/>
      <c r="AI4" s="298"/>
    </row>
    <row r="5" spans="1:38" x14ac:dyDescent="0.2">
      <c r="A5" t="s">
        <v>921</v>
      </c>
      <c r="F5" s="219" t="str">
        <f>IF(Data!B13="","N/A",Data!B13)</f>
        <v>N/A</v>
      </c>
      <c r="G5" s="219"/>
      <c r="H5" s="219"/>
      <c r="I5" s="219"/>
      <c r="J5" s="219"/>
      <c r="K5" s="219"/>
      <c r="L5" s="219"/>
      <c r="M5" s="219"/>
      <c r="N5" s="219"/>
      <c r="O5" s="219"/>
      <c r="P5" s="219"/>
      <c r="Q5" s="219"/>
      <c r="R5" s="219"/>
      <c r="S5" s="219"/>
      <c r="T5" s="219"/>
      <c r="U5" s="219"/>
      <c r="W5" t="s">
        <v>1254</v>
      </c>
      <c r="Z5" s="233">
        <f>Data!B174</f>
        <v>0</v>
      </c>
      <c r="AA5" s="233"/>
      <c r="AB5" s="233"/>
      <c r="AC5" s="233"/>
      <c r="AD5" s="233"/>
      <c r="AE5" s="233"/>
      <c r="AF5" s="233"/>
      <c r="AG5" s="233"/>
      <c r="AH5" s="233"/>
      <c r="AI5" s="233"/>
      <c r="AJ5" s="233"/>
    </row>
    <row r="7" spans="1:38" x14ac:dyDescent="0.2">
      <c r="A7" t="s">
        <v>922</v>
      </c>
      <c r="F7" s="218">
        <f>Data!B30</f>
        <v>0</v>
      </c>
      <c r="G7" s="219"/>
      <c r="H7" s="219"/>
      <c r="I7" s="219"/>
      <c r="J7" s="219"/>
      <c r="L7" t="s">
        <v>924</v>
      </c>
      <c r="Q7" s="480">
        <f>Data!B32</f>
        <v>0</v>
      </c>
      <c r="R7" s="481"/>
      <c r="S7" s="481"/>
      <c r="T7" s="481"/>
      <c r="U7" s="481"/>
      <c r="W7" t="s">
        <v>582</v>
      </c>
      <c r="AB7" s="218">
        <f>Data!B33</f>
        <v>0</v>
      </c>
      <c r="AC7" s="219"/>
      <c r="AD7" s="219"/>
      <c r="AE7" s="219"/>
      <c r="AF7" s="219"/>
    </row>
    <row r="8" spans="1:38" x14ac:dyDescent="0.2">
      <c r="A8" t="s">
        <v>923</v>
      </c>
      <c r="F8" s="219">
        <f>Data!B31</f>
        <v>0</v>
      </c>
      <c r="G8" s="219"/>
      <c r="H8" s="219"/>
      <c r="I8" s="219"/>
      <c r="J8" s="219"/>
      <c r="K8" s="219"/>
      <c r="L8" s="219"/>
      <c r="M8" s="219"/>
      <c r="N8" s="219"/>
      <c r="O8" s="219"/>
      <c r="P8" s="219"/>
      <c r="Q8" s="219"/>
      <c r="R8" s="219"/>
      <c r="S8" s="219"/>
      <c r="T8" s="219"/>
      <c r="U8" s="219"/>
      <c r="W8" t="s">
        <v>925</v>
      </c>
      <c r="AF8" s="218">
        <f>Data!B35</f>
        <v>0</v>
      </c>
      <c r="AG8" s="219"/>
      <c r="AH8" s="219"/>
      <c r="AI8" s="219"/>
      <c r="AJ8" s="219"/>
    </row>
    <row r="9" spans="1:38" x14ac:dyDescent="0.2">
      <c r="A9" t="s">
        <v>926</v>
      </c>
    </row>
    <row r="10" spans="1:38" x14ac:dyDescent="0.2">
      <c r="A10" s="255">
        <f>Data!B177</f>
        <v>0</v>
      </c>
      <c r="B10" s="255"/>
      <c r="C10" s="255"/>
      <c r="D10" s="255"/>
      <c r="E10" s="255"/>
      <c r="F10" s="255"/>
      <c r="G10" s="255"/>
      <c r="H10" s="255"/>
      <c r="I10" s="255"/>
      <c r="J10" s="255"/>
      <c r="K10" s="255"/>
      <c r="L10" s="255"/>
      <c r="M10" s="255"/>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c r="AL10" s="255"/>
    </row>
    <row r="11" spans="1:38" x14ac:dyDescent="0.2">
      <c r="A11" s="255"/>
      <c r="B11" s="255"/>
      <c r="C11" s="255"/>
      <c r="D11" s="255"/>
      <c r="E11" s="255"/>
      <c r="F11" s="255"/>
      <c r="G11" s="255"/>
      <c r="H11" s="255"/>
      <c r="I11" s="255"/>
      <c r="J11" s="255"/>
      <c r="K11" s="255"/>
      <c r="L11" s="255"/>
      <c r="M11" s="255"/>
      <c r="N11" s="255"/>
      <c r="O11" s="255"/>
      <c r="P11" s="255"/>
      <c r="Q11" s="255"/>
      <c r="R11" s="255"/>
      <c r="S11" s="255"/>
      <c r="T11" s="255"/>
      <c r="U11" s="255"/>
      <c r="V11" s="255"/>
      <c r="W11" s="255"/>
      <c r="X11" s="255"/>
      <c r="Y11" s="255"/>
      <c r="Z11" s="255"/>
      <c r="AA11" s="255"/>
      <c r="AB11" s="255"/>
      <c r="AC11" s="255"/>
      <c r="AD11" s="255"/>
      <c r="AE11" s="255"/>
      <c r="AF11" s="255"/>
      <c r="AG11" s="255"/>
      <c r="AH11" s="255"/>
      <c r="AI11" s="255"/>
      <c r="AJ11" s="255"/>
      <c r="AK11" s="255"/>
      <c r="AL11" s="255"/>
    </row>
    <row r="12" spans="1:38" x14ac:dyDescent="0.2">
      <c r="A12" s="340" t="s">
        <v>927</v>
      </c>
      <c r="B12" s="340"/>
      <c r="C12" s="340"/>
      <c r="D12" s="340"/>
      <c r="E12" s="340"/>
      <c r="F12" s="340"/>
      <c r="G12" s="340"/>
      <c r="H12" s="340"/>
      <c r="I12" s="340"/>
      <c r="J12" s="340"/>
      <c r="K12" s="340"/>
      <c r="L12" s="340"/>
      <c r="M12" s="340"/>
      <c r="N12" s="340"/>
      <c r="O12" s="340"/>
      <c r="P12" s="340"/>
      <c r="Q12" s="340"/>
      <c r="R12" s="340"/>
      <c r="S12" s="340"/>
      <c r="T12" s="340"/>
      <c r="U12" s="340"/>
      <c r="V12" s="340"/>
      <c r="W12" s="340"/>
      <c r="X12" s="340"/>
      <c r="Y12" s="340"/>
      <c r="Z12" s="340"/>
      <c r="AA12" s="340"/>
      <c r="AB12" s="340"/>
      <c r="AC12" s="340"/>
      <c r="AD12" s="340"/>
      <c r="AE12" s="340"/>
      <c r="AF12" s="340"/>
      <c r="AG12" s="340"/>
      <c r="AH12" s="340"/>
      <c r="AI12" s="340"/>
      <c r="AJ12" s="340"/>
      <c r="AK12" s="340"/>
      <c r="AL12" s="340"/>
    </row>
    <row r="13" spans="1:38" x14ac:dyDescent="0.2">
      <c r="A13" t="s">
        <v>928</v>
      </c>
      <c r="G13" s="233">
        <f>Data!B110</f>
        <v>0</v>
      </c>
      <c r="H13" s="233"/>
      <c r="I13" s="233"/>
      <c r="J13" s="233"/>
      <c r="K13" s="233"/>
      <c r="L13" s="233"/>
      <c r="M13" t="s">
        <v>342</v>
      </c>
      <c r="N13" s="4"/>
      <c r="P13" s="233">
        <f>IF(Data!B110="Self","Same as client",Data!B111)</f>
        <v>0</v>
      </c>
      <c r="Q13" s="233"/>
      <c r="R13" s="233"/>
      <c r="S13" s="233"/>
      <c r="T13" s="233"/>
      <c r="U13" s="233"/>
      <c r="V13" s="233"/>
      <c r="W13" s="233"/>
      <c r="X13" s="4"/>
      <c r="Y13" t="s">
        <v>929</v>
      </c>
      <c r="Z13" s="4"/>
      <c r="AA13" s="4"/>
      <c r="AE13" s="233" t="str">
        <f>IF(Data!B115=TRUE,"Check","Credit Card")</f>
        <v>Credit Card</v>
      </c>
      <c r="AF13" s="233"/>
      <c r="AG13" s="233"/>
      <c r="AH13" s="233"/>
      <c r="AI13" s="233"/>
      <c r="AJ13" s="233"/>
      <c r="AK13" s="233"/>
    </row>
    <row r="14" spans="1:38" x14ac:dyDescent="0.2">
      <c r="A14" t="s">
        <v>343</v>
      </c>
      <c r="D14" s="219">
        <f>IF(Data!B110="Self",D2,Data!B112)</f>
        <v>0</v>
      </c>
      <c r="E14" s="219"/>
      <c r="F14" s="219"/>
      <c r="G14" s="219"/>
      <c r="H14" s="219"/>
      <c r="I14" s="219"/>
      <c r="J14" s="219"/>
      <c r="K14" s="219"/>
      <c r="L14" s="219"/>
      <c r="M14" s="219"/>
      <c r="N14" s="219"/>
      <c r="O14" s="219"/>
      <c r="P14" s="219"/>
      <c r="Q14" s="219"/>
      <c r="R14" s="219"/>
      <c r="S14" s="219"/>
      <c r="T14" s="219"/>
      <c r="U14" s="219"/>
      <c r="V14" s="219"/>
      <c r="W14" s="219"/>
      <c r="Y14" t="s">
        <v>348</v>
      </c>
      <c r="AB14" s="298">
        <f>IF(Data!B110="Self","Same as client",Data!B113)</f>
        <v>0</v>
      </c>
      <c r="AC14" s="298"/>
      <c r="AD14" s="298"/>
      <c r="AE14" s="298"/>
      <c r="AF14" s="298"/>
      <c r="AG14" s="298"/>
      <c r="AH14" s="298"/>
      <c r="AI14" s="298"/>
    </row>
    <row r="15" spans="1:38" x14ac:dyDescent="0.2">
      <c r="A15" t="s">
        <v>715</v>
      </c>
      <c r="C15" s="233">
        <f>IF(Data!B110="Self","Same as client",Data!B114)</f>
        <v>0</v>
      </c>
      <c r="D15" s="233"/>
      <c r="E15" s="233"/>
      <c r="F15" s="233"/>
      <c r="G15" s="233"/>
      <c r="H15" s="233"/>
      <c r="I15" s="233"/>
      <c r="J15" s="233"/>
      <c r="K15" s="233"/>
      <c r="L15" s="233"/>
      <c r="M15" s="233"/>
      <c r="N15" s="233"/>
      <c r="O15" s="233"/>
      <c r="P15" s="233"/>
      <c r="Q15" t="s">
        <v>930</v>
      </c>
      <c r="V15" s="233" t="str">
        <f>IF(Data!B117="","N/A",Data!B117)</f>
        <v>N/A</v>
      </c>
      <c r="W15" s="233"/>
      <c r="X15" s="233"/>
      <c r="Y15" s="233"/>
      <c r="Z15" s="233"/>
      <c r="AA15" s="233"/>
      <c r="AB15" s="233"/>
      <c r="AC15" s="233"/>
      <c r="AD15" s="233"/>
      <c r="AE15" s="233"/>
      <c r="AF15" s="233"/>
      <c r="AG15" s="233"/>
      <c r="AH15" s="233"/>
      <c r="AI15" s="233"/>
      <c r="AJ15" s="233"/>
      <c r="AK15" s="233"/>
      <c r="AL15" s="233"/>
    </row>
    <row r="16" spans="1:38" x14ac:dyDescent="0.2">
      <c r="A16" s="340" t="s">
        <v>931</v>
      </c>
      <c r="B16" s="340"/>
      <c r="C16" s="340"/>
      <c r="D16" s="340"/>
      <c r="E16" s="340"/>
      <c r="F16" s="340"/>
      <c r="G16" s="340"/>
      <c r="H16" s="340"/>
      <c r="I16" s="340"/>
      <c r="J16" s="340"/>
      <c r="K16" s="340"/>
      <c r="L16" s="340"/>
      <c r="M16" s="340"/>
      <c r="N16" s="340"/>
      <c r="O16" s="340"/>
      <c r="P16" s="340"/>
      <c r="Q16" s="340"/>
      <c r="R16" s="340"/>
      <c r="S16" s="340"/>
      <c r="T16" s="340"/>
      <c r="U16" s="340"/>
      <c r="V16" s="340"/>
      <c r="W16" s="340"/>
      <c r="X16" s="340"/>
      <c r="Y16" s="340"/>
      <c r="Z16" s="340"/>
      <c r="AA16" s="340"/>
      <c r="AB16" s="340"/>
      <c r="AC16" s="340"/>
      <c r="AD16" s="340"/>
      <c r="AE16" s="340"/>
      <c r="AF16" s="340"/>
      <c r="AG16" s="340"/>
      <c r="AH16" s="340"/>
      <c r="AI16" s="340"/>
      <c r="AJ16" s="340"/>
      <c r="AK16" s="340"/>
      <c r="AL16" s="340"/>
    </row>
    <row r="17" spans="1:38" x14ac:dyDescent="0.2">
      <c r="A17" s="344" t="s">
        <v>934</v>
      </c>
      <c r="B17" s="344"/>
      <c r="C17" s="344"/>
      <c r="D17" s="344"/>
      <c r="E17" s="344"/>
      <c r="F17" s="344"/>
      <c r="G17" s="344"/>
      <c r="H17" s="344"/>
      <c r="I17" s="344"/>
      <c r="J17" s="344"/>
      <c r="K17" s="344"/>
      <c r="L17" s="344"/>
      <c r="M17" s="344"/>
      <c r="N17" s="344"/>
      <c r="O17" s="344"/>
      <c r="P17" s="344"/>
      <c r="Q17" s="344"/>
      <c r="R17" s="344"/>
      <c r="S17" s="344"/>
      <c r="T17" s="344"/>
      <c r="U17" s="344"/>
      <c r="V17" s="8"/>
      <c r="W17" s="16" t="s">
        <v>938</v>
      </c>
      <c r="X17" s="8"/>
      <c r="Y17" s="8"/>
      <c r="Z17" s="8"/>
      <c r="AA17" s="300" t="str">
        <f>Data!B1408&amp;" days per week"</f>
        <v xml:space="preserve"> days per week</v>
      </c>
      <c r="AB17" s="300"/>
      <c r="AC17" s="300"/>
      <c r="AD17" s="300"/>
      <c r="AE17" s="300"/>
      <c r="AF17" s="300"/>
      <c r="AG17" s="8"/>
      <c r="AH17" s="8"/>
      <c r="AI17" s="8"/>
      <c r="AJ17" s="8"/>
      <c r="AK17" s="8"/>
      <c r="AL17" s="8"/>
    </row>
    <row r="18" spans="1:38" x14ac:dyDescent="0.2">
      <c r="A18" s="344" t="s">
        <v>630</v>
      </c>
      <c r="B18" s="344"/>
      <c r="C18" s="344"/>
      <c r="D18" s="344" t="s">
        <v>624</v>
      </c>
      <c r="E18" s="344"/>
      <c r="F18" s="344"/>
      <c r="G18" s="344" t="s">
        <v>932</v>
      </c>
      <c r="H18" s="344"/>
      <c r="I18" s="344"/>
      <c r="J18" s="344" t="s">
        <v>626</v>
      </c>
      <c r="K18" s="344"/>
      <c r="L18" s="344"/>
      <c r="M18" s="344" t="s">
        <v>933</v>
      </c>
      <c r="N18" s="344"/>
      <c r="O18" s="344"/>
      <c r="P18" s="344" t="s">
        <v>628</v>
      </c>
      <c r="Q18" s="344"/>
      <c r="R18" s="344"/>
      <c r="S18" s="344" t="s">
        <v>629</v>
      </c>
      <c r="T18" s="344"/>
      <c r="U18" s="344"/>
      <c r="W18" s="16" t="s">
        <v>935</v>
      </c>
      <c r="Z18" s="4" t="s">
        <v>939</v>
      </c>
    </row>
    <row r="19" spans="1:38" x14ac:dyDescent="0.2">
      <c r="A19" s="353" t="str">
        <f>_xlfn.CONCAT(Data!B1283,IF(Data!B1297="","",", "&amp;Data!B1297),IF(Data!B1311="","",", "&amp;Data!B1311))</f>
        <v/>
      </c>
      <c r="B19" s="353"/>
      <c r="C19" s="353"/>
      <c r="D19" s="353" t="str">
        <f>_xlfn.CONCAT(Data!B1284,IF(Data!B1298="","",", "&amp;Data!B1298),IF(Data!B1312="","",", "&amp;Data!B1312))</f>
        <v/>
      </c>
      <c r="E19" s="353"/>
      <c r="F19" s="353"/>
      <c r="G19" s="353" t="str">
        <f>_xlfn.CONCAT(Data!B1285,IF(Data!B1299="","",", "&amp;Data!B1299),IF(Data!B1313="","",", "&amp;Data!B1313))</f>
        <v/>
      </c>
      <c r="H19" s="353"/>
      <c r="I19" s="353"/>
      <c r="J19" s="353" t="str">
        <f>_xlfn.CONCAT(Data!B1286,IF(Data!B1300="","",", "&amp;Data!B1300),IF(Data!B1314="","",", "&amp;Data!B1314))</f>
        <v/>
      </c>
      <c r="K19" s="353"/>
      <c r="L19" s="353"/>
      <c r="M19" s="353" t="str">
        <f>_xlfn.CONCAT(Data!B1287,IF(Data!B1301="","",", "&amp;Data!B1301),IF(Data!B1315="","",", "&amp;Data!B1315))</f>
        <v/>
      </c>
      <c r="N19" s="353"/>
      <c r="O19" s="353"/>
      <c r="P19" s="353" t="str">
        <f>_xlfn.CONCAT(Data!B1288,IF(Data!B1302="","",", "&amp;Data!B1302),IF(Data!B1316="","",", "&amp;Data!B1316))</f>
        <v/>
      </c>
      <c r="Q19" s="353"/>
      <c r="R19" s="353"/>
      <c r="S19" s="353" t="str">
        <f>_xlfn.CONCAT(Data!B1289,IF(Data!B1303="","",", "&amp;Data!B1303),IF(Data!B1317="","",", "&amp;Data!B1317))</f>
        <v/>
      </c>
      <c r="T19" s="353"/>
      <c r="U19" s="353"/>
      <c r="W19" s="16" t="s">
        <v>936</v>
      </c>
      <c r="Z19" s="4" t="s">
        <v>939</v>
      </c>
    </row>
    <row r="20" spans="1:38" x14ac:dyDescent="0.2">
      <c r="A20" s="353"/>
      <c r="B20" s="353"/>
      <c r="C20" s="353"/>
      <c r="D20" s="353"/>
      <c r="E20" s="353"/>
      <c r="F20" s="353"/>
      <c r="G20" s="353"/>
      <c r="H20" s="353"/>
      <c r="I20" s="353"/>
      <c r="J20" s="353"/>
      <c r="K20" s="353"/>
      <c r="L20" s="353"/>
      <c r="M20" s="353"/>
      <c r="N20" s="353"/>
      <c r="O20" s="353"/>
      <c r="P20" s="353"/>
      <c r="Q20" s="353"/>
      <c r="R20" s="353"/>
      <c r="S20" s="353"/>
      <c r="T20" s="353"/>
      <c r="U20" s="353"/>
      <c r="W20" s="16" t="s">
        <v>937</v>
      </c>
      <c r="AD20" s="474">
        <f>Data!B1409</f>
        <v>0</v>
      </c>
      <c r="AE20" s="219"/>
      <c r="AF20" s="219"/>
      <c r="AG20" s="219"/>
      <c r="AH20" s="219"/>
    </row>
    <row r="21" spans="1:38" x14ac:dyDescent="0.2">
      <c r="A21" s="353"/>
      <c r="B21" s="353"/>
      <c r="C21" s="353"/>
      <c r="D21" s="353"/>
      <c r="E21" s="353"/>
      <c r="F21" s="353"/>
      <c r="G21" s="353"/>
      <c r="H21" s="353"/>
      <c r="I21" s="353"/>
      <c r="J21" s="353"/>
      <c r="K21" s="353"/>
      <c r="L21" s="353"/>
      <c r="M21" s="353"/>
      <c r="N21" s="353"/>
      <c r="O21" s="353"/>
      <c r="P21" s="353"/>
      <c r="Q21" s="353"/>
      <c r="R21" s="353"/>
      <c r="S21" s="353"/>
      <c r="T21" s="353"/>
      <c r="U21" s="353"/>
      <c r="W21" s="16"/>
      <c r="AD21" s="486"/>
      <c r="AE21" s="486"/>
      <c r="AF21" s="486"/>
      <c r="AG21" s="486"/>
      <c r="AH21" s="486"/>
      <c r="AI21" s="486"/>
    </row>
    <row r="22" spans="1:38" x14ac:dyDescent="0.2">
      <c r="N22" s="487"/>
      <c r="O22" s="488"/>
      <c r="P22" s="488"/>
      <c r="Q22" s="488"/>
      <c r="R22" s="488"/>
    </row>
    <row r="23" spans="1:38" x14ac:dyDescent="0.2">
      <c r="A23" t="s">
        <v>2951</v>
      </c>
      <c r="K23" s="489">
        <f>Data!B107</f>
        <v>0</v>
      </c>
      <c r="L23" s="233"/>
      <c r="M23" s="233"/>
      <c r="N23" s="233"/>
      <c r="O23" s="233"/>
      <c r="P23" s="4"/>
      <c r="Q23" s="4"/>
      <c r="R23" s="4"/>
      <c r="U23" t="s">
        <v>2947</v>
      </c>
      <c r="AG23" s="476">
        <f>Data!G104</f>
        <v>0</v>
      </c>
      <c r="AH23" s="476"/>
      <c r="AI23" s="476"/>
      <c r="AJ23" s="476"/>
      <c r="AK23" s="476"/>
    </row>
    <row r="24" spans="1:38" x14ac:dyDescent="0.2">
      <c r="A24" t="s">
        <v>2946</v>
      </c>
      <c r="J24" s="128"/>
      <c r="K24" s="489">
        <f>Data!B106</f>
        <v>0</v>
      </c>
      <c r="L24" s="233"/>
      <c r="M24" s="233"/>
      <c r="N24" s="233"/>
      <c r="O24" s="233"/>
      <c r="U24" t="s">
        <v>2948</v>
      </c>
      <c r="AG24" s="476">
        <f>Data!G105</f>
        <v>0</v>
      </c>
      <c r="AH24" s="476"/>
      <c r="AI24" s="476"/>
      <c r="AJ24" s="476"/>
      <c r="AK24" s="476"/>
    </row>
    <row r="25" spans="1:38" x14ac:dyDescent="0.2">
      <c r="A25" t="s">
        <v>2950</v>
      </c>
      <c r="I25" s="129"/>
      <c r="J25" s="129"/>
      <c r="K25" s="483">
        <f>Data!B108</f>
        <v>0</v>
      </c>
      <c r="L25" s="476"/>
      <c r="M25" s="476"/>
      <c r="N25" s="476"/>
      <c r="O25" s="476"/>
      <c r="U25" t="s">
        <v>2955</v>
      </c>
      <c r="AG25" s="483">
        <f>Data!B105</f>
        <v>0</v>
      </c>
      <c r="AH25" s="476"/>
      <c r="AI25" s="476"/>
      <c r="AJ25" s="476"/>
      <c r="AK25" s="476"/>
    </row>
    <row r="26" spans="1:38" x14ac:dyDescent="0.2">
      <c r="I26" s="484"/>
      <c r="J26" s="233"/>
      <c r="K26" s="233"/>
      <c r="L26" s="233"/>
      <c r="M26" s="233"/>
    </row>
    <row r="27" spans="1:38" x14ac:dyDescent="0.2">
      <c r="A27" s="460" t="s">
        <v>946</v>
      </c>
      <c r="B27" s="460"/>
      <c r="C27" s="460"/>
      <c r="D27" s="460"/>
      <c r="E27" s="460"/>
      <c r="F27" s="460"/>
      <c r="G27" s="460"/>
      <c r="H27" s="460"/>
      <c r="I27" s="460"/>
      <c r="J27" s="460"/>
      <c r="K27" s="460"/>
      <c r="L27" s="460"/>
      <c r="M27" s="460"/>
      <c r="N27" s="460"/>
      <c r="O27" s="460"/>
      <c r="P27" s="460"/>
      <c r="Q27" s="460"/>
      <c r="R27" s="460"/>
      <c r="S27" s="460"/>
      <c r="T27" s="460"/>
      <c r="U27" s="460"/>
      <c r="V27" s="460"/>
      <c r="W27" s="460"/>
      <c r="X27" s="460"/>
      <c r="Y27" s="460"/>
      <c r="Z27" s="460"/>
      <c r="AA27" s="460"/>
      <c r="AB27" s="460"/>
      <c r="AC27" s="460"/>
      <c r="AD27" s="460"/>
      <c r="AE27" s="460"/>
      <c r="AF27" s="460"/>
      <c r="AG27" s="460"/>
      <c r="AH27" s="460"/>
      <c r="AI27" s="460"/>
      <c r="AJ27" s="460"/>
      <c r="AK27" s="460"/>
      <c r="AL27" s="460"/>
    </row>
    <row r="28" spans="1:38" x14ac:dyDescent="0.2">
      <c r="A28" s="460"/>
      <c r="B28" s="460"/>
      <c r="C28" s="460"/>
      <c r="D28" s="460"/>
      <c r="E28" s="460"/>
      <c r="F28" s="460"/>
      <c r="G28" s="460"/>
      <c r="H28" s="460"/>
      <c r="I28" s="460"/>
      <c r="J28" s="460"/>
      <c r="K28" s="460"/>
      <c r="L28" s="460"/>
      <c r="M28" s="460"/>
      <c r="N28" s="460"/>
      <c r="O28" s="460"/>
      <c r="P28" s="460"/>
      <c r="Q28" s="460"/>
      <c r="R28" s="460"/>
      <c r="S28" s="460"/>
      <c r="T28" s="460"/>
      <c r="U28" s="460"/>
      <c r="V28" s="460"/>
      <c r="W28" s="460"/>
      <c r="X28" s="460"/>
      <c r="Y28" s="460"/>
      <c r="Z28" s="460"/>
      <c r="AA28" s="460"/>
      <c r="AB28" s="460"/>
      <c r="AC28" s="460"/>
      <c r="AD28" s="460"/>
      <c r="AE28" s="460"/>
      <c r="AF28" s="460"/>
      <c r="AG28" s="460"/>
      <c r="AH28" s="460"/>
      <c r="AI28" s="460"/>
      <c r="AJ28" s="460"/>
      <c r="AK28" s="460"/>
      <c r="AL28" s="460"/>
    </row>
    <row r="30" spans="1:38" x14ac:dyDescent="0.2">
      <c r="A30" s="260" t="s">
        <v>942</v>
      </c>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c r="AE30" s="260"/>
      <c r="AF30" s="260"/>
      <c r="AG30" s="260"/>
      <c r="AH30" s="260"/>
      <c r="AI30" s="260"/>
      <c r="AJ30" s="260"/>
      <c r="AK30" s="260"/>
      <c r="AL30" s="260"/>
    </row>
    <row r="31" spans="1:38" x14ac:dyDescent="0.2">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c r="AE31" s="260"/>
      <c r="AF31" s="260"/>
      <c r="AG31" s="260"/>
      <c r="AH31" s="260"/>
      <c r="AI31" s="260"/>
      <c r="AJ31" s="260"/>
      <c r="AK31" s="260"/>
      <c r="AL31" s="260"/>
    </row>
    <row r="32" spans="1:38" ht="9.75" customHeight="1" x14ac:dyDescent="0.2">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c r="AE32" s="260"/>
      <c r="AF32" s="260"/>
      <c r="AG32" s="260"/>
      <c r="AH32" s="260"/>
      <c r="AI32" s="260"/>
      <c r="AJ32" s="260"/>
      <c r="AK32" s="260"/>
      <c r="AL32" s="260"/>
    </row>
    <row r="34" spans="1:38" x14ac:dyDescent="0.2">
      <c r="A34" s="485" t="s">
        <v>947</v>
      </c>
      <c r="B34" s="485"/>
      <c r="C34" s="485"/>
      <c r="D34" s="485"/>
      <c r="E34" s="485"/>
      <c r="F34" s="485"/>
      <c r="G34" s="485"/>
      <c r="H34" s="485"/>
      <c r="I34" s="485"/>
      <c r="J34" s="485"/>
      <c r="K34" s="485"/>
      <c r="L34" s="485"/>
      <c r="M34" s="485"/>
      <c r="N34" s="485"/>
      <c r="O34" s="485"/>
      <c r="P34" s="485"/>
      <c r="Q34" s="485"/>
      <c r="R34" s="485"/>
      <c r="S34" s="485"/>
      <c r="T34" s="485"/>
      <c r="U34" s="485"/>
      <c r="V34" s="485"/>
      <c r="W34" s="485"/>
      <c r="X34" s="485"/>
      <c r="Y34" s="485"/>
      <c r="Z34" s="485"/>
      <c r="AA34" s="485"/>
      <c r="AB34" s="485"/>
      <c r="AC34" s="485"/>
      <c r="AD34" s="485"/>
      <c r="AE34" s="485"/>
      <c r="AF34" s="485"/>
      <c r="AG34" s="485"/>
      <c r="AH34" s="485"/>
      <c r="AI34" s="485"/>
      <c r="AJ34" s="485"/>
      <c r="AK34" s="485"/>
      <c r="AL34" s="485"/>
    </row>
    <row r="35" spans="1:38" ht="18" customHeight="1" x14ac:dyDescent="0.2">
      <c r="A35" s="485"/>
      <c r="B35" s="485"/>
      <c r="C35" s="485"/>
      <c r="D35" s="485"/>
      <c r="E35" s="485"/>
      <c r="F35" s="485"/>
      <c r="G35" s="485"/>
      <c r="H35" s="485"/>
      <c r="I35" s="485"/>
      <c r="J35" s="485"/>
      <c r="K35" s="485"/>
      <c r="L35" s="485"/>
      <c r="M35" s="485"/>
      <c r="N35" s="485"/>
      <c r="O35" s="485"/>
      <c r="P35" s="485"/>
      <c r="Q35" s="485"/>
      <c r="R35" s="485"/>
      <c r="S35" s="485"/>
      <c r="T35" s="485"/>
      <c r="U35" s="485"/>
      <c r="V35" s="485"/>
      <c r="W35" s="485"/>
      <c r="X35" s="485"/>
      <c r="Y35" s="485"/>
      <c r="Z35" s="485"/>
      <c r="AA35" s="485"/>
      <c r="AB35" s="485"/>
      <c r="AC35" s="485"/>
      <c r="AD35" s="485"/>
      <c r="AE35" s="485"/>
      <c r="AF35" s="485"/>
      <c r="AG35" s="485"/>
      <c r="AH35" s="485"/>
      <c r="AI35" s="485"/>
      <c r="AJ35" s="485"/>
      <c r="AK35" s="485"/>
      <c r="AL35" s="485"/>
    </row>
    <row r="37" spans="1:38" x14ac:dyDescent="0.2">
      <c r="A37" s="482" t="s">
        <v>945</v>
      </c>
      <c r="B37" s="482"/>
      <c r="C37" s="482"/>
      <c r="D37" s="482"/>
      <c r="E37" s="482"/>
      <c r="F37" s="482"/>
      <c r="G37" s="482"/>
      <c r="H37" s="482"/>
      <c r="I37" s="482"/>
      <c r="J37" s="482"/>
      <c r="K37" s="482"/>
      <c r="L37" s="482"/>
      <c r="M37" s="482"/>
      <c r="N37" s="482"/>
      <c r="O37" s="482"/>
      <c r="P37" s="482"/>
      <c r="Q37" s="482"/>
      <c r="R37" s="482"/>
      <c r="S37" s="482"/>
      <c r="T37" s="482"/>
      <c r="U37" s="482"/>
      <c r="V37" s="482"/>
      <c r="W37" s="482"/>
      <c r="X37" s="482"/>
      <c r="Y37" s="482"/>
      <c r="Z37" s="482"/>
      <c r="AA37" s="482"/>
      <c r="AB37" s="482"/>
      <c r="AC37" s="482"/>
      <c r="AD37" s="482"/>
      <c r="AE37" s="482"/>
      <c r="AF37" s="482"/>
      <c r="AG37" s="482"/>
      <c r="AH37" s="482"/>
      <c r="AI37" s="482"/>
      <c r="AJ37" s="482"/>
      <c r="AK37" s="482"/>
      <c r="AL37" s="482"/>
    </row>
    <row r="38" spans="1:38" x14ac:dyDescent="0.2">
      <c r="A38" s="482"/>
      <c r="B38" s="482"/>
      <c r="C38" s="482"/>
      <c r="D38" s="482"/>
      <c r="E38" s="482"/>
      <c r="F38" s="482"/>
      <c r="G38" s="482"/>
      <c r="H38" s="482"/>
      <c r="I38" s="482"/>
      <c r="J38" s="482"/>
      <c r="K38" s="482"/>
      <c r="L38" s="482"/>
      <c r="M38" s="482"/>
      <c r="N38" s="482"/>
      <c r="O38" s="482"/>
      <c r="P38" s="482"/>
      <c r="Q38" s="482"/>
      <c r="R38" s="482"/>
      <c r="S38" s="482"/>
      <c r="T38" s="482"/>
      <c r="U38" s="482"/>
      <c r="V38" s="482"/>
      <c r="W38" s="482"/>
      <c r="X38" s="482"/>
      <c r="Y38" s="482"/>
      <c r="Z38" s="482"/>
      <c r="AA38" s="482"/>
      <c r="AB38" s="482"/>
      <c r="AC38" s="482"/>
      <c r="AD38" s="482"/>
      <c r="AE38" s="482"/>
      <c r="AF38" s="482"/>
      <c r="AG38" s="482"/>
      <c r="AH38" s="482"/>
      <c r="AI38" s="482"/>
      <c r="AJ38" s="482"/>
      <c r="AK38" s="482"/>
      <c r="AL38" s="482"/>
    </row>
    <row r="39" spans="1:38" x14ac:dyDescent="0.2">
      <c r="A39" s="482"/>
      <c r="B39" s="482"/>
      <c r="C39" s="482"/>
      <c r="D39" s="482"/>
      <c r="E39" s="482"/>
      <c r="F39" s="482"/>
      <c r="G39" s="482"/>
      <c r="H39" s="482"/>
      <c r="I39" s="482"/>
      <c r="J39" s="482"/>
      <c r="K39" s="482"/>
      <c r="L39" s="482"/>
      <c r="M39" s="482"/>
      <c r="N39" s="482"/>
      <c r="O39" s="482"/>
      <c r="P39" s="482"/>
      <c r="Q39" s="482"/>
      <c r="R39" s="482"/>
      <c r="S39" s="482"/>
      <c r="T39" s="482"/>
      <c r="U39" s="482"/>
      <c r="V39" s="482"/>
      <c r="W39" s="482"/>
      <c r="X39" s="482"/>
      <c r="Y39" s="482"/>
      <c r="Z39" s="482"/>
      <c r="AA39" s="482"/>
      <c r="AB39" s="482"/>
      <c r="AC39" s="482"/>
      <c r="AD39" s="482"/>
      <c r="AE39" s="482"/>
      <c r="AF39" s="482"/>
      <c r="AG39" s="482"/>
      <c r="AH39" s="482"/>
      <c r="AI39" s="482"/>
      <c r="AJ39" s="482"/>
      <c r="AK39" s="482"/>
      <c r="AL39" s="482"/>
    </row>
    <row r="40" spans="1:38" x14ac:dyDescent="0.2">
      <c r="A40" s="482"/>
      <c r="B40" s="482"/>
      <c r="C40" s="482"/>
      <c r="D40" s="482"/>
      <c r="E40" s="482"/>
      <c r="F40" s="482"/>
      <c r="G40" s="482"/>
      <c r="H40" s="482"/>
      <c r="I40" s="482"/>
      <c r="J40" s="482"/>
      <c r="K40" s="482"/>
      <c r="L40" s="482"/>
      <c r="M40" s="482"/>
      <c r="N40" s="482"/>
      <c r="O40" s="482"/>
      <c r="P40" s="482"/>
      <c r="Q40" s="482"/>
      <c r="R40" s="482"/>
      <c r="S40" s="482"/>
      <c r="T40" s="482"/>
      <c r="U40" s="482"/>
      <c r="V40" s="482"/>
      <c r="W40" s="482"/>
      <c r="X40" s="482"/>
      <c r="Y40" s="482"/>
      <c r="Z40" s="482"/>
      <c r="AA40" s="482"/>
      <c r="AB40" s="482"/>
      <c r="AC40" s="482"/>
      <c r="AD40" s="482"/>
      <c r="AE40" s="482"/>
      <c r="AF40" s="482"/>
      <c r="AG40" s="482"/>
      <c r="AH40" s="482"/>
      <c r="AI40" s="482"/>
      <c r="AJ40" s="482"/>
      <c r="AK40" s="482"/>
      <c r="AL40" s="482"/>
    </row>
    <row r="45" spans="1:38" x14ac:dyDescent="0.2">
      <c r="A45" s="34"/>
      <c r="B45" s="34"/>
      <c r="C45" s="34"/>
      <c r="D45" s="34"/>
      <c r="E45" s="34"/>
      <c r="F45" s="34"/>
      <c r="G45" s="34"/>
      <c r="H45" s="34"/>
      <c r="I45" s="34"/>
      <c r="J45" s="34"/>
      <c r="K45" s="34"/>
      <c r="L45" s="34"/>
      <c r="M45" s="34"/>
      <c r="N45" s="34"/>
      <c r="O45" s="34"/>
      <c r="Q45" s="269">
        <f>Data!B1406</f>
        <v>0</v>
      </c>
      <c r="R45" s="267"/>
      <c r="S45" s="267"/>
      <c r="T45" s="267"/>
      <c r="U45" s="267"/>
      <c r="V45" s="267"/>
      <c r="X45" s="34"/>
      <c r="Y45" s="34"/>
      <c r="Z45" s="34"/>
      <c r="AA45" s="34"/>
      <c r="AB45" s="34"/>
      <c r="AC45" s="34"/>
      <c r="AD45" s="34"/>
      <c r="AE45" s="34"/>
      <c r="AF45" s="34"/>
      <c r="AG45" s="34"/>
      <c r="AH45" s="34"/>
      <c r="AI45" s="34"/>
      <c r="AJ45" s="34"/>
      <c r="AK45" s="34"/>
      <c r="AL45" s="34"/>
    </row>
    <row r="46" spans="1:38" x14ac:dyDescent="0.2">
      <c r="A46" t="s">
        <v>944</v>
      </c>
      <c r="Q46" t="s">
        <v>368</v>
      </c>
      <c r="X46" t="s">
        <v>2959</v>
      </c>
    </row>
    <row r="50" spans="1:38" x14ac:dyDescent="0.2">
      <c r="A50" s="34"/>
      <c r="B50" s="34"/>
      <c r="C50" s="34"/>
      <c r="D50" s="34"/>
      <c r="E50" s="34"/>
      <c r="F50" s="34"/>
      <c r="G50" s="34"/>
      <c r="H50" s="34"/>
      <c r="I50" s="34"/>
      <c r="J50" s="34"/>
      <c r="K50" s="34"/>
      <c r="L50" s="34"/>
      <c r="M50" s="34"/>
      <c r="N50" s="34"/>
      <c r="O50" s="34"/>
      <c r="Q50" s="276">
        <f>Data!B1407</f>
        <v>0</v>
      </c>
      <c r="R50" s="276"/>
      <c r="S50" s="276"/>
      <c r="T50" s="276"/>
      <c r="U50" s="276"/>
      <c r="V50" s="276"/>
      <c r="W50" s="276"/>
      <c r="X50" s="276"/>
      <c r="Y50" s="276"/>
      <c r="Z50" s="276"/>
      <c r="AA50" s="276"/>
      <c r="AC50" s="269">
        <f>Data!B1404</f>
        <v>0</v>
      </c>
      <c r="AD50" s="269"/>
      <c r="AE50" s="269"/>
      <c r="AF50" s="269"/>
      <c r="AG50" s="269"/>
      <c r="AH50" s="269"/>
      <c r="AI50" s="269"/>
      <c r="AJ50" s="269"/>
      <c r="AK50" s="269"/>
      <c r="AL50" s="269"/>
    </row>
    <row r="51" spans="1:38" x14ac:dyDescent="0.2">
      <c r="A51" t="s">
        <v>2889</v>
      </c>
      <c r="Q51" t="s">
        <v>1465</v>
      </c>
      <c r="AC51" t="s">
        <v>2999</v>
      </c>
    </row>
  </sheetData>
  <mergeCells count="59">
    <mergeCell ref="D4:J4"/>
    <mergeCell ref="P4:V4"/>
    <mergeCell ref="AC4:AI4"/>
    <mergeCell ref="E1:P1"/>
    <mergeCell ref="T1:Y1"/>
    <mergeCell ref="AE1:AL1"/>
    <mergeCell ref="D2:AC2"/>
    <mergeCell ref="AE2:AL2"/>
    <mergeCell ref="AE3:AL3"/>
    <mergeCell ref="D14:W14"/>
    <mergeCell ref="AB14:AI14"/>
    <mergeCell ref="F5:U5"/>
    <mergeCell ref="Z5:AJ5"/>
    <mergeCell ref="F7:J7"/>
    <mergeCell ref="Q7:U7"/>
    <mergeCell ref="AB7:AF7"/>
    <mergeCell ref="F8:U8"/>
    <mergeCell ref="AF8:AJ8"/>
    <mergeCell ref="A10:AL11"/>
    <mergeCell ref="A12:AL12"/>
    <mergeCell ref="G13:L13"/>
    <mergeCell ref="P13:W13"/>
    <mergeCell ref="AE13:AK13"/>
    <mergeCell ref="C15:P15"/>
    <mergeCell ref="V15:AL15"/>
    <mergeCell ref="A16:AL16"/>
    <mergeCell ref="A17:U17"/>
    <mergeCell ref="AA17:AF17"/>
    <mergeCell ref="K24:O24"/>
    <mergeCell ref="AG24:AK24"/>
    <mergeCell ref="P18:R18"/>
    <mergeCell ref="S18:U18"/>
    <mergeCell ref="A19:C21"/>
    <mergeCell ref="D19:F21"/>
    <mergeCell ref="G19:I21"/>
    <mergeCell ref="J19:L21"/>
    <mergeCell ref="M19:O21"/>
    <mergeCell ref="P19:R21"/>
    <mergeCell ref="S19:U21"/>
    <mergeCell ref="A18:C18"/>
    <mergeCell ref="D18:F18"/>
    <mergeCell ref="G18:I18"/>
    <mergeCell ref="J18:L18"/>
    <mergeCell ref="M18:O18"/>
    <mergeCell ref="AD20:AH20"/>
    <mergeCell ref="AD21:AI21"/>
    <mergeCell ref="N22:R22"/>
    <mergeCell ref="K23:O23"/>
    <mergeCell ref="AG23:AK23"/>
    <mergeCell ref="A37:AL40"/>
    <mergeCell ref="Q45:V45"/>
    <mergeCell ref="Q50:AA50"/>
    <mergeCell ref="AC50:AL50"/>
    <mergeCell ref="K25:O25"/>
    <mergeCell ref="AG25:AK25"/>
    <mergeCell ref="I26:M26"/>
    <mergeCell ref="A27:AL28"/>
    <mergeCell ref="A30:AL32"/>
    <mergeCell ref="A34:AL35"/>
  </mergeCells>
  <pageMargins left="0.25" right="0.25" top="0.75" bottom="0.75" header="0.3" footer="0.3"/>
  <pageSetup orientation="portrait" horizontalDpi="4294967293" verticalDpi="1200" r:id="rId1"/>
  <headerFooter>
    <oddHeader>&amp;L&amp;G&amp;RPrivate Pay Service Agreement
Private Home Care Provider</oddHeader>
    <oddFooter>&amp;LPS&amp;C3088 Mercer University Drive Suite 100 Atlanta, GA 30341
678-310-6305 Fax 404-935-6110&amp;RPP</oddFooter>
  </headerFooter>
  <legacyDrawingHF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tabColor rgb="FF7030A0"/>
  </sheetPr>
  <dimension ref="A2:AM46"/>
  <sheetViews>
    <sheetView showZeros="0" view="pageLayout" topLeftCell="A16" zoomScaleNormal="100" workbookViewId="0">
      <selection activeCell="R41" sqref="R41:Y41"/>
    </sheetView>
  </sheetViews>
  <sheetFormatPr defaultColWidth="2.7109375" defaultRowHeight="14.25" customHeight="1" x14ac:dyDescent="0.2"/>
  <sheetData>
    <row r="2" spans="1:39" ht="14.25" customHeight="1" x14ac:dyDescent="0.2">
      <c r="A2" t="s">
        <v>336</v>
      </c>
      <c r="E2" s="233" t="str">
        <f>_xlfn.CONCAT(Data!B2,", ",Data!B3," ",Data!B4)</f>
        <v xml:space="preserve">,  </v>
      </c>
      <c r="F2" s="233"/>
      <c r="G2" s="233"/>
      <c r="H2" s="233"/>
      <c r="I2" s="233"/>
      <c r="J2" s="233"/>
      <c r="K2" s="233"/>
      <c r="L2" s="233"/>
      <c r="M2" s="233"/>
      <c r="N2" s="233"/>
      <c r="O2" s="233"/>
      <c r="P2" s="233"/>
      <c r="Q2" s="233"/>
      <c r="R2" s="233"/>
      <c r="S2" s="233"/>
      <c r="T2" s="233"/>
      <c r="X2" t="s">
        <v>371</v>
      </c>
      <c r="Z2" s="218">
        <f>Data!B14</f>
        <v>0</v>
      </c>
      <c r="AA2" s="219"/>
      <c r="AB2" s="219"/>
      <c r="AC2" s="219"/>
      <c r="AD2" s="219"/>
      <c r="AE2" s="219"/>
      <c r="AF2" s="219"/>
    </row>
    <row r="4" spans="1:39" ht="14.25" customHeight="1" x14ac:dyDescent="0.2">
      <c r="A4" t="s">
        <v>583</v>
      </c>
      <c r="F4" s="233">
        <f>Data!B28</f>
        <v>0</v>
      </c>
      <c r="G4" s="233"/>
      <c r="H4" s="233"/>
      <c r="I4" s="233"/>
      <c r="J4" s="233"/>
      <c r="K4" s="4"/>
      <c r="L4" t="s">
        <v>650</v>
      </c>
      <c r="M4" s="4"/>
      <c r="P4" s="490">
        <f>Data!B21</f>
        <v>0</v>
      </c>
      <c r="Q4" s="490"/>
      <c r="R4" s="490"/>
      <c r="S4" s="490"/>
      <c r="T4" s="490"/>
      <c r="U4" s="490"/>
      <c r="V4" s="490"/>
      <c r="W4" s="490"/>
      <c r="X4" s="490"/>
      <c r="Y4" s="490"/>
    </row>
    <row r="6" spans="1:39" ht="23.25" customHeight="1" x14ac:dyDescent="0.35">
      <c r="A6" t="s">
        <v>681</v>
      </c>
      <c r="R6" s="491" t="str">
        <f>IF(Data!B101="","N/A", Data!B101)</f>
        <v>N/A</v>
      </c>
      <c r="S6" s="491"/>
      <c r="T6" s="491"/>
      <c r="U6" s="491"/>
      <c r="V6" s="491"/>
      <c r="W6" s="491"/>
      <c r="X6" s="491"/>
      <c r="Y6" s="491"/>
      <c r="Z6" s="491"/>
      <c r="AA6" s="491"/>
    </row>
    <row r="8" spans="1:39" ht="14.25" customHeight="1" x14ac:dyDescent="0.2">
      <c r="A8" s="260" t="s">
        <v>3365</v>
      </c>
      <c r="B8" s="260"/>
      <c r="C8" s="260"/>
      <c r="D8" s="260"/>
      <c r="E8" s="260"/>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c r="AE8" s="260"/>
      <c r="AF8" s="260"/>
      <c r="AG8" s="260"/>
      <c r="AH8" s="260"/>
      <c r="AI8" s="260"/>
      <c r="AJ8" s="260"/>
      <c r="AK8" s="260"/>
      <c r="AL8" s="260"/>
      <c r="AM8" s="14"/>
    </row>
    <row r="9" spans="1:39" ht="14.25" customHeight="1" x14ac:dyDescent="0.2">
      <c r="A9" s="260"/>
      <c r="B9" s="260"/>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60"/>
      <c r="AM9" s="14"/>
    </row>
    <row r="10" spans="1:39" ht="14.25" customHeight="1" x14ac:dyDescent="0.2">
      <c r="A10" s="260"/>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c r="AE10" s="260"/>
      <c r="AF10" s="260"/>
      <c r="AG10" s="260"/>
      <c r="AH10" s="260"/>
      <c r="AI10" s="260"/>
      <c r="AJ10" s="260"/>
      <c r="AK10" s="260"/>
      <c r="AL10" s="260"/>
      <c r="AM10" s="14"/>
    </row>
    <row r="12" spans="1:39" ht="14.25" customHeight="1" x14ac:dyDescent="0.2">
      <c r="A12" s="217" t="s">
        <v>682</v>
      </c>
      <c r="B12" s="217"/>
      <c r="C12" s="217"/>
      <c r="D12" s="217"/>
      <c r="E12" s="217"/>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217"/>
      <c r="AM12" s="5"/>
    </row>
    <row r="13" spans="1:39" ht="14.25" customHeight="1" x14ac:dyDescent="0.2">
      <c r="A13" s="217"/>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5"/>
    </row>
    <row r="15" spans="1:39" ht="14.25" customHeight="1" x14ac:dyDescent="0.2">
      <c r="A15" s="217" t="s">
        <v>683</v>
      </c>
      <c r="B15" s="217"/>
      <c r="C15" s="217"/>
      <c r="D15" s="217"/>
      <c r="E15" s="217"/>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c r="AE15" s="217"/>
      <c r="AF15" s="217"/>
      <c r="AG15" s="217"/>
      <c r="AH15" s="217"/>
      <c r="AI15" s="217"/>
      <c r="AJ15" s="217"/>
      <c r="AK15" s="217"/>
      <c r="AL15" s="217"/>
      <c r="AM15" s="5"/>
    </row>
    <row r="16" spans="1:39" ht="14.25" customHeight="1" x14ac:dyDescent="0.2">
      <c r="A16" s="217"/>
      <c r="B16" s="217"/>
      <c r="C16" s="217"/>
      <c r="D16" s="217"/>
      <c r="E16" s="217"/>
      <c r="F16" s="217"/>
      <c r="G16" s="217"/>
      <c r="H16" s="217"/>
      <c r="I16" s="217"/>
      <c r="J16" s="217"/>
      <c r="K16" s="217"/>
      <c r="L16" s="217"/>
      <c r="M16" s="217"/>
      <c r="N16" s="217"/>
      <c r="O16" s="217"/>
      <c r="P16" s="217"/>
      <c r="Q16" s="217"/>
      <c r="R16" s="217"/>
      <c r="S16" s="217"/>
      <c r="T16" s="217"/>
      <c r="U16" s="217"/>
      <c r="V16" s="217"/>
      <c r="W16" s="217"/>
      <c r="X16" s="217"/>
      <c r="Y16" s="217"/>
      <c r="Z16" s="217"/>
      <c r="AA16" s="217"/>
      <c r="AB16" s="217"/>
      <c r="AC16" s="217"/>
      <c r="AD16" s="217"/>
      <c r="AE16" s="217"/>
      <c r="AF16" s="217"/>
      <c r="AG16" s="217"/>
      <c r="AH16" s="217"/>
      <c r="AI16" s="217"/>
      <c r="AJ16" s="217"/>
      <c r="AK16" s="217"/>
      <c r="AL16" s="217"/>
      <c r="AM16" s="5"/>
    </row>
    <row r="17" spans="1:39" ht="14.25" customHeight="1" x14ac:dyDescent="0.2">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row>
    <row r="18" spans="1:39" ht="14.25" customHeight="1" x14ac:dyDescent="0.2">
      <c r="A18" s="217" t="s">
        <v>684</v>
      </c>
      <c r="B18" s="217"/>
      <c r="C18" s="217"/>
      <c r="D18" s="217"/>
      <c r="E18" s="217"/>
      <c r="F18" s="217"/>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c r="AE18" s="217"/>
      <c r="AF18" s="217"/>
      <c r="AG18" s="217"/>
      <c r="AH18" s="217"/>
      <c r="AI18" s="217"/>
      <c r="AJ18" s="217"/>
      <c r="AK18" s="217"/>
      <c r="AL18" s="217"/>
      <c r="AM18" s="5"/>
    </row>
    <row r="19" spans="1:39" ht="14.25" customHeight="1" x14ac:dyDescent="0.2">
      <c r="A19" s="217"/>
      <c r="B19" s="217"/>
      <c r="C19" s="217"/>
      <c r="D19" s="217"/>
      <c r="E19" s="217"/>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7"/>
      <c r="AI19" s="217"/>
      <c r="AJ19" s="217"/>
      <c r="AK19" s="217"/>
      <c r="AL19" s="217"/>
      <c r="AM19" s="5"/>
    </row>
    <row r="21" spans="1:39" ht="14.25" customHeight="1" x14ac:dyDescent="0.2">
      <c r="A21" s="217" t="s">
        <v>685</v>
      </c>
      <c r="B21" s="217"/>
      <c r="C21" s="217"/>
      <c r="D21" s="217"/>
      <c r="E21" s="217"/>
      <c r="F21" s="217"/>
      <c r="G21" s="217"/>
      <c r="H21" s="217"/>
      <c r="I21" s="217"/>
      <c r="J21" s="217"/>
      <c r="K21" s="217"/>
      <c r="L21" s="217"/>
      <c r="M21" s="217"/>
      <c r="N21" s="217"/>
      <c r="O21" s="217"/>
      <c r="P21" s="217"/>
      <c r="Q21" s="217"/>
      <c r="R21" s="217"/>
      <c r="S21" s="217"/>
      <c r="T21" s="217"/>
      <c r="U21" s="217"/>
      <c r="V21" s="217"/>
      <c r="W21" s="217"/>
      <c r="X21" s="217"/>
      <c r="Y21" s="217"/>
      <c r="Z21" s="217"/>
      <c r="AA21" s="217"/>
      <c r="AB21" s="217"/>
      <c r="AC21" s="217"/>
      <c r="AD21" s="217"/>
      <c r="AE21" s="217"/>
      <c r="AF21" s="217"/>
      <c r="AG21" s="217"/>
      <c r="AH21" s="217"/>
      <c r="AI21" s="217"/>
      <c r="AJ21" s="217"/>
      <c r="AK21" s="217"/>
      <c r="AL21" s="5"/>
      <c r="AM21" s="5"/>
    </row>
    <row r="22" spans="1:39" ht="14.25" customHeight="1" x14ac:dyDescent="0.2">
      <c r="A22" s="217"/>
      <c r="B22" s="217"/>
      <c r="C22" s="217"/>
      <c r="D22" s="217"/>
      <c r="E22" s="217"/>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c r="AE22" s="217"/>
      <c r="AF22" s="217"/>
      <c r="AG22" s="217"/>
      <c r="AH22" s="217"/>
      <c r="AI22" s="217"/>
      <c r="AJ22" s="217"/>
      <c r="AK22" s="217"/>
      <c r="AL22" s="5"/>
      <c r="AM22" s="5"/>
    </row>
    <row r="23" spans="1:39" ht="14.25" customHeight="1" x14ac:dyDescent="0.2">
      <c r="A23" s="300" t="s">
        <v>686</v>
      </c>
      <c r="B23" s="300"/>
      <c r="C23" s="300"/>
      <c r="D23" s="300"/>
      <c r="E23" s="300"/>
      <c r="F23" s="300"/>
      <c r="G23" s="300"/>
      <c r="H23" s="300"/>
      <c r="I23" s="300"/>
      <c r="J23" s="300"/>
      <c r="K23" s="300"/>
      <c r="L23" s="300"/>
      <c r="M23" s="300"/>
      <c r="N23" s="300"/>
      <c r="O23" s="300"/>
      <c r="P23" s="300"/>
      <c r="Q23" s="300"/>
      <c r="R23" s="300"/>
      <c r="S23" s="300"/>
      <c r="T23" s="300"/>
      <c r="U23" s="300"/>
      <c r="V23" s="300"/>
      <c r="W23" s="300"/>
      <c r="X23" s="300"/>
      <c r="Y23" s="300"/>
      <c r="Z23" s="300"/>
      <c r="AA23" s="300"/>
      <c r="AB23" s="300"/>
      <c r="AC23" s="300"/>
      <c r="AD23" s="300"/>
      <c r="AE23" s="300"/>
      <c r="AF23" s="300"/>
      <c r="AG23" s="300"/>
      <c r="AH23" s="300"/>
      <c r="AI23" s="300"/>
      <c r="AJ23" s="300"/>
      <c r="AK23" s="300"/>
    </row>
    <row r="24" spans="1:39" ht="14.25" customHeight="1" x14ac:dyDescent="0.2">
      <c r="A24" s="217" t="s">
        <v>2913</v>
      </c>
      <c r="B24" s="217"/>
      <c r="C24" s="217"/>
      <c r="D24" s="217"/>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7"/>
      <c r="AI24" s="217"/>
      <c r="AJ24" s="217"/>
      <c r="AK24" s="217"/>
      <c r="AL24" s="5"/>
      <c r="AM24" s="5"/>
    </row>
    <row r="25" spans="1:39" ht="14.25" customHeight="1" x14ac:dyDescent="0.2">
      <c r="A25" s="217"/>
      <c r="B25" s="217"/>
      <c r="C25" s="217"/>
      <c r="D25" s="217"/>
      <c r="E25" s="217"/>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c r="AE25" s="217"/>
      <c r="AF25" s="217"/>
      <c r="AG25" s="217"/>
      <c r="AH25" s="217"/>
      <c r="AI25" s="217"/>
      <c r="AJ25" s="217"/>
      <c r="AK25" s="217"/>
      <c r="AL25" s="5"/>
      <c r="AM25" s="5"/>
    </row>
    <row r="27" spans="1:39" ht="14.25" customHeight="1" x14ac:dyDescent="0.2">
      <c r="A27" s="217" t="s">
        <v>687</v>
      </c>
      <c r="B27" s="217"/>
      <c r="C27" s="217"/>
      <c r="D27" s="217"/>
      <c r="E27" s="217"/>
      <c r="F27" s="217"/>
      <c r="G27" s="217"/>
      <c r="H27" s="217"/>
      <c r="I27" s="217"/>
      <c r="J27" s="217"/>
      <c r="K27" s="217"/>
      <c r="L27" s="217"/>
      <c r="M27" s="217"/>
      <c r="N27" s="217"/>
      <c r="O27" s="217"/>
      <c r="P27" s="217"/>
      <c r="Q27" s="217"/>
      <c r="R27" s="217"/>
      <c r="S27" s="217"/>
      <c r="T27" s="217"/>
      <c r="U27" s="217"/>
      <c r="V27" s="217"/>
      <c r="W27" s="217"/>
      <c r="X27" s="217"/>
      <c r="Y27" s="217"/>
      <c r="Z27" s="217"/>
      <c r="AA27" s="217"/>
      <c r="AB27" s="217"/>
      <c r="AC27" s="217"/>
      <c r="AD27" s="217"/>
      <c r="AE27" s="217"/>
      <c r="AF27" s="217"/>
      <c r="AG27" s="217"/>
      <c r="AH27" s="217"/>
      <c r="AI27" s="217"/>
      <c r="AJ27" s="217"/>
      <c r="AK27" s="217"/>
      <c r="AL27" s="5"/>
      <c r="AM27" s="5"/>
    </row>
    <row r="28" spans="1:39" ht="14.25" customHeight="1" x14ac:dyDescent="0.2">
      <c r="A28" s="217"/>
      <c r="B28" s="217"/>
      <c r="C28" s="217"/>
      <c r="D28" s="217"/>
      <c r="E28" s="217"/>
      <c r="F28" s="217"/>
      <c r="G28" s="217"/>
      <c r="H28" s="217"/>
      <c r="I28" s="217"/>
      <c r="J28" s="217"/>
      <c r="K28" s="217"/>
      <c r="L28" s="217"/>
      <c r="M28" s="217"/>
      <c r="N28" s="217"/>
      <c r="O28" s="217"/>
      <c r="P28" s="217"/>
      <c r="Q28" s="217"/>
      <c r="R28" s="217"/>
      <c r="S28" s="217"/>
      <c r="T28" s="217"/>
      <c r="U28" s="217"/>
      <c r="V28" s="217"/>
      <c r="W28" s="217"/>
      <c r="X28" s="217"/>
      <c r="Y28" s="217"/>
      <c r="Z28" s="217"/>
      <c r="AA28" s="217"/>
      <c r="AB28" s="217"/>
      <c r="AC28" s="217"/>
      <c r="AD28" s="217"/>
      <c r="AE28" s="217"/>
      <c r="AF28" s="217"/>
      <c r="AG28" s="217"/>
      <c r="AH28" s="217"/>
      <c r="AI28" s="217"/>
      <c r="AJ28" s="217"/>
      <c r="AK28" s="217"/>
      <c r="AL28" s="5"/>
      <c r="AM28" s="5"/>
    </row>
    <row r="30" spans="1:39" ht="14.25" customHeight="1" x14ac:dyDescent="0.2">
      <c r="A30" s="217" t="s">
        <v>688</v>
      </c>
      <c r="B30" s="217"/>
      <c r="C30" s="217"/>
      <c r="D30" s="217"/>
      <c r="E30" s="217"/>
      <c r="F30" s="217"/>
      <c r="G30" s="217"/>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c r="AE30" s="217"/>
      <c r="AF30" s="217"/>
      <c r="AG30" s="217"/>
      <c r="AH30" s="217"/>
      <c r="AI30" s="217"/>
      <c r="AJ30" s="217"/>
      <c r="AK30" s="217"/>
      <c r="AL30" s="5"/>
      <c r="AM30" s="5"/>
    </row>
    <row r="31" spans="1:39" ht="14.25" customHeight="1" x14ac:dyDescent="0.2">
      <c r="A31" s="217"/>
      <c r="B31" s="217"/>
      <c r="C31" s="217"/>
      <c r="D31" s="217"/>
      <c r="E31" s="217"/>
      <c r="F31" s="217"/>
      <c r="G31" s="217"/>
      <c r="H31" s="217"/>
      <c r="I31" s="217"/>
      <c r="J31" s="217"/>
      <c r="K31" s="217"/>
      <c r="L31" s="217"/>
      <c r="M31" s="217"/>
      <c r="N31" s="217"/>
      <c r="O31" s="217"/>
      <c r="P31" s="217"/>
      <c r="Q31" s="217"/>
      <c r="R31" s="217"/>
      <c r="S31" s="217"/>
      <c r="T31" s="217"/>
      <c r="U31" s="217"/>
      <c r="V31" s="217"/>
      <c r="W31" s="217"/>
      <c r="X31" s="217"/>
      <c r="Y31" s="217"/>
      <c r="Z31" s="217"/>
      <c r="AA31" s="217"/>
      <c r="AB31" s="217"/>
      <c r="AC31" s="217"/>
      <c r="AD31" s="217"/>
      <c r="AE31" s="217"/>
      <c r="AF31" s="217"/>
      <c r="AG31" s="217"/>
      <c r="AH31" s="217"/>
      <c r="AI31" s="217"/>
      <c r="AJ31" s="217"/>
      <c r="AK31" s="217"/>
      <c r="AL31" s="5"/>
      <c r="AM31" s="5"/>
    </row>
    <row r="32" spans="1:39" ht="14.25" customHeight="1" x14ac:dyDescent="0.2">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row>
    <row r="33" spans="1:39" ht="14.25" customHeight="1" x14ac:dyDescent="0.2">
      <c r="A33" s="485" t="s">
        <v>689</v>
      </c>
      <c r="B33" s="485"/>
      <c r="C33" s="485"/>
      <c r="D33" s="485"/>
      <c r="E33" s="485"/>
      <c r="F33" s="485"/>
      <c r="G33" s="485"/>
      <c r="H33" s="485"/>
      <c r="I33" s="485"/>
      <c r="J33" s="485"/>
      <c r="K33" s="485"/>
      <c r="L33" s="485"/>
      <c r="M33" s="485"/>
      <c r="N33" s="485"/>
      <c r="O33" s="485"/>
      <c r="P33" s="485"/>
      <c r="Q33" s="485"/>
      <c r="R33" s="485"/>
      <c r="S33" s="485"/>
      <c r="T33" s="485"/>
      <c r="U33" s="485"/>
      <c r="V33" s="485"/>
      <c r="W33" s="485"/>
      <c r="X33" s="485"/>
      <c r="Y33" s="485"/>
      <c r="Z33" s="485"/>
      <c r="AA33" s="485"/>
      <c r="AB33" s="485"/>
      <c r="AC33" s="485"/>
      <c r="AD33" s="485"/>
      <c r="AE33" s="485"/>
      <c r="AF33" s="485"/>
      <c r="AG33" s="485"/>
      <c r="AH33" s="485"/>
      <c r="AI33" s="485"/>
      <c r="AJ33" s="485"/>
      <c r="AK33" s="485"/>
      <c r="AL33" s="26"/>
      <c r="AM33" s="26"/>
    </row>
    <row r="34" spans="1:39" ht="14.25" customHeight="1" x14ac:dyDescent="0.2">
      <c r="A34" s="485"/>
      <c r="B34" s="485"/>
      <c r="C34" s="485"/>
      <c r="D34" s="485"/>
      <c r="E34" s="485"/>
      <c r="F34" s="485"/>
      <c r="G34" s="485"/>
      <c r="H34" s="485"/>
      <c r="I34" s="485"/>
      <c r="J34" s="485"/>
      <c r="K34" s="485"/>
      <c r="L34" s="485"/>
      <c r="M34" s="485"/>
      <c r="N34" s="485"/>
      <c r="O34" s="485"/>
      <c r="P34" s="485"/>
      <c r="Q34" s="485"/>
      <c r="R34" s="485"/>
      <c r="S34" s="485"/>
      <c r="T34" s="485"/>
      <c r="U34" s="485"/>
      <c r="V34" s="485"/>
      <c r="W34" s="485"/>
      <c r="X34" s="485"/>
      <c r="Y34" s="485"/>
      <c r="Z34" s="485"/>
      <c r="AA34" s="485"/>
      <c r="AB34" s="485"/>
      <c r="AC34" s="485"/>
      <c r="AD34" s="485"/>
      <c r="AE34" s="485"/>
      <c r="AF34" s="485"/>
      <c r="AG34" s="485"/>
      <c r="AH34" s="485"/>
      <c r="AI34" s="485"/>
      <c r="AJ34" s="485"/>
      <c r="AK34" s="485"/>
      <c r="AL34" s="26"/>
      <c r="AM34" s="26"/>
    </row>
    <row r="35" spans="1:39" ht="14.25" customHeight="1" x14ac:dyDescent="0.2">
      <c r="A35" s="485"/>
      <c r="B35" s="485"/>
      <c r="C35" s="485"/>
      <c r="D35" s="485"/>
      <c r="E35" s="485"/>
      <c r="F35" s="485"/>
      <c r="G35" s="485"/>
      <c r="H35" s="485"/>
      <c r="I35" s="485"/>
      <c r="J35" s="485"/>
      <c r="K35" s="485"/>
      <c r="L35" s="485"/>
      <c r="M35" s="485"/>
      <c r="N35" s="485"/>
      <c r="O35" s="485"/>
      <c r="P35" s="485"/>
      <c r="Q35" s="485"/>
      <c r="R35" s="485"/>
      <c r="S35" s="485"/>
      <c r="T35" s="485"/>
      <c r="U35" s="485"/>
      <c r="V35" s="485"/>
      <c r="W35" s="485"/>
      <c r="X35" s="485"/>
      <c r="Y35" s="485"/>
      <c r="Z35" s="485"/>
      <c r="AA35" s="485"/>
      <c r="AB35" s="485"/>
      <c r="AC35" s="485"/>
      <c r="AD35" s="485"/>
      <c r="AE35" s="485"/>
      <c r="AF35" s="485"/>
      <c r="AG35" s="485"/>
      <c r="AH35" s="485"/>
      <c r="AI35" s="485"/>
      <c r="AJ35" s="485"/>
      <c r="AK35" s="485"/>
      <c r="AL35" s="26"/>
      <c r="AM35" s="26"/>
    </row>
    <row r="36" spans="1:39" ht="14.25" customHeight="1" x14ac:dyDescent="0.2">
      <c r="A36" s="485"/>
      <c r="B36" s="485"/>
      <c r="C36" s="485"/>
      <c r="D36" s="485"/>
      <c r="E36" s="485"/>
      <c r="F36" s="485"/>
      <c r="G36" s="485"/>
      <c r="H36" s="485"/>
      <c r="I36" s="485"/>
      <c r="J36" s="485"/>
      <c r="K36" s="485"/>
      <c r="L36" s="485"/>
      <c r="M36" s="485"/>
      <c r="N36" s="485"/>
      <c r="O36" s="485"/>
      <c r="P36" s="485"/>
      <c r="Q36" s="485"/>
      <c r="R36" s="485"/>
      <c r="S36" s="485"/>
      <c r="T36" s="485"/>
      <c r="U36" s="485"/>
      <c r="V36" s="485"/>
      <c r="W36" s="485"/>
      <c r="X36" s="485"/>
      <c r="Y36" s="485"/>
      <c r="Z36" s="485"/>
      <c r="AA36" s="485"/>
      <c r="AB36" s="485"/>
      <c r="AC36" s="485"/>
      <c r="AD36" s="485"/>
      <c r="AE36" s="485"/>
      <c r="AF36" s="485"/>
      <c r="AG36" s="485"/>
      <c r="AH36" s="485"/>
      <c r="AI36" s="485"/>
      <c r="AJ36" s="485"/>
      <c r="AK36" s="485"/>
      <c r="AL36" s="26"/>
      <c r="AM36" s="26"/>
    </row>
    <row r="39" spans="1:39" ht="14.25" customHeight="1" x14ac:dyDescent="0.2">
      <c r="A39" s="240"/>
      <c r="B39" s="240"/>
      <c r="C39" s="240"/>
      <c r="D39" s="240"/>
      <c r="E39" s="240"/>
      <c r="F39" s="240"/>
      <c r="G39" s="240"/>
      <c r="H39" s="240"/>
      <c r="I39" s="240"/>
      <c r="J39" s="240"/>
      <c r="K39" s="240"/>
      <c r="L39" s="240"/>
      <c r="M39" s="240"/>
      <c r="N39" s="240"/>
      <c r="O39" s="240"/>
      <c r="P39" s="240"/>
    </row>
    <row r="40" spans="1:39" ht="14.25" customHeight="1" x14ac:dyDescent="0.2">
      <c r="A40" s="240"/>
      <c r="B40" s="240"/>
      <c r="C40" s="240"/>
      <c r="D40" s="240"/>
      <c r="E40" s="240"/>
      <c r="F40" s="240"/>
      <c r="G40" s="240"/>
      <c r="H40" s="240"/>
      <c r="I40" s="240"/>
      <c r="J40" s="240"/>
      <c r="K40" s="240"/>
      <c r="L40" s="240"/>
      <c r="M40" s="240"/>
      <c r="N40" s="240"/>
      <c r="O40" s="240"/>
      <c r="P40" s="240"/>
    </row>
    <row r="41" spans="1:39" ht="14.25" customHeight="1" x14ac:dyDescent="0.2">
      <c r="A41" s="266"/>
      <c r="B41" s="266"/>
      <c r="C41" s="266"/>
      <c r="D41" s="266"/>
      <c r="E41" s="266"/>
      <c r="F41" s="266"/>
      <c r="G41" s="266"/>
      <c r="H41" s="266"/>
      <c r="I41" s="266"/>
      <c r="J41" s="266"/>
      <c r="K41" s="266"/>
      <c r="L41" s="266"/>
      <c r="M41" s="266"/>
      <c r="N41" s="266"/>
      <c r="O41" s="266"/>
      <c r="P41" s="266"/>
      <c r="R41" s="269">
        <f>Data!B34</f>
        <v>0</v>
      </c>
      <c r="S41" s="267"/>
      <c r="T41" s="267"/>
      <c r="U41" s="267"/>
      <c r="V41" s="267"/>
      <c r="W41" s="267"/>
      <c r="X41" s="267"/>
      <c r="Y41" s="267"/>
    </row>
    <row r="42" spans="1:39" ht="14.25" customHeight="1" x14ac:dyDescent="0.2">
      <c r="A42" t="s">
        <v>616</v>
      </c>
      <c r="R42" t="s">
        <v>368</v>
      </c>
    </row>
    <row r="43" spans="1:39" ht="14.25" customHeight="1" x14ac:dyDescent="0.2">
      <c r="A43" s="240"/>
      <c r="B43" s="240"/>
      <c r="C43" s="240"/>
      <c r="D43" s="240"/>
      <c r="E43" s="240"/>
      <c r="F43" s="240"/>
      <c r="G43" s="240"/>
      <c r="H43" s="240"/>
      <c r="I43" s="240"/>
      <c r="J43" s="240"/>
      <c r="K43" s="240"/>
      <c r="L43" s="240"/>
      <c r="M43" s="240"/>
      <c r="N43" s="240"/>
      <c r="O43" s="240"/>
      <c r="P43" s="240"/>
    </row>
    <row r="44" spans="1:39" ht="14.25" customHeight="1" x14ac:dyDescent="0.2">
      <c r="A44" s="240"/>
      <c r="B44" s="240"/>
      <c r="C44" s="240"/>
      <c r="D44" s="240"/>
      <c r="E44" s="240"/>
      <c r="F44" s="240"/>
      <c r="G44" s="240"/>
      <c r="H44" s="240"/>
      <c r="I44" s="240"/>
      <c r="J44" s="240"/>
      <c r="K44" s="240"/>
      <c r="L44" s="240"/>
      <c r="M44" s="240"/>
      <c r="N44" s="240"/>
      <c r="O44" s="240"/>
      <c r="P44" s="240"/>
    </row>
    <row r="45" spans="1:39" ht="14.25" customHeight="1" x14ac:dyDescent="0.2">
      <c r="A45" s="266"/>
      <c r="B45" s="266"/>
      <c r="C45" s="266"/>
      <c r="D45" s="266"/>
      <c r="E45" s="266"/>
      <c r="F45" s="266"/>
      <c r="G45" s="266"/>
      <c r="H45" s="266"/>
      <c r="I45" s="266"/>
      <c r="J45" s="266"/>
      <c r="K45" s="266"/>
      <c r="L45" s="266"/>
      <c r="M45" s="266"/>
      <c r="N45" s="266"/>
      <c r="O45" s="266"/>
      <c r="P45" s="266"/>
      <c r="R45" s="267">
        <f>Data!B175</f>
        <v>0</v>
      </c>
      <c r="S45" s="267"/>
      <c r="T45" s="267"/>
      <c r="U45" s="267"/>
      <c r="V45" s="267"/>
      <c r="W45" s="267"/>
      <c r="X45" s="267"/>
      <c r="Y45" s="267"/>
      <c r="Z45" s="267"/>
      <c r="AA45" s="267"/>
      <c r="AB45" s="267"/>
      <c r="AC45" s="267"/>
      <c r="AD45" s="267"/>
      <c r="AE45" s="267"/>
    </row>
    <row r="46" spans="1:39" ht="14.25" customHeight="1" x14ac:dyDescent="0.2">
      <c r="A46" t="s">
        <v>617</v>
      </c>
      <c r="R46" t="s">
        <v>369</v>
      </c>
    </row>
  </sheetData>
  <mergeCells count="19">
    <mergeCell ref="A43:P45"/>
    <mergeCell ref="R45:AE45"/>
    <mergeCell ref="A30:AK31"/>
    <mergeCell ref="A33:AK36"/>
    <mergeCell ref="A8:AL10"/>
    <mergeCell ref="A12:AL13"/>
    <mergeCell ref="A15:AL16"/>
    <mergeCell ref="A39:P41"/>
    <mergeCell ref="R41:Y41"/>
    <mergeCell ref="A18:AL19"/>
    <mergeCell ref="A23:AK23"/>
    <mergeCell ref="A21:AK22"/>
    <mergeCell ref="A27:AK28"/>
    <mergeCell ref="A24:AK25"/>
    <mergeCell ref="E2:T2"/>
    <mergeCell ref="Z2:AF2"/>
    <mergeCell ref="F4:J4"/>
    <mergeCell ref="P4:Y4"/>
    <mergeCell ref="R6:AA6"/>
  </mergeCells>
  <pageMargins left="0.25" right="0.25" top="0.75" bottom="0.75" header="0.3" footer="0.3"/>
  <pageSetup orientation="portrait" r:id="rId1"/>
  <headerFooter>
    <oddHeader>&amp;L&amp;G&amp;RCost Share Collection Policy</oddHeader>
    <oddFooter>&amp;LPS&amp;C3088 Mercer University Drive Suite 100 Atlanta, GA 30341
678-310-6305 Fax 404-935-6110&amp;RM</oddFooter>
  </headerFooter>
  <legacyDrawingHF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6">
    <tabColor rgb="FF7030A0"/>
  </sheetPr>
  <dimension ref="A2:AK48"/>
  <sheetViews>
    <sheetView showZeros="0" view="pageLayout" topLeftCell="A4" zoomScaleNormal="100" workbookViewId="0">
      <selection activeCell="AB4" sqref="AB4:AF4"/>
    </sheetView>
  </sheetViews>
  <sheetFormatPr defaultColWidth="2.7109375" defaultRowHeight="12.75" x14ac:dyDescent="0.2"/>
  <cols>
    <col min="2" max="2" width="4" customWidth="1"/>
  </cols>
  <sheetData>
    <row r="2" spans="1:32" x14ac:dyDescent="0.2">
      <c r="A2" t="s">
        <v>336</v>
      </c>
      <c r="E2" s="233" t="str">
        <f>_xlfn.CONCAT(Data!B2,", ",Data!B3," ",Data!B4)</f>
        <v xml:space="preserve">,  </v>
      </c>
      <c r="F2" s="233"/>
      <c r="G2" s="233"/>
      <c r="H2" s="233"/>
      <c r="I2" s="233"/>
      <c r="J2" s="233"/>
      <c r="K2" s="233"/>
      <c r="L2" s="233"/>
      <c r="M2" s="233"/>
      <c r="N2" s="233"/>
      <c r="O2" s="233"/>
      <c r="P2" s="233"/>
      <c r="Q2" s="233"/>
      <c r="R2" s="233"/>
      <c r="S2" s="233"/>
      <c r="W2" t="s">
        <v>371</v>
      </c>
      <c r="Y2" s="218">
        <f>Data!B14</f>
        <v>0</v>
      </c>
      <c r="Z2" s="219"/>
      <c r="AA2" s="219"/>
      <c r="AB2" s="219"/>
      <c r="AC2" s="219"/>
    </row>
    <row r="4" spans="1:32" x14ac:dyDescent="0.2">
      <c r="A4" t="s">
        <v>922</v>
      </c>
      <c r="F4" s="218">
        <f>Data!B30</f>
        <v>0</v>
      </c>
      <c r="G4" s="219"/>
      <c r="H4" s="219"/>
      <c r="I4" s="219"/>
      <c r="J4" s="219"/>
      <c r="L4" t="s">
        <v>924</v>
      </c>
      <c r="Q4" s="218">
        <f>Data!B32</f>
        <v>0</v>
      </c>
      <c r="R4" s="219"/>
      <c r="S4" s="219"/>
      <c r="T4" s="219"/>
      <c r="U4" s="219"/>
      <c r="W4" t="s">
        <v>582</v>
      </c>
      <c r="AB4" s="218">
        <f>Data!B33</f>
        <v>0</v>
      </c>
      <c r="AC4" s="219"/>
      <c r="AD4" s="219"/>
      <c r="AE4" s="219"/>
      <c r="AF4" s="219"/>
    </row>
    <row r="6" spans="1:32" x14ac:dyDescent="0.2">
      <c r="A6" t="s">
        <v>1023</v>
      </c>
    </row>
    <row r="8" spans="1:32" x14ac:dyDescent="0.2">
      <c r="A8" t="s">
        <v>3353</v>
      </c>
    </row>
    <row r="9" spans="1:32" x14ac:dyDescent="0.2">
      <c r="B9">
        <v>1</v>
      </c>
      <c r="C9" t="s">
        <v>395</v>
      </c>
      <c r="D9" t="s">
        <v>1024</v>
      </c>
    </row>
    <row r="10" spans="1:32" x14ac:dyDescent="0.2">
      <c r="B10">
        <v>2</v>
      </c>
      <c r="C10" t="s">
        <v>395</v>
      </c>
      <c r="D10" t="s">
        <v>1025</v>
      </c>
    </row>
    <row r="11" spans="1:32" x14ac:dyDescent="0.2">
      <c r="B11">
        <v>3</v>
      </c>
      <c r="C11" t="s">
        <v>395</v>
      </c>
      <c r="D11" t="s">
        <v>1026</v>
      </c>
    </row>
    <row r="12" spans="1:32" x14ac:dyDescent="0.2">
      <c r="B12">
        <v>4</v>
      </c>
      <c r="C12" t="s">
        <v>395</v>
      </c>
      <c r="D12" t="s">
        <v>1043</v>
      </c>
    </row>
    <row r="13" spans="1:32" x14ac:dyDescent="0.2">
      <c r="B13">
        <v>5</v>
      </c>
      <c r="C13" t="s">
        <v>395</v>
      </c>
      <c r="D13" t="s">
        <v>1028</v>
      </c>
    </row>
    <row r="14" spans="1:32" x14ac:dyDescent="0.2">
      <c r="B14">
        <v>6</v>
      </c>
      <c r="C14" t="s">
        <v>395</v>
      </c>
      <c r="D14" t="s">
        <v>1044</v>
      </c>
    </row>
    <row r="15" spans="1:32" x14ac:dyDescent="0.2">
      <c r="B15">
        <v>7</v>
      </c>
      <c r="C15" t="s">
        <v>395</v>
      </c>
      <c r="D15" t="s">
        <v>1030</v>
      </c>
    </row>
    <row r="16" spans="1:32" x14ac:dyDescent="0.2">
      <c r="B16">
        <v>8</v>
      </c>
      <c r="C16" t="s">
        <v>395</v>
      </c>
      <c r="D16" t="s">
        <v>1031</v>
      </c>
    </row>
    <row r="17" spans="1:4" x14ac:dyDescent="0.2">
      <c r="B17">
        <v>9</v>
      </c>
      <c r="C17" t="s">
        <v>395</v>
      </c>
      <c r="D17" t="s">
        <v>1032</v>
      </c>
    </row>
    <row r="18" spans="1:4" x14ac:dyDescent="0.2">
      <c r="B18">
        <v>10</v>
      </c>
      <c r="C18" t="s">
        <v>395</v>
      </c>
      <c r="D18" t="s">
        <v>1033</v>
      </c>
    </row>
    <row r="19" spans="1:4" x14ac:dyDescent="0.2">
      <c r="B19">
        <v>11</v>
      </c>
      <c r="C19" t="s">
        <v>395</v>
      </c>
      <c r="D19" t="s">
        <v>2963</v>
      </c>
    </row>
    <row r="20" spans="1:4" x14ac:dyDescent="0.2">
      <c r="B20">
        <v>12</v>
      </c>
      <c r="C20" t="s">
        <v>395</v>
      </c>
      <c r="D20" t="s">
        <v>3351</v>
      </c>
    </row>
    <row r="22" spans="1:4" x14ac:dyDescent="0.2">
      <c r="A22" t="s">
        <v>1036</v>
      </c>
    </row>
    <row r="24" spans="1:4" x14ac:dyDescent="0.2">
      <c r="A24" t="s">
        <v>1037</v>
      </c>
    </row>
    <row r="25" spans="1:4" x14ac:dyDescent="0.2">
      <c r="B25">
        <v>1</v>
      </c>
      <c r="C25" t="s">
        <v>395</v>
      </c>
      <c r="D25" t="s">
        <v>1045</v>
      </c>
    </row>
    <row r="26" spans="1:4" x14ac:dyDescent="0.2">
      <c r="B26">
        <v>2</v>
      </c>
      <c r="C26" t="s">
        <v>395</v>
      </c>
      <c r="D26" t="s">
        <v>1039</v>
      </c>
    </row>
    <row r="27" spans="1:4" x14ac:dyDescent="0.2">
      <c r="B27">
        <v>3</v>
      </c>
      <c r="C27" t="s">
        <v>395</v>
      </c>
      <c r="D27" t="s">
        <v>1046</v>
      </c>
    </row>
    <row r="28" spans="1:4" x14ac:dyDescent="0.2">
      <c r="B28">
        <v>4</v>
      </c>
      <c r="C28" t="s">
        <v>395</v>
      </c>
      <c r="D28" t="s">
        <v>3352</v>
      </c>
    </row>
    <row r="31" spans="1:4" x14ac:dyDescent="0.2">
      <c r="A31" t="s">
        <v>1042</v>
      </c>
    </row>
    <row r="33" spans="1:37" x14ac:dyDescent="0.2">
      <c r="A33" s="260" t="s">
        <v>1391</v>
      </c>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c r="AE33" s="260"/>
      <c r="AF33" s="260"/>
      <c r="AG33" s="260"/>
      <c r="AH33" s="260"/>
      <c r="AI33" s="260"/>
      <c r="AJ33" s="260"/>
      <c r="AK33" s="260"/>
    </row>
    <row r="34" spans="1:37" x14ac:dyDescent="0.2">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c r="AE34" s="260"/>
      <c r="AF34" s="260"/>
      <c r="AG34" s="260"/>
      <c r="AH34" s="260"/>
      <c r="AI34" s="260"/>
      <c r="AJ34" s="260"/>
      <c r="AK34" s="260"/>
    </row>
    <row r="35" spans="1:37" x14ac:dyDescent="0.2">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c r="AE35" s="260"/>
      <c r="AF35" s="260"/>
      <c r="AG35" s="260"/>
      <c r="AH35" s="260"/>
      <c r="AI35" s="260"/>
      <c r="AJ35" s="260"/>
      <c r="AK35" s="260"/>
    </row>
    <row r="41" spans="1:37" x14ac:dyDescent="0.2">
      <c r="A41" s="240"/>
      <c r="B41" s="240"/>
      <c r="C41" s="240"/>
      <c r="D41" s="240"/>
      <c r="E41" s="240"/>
      <c r="F41" s="240"/>
      <c r="G41" s="240"/>
      <c r="H41" s="240"/>
      <c r="I41" s="240"/>
      <c r="J41" s="240"/>
      <c r="K41" s="240"/>
      <c r="L41" s="240"/>
      <c r="M41" s="240"/>
      <c r="N41" s="240"/>
      <c r="O41" s="240"/>
      <c r="P41" s="240"/>
    </row>
    <row r="42" spans="1:37" x14ac:dyDescent="0.2">
      <c r="A42" s="240"/>
      <c r="B42" s="240"/>
      <c r="C42" s="240"/>
      <c r="D42" s="240"/>
      <c r="E42" s="240"/>
      <c r="F42" s="240"/>
      <c r="G42" s="240"/>
      <c r="H42" s="240"/>
      <c r="I42" s="240"/>
      <c r="J42" s="240"/>
      <c r="K42" s="240"/>
      <c r="L42" s="240"/>
      <c r="M42" s="240"/>
      <c r="N42" s="240"/>
      <c r="O42" s="240"/>
      <c r="P42" s="240"/>
    </row>
    <row r="43" spans="1:37" x14ac:dyDescent="0.2">
      <c r="A43" s="266"/>
      <c r="B43" s="266"/>
      <c r="C43" s="266"/>
      <c r="D43" s="266"/>
      <c r="E43" s="266"/>
      <c r="F43" s="266"/>
      <c r="G43" s="266"/>
      <c r="H43" s="266"/>
      <c r="I43" s="266"/>
      <c r="J43" s="266"/>
      <c r="K43" s="266"/>
      <c r="L43" s="266"/>
      <c r="M43" s="266"/>
      <c r="N43" s="266"/>
      <c r="O43" s="266"/>
      <c r="P43" s="266"/>
      <c r="R43" s="269">
        <f>Data!B34</f>
        <v>0</v>
      </c>
      <c r="S43" s="267"/>
      <c r="T43" s="267"/>
      <c r="U43" s="267"/>
      <c r="V43" s="267"/>
      <c r="W43" s="267"/>
      <c r="X43" s="267"/>
      <c r="Y43" s="267"/>
    </row>
    <row r="44" spans="1:37" x14ac:dyDescent="0.2">
      <c r="A44" t="s">
        <v>616</v>
      </c>
      <c r="R44" t="s">
        <v>368</v>
      </c>
    </row>
    <row r="45" spans="1:37" x14ac:dyDescent="0.2">
      <c r="A45" s="240"/>
      <c r="B45" s="240"/>
      <c r="C45" s="240"/>
      <c r="D45" s="240"/>
      <c r="E45" s="240"/>
      <c r="F45" s="240"/>
      <c r="G45" s="240"/>
      <c r="H45" s="240"/>
      <c r="I45" s="240"/>
      <c r="J45" s="240"/>
      <c r="K45" s="240"/>
      <c r="L45" s="240"/>
      <c r="M45" s="240"/>
      <c r="N45" s="240"/>
      <c r="O45" s="240"/>
      <c r="P45" s="240"/>
    </row>
    <row r="46" spans="1:37" x14ac:dyDescent="0.2">
      <c r="A46" s="240"/>
      <c r="B46" s="240"/>
      <c r="C46" s="240"/>
      <c r="D46" s="240"/>
      <c r="E46" s="240"/>
      <c r="F46" s="240"/>
      <c r="G46" s="240"/>
      <c r="H46" s="240"/>
      <c r="I46" s="240"/>
      <c r="J46" s="240"/>
      <c r="K46" s="240"/>
      <c r="L46" s="240"/>
      <c r="M46" s="240"/>
      <c r="N46" s="240"/>
      <c r="O46" s="240"/>
      <c r="P46" s="240"/>
    </row>
    <row r="47" spans="1:37" x14ac:dyDescent="0.2">
      <c r="A47" s="266"/>
      <c r="B47" s="266"/>
      <c r="C47" s="266"/>
      <c r="D47" s="266"/>
      <c r="E47" s="266"/>
      <c r="F47" s="266"/>
      <c r="G47" s="266"/>
      <c r="H47" s="266"/>
      <c r="I47" s="266"/>
      <c r="J47" s="266"/>
      <c r="K47" s="266"/>
      <c r="L47" s="266"/>
      <c r="M47" s="266"/>
      <c r="N47" s="266"/>
      <c r="O47" s="266"/>
      <c r="P47" s="266"/>
      <c r="R47" s="267">
        <f>Data!B175</f>
        <v>0</v>
      </c>
      <c r="S47" s="267"/>
      <c r="T47" s="267"/>
      <c r="U47" s="267"/>
      <c r="V47" s="267"/>
      <c r="W47" s="267"/>
      <c r="X47" s="267"/>
      <c r="Y47" s="267"/>
      <c r="Z47" s="267"/>
      <c r="AA47" s="267"/>
      <c r="AB47" s="267"/>
      <c r="AC47" s="267"/>
      <c r="AD47" s="267"/>
      <c r="AE47" s="267"/>
    </row>
    <row r="48" spans="1:37" x14ac:dyDescent="0.2">
      <c r="A48" t="s">
        <v>617</v>
      </c>
      <c r="R48" t="s">
        <v>369</v>
      </c>
    </row>
  </sheetData>
  <mergeCells count="10">
    <mergeCell ref="A45:P47"/>
    <mergeCell ref="R47:AE47"/>
    <mergeCell ref="E2:S2"/>
    <mergeCell ref="Y2:AC2"/>
    <mergeCell ref="F4:J4"/>
    <mergeCell ref="Q4:U4"/>
    <mergeCell ref="AB4:AF4"/>
    <mergeCell ref="A41:P43"/>
    <mergeCell ref="R43:Y43"/>
    <mergeCell ref="A33:AK35"/>
  </mergeCells>
  <pageMargins left="0.25" right="0.25" top="0.75" bottom="0.75" header="0.3" footer="0.3"/>
  <pageSetup orientation="portrait" horizontalDpi="4294967293" verticalDpi="1200" r:id="rId1"/>
  <headerFooter>
    <oddHeader>&amp;L&amp;G&amp;RPrivate Pay Document Confirmation Form</oddHeader>
    <oddFooter>&amp;LPS&amp;C3088 Mercer University Drive Suite 100 Atlanta, GA 30341
678-310-6305 Fax 404-935-6110&amp;RPP</oddFooter>
  </headerFooter>
  <legacyDrawingHF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tabColor rgb="FF7030A0"/>
  </sheetPr>
  <dimension ref="A2:AM51"/>
  <sheetViews>
    <sheetView showZeros="0" view="pageLayout" zoomScaleNormal="100" workbookViewId="0">
      <selection activeCell="F2" sqref="F2:U2"/>
    </sheetView>
  </sheetViews>
  <sheetFormatPr defaultColWidth="2.7109375" defaultRowHeight="12.75" x14ac:dyDescent="0.2"/>
  <sheetData>
    <row r="2" spans="1:39" x14ac:dyDescent="0.2">
      <c r="A2" t="s">
        <v>336</v>
      </c>
      <c r="F2" s="267" t="str">
        <f>_xlfn.CONCAT(Data!B2,", ",Data!B3," ",Data!B4)</f>
        <v xml:space="preserve">,  </v>
      </c>
      <c r="G2" s="267"/>
      <c r="H2" s="267"/>
      <c r="I2" s="267"/>
      <c r="J2" s="267"/>
      <c r="K2" s="267"/>
      <c r="L2" s="267"/>
      <c r="M2" s="267"/>
      <c r="N2" s="267"/>
      <c r="O2" s="267"/>
      <c r="P2" s="267"/>
      <c r="Q2" s="267"/>
      <c r="R2" s="267"/>
      <c r="S2" s="267"/>
      <c r="T2" s="267"/>
      <c r="U2" s="267"/>
      <c r="X2" t="s">
        <v>371</v>
      </c>
      <c r="Z2" s="269">
        <f>Data!B14</f>
        <v>0</v>
      </c>
      <c r="AA2" s="267"/>
      <c r="AB2" s="267"/>
      <c r="AC2" s="267"/>
      <c r="AD2" s="267"/>
      <c r="AE2" s="267"/>
      <c r="AF2" s="267"/>
    </row>
    <row r="4" spans="1:39" ht="12.75" customHeight="1" x14ac:dyDescent="0.2">
      <c r="A4" s="217" t="s">
        <v>610</v>
      </c>
      <c r="B4" s="217"/>
      <c r="C4" s="217"/>
      <c r="D4" s="217"/>
      <c r="E4" s="217"/>
      <c r="F4" s="217"/>
      <c r="G4" s="217"/>
      <c r="H4" s="217"/>
      <c r="I4" s="217"/>
      <c r="J4" s="217"/>
      <c r="K4" s="217"/>
      <c r="L4" s="217"/>
      <c r="M4" s="217"/>
      <c r="N4" s="217"/>
      <c r="O4" s="217"/>
      <c r="P4" s="217"/>
      <c r="Q4" s="217"/>
      <c r="R4" s="217"/>
      <c r="S4" s="217"/>
      <c r="T4" s="217"/>
      <c r="U4" s="217"/>
      <c r="V4" s="217"/>
      <c r="W4" s="217"/>
      <c r="X4" s="217"/>
      <c r="Y4" s="217"/>
      <c r="Z4" s="217"/>
      <c r="AA4" s="217"/>
      <c r="AB4" s="217"/>
      <c r="AC4" s="217"/>
      <c r="AD4" s="217"/>
      <c r="AE4" s="217"/>
      <c r="AF4" s="217"/>
      <c r="AG4" s="217"/>
      <c r="AH4" s="217"/>
      <c r="AI4" s="217"/>
      <c r="AJ4" s="217"/>
      <c r="AK4" s="217"/>
      <c r="AL4" s="5"/>
      <c r="AM4" s="5"/>
    </row>
    <row r="5" spans="1:39" x14ac:dyDescent="0.2">
      <c r="A5" s="217"/>
      <c r="B5" s="217"/>
      <c r="C5" s="217"/>
      <c r="D5" s="217"/>
      <c r="E5" s="217"/>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c r="AE5" s="217"/>
      <c r="AF5" s="217"/>
      <c r="AG5" s="217"/>
      <c r="AH5" s="217"/>
      <c r="AI5" s="217"/>
      <c r="AJ5" s="217"/>
      <c r="AK5" s="217"/>
      <c r="AL5" s="5"/>
      <c r="AM5" s="5"/>
    </row>
    <row r="6" spans="1:39" x14ac:dyDescent="0.2">
      <c r="A6" s="217"/>
      <c r="B6" s="217"/>
      <c r="C6" s="217"/>
      <c r="D6" s="217"/>
      <c r="E6" s="217"/>
      <c r="F6" s="217"/>
      <c r="G6" s="217"/>
      <c r="H6" s="217"/>
      <c r="I6" s="217"/>
      <c r="J6" s="217"/>
      <c r="K6" s="217"/>
      <c r="L6" s="217"/>
      <c r="M6" s="217"/>
      <c r="N6" s="217"/>
      <c r="O6" s="217"/>
      <c r="P6" s="217"/>
      <c r="Q6" s="217"/>
      <c r="R6" s="217"/>
      <c r="S6" s="217"/>
      <c r="T6" s="217"/>
      <c r="U6" s="217"/>
      <c r="V6" s="217"/>
      <c r="W6" s="217"/>
      <c r="X6" s="217"/>
      <c r="Y6" s="217"/>
      <c r="Z6" s="217"/>
      <c r="AA6" s="217"/>
      <c r="AB6" s="217"/>
      <c r="AC6" s="217"/>
      <c r="AD6" s="217"/>
      <c r="AE6" s="217"/>
      <c r="AF6" s="217"/>
      <c r="AG6" s="217"/>
      <c r="AH6" s="217"/>
      <c r="AI6" s="217"/>
      <c r="AJ6" s="217"/>
      <c r="AK6" s="217"/>
      <c r="AL6" s="5"/>
      <c r="AM6" s="5"/>
    </row>
    <row r="8" spans="1:39" ht="12.75" customHeight="1" x14ac:dyDescent="0.2">
      <c r="A8" s="217" t="s">
        <v>611</v>
      </c>
      <c r="B8" s="217"/>
      <c r="C8" s="217"/>
      <c r="D8" s="217"/>
      <c r="E8" s="217"/>
      <c r="F8" s="217"/>
      <c r="G8" s="217"/>
      <c r="H8" s="217"/>
      <c r="I8" s="217"/>
      <c r="J8" s="217"/>
      <c r="K8" s="217"/>
      <c r="L8" s="217"/>
      <c r="M8" s="217"/>
      <c r="N8" s="217"/>
      <c r="O8" s="217"/>
      <c r="P8" s="217"/>
      <c r="Q8" s="217"/>
      <c r="R8" s="217"/>
      <c r="S8" s="217"/>
      <c r="T8" s="217"/>
      <c r="U8" s="217"/>
      <c r="V8" s="217"/>
      <c r="W8" s="217"/>
      <c r="X8" s="217"/>
      <c r="Y8" s="217"/>
      <c r="Z8" s="217"/>
      <c r="AA8" s="217"/>
      <c r="AB8" s="217"/>
      <c r="AC8" s="217"/>
      <c r="AD8" s="217"/>
      <c r="AE8" s="217"/>
      <c r="AF8" s="217"/>
      <c r="AG8" s="217"/>
      <c r="AH8" s="217"/>
      <c r="AI8" s="217"/>
      <c r="AJ8" s="217"/>
      <c r="AK8" s="217"/>
      <c r="AL8" s="5"/>
      <c r="AM8" s="5"/>
    </row>
    <row r="9" spans="1:39" x14ac:dyDescent="0.2">
      <c r="A9" s="217"/>
      <c r="B9" s="217"/>
      <c r="C9" s="217"/>
      <c r="D9" s="217"/>
      <c r="E9" s="217"/>
      <c r="F9" s="217"/>
      <c r="G9" s="217"/>
      <c r="H9" s="217"/>
      <c r="I9" s="217"/>
      <c r="J9" s="217"/>
      <c r="K9" s="217"/>
      <c r="L9" s="217"/>
      <c r="M9" s="217"/>
      <c r="N9" s="217"/>
      <c r="O9" s="217"/>
      <c r="P9" s="217"/>
      <c r="Q9" s="217"/>
      <c r="R9" s="217"/>
      <c r="S9" s="217"/>
      <c r="T9" s="217"/>
      <c r="U9" s="217"/>
      <c r="V9" s="217"/>
      <c r="W9" s="217"/>
      <c r="X9" s="217"/>
      <c r="Y9" s="217"/>
      <c r="Z9" s="217"/>
      <c r="AA9" s="217"/>
      <c r="AB9" s="217"/>
      <c r="AC9" s="217"/>
      <c r="AD9" s="217"/>
      <c r="AE9" s="217"/>
      <c r="AF9" s="217"/>
      <c r="AG9" s="217"/>
      <c r="AH9" s="217"/>
      <c r="AI9" s="217"/>
      <c r="AJ9" s="217"/>
      <c r="AK9" s="217"/>
      <c r="AL9" s="5"/>
      <c r="AM9" s="5"/>
    </row>
    <row r="11" spans="1:39" ht="12.75" customHeight="1" x14ac:dyDescent="0.2">
      <c r="A11" s="217" t="s">
        <v>612</v>
      </c>
      <c r="B11" s="217"/>
      <c r="C11" s="217"/>
      <c r="D11" s="217"/>
      <c r="E11" s="217"/>
      <c r="F11" s="217"/>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c r="AE11" s="217"/>
      <c r="AF11" s="217"/>
      <c r="AG11" s="217"/>
      <c r="AH11" s="217"/>
      <c r="AI11" s="217"/>
      <c r="AJ11" s="217"/>
      <c r="AK11" s="5"/>
      <c r="AL11" s="5"/>
      <c r="AM11" s="5"/>
    </row>
    <row r="12" spans="1:39" x14ac:dyDescent="0.2">
      <c r="A12" s="217"/>
      <c r="B12" s="217"/>
      <c r="C12" s="217"/>
      <c r="D12" s="217"/>
      <c r="E12" s="217"/>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5"/>
      <c r="AL12" s="5"/>
      <c r="AM12" s="5"/>
    </row>
    <row r="13" spans="1:39" x14ac:dyDescent="0.2">
      <c r="A13" s="217"/>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5"/>
      <c r="AL13" s="5"/>
      <c r="AM13" s="5"/>
    </row>
    <row r="15" spans="1:39" ht="12.75" customHeight="1" x14ac:dyDescent="0.2">
      <c r="A15" s="217" t="s">
        <v>613</v>
      </c>
      <c r="B15" s="217"/>
      <c r="C15" s="217"/>
      <c r="D15" s="217"/>
      <c r="E15" s="217"/>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c r="AE15" s="217"/>
      <c r="AF15" s="217"/>
      <c r="AG15" s="217"/>
      <c r="AH15" s="217"/>
      <c r="AI15" s="217"/>
      <c r="AJ15" s="217"/>
      <c r="AK15" s="5"/>
      <c r="AL15" s="5"/>
      <c r="AM15" s="5"/>
    </row>
    <row r="16" spans="1:39" x14ac:dyDescent="0.2">
      <c r="A16" s="217"/>
      <c r="B16" s="217"/>
      <c r="C16" s="217"/>
      <c r="D16" s="217"/>
      <c r="E16" s="217"/>
      <c r="F16" s="217"/>
      <c r="G16" s="217"/>
      <c r="H16" s="217"/>
      <c r="I16" s="217"/>
      <c r="J16" s="217"/>
      <c r="K16" s="217"/>
      <c r="L16" s="217"/>
      <c r="M16" s="217"/>
      <c r="N16" s="217"/>
      <c r="O16" s="217"/>
      <c r="P16" s="217"/>
      <c r="Q16" s="217"/>
      <c r="R16" s="217"/>
      <c r="S16" s="217"/>
      <c r="T16" s="217"/>
      <c r="U16" s="217"/>
      <c r="V16" s="217"/>
      <c r="W16" s="217"/>
      <c r="X16" s="217"/>
      <c r="Y16" s="217"/>
      <c r="Z16" s="217"/>
      <c r="AA16" s="217"/>
      <c r="AB16" s="217"/>
      <c r="AC16" s="217"/>
      <c r="AD16" s="217"/>
      <c r="AE16" s="217"/>
      <c r="AF16" s="217"/>
      <c r="AG16" s="217"/>
      <c r="AH16" s="217"/>
      <c r="AI16" s="217"/>
      <c r="AJ16" s="217"/>
      <c r="AK16" s="5"/>
      <c r="AL16" s="5"/>
      <c r="AM16" s="5"/>
    </row>
    <row r="17" spans="1:39" x14ac:dyDescent="0.2">
      <c r="A17" s="217"/>
      <c r="B17" s="217"/>
      <c r="C17" s="217"/>
      <c r="D17" s="217"/>
      <c r="E17" s="217"/>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c r="AE17" s="217"/>
      <c r="AF17" s="217"/>
      <c r="AG17" s="217"/>
      <c r="AH17" s="217"/>
      <c r="AI17" s="217"/>
      <c r="AJ17" s="217"/>
      <c r="AK17" s="5"/>
      <c r="AL17" s="5"/>
      <c r="AM17" s="5"/>
    </row>
    <row r="18" spans="1:39" x14ac:dyDescent="0.2">
      <c r="A18" s="217"/>
      <c r="B18" s="217"/>
      <c r="C18" s="217"/>
      <c r="D18" s="217"/>
      <c r="E18" s="217"/>
      <c r="F18" s="217"/>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c r="AE18" s="217"/>
      <c r="AF18" s="217"/>
      <c r="AG18" s="217"/>
      <c r="AH18" s="217"/>
      <c r="AI18" s="217"/>
      <c r="AJ18" s="217"/>
      <c r="AK18" s="5"/>
      <c r="AL18" s="5"/>
      <c r="AM18" s="5"/>
    </row>
    <row r="20" spans="1:39" x14ac:dyDescent="0.2">
      <c r="P20" s="492" t="s">
        <v>615</v>
      </c>
      <c r="Q20" s="492"/>
      <c r="R20" s="492"/>
      <c r="S20" s="492"/>
      <c r="T20" s="492"/>
      <c r="U20" s="492"/>
      <c r="V20" s="492"/>
      <c r="W20" s="492"/>
      <c r="X20" s="492"/>
      <c r="Y20" s="492"/>
      <c r="Z20" s="492"/>
      <c r="AA20" s="492"/>
      <c r="AB20" s="492"/>
      <c r="AC20" s="492"/>
      <c r="AD20" s="492"/>
      <c r="AE20" s="492"/>
      <c r="AF20" s="492"/>
      <c r="AG20" s="492"/>
      <c r="AH20" s="492"/>
      <c r="AI20" s="492"/>
      <c r="AJ20" s="492"/>
    </row>
    <row r="21" spans="1:39" x14ac:dyDescent="0.2">
      <c r="A21" s="4" t="s">
        <v>614</v>
      </c>
      <c r="P21" s="492"/>
      <c r="Q21" s="492"/>
      <c r="R21" s="492"/>
      <c r="S21" s="492"/>
      <c r="T21" s="492"/>
      <c r="U21" s="492"/>
      <c r="V21" s="492"/>
      <c r="W21" s="492"/>
      <c r="X21" s="492"/>
      <c r="Y21" s="492"/>
      <c r="Z21" s="492"/>
      <c r="AA21" s="492"/>
      <c r="AB21" s="492"/>
      <c r="AC21" s="492"/>
      <c r="AD21" s="492"/>
      <c r="AE21" s="492"/>
      <c r="AF21" s="492"/>
      <c r="AG21" s="492"/>
      <c r="AH21" s="492"/>
      <c r="AI21" s="492"/>
      <c r="AJ21" s="492"/>
    </row>
    <row r="44" spans="1:25" x14ac:dyDescent="0.2">
      <c r="A44" s="240"/>
      <c r="B44" s="240"/>
      <c r="C44" s="240"/>
      <c r="D44" s="240"/>
      <c r="E44" s="240"/>
      <c r="F44" s="240"/>
      <c r="G44" s="240"/>
      <c r="H44" s="240"/>
      <c r="I44" s="240"/>
      <c r="J44" s="240"/>
      <c r="K44" s="240"/>
      <c r="L44" s="240"/>
      <c r="M44" s="240"/>
      <c r="N44" s="240"/>
      <c r="O44" s="240"/>
      <c r="P44" s="240"/>
    </row>
    <row r="45" spans="1:25" x14ac:dyDescent="0.2">
      <c r="A45" s="240"/>
      <c r="B45" s="240"/>
      <c r="C45" s="240"/>
      <c r="D45" s="240"/>
      <c r="E45" s="240"/>
      <c r="F45" s="240"/>
      <c r="G45" s="240"/>
      <c r="H45" s="240"/>
      <c r="I45" s="240"/>
      <c r="J45" s="240"/>
      <c r="K45" s="240"/>
      <c r="L45" s="240"/>
      <c r="M45" s="240"/>
      <c r="N45" s="240"/>
      <c r="O45" s="240"/>
      <c r="P45" s="240"/>
    </row>
    <row r="46" spans="1:25" x14ac:dyDescent="0.2">
      <c r="A46" s="266"/>
      <c r="B46" s="266"/>
      <c r="C46" s="266"/>
      <c r="D46" s="266"/>
      <c r="E46" s="266"/>
      <c r="F46" s="266"/>
      <c r="G46" s="266"/>
      <c r="H46" s="266"/>
      <c r="I46" s="266"/>
      <c r="J46" s="266"/>
      <c r="K46" s="266"/>
      <c r="L46" s="266"/>
      <c r="M46" s="266"/>
      <c r="N46" s="266"/>
      <c r="O46" s="266"/>
      <c r="P46" s="266"/>
      <c r="R46" s="269">
        <f>Data!B34</f>
        <v>0</v>
      </c>
      <c r="S46" s="267"/>
      <c r="T46" s="267"/>
      <c r="U46" s="267"/>
      <c r="V46" s="267"/>
      <c r="W46" s="267"/>
      <c r="X46" s="267"/>
      <c r="Y46" s="267"/>
    </row>
    <row r="47" spans="1:25" x14ac:dyDescent="0.2">
      <c r="A47" t="s">
        <v>616</v>
      </c>
      <c r="R47" t="s">
        <v>368</v>
      </c>
    </row>
    <row r="48" spans="1:25" x14ac:dyDescent="0.2">
      <c r="A48" s="240"/>
      <c r="B48" s="240"/>
      <c r="C48" s="240"/>
      <c r="D48" s="240"/>
      <c r="E48" s="240"/>
      <c r="F48" s="240"/>
      <c r="G48" s="240"/>
      <c r="H48" s="240"/>
      <c r="I48" s="240"/>
      <c r="J48" s="240"/>
      <c r="K48" s="240"/>
      <c r="L48" s="240"/>
      <c r="M48" s="240"/>
      <c r="N48" s="240"/>
      <c r="O48" s="240"/>
      <c r="P48" s="240"/>
    </row>
    <row r="49" spans="1:31" x14ac:dyDescent="0.2">
      <c r="A49" s="240"/>
      <c r="B49" s="240"/>
      <c r="C49" s="240"/>
      <c r="D49" s="240"/>
      <c r="E49" s="240"/>
      <c r="F49" s="240"/>
      <c r="G49" s="240"/>
      <c r="H49" s="240"/>
      <c r="I49" s="240"/>
      <c r="J49" s="240"/>
      <c r="K49" s="240"/>
      <c r="L49" s="240"/>
      <c r="M49" s="240"/>
      <c r="N49" s="240"/>
      <c r="O49" s="240"/>
      <c r="P49" s="240"/>
    </row>
    <row r="50" spans="1:31" x14ac:dyDescent="0.2">
      <c r="A50" s="266"/>
      <c r="B50" s="266"/>
      <c r="C50" s="266"/>
      <c r="D50" s="266"/>
      <c r="E50" s="266"/>
      <c r="F50" s="266"/>
      <c r="G50" s="266"/>
      <c r="H50" s="266"/>
      <c r="I50" s="266"/>
      <c r="J50" s="266"/>
      <c r="K50" s="266"/>
      <c r="L50" s="266"/>
      <c r="M50" s="266"/>
      <c r="N50" s="266"/>
      <c r="O50" s="266"/>
      <c r="P50" s="266"/>
      <c r="R50" s="267">
        <f>Data!B175</f>
        <v>0</v>
      </c>
      <c r="S50" s="267"/>
      <c r="T50" s="267"/>
      <c r="U50" s="267"/>
      <c r="V50" s="267"/>
      <c r="W50" s="267"/>
      <c r="X50" s="267"/>
      <c r="Y50" s="267"/>
      <c r="Z50" s="267"/>
      <c r="AA50" s="267"/>
      <c r="AB50" s="267"/>
      <c r="AC50" s="267"/>
      <c r="AD50" s="267"/>
      <c r="AE50" s="267"/>
    </row>
    <row r="51" spans="1:31" x14ac:dyDescent="0.2">
      <c r="A51" t="s">
        <v>617</v>
      </c>
      <c r="R51" t="s">
        <v>369</v>
      </c>
    </row>
  </sheetData>
  <mergeCells count="11">
    <mergeCell ref="A15:AJ18"/>
    <mergeCell ref="P20:AJ21"/>
    <mergeCell ref="A44:P46"/>
    <mergeCell ref="R46:Y46"/>
    <mergeCell ref="A48:P50"/>
    <mergeCell ref="R50:AE50"/>
    <mergeCell ref="F2:U2"/>
    <mergeCell ref="Z2:AF2"/>
    <mergeCell ref="A4:AK6"/>
    <mergeCell ref="A8:AK9"/>
    <mergeCell ref="A11:AJ13"/>
  </mergeCells>
  <pageMargins left="0.25" right="0.25" top="0.75" bottom="0.75" header="0.3" footer="0.3"/>
  <pageSetup orientation="portrait" r:id="rId1"/>
  <headerFooter>
    <oddHeader>&amp;L&amp;G&amp;RRequired Supervision of Services</oddHeader>
    <oddFooter>&amp;LPS&amp;C3088 Mercer University Drive Suite 100 Atlanta, GA 30341
678-310-6305 Fax 404-935-6110&amp;RPP.M</oddFooter>
  </headerFooter>
  <legacyDrawingHF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rgb="FF7030A0"/>
  </sheetPr>
  <dimension ref="A1:AL51"/>
  <sheetViews>
    <sheetView showZeros="0" view="pageLayout" zoomScaleNormal="100" workbookViewId="0">
      <selection activeCell="AR20" sqref="AR20"/>
    </sheetView>
  </sheetViews>
  <sheetFormatPr defaultColWidth="2.7109375" defaultRowHeight="12.75" x14ac:dyDescent="0.2"/>
  <sheetData>
    <row r="1" spans="1:38" x14ac:dyDescent="0.2">
      <c r="A1" t="s">
        <v>336</v>
      </c>
      <c r="E1" s="233" t="str">
        <f>_xlfn.CONCAT(Data!B2,", ",Data!B3," ",Data!B4)</f>
        <v xml:space="preserve">,  </v>
      </c>
      <c r="F1" s="233"/>
      <c r="G1" s="233"/>
      <c r="H1" s="233"/>
      <c r="I1" s="233"/>
      <c r="J1" s="233"/>
      <c r="K1" s="233"/>
      <c r="L1" s="233"/>
      <c r="M1" s="233"/>
      <c r="N1" s="233"/>
      <c r="O1" s="233"/>
      <c r="P1" s="233"/>
      <c r="R1" t="s">
        <v>371</v>
      </c>
      <c r="T1" s="218">
        <f>Data!B14</f>
        <v>0</v>
      </c>
      <c r="U1" s="218"/>
      <c r="V1" s="218"/>
      <c r="W1" s="218"/>
      <c r="X1" s="218"/>
      <c r="Y1" s="218"/>
      <c r="Z1" t="s">
        <v>920</v>
      </c>
      <c r="AE1" s="233" t="str">
        <f>IF(Data!B179=TRUE,"Personal Care","")</f>
        <v/>
      </c>
      <c r="AF1" s="233"/>
      <c r="AG1" s="233"/>
      <c r="AH1" s="233"/>
      <c r="AI1" s="233"/>
      <c r="AJ1" s="233"/>
      <c r="AK1" s="233"/>
      <c r="AL1" s="233"/>
    </row>
    <row r="2" spans="1:38" x14ac:dyDescent="0.2">
      <c r="A2" t="s">
        <v>343</v>
      </c>
      <c r="D2" s="233" t="str">
        <f>_xlfn.CONCAT(Data!B5," ",IF(Data!B6="","","Apt"&amp;Data!B6)," ",Data!B7,", ",Data!B8," ",Data!B9)</f>
        <v xml:space="preserve">  ,  </v>
      </c>
      <c r="E2" s="233"/>
      <c r="F2" s="233"/>
      <c r="G2" s="233"/>
      <c r="H2" s="233"/>
      <c r="I2" s="233"/>
      <c r="J2" s="233"/>
      <c r="K2" s="233"/>
      <c r="L2" s="233"/>
      <c r="M2" s="233"/>
      <c r="N2" s="233"/>
      <c r="O2" s="233"/>
      <c r="P2" s="233"/>
      <c r="Q2" s="233"/>
      <c r="R2" s="233"/>
      <c r="S2" s="233"/>
      <c r="T2" s="233"/>
      <c r="U2" s="233"/>
      <c r="V2" s="233"/>
      <c r="W2" s="233"/>
      <c r="X2" s="233"/>
      <c r="Y2" s="233"/>
      <c r="Z2" s="233"/>
      <c r="AA2" s="233"/>
      <c r="AB2" s="233"/>
      <c r="AC2" s="233"/>
      <c r="AE2" s="233" t="str">
        <f>IF(Data!B180=TRUE,"Companion Care","")</f>
        <v/>
      </c>
      <c r="AF2" s="233"/>
      <c r="AG2" s="233"/>
      <c r="AH2" s="233"/>
      <c r="AI2" s="233"/>
      <c r="AJ2" s="233"/>
      <c r="AK2" s="233"/>
      <c r="AL2" s="233"/>
    </row>
    <row r="3" spans="1:38" x14ac:dyDescent="0.2">
      <c r="A3" t="s">
        <v>668</v>
      </c>
      <c r="D3" s="233">
        <f>Data!B10</f>
        <v>0</v>
      </c>
      <c r="E3" s="233"/>
      <c r="F3" s="233"/>
      <c r="G3" s="233"/>
      <c r="H3" s="233"/>
      <c r="I3" s="233"/>
      <c r="J3" s="233"/>
      <c r="K3" t="s">
        <v>669</v>
      </c>
      <c r="P3" s="472" t="str">
        <f>IF(Data!B11&lt;&gt;"",TEXT(Data!B11,"(###) ###-####"),"No home phone.")</f>
        <v>No home phone.</v>
      </c>
      <c r="Q3" s="472"/>
      <c r="R3" s="472"/>
      <c r="S3" s="472"/>
      <c r="T3" s="472"/>
      <c r="U3" s="472"/>
      <c r="V3" s="472"/>
      <c r="X3" t="s">
        <v>670</v>
      </c>
      <c r="AC3" s="472" t="str">
        <f>IF(Data!B12&lt;&gt;"",TEXT(Data!B12,"(###) ###-####"),"No cell phone.")</f>
        <v>No cell phone.</v>
      </c>
      <c r="AD3" s="472"/>
      <c r="AE3" s="472"/>
      <c r="AF3" s="472"/>
      <c r="AG3" s="472"/>
      <c r="AH3" s="472"/>
      <c r="AI3" s="472"/>
    </row>
    <row r="4" spans="1:38" x14ac:dyDescent="0.2">
      <c r="A4" t="s">
        <v>921</v>
      </c>
      <c r="F4" s="233" t="str">
        <f>IF(Data!B13="","N/A",Data!B13)</f>
        <v>N/A</v>
      </c>
      <c r="G4" s="233"/>
      <c r="H4" s="233"/>
      <c r="I4" s="233"/>
      <c r="J4" s="233"/>
      <c r="K4" s="233"/>
      <c r="L4" s="233"/>
      <c r="M4" s="233"/>
      <c r="N4" s="233"/>
      <c r="O4" s="233"/>
      <c r="P4" s="233"/>
      <c r="Q4" s="233"/>
      <c r="R4" s="233"/>
      <c r="S4" s="233"/>
      <c r="T4" s="233"/>
      <c r="U4" s="233"/>
      <c r="W4" t="s">
        <v>1254</v>
      </c>
      <c r="Z4" s="233">
        <f>Data!B174</f>
        <v>0</v>
      </c>
      <c r="AA4" s="233"/>
      <c r="AB4" s="233"/>
      <c r="AC4" s="233"/>
      <c r="AD4" s="233"/>
      <c r="AE4" s="233"/>
      <c r="AF4" s="233"/>
      <c r="AG4" s="233"/>
      <c r="AH4" s="233"/>
      <c r="AI4" s="233"/>
      <c r="AJ4" s="233"/>
    </row>
    <row r="6" spans="1:38" x14ac:dyDescent="0.2">
      <c r="A6" t="s">
        <v>922</v>
      </c>
      <c r="F6" s="218">
        <f>Data!B30</f>
        <v>0</v>
      </c>
      <c r="G6" s="219"/>
      <c r="H6" s="219"/>
      <c r="I6" s="219"/>
      <c r="J6" s="219"/>
      <c r="L6" t="s">
        <v>924</v>
      </c>
      <c r="Q6" s="480">
        <f>Data!B32</f>
        <v>0</v>
      </c>
      <c r="R6" s="481"/>
      <c r="S6" s="481"/>
      <c r="T6" s="481"/>
      <c r="U6" s="481"/>
      <c r="W6" t="s">
        <v>582</v>
      </c>
      <c r="AB6" s="218">
        <f>Data!B33</f>
        <v>0</v>
      </c>
      <c r="AC6" s="219"/>
      <c r="AD6" s="219"/>
      <c r="AE6" s="219"/>
      <c r="AF6" s="219"/>
    </row>
    <row r="7" spans="1:38" x14ac:dyDescent="0.2">
      <c r="A7" t="s">
        <v>923</v>
      </c>
      <c r="F7" s="219">
        <f>Data!B31</f>
        <v>0</v>
      </c>
      <c r="G7" s="219"/>
      <c r="H7" s="219"/>
      <c r="I7" s="219"/>
      <c r="J7" s="219"/>
      <c r="K7" s="219"/>
      <c r="L7" s="219"/>
      <c r="M7" s="219"/>
      <c r="N7" s="219"/>
      <c r="O7" s="219"/>
      <c r="P7" s="219"/>
      <c r="Q7" s="219"/>
      <c r="R7" s="219"/>
      <c r="S7" s="219"/>
      <c r="T7" s="219"/>
      <c r="U7" s="219"/>
      <c r="W7" t="s">
        <v>925</v>
      </c>
      <c r="AF7" s="218">
        <f>Data!B35</f>
        <v>0</v>
      </c>
      <c r="AG7" s="219"/>
      <c r="AH7" s="219"/>
      <c r="AI7" s="219"/>
      <c r="AJ7" s="219"/>
    </row>
    <row r="9" spans="1:38" x14ac:dyDescent="0.2">
      <c r="A9" t="s">
        <v>926</v>
      </c>
    </row>
    <row r="10" spans="1:38" x14ac:dyDescent="0.2">
      <c r="A10" s="255">
        <f>Data!B177</f>
        <v>0</v>
      </c>
      <c r="B10" s="255"/>
      <c r="C10" s="255"/>
      <c r="D10" s="255"/>
      <c r="E10" s="255"/>
      <c r="F10" s="255"/>
      <c r="G10" s="255"/>
      <c r="H10" s="255"/>
      <c r="I10" s="255"/>
      <c r="J10" s="255"/>
      <c r="K10" s="255"/>
      <c r="L10" s="255"/>
      <c r="M10" s="255"/>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c r="AL10" s="255"/>
    </row>
    <row r="11" spans="1:38" x14ac:dyDescent="0.2">
      <c r="A11" s="255"/>
      <c r="B11" s="255"/>
      <c r="C11" s="255"/>
      <c r="D11" s="255"/>
      <c r="E11" s="255"/>
      <c r="F11" s="255"/>
      <c r="G11" s="255"/>
      <c r="H11" s="255"/>
      <c r="I11" s="255"/>
      <c r="J11" s="255"/>
      <c r="K11" s="255"/>
      <c r="L11" s="255"/>
      <c r="M11" s="255"/>
      <c r="N11" s="255"/>
      <c r="O11" s="255"/>
      <c r="P11" s="255"/>
      <c r="Q11" s="255"/>
      <c r="R11" s="255"/>
      <c r="S11" s="255"/>
      <c r="T11" s="255"/>
      <c r="U11" s="255"/>
      <c r="V11" s="255"/>
      <c r="W11" s="255"/>
      <c r="X11" s="255"/>
      <c r="Y11" s="255"/>
      <c r="Z11" s="255"/>
      <c r="AA11" s="255"/>
      <c r="AB11" s="255"/>
      <c r="AC11" s="255"/>
      <c r="AD11" s="255"/>
      <c r="AE11" s="255"/>
      <c r="AF11" s="255"/>
      <c r="AG11" s="255"/>
      <c r="AH11" s="255"/>
      <c r="AI11" s="255"/>
      <c r="AJ11" s="255"/>
      <c r="AK11" s="255"/>
      <c r="AL11" s="255"/>
    </row>
    <row r="12" spans="1:38" x14ac:dyDescent="0.2">
      <c r="A12" s="340" t="s">
        <v>927</v>
      </c>
      <c r="B12" s="340"/>
      <c r="C12" s="340"/>
      <c r="D12" s="340"/>
      <c r="E12" s="340"/>
      <c r="F12" s="340"/>
      <c r="G12" s="340"/>
      <c r="H12" s="340"/>
      <c r="I12" s="340"/>
      <c r="J12" s="340"/>
      <c r="K12" s="340"/>
      <c r="L12" s="340"/>
      <c r="M12" s="340"/>
      <c r="N12" s="340"/>
      <c r="O12" s="340"/>
      <c r="P12" s="340"/>
      <c r="Q12" s="340"/>
      <c r="R12" s="340"/>
      <c r="S12" s="340"/>
      <c r="T12" s="340"/>
      <c r="U12" s="340"/>
      <c r="V12" s="340"/>
      <c r="W12" s="340"/>
      <c r="X12" s="340"/>
      <c r="Y12" s="340"/>
      <c r="Z12" s="340"/>
      <c r="AA12" s="340"/>
      <c r="AB12" s="340"/>
      <c r="AC12" s="340"/>
      <c r="AD12" s="340"/>
      <c r="AE12" s="340"/>
      <c r="AF12" s="340"/>
      <c r="AG12" s="340"/>
      <c r="AH12" s="340"/>
      <c r="AI12" s="340"/>
      <c r="AJ12" s="340"/>
      <c r="AK12" s="340"/>
      <c r="AL12" s="340"/>
    </row>
    <row r="13" spans="1:38" x14ac:dyDescent="0.2">
      <c r="A13" t="s">
        <v>928</v>
      </c>
      <c r="G13" s="233">
        <f>Data!B110</f>
        <v>0</v>
      </c>
      <c r="H13" s="233"/>
      <c r="I13" s="233"/>
      <c r="J13" s="233"/>
      <c r="K13" s="233"/>
      <c r="L13" s="233"/>
      <c r="M13" t="s">
        <v>342</v>
      </c>
      <c r="N13" s="4"/>
      <c r="P13" s="233">
        <f>IF(Data!B110="Self","Same as client",Data!B111)</f>
        <v>0</v>
      </c>
      <c r="Q13" s="233"/>
      <c r="R13" s="233"/>
      <c r="S13" s="233"/>
      <c r="T13" s="233"/>
      <c r="U13" s="233"/>
      <c r="V13" s="233"/>
      <c r="W13" s="233"/>
      <c r="X13" s="4"/>
      <c r="Y13" t="s">
        <v>929</v>
      </c>
      <c r="Z13" s="4"/>
      <c r="AA13" s="4"/>
      <c r="AE13" s="233" t="str">
        <f>IF(Data!B115=TRUE,"Check","Credit Card")</f>
        <v>Credit Card</v>
      </c>
      <c r="AF13" s="233"/>
      <c r="AG13" s="233"/>
      <c r="AH13" s="233"/>
      <c r="AI13" s="233"/>
      <c r="AJ13" s="233"/>
      <c r="AK13" s="233"/>
    </row>
    <row r="14" spans="1:38" x14ac:dyDescent="0.2">
      <c r="A14" t="s">
        <v>343</v>
      </c>
      <c r="D14" s="219">
        <f>IF(Data!B110="Self",D2,Data!B112)</f>
        <v>0</v>
      </c>
      <c r="E14" s="219"/>
      <c r="F14" s="219"/>
      <c r="G14" s="219"/>
      <c r="H14" s="219"/>
      <c r="I14" s="219"/>
      <c r="J14" s="219"/>
      <c r="K14" s="219"/>
      <c r="L14" s="219"/>
      <c r="M14" s="219"/>
      <c r="N14" s="219"/>
      <c r="O14" s="219"/>
      <c r="P14" s="219"/>
      <c r="Q14" s="219"/>
      <c r="R14" s="219"/>
      <c r="S14" s="219"/>
      <c r="T14" s="219"/>
      <c r="U14" s="219"/>
      <c r="V14" s="219"/>
      <c r="W14" s="219"/>
      <c r="Y14" t="s">
        <v>348</v>
      </c>
      <c r="AB14" s="298">
        <f>IF(Data!B110="Self","Same as client",Data!B113)</f>
        <v>0</v>
      </c>
      <c r="AC14" s="298"/>
      <c r="AD14" s="298"/>
      <c r="AE14" s="298"/>
      <c r="AF14" s="298"/>
      <c r="AG14" s="298"/>
      <c r="AH14" s="298"/>
      <c r="AI14" s="298"/>
    </row>
    <row r="15" spans="1:38" x14ac:dyDescent="0.2">
      <c r="A15" t="s">
        <v>715</v>
      </c>
      <c r="C15" s="233">
        <f>IF(Data!B110="Self","Same as client",Data!B114)</f>
        <v>0</v>
      </c>
      <c r="D15" s="233"/>
      <c r="E15" s="233"/>
      <c r="F15" s="233"/>
      <c r="G15" s="233"/>
      <c r="H15" s="233"/>
      <c r="I15" s="233"/>
      <c r="J15" s="233"/>
      <c r="K15" s="233"/>
      <c r="L15" s="233"/>
      <c r="M15" s="233"/>
      <c r="N15" s="233"/>
      <c r="O15" s="233"/>
      <c r="P15" s="233"/>
      <c r="Q15" t="s">
        <v>930</v>
      </c>
      <c r="V15" s="233" t="str">
        <f>IF(Data!B117="","N/A",Data!B117)</f>
        <v>N/A</v>
      </c>
      <c r="W15" s="233"/>
      <c r="X15" s="233"/>
      <c r="Y15" s="233"/>
      <c r="Z15" s="233"/>
      <c r="AA15" s="233"/>
      <c r="AB15" s="233"/>
      <c r="AC15" s="233"/>
      <c r="AD15" s="233"/>
      <c r="AE15" s="233"/>
      <c r="AF15" s="233"/>
      <c r="AG15" s="233"/>
      <c r="AH15" s="233"/>
      <c r="AI15" s="233"/>
      <c r="AJ15" s="233"/>
      <c r="AK15" s="233"/>
      <c r="AL15" s="233"/>
    </row>
    <row r="16" spans="1:38" x14ac:dyDescent="0.2">
      <c r="A16" s="340" t="s">
        <v>931</v>
      </c>
      <c r="B16" s="340"/>
      <c r="C16" s="340"/>
      <c r="D16" s="340"/>
      <c r="E16" s="340"/>
      <c r="F16" s="340"/>
      <c r="G16" s="340"/>
      <c r="H16" s="340"/>
      <c r="I16" s="340"/>
      <c r="J16" s="340"/>
      <c r="K16" s="340"/>
      <c r="L16" s="340"/>
      <c r="M16" s="340"/>
      <c r="N16" s="340"/>
      <c r="O16" s="340"/>
      <c r="P16" s="340"/>
      <c r="Q16" s="340"/>
      <c r="R16" s="340"/>
      <c r="S16" s="340"/>
      <c r="T16" s="340"/>
      <c r="U16" s="340"/>
      <c r="V16" s="340"/>
      <c r="W16" s="340"/>
      <c r="X16" s="340"/>
      <c r="Y16" s="340"/>
      <c r="Z16" s="340"/>
      <c r="AA16" s="340"/>
      <c r="AB16" s="340"/>
      <c r="AC16" s="340"/>
      <c r="AD16" s="340"/>
      <c r="AE16" s="340"/>
      <c r="AF16" s="340"/>
      <c r="AG16" s="340"/>
      <c r="AH16" s="340"/>
      <c r="AI16" s="340"/>
      <c r="AJ16" s="340"/>
      <c r="AK16" s="340"/>
      <c r="AL16" s="340"/>
    </row>
    <row r="17" spans="1:38" x14ac:dyDescent="0.2">
      <c r="A17" s="344" t="s">
        <v>934</v>
      </c>
      <c r="B17" s="344"/>
      <c r="C17" s="344"/>
      <c r="D17" s="344"/>
      <c r="E17" s="344"/>
      <c r="F17" s="344"/>
      <c r="G17" s="344"/>
      <c r="H17" s="344"/>
      <c r="I17" s="344"/>
      <c r="J17" s="344"/>
      <c r="K17" s="344"/>
      <c r="L17" s="344"/>
      <c r="M17" s="344"/>
      <c r="N17" s="344"/>
      <c r="O17" s="344"/>
      <c r="P17" s="344"/>
      <c r="Q17" s="344"/>
      <c r="R17" s="344"/>
      <c r="S17" s="344"/>
      <c r="T17" s="344"/>
      <c r="U17" s="344"/>
      <c r="V17" s="8"/>
      <c r="W17" s="16" t="s">
        <v>938</v>
      </c>
      <c r="X17" s="8"/>
      <c r="Y17" s="8"/>
      <c r="Z17" s="8"/>
      <c r="AA17" s="300" t="str">
        <f>schtest!C36&amp;" days per week"</f>
        <v>0 days per week</v>
      </c>
      <c r="AB17" s="300"/>
      <c r="AC17" s="300"/>
      <c r="AD17" s="300"/>
      <c r="AE17" s="300"/>
      <c r="AF17" s="300"/>
      <c r="AG17" s="8"/>
      <c r="AH17" s="8"/>
      <c r="AI17" s="8"/>
      <c r="AJ17" s="8"/>
      <c r="AK17" s="8"/>
      <c r="AL17" s="8"/>
    </row>
    <row r="18" spans="1:38" x14ac:dyDescent="0.2">
      <c r="A18" s="344" t="s">
        <v>630</v>
      </c>
      <c r="B18" s="344"/>
      <c r="C18" s="344"/>
      <c r="D18" s="344" t="s">
        <v>624</v>
      </c>
      <c r="E18" s="344"/>
      <c r="F18" s="344"/>
      <c r="G18" s="344" t="s">
        <v>932</v>
      </c>
      <c r="H18" s="344"/>
      <c r="I18" s="344"/>
      <c r="J18" s="344" t="s">
        <v>626</v>
      </c>
      <c r="K18" s="344"/>
      <c r="L18" s="344"/>
      <c r="M18" s="344" t="s">
        <v>933</v>
      </c>
      <c r="N18" s="344"/>
      <c r="O18" s="344"/>
      <c r="P18" s="344" t="s">
        <v>628</v>
      </c>
      <c r="Q18" s="344"/>
      <c r="R18" s="344"/>
      <c r="S18" s="344" t="s">
        <v>629</v>
      </c>
      <c r="T18" s="344"/>
      <c r="U18" s="344"/>
      <c r="W18" s="16" t="s">
        <v>935</v>
      </c>
      <c r="Z18" s="4" t="s">
        <v>939</v>
      </c>
    </row>
    <row r="19" spans="1:38" x14ac:dyDescent="0.2">
      <c r="A19" s="353" t="str">
        <f>_xlfn.CONCAT(Data!B367,IF(Data!B381="","",", "&amp;Data!B381),IF(Data!B395="","",", "&amp;Data!B395))</f>
        <v/>
      </c>
      <c r="B19" s="353"/>
      <c r="C19" s="353"/>
      <c r="D19" s="353" t="str">
        <f>_xlfn.CONCAT(Data!B369,IF(Data!B383="","",", "&amp;Data!B383),IF(Data!B397="","",", "&amp;Data!B397))</f>
        <v/>
      </c>
      <c r="E19" s="353"/>
      <c r="F19" s="353"/>
      <c r="G19" s="353" t="str">
        <f>_xlfn.CONCAT(Data!B371,IF(Data!B385="","",", "&amp;Data!B385),IF(Data!B399="","",", "&amp;Data!B399))</f>
        <v/>
      </c>
      <c r="H19" s="353"/>
      <c r="I19" s="353"/>
      <c r="J19" s="353" t="str">
        <f>_xlfn.CONCAT(Data!B373,IF(Data!B387="","",", "&amp;Data!B387),IF(Data!B401="","",", "&amp;Data!B401))</f>
        <v/>
      </c>
      <c r="K19" s="353"/>
      <c r="L19" s="353"/>
      <c r="M19" s="353" t="str">
        <f>_xlfn.CONCAT(Data!B375,IF(Data!B389="","",", "&amp;Data!B389),IF(Data!B403="","",", "&amp;Data!B403))</f>
        <v/>
      </c>
      <c r="N19" s="353"/>
      <c r="O19" s="353"/>
      <c r="P19" s="353" t="str">
        <f>_xlfn.CONCAT(Data!B377,IF(Data!B391="","",", "&amp;Data!B391),IF(Data!B405="","",", "&amp;Data!B405))</f>
        <v/>
      </c>
      <c r="Q19" s="353"/>
      <c r="R19" s="353"/>
      <c r="S19" s="353" t="str">
        <f>_xlfn.CONCAT(Data!B379,IF(Data!B393="","",", "&amp;Data!B393),IF(Data!B407="","",", "&amp;Data!B407))</f>
        <v/>
      </c>
      <c r="T19" s="353"/>
      <c r="U19" s="353"/>
      <c r="W19" s="16" t="s">
        <v>936</v>
      </c>
      <c r="Z19" s="4" t="s">
        <v>939</v>
      </c>
    </row>
    <row r="20" spans="1:38" x14ac:dyDescent="0.2">
      <c r="A20" s="353"/>
      <c r="B20" s="353"/>
      <c r="C20" s="353"/>
      <c r="D20" s="353"/>
      <c r="E20" s="353"/>
      <c r="F20" s="353"/>
      <c r="G20" s="353"/>
      <c r="H20" s="353"/>
      <c r="I20" s="353"/>
      <c r="J20" s="353"/>
      <c r="K20" s="353"/>
      <c r="L20" s="353"/>
      <c r="M20" s="353"/>
      <c r="N20" s="353"/>
      <c r="O20" s="353"/>
      <c r="P20" s="353"/>
      <c r="Q20" s="353"/>
      <c r="R20" s="353"/>
      <c r="S20" s="353"/>
      <c r="T20" s="353"/>
      <c r="U20" s="353"/>
      <c r="W20" s="16" t="s">
        <v>937</v>
      </c>
      <c r="AD20" s="474">
        <f>Data!G407</f>
        <v>0</v>
      </c>
      <c r="AE20" s="219"/>
      <c r="AF20" s="219"/>
      <c r="AG20" s="219"/>
      <c r="AH20" s="219"/>
    </row>
    <row r="21" spans="1:38" x14ac:dyDescent="0.2">
      <c r="A21" s="353"/>
      <c r="B21" s="353"/>
      <c r="C21" s="353"/>
      <c r="D21" s="353"/>
      <c r="E21" s="353"/>
      <c r="F21" s="353"/>
      <c r="G21" s="353"/>
      <c r="H21" s="353"/>
      <c r="I21" s="353"/>
      <c r="J21" s="353"/>
      <c r="K21" s="353"/>
      <c r="L21" s="353"/>
      <c r="M21" s="353"/>
      <c r="N21" s="353"/>
      <c r="O21" s="353"/>
      <c r="P21" s="353"/>
      <c r="Q21" s="353"/>
      <c r="R21" s="353"/>
      <c r="S21" s="353"/>
      <c r="T21" s="353"/>
      <c r="U21" s="353"/>
      <c r="W21" s="16" t="s">
        <v>941</v>
      </c>
      <c r="AD21" s="486">
        <f>schtest!AV19</f>
        <v>0</v>
      </c>
      <c r="AE21" s="486"/>
      <c r="AF21" s="486"/>
      <c r="AG21" s="486"/>
      <c r="AH21" s="486"/>
      <c r="AI21" s="486"/>
    </row>
    <row r="22" spans="1:38" x14ac:dyDescent="0.2">
      <c r="N22" s="487"/>
      <c r="O22" s="488"/>
      <c r="P22" s="488"/>
      <c r="Q22" s="488"/>
      <c r="R22" s="488"/>
    </row>
    <row r="23" spans="1:38" x14ac:dyDescent="0.2">
      <c r="A23" t="s">
        <v>2951</v>
      </c>
      <c r="K23" s="489">
        <f>Data!B107</f>
        <v>0</v>
      </c>
      <c r="L23" s="233"/>
      <c r="M23" s="233"/>
      <c r="N23" s="233"/>
      <c r="O23" s="233"/>
      <c r="P23" s="4"/>
      <c r="Q23" s="4"/>
      <c r="R23" s="4"/>
      <c r="U23" t="s">
        <v>2947</v>
      </c>
      <c r="AG23" s="476">
        <f>Data!G104</f>
        <v>0</v>
      </c>
      <c r="AH23" s="476"/>
      <c r="AI23" s="476"/>
      <c r="AJ23" s="476"/>
      <c r="AK23" s="476"/>
    </row>
    <row r="24" spans="1:38" x14ac:dyDescent="0.2">
      <c r="A24" t="s">
        <v>2946</v>
      </c>
      <c r="J24" s="128"/>
      <c r="K24" s="489">
        <f>Data!B106</f>
        <v>0</v>
      </c>
      <c r="L24" s="233"/>
      <c r="M24" s="233"/>
      <c r="N24" s="233"/>
      <c r="O24" s="233"/>
      <c r="U24" t="s">
        <v>2948</v>
      </c>
      <c r="AG24" s="476">
        <f>Data!G105</f>
        <v>0</v>
      </c>
      <c r="AH24" s="476"/>
      <c r="AI24" s="476"/>
      <c r="AJ24" s="476"/>
      <c r="AK24" s="476"/>
    </row>
    <row r="25" spans="1:38" x14ac:dyDescent="0.2">
      <c r="A25" t="s">
        <v>2950</v>
      </c>
      <c r="I25" s="129"/>
      <c r="J25" s="129"/>
      <c r="K25" s="483">
        <f>Data!B108</f>
        <v>0</v>
      </c>
      <c r="L25" s="476"/>
      <c r="M25" s="476"/>
      <c r="N25" s="476"/>
      <c r="O25" s="476"/>
      <c r="U25" t="s">
        <v>2955</v>
      </c>
      <c r="AG25" s="483">
        <f>Data!B105</f>
        <v>0</v>
      </c>
      <c r="AH25" s="476"/>
      <c r="AI25" s="476"/>
      <c r="AJ25" s="476"/>
      <c r="AK25" s="476"/>
    </row>
    <row r="26" spans="1:38" x14ac:dyDescent="0.2">
      <c r="I26" s="484"/>
      <c r="J26" s="233"/>
      <c r="K26" s="233"/>
      <c r="L26" s="233"/>
      <c r="M26" s="233"/>
    </row>
    <row r="27" spans="1:38" x14ac:dyDescent="0.2">
      <c r="A27" s="460" t="s">
        <v>946</v>
      </c>
      <c r="B27" s="460"/>
      <c r="C27" s="460"/>
      <c r="D27" s="460"/>
      <c r="E27" s="460"/>
      <c r="F27" s="460"/>
      <c r="G27" s="460"/>
      <c r="H27" s="460"/>
      <c r="I27" s="460"/>
      <c r="J27" s="460"/>
      <c r="K27" s="460"/>
      <c r="L27" s="460"/>
      <c r="M27" s="460"/>
      <c r="N27" s="460"/>
      <c r="O27" s="460"/>
      <c r="P27" s="460"/>
      <c r="Q27" s="460"/>
      <c r="R27" s="460"/>
      <c r="S27" s="460"/>
      <c r="T27" s="460"/>
      <c r="U27" s="460"/>
      <c r="V27" s="460"/>
      <c r="W27" s="460"/>
      <c r="X27" s="460"/>
      <c r="Y27" s="460"/>
      <c r="Z27" s="460"/>
      <c r="AA27" s="460"/>
      <c r="AB27" s="460"/>
      <c r="AC27" s="460"/>
      <c r="AD27" s="460"/>
      <c r="AE27" s="460"/>
      <c r="AF27" s="460"/>
      <c r="AG27" s="460"/>
      <c r="AH27" s="460"/>
      <c r="AI27" s="460"/>
      <c r="AJ27" s="460"/>
      <c r="AK27" s="460"/>
      <c r="AL27" s="460"/>
    </row>
    <row r="28" spans="1:38" x14ac:dyDescent="0.2">
      <c r="A28" s="460"/>
      <c r="B28" s="460"/>
      <c r="C28" s="460"/>
      <c r="D28" s="460"/>
      <c r="E28" s="460"/>
      <c r="F28" s="460"/>
      <c r="G28" s="460"/>
      <c r="H28" s="460"/>
      <c r="I28" s="460"/>
      <c r="J28" s="460"/>
      <c r="K28" s="460"/>
      <c r="L28" s="460"/>
      <c r="M28" s="460"/>
      <c r="N28" s="460"/>
      <c r="O28" s="460"/>
      <c r="P28" s="460"/>
      <c r="Q28" s="460"/>
      <c r="R28" s="460"/>
      <c r="S28" s="460"/>
      <c r="T28" s="460"/>
      <c r="U28" s="460"/>
      <c r="V28" s="460"/>
      <c r="W28" s="460"/>
      <c r="X28" s="460"/>
      <c r="Y28" s="460"/>
      <c r="Z28" s="460"/>
      <c r="AA28" s="460"/>
      <c r="AB28" s="460"/>
      <c r="AC28" s="460"/>
      <c r="AD28" s="460"/>
      <c r="AE28" s="460"/>
      <c r="AF28" s="460"/>
      <c r="AG28" s="460"/>
      <c r="AH28" s="460"/>
      <c r="AI28" s="460"/>
      <c r="AJ28" s="460"/>
      <c r="AK28" s="460"/>
      <c r="AL28" s="460"/>
    </row>
    <row r="30" spans="1:38" x14ac:dyDescent="0.2">
      <c r="A30" s="260" t="s">
        <v>942</v>
      </c>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c r="AE30" s="260"/>
      <c r="AF30" s="260"/>
      <c r="AG30" s="260"/>
      <c r="AH30" s="260"/>
      <c r="AI30" s="260"/>
      <c r="AJ30" s="260"/>
      <c r="AK30" s="260"/>
      <c r="AL30" s="260"/>
    </row>
    <row r="31" spans="1:38" x14ac:dyDescent="0.2">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c r="AE31" s="260"/>
      <c r="AF31" s="260"/>
      <c r="AG31" s="260"/>
      <c r="AH31" s="260"/>
      <c r="AI31" s="260"/>
      <c r="AJ31" s="260"/>
      <c r="AK31" s="260"/>
      <c r="AL31" s="260"/>
    </row>
    <row r="32" spans="1:38" ht="9.75" customHeight="1" x14ac:dyDescent="0.2">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c r="AE32" s="260"/>
      <c r="AF32" s="260"/>
      <c r="AG32" s="260"/>
      <c r="AH32" s="260"/>
      <c r="AI32" s="260"/>
      <c r="AJ32" s="260"/>
      <c r="AK32" s="260"/>
      <c r="AL32" s="260"/>
    </row>
    <row r="34" spans="1:38" x14ac:dyDescent="0.2">
      <c r="A34" s="485" t="s">
        <v>947</v>
      </c>
      <c r="B34" s="485"/>
      <c r="C34" s="485"/>
      <c r="D34" s="485"/>
      <c r="E34" s="485"/>
      <c r="F34" s="485"/>
      <c r="G34" s="485"/>
      <c r="H34" s="485"/>
      <c r="I34" s="485"/>
      <c r="J34" s="485"/>
      <c r="K34" s="485"/>
      <c r="L34" s="485"/>
      <c r="M34" s="485"/>
      <c r="N34" s="485"/>
      <c r="O34" s="485"/>
      <c r="P34" s="485"/>
      <c r="Q34" s="485"/>
      <c r="R34" s="485"/>
      <c r="S34" s="485"/>
      <c r="T34" s="485"/>
      <c r="U34" s="485"/>
      <c r="V34" s="485"/>
      <c r="W34" s="485"/>
      <c r="X34" s="485"/>
      <c r="Y34" s="485"/>
      <c r="Z34" s="485"/>
      <c r="AA34" s="485"/>
      <c r="AB34" s="485"/>
      <c r="AC34" s="485"/>
      <c r="AD34" s="485"/>
      <c r="AE34" s="485"/>
      <c r="AF34" s="485"/>
      <c r="AG34" s="485"/>
      <c r="AH34" s="485"/>
      <c r="AI34" s="485"/>
      <c r="AJ34" s="485"/>
      <c r="AK34" s="485"/>
      <c r="AL34" s="485"/>
    </row>
    <row r="35" spans="1:38" ht="18" customHeight="1" x14ac:dyDescent="0.2">
      <c r="A35" s="485"/>
      <c r="B35" s="485"/>
      <c r="C35" s="485"/>
      <c r="D35" s="485"/>
      <c r="E35" s="485"/>
      <c r="F35" s="485"/>
      <c r="G35" s="485"/>
      <c r="H35" s="485"/>
      <c r="I35" s="485"/>
      <c r="J35" s="485"/>
      <c r="K35" s="485"/>
      <c r="L35" s="485"/>
      <c r="M35" s="485"/>
      <c r="N35" s="485"/>
      <c r="O35" s="485"/>
      <c r="P35" s="485"/>
      <c r="Q35" s="485"/>
      <c r="R35" s="485"/>
      <c r="S35" s="485"/>
      <c r="T35" s="485"/>
      <c r="U35" s="485"/>
      <c r="V35" s="485"/>
      <c r="W35" s="485"/>
      <c r="X35" s="485"/>
      <c r="Y35" s="485"/>
      <c r="Z35" s="485"/>
      <c r="AA35" s="485"/>
      <c r="AB35" s="485"/>
      <c r="AC35" s="485"/>
      <c r="AD35" s="485"/>
      <c r="AE35" s="485"/>
      <c r="AF35" s="485"/>
      <c r="AG35" s="485"/>
      <c r="AH35" s="485"/>
      <c r="AI35" s="485"/>
      <c r="AJ35" s="485"/>
      <c r="AK35" s="485"/>
      <c r="AL35" s="485"/>
    </row>
    <row r="37" spans="1:38" x14ac:dyDescent="0.2">
      <c r="A37" s="482" t="s">
        <v>945</v>
      </c>
      <c r="B37" s="482"/>
      <c r="C37" s="482"/>
      <c r="D37" s="482"/>
      <c r="E37" s="482"/>
      <c r="F37" s="482"/>
      <c r="G37" s="482"/>
      <c r="H37" s="482"/>
      <c r="I37" s="482"/>
      <c r="J37" s="482"/>
      <c r="K37" s="482"/>
      <c r="L37" s="482"/>
      <c r="M37" s="482"/>
      <c r="N37" s="482"/>
      <c r="O37" s="482"/>
      <c r="P37" s="482"/>
      <c r="Q37" s="482"/>
      <c r="R37" s="482"/>
      <c r="S37" s="482"/>
      <c r="T37" s="482"/>
      <c r="U37" s="482"/>
      <c r="V37" s="482"/>
      <c r="W37" s="482"/>
      <c r="X37" s="482"/>
      <c r="Y37" s="482"/>
      <c r="Z37" s="482"/>
      <c r="AA37" s="482"/>
      <c r="AB37" s="482"/>
      <c r="AC37" s="482"/>
      <c r="AD37" s="482"/>
      <c r="AE37" s="482"/>
      <c r="AF37" s="482"/>
      <c r="AG37" s="482"/>
      <c r="AH37" s="482"/>
      <c r="AI37" s="482"/>
      <c r="AJ37" s="482"/>
      <c r="AK37" s="482"/>
      <c r="AL37" s="482"/>
    </row>
    <row r="38" spans="1:38" x14ac:dyDescent="0.2">
      <c r="A38" s="482"/>
      <c r="B38" s="482"/>
      <c r="C38" s="482"/>
      <c r="D38" s="482"/>
      <c r="E38" s="482"/>
      <c r="F38" s="482"/>
      <c r="G38" s="482"/>
      <c r="H38" s="482"/>
      <c r="I38" s="482"/>
      <c r="J38" s="482"/>
      <c r="K38" s="482"/>
      <c r="L38" s="482"/>
      <c r="M38" s="482"/>
      <c r="N38" s="482"/>
      <c r="O38" s="482"/>
      <c r="P38" s="482"/>
      <c r="Q38" s="482"/>
      <c r="R38" s="482"/>
      <c r="S38" s="482"/>
      <c r="T38" s="482"/>
      <c r="U38" s="482"/>
      <c r="V38" s="482"/>
      <c r="W38" s="482"/>
      <c r="X38" s="482"/>
      <c r="Y38" s="482"/>
      <c r="Z38" s="482"/>
      <c r="AA38" s="482"/>
      <c r="AB38" s="482"/>
      <c r="AC38" s="482"/>
      <c r="AD38" s="482"/>
      <c r="AE38" s="482"/>
      <c r="AF38" s="482"/>
      <c r="AG38" s="482"/>
      <c r="AH38" s="482"/>
      <c r="AI38" s="482"/>
      <c r="AJ38" s="482"/>
      <c r="AK38" s="482"/>
      <c r="AL38" s="482"/>
    </row>
    <row r="39" spans="1:38" x14ac:dyDescent="0.2">
      <c r="A39" s="482"/>
      <c r="B39" s="482"/>
      <c r="C39" s="482"/>
      <c r="D39" s="482"/>
      <c r="E39" s="482"/>
      <c r="F39" s="482"/>
      <c r="G39" s="482"/>
      <c r="H39" s="482"/>
      <c r="I39" s="482"/>
      <c r="J39" s="482"/>
      <c r="K39" s="482"/>
      <c r="L39" s="482"/>
      <c r="M39" s="482"/>
      <c r="N39" s="482"/>
      <c r="O39" s="482"/>
      <c r="P39" s="482"/>
      <c r="Q39" s="482"/>
      <c r="R39" s="482"/>
      <c r="S39" s="482"/>
      <c r="T39" s="482"/>
      <c r="U39" s="482"/>
      <c r="V39" s="482"/>
      <c r="W39" s="482"/>
      <c r="X39" s="482"/>
      <c r="Y39" s="482"/>
      <c r="Z39" s="482"/>
      <c r="AA39" s="482"/>
      <c r="AB39" s="482"/>
      <c r="AC39" s="482"/>
      <c r="AD39" s="482"/>
      <c r="AE39" s="482"/>
      <c r="AF39" s="482"/>
      <c r="AG39" s="482"/>
      <c r="AH39" s="482"/>
      <c r="AI39" s="482"/>
      <c r="AJ39" s="482"/>
      <c r="AK39" s="482"/>
      <c r="AL39" s="482"/>
    </row>
    <row r="40" spans="1:38" x14ac:dyDescent="0.2">
      <c r="A40" s="482"/>
      <c r="B40" s="482"/>
      <c r="C40" s="482"/>
      <c r="D40" s="482"/>
      <c r="E40" s="482"/>
      <c r="F40" s="482"/>
      <c r="G40" s="482"/>
      <c r="H40" s="482"/>
      <c r="I40" s="482"/>
      <c r="J40" s="482"/>
      <c r="K40" s="482"/>
      <c r="L40" s="482"/>
      <c r="M40" s="482"/>
      <c r="N40" s="482"/>
      <c r="O40" s="482"/>
      <c r="P40" s="482"/>
      <c r="Q40" s="482"/>
      <c r="R40" s="482"/>
      <c r="S40" s="482"/>
      <c r="T40" s="482"/>
      <c r="U40" s="482"/>
      <c r="V40" s="482"/>
      <c r="W40" s="482"/>
      <c r="X40" s="482"/>
      <c r="Y40" s="482"/>
      <c r="Z40" s="482"/>
      <c r="AA40" s="482"/>
      <c r="AB40" s="482"/>
      <c r="AC40" s="482"/>
      <c r="AD40" s="482"/>
      <c r="AE40" s="482"/>
      <c r="AF40" s="482"/>
      <c r="AG40" s="482"/>
      <c r="AH40" s="482"/>
      <c r="AI40" s="482"/>
      <c r="AJ40" s="482"/>
      <c r="AK40" s="482"/>
      <c r="AL40" s="482"/>
    </row>
    <row r="45" spans="1:38" x14ac:dyDescent="0.2">
      <c r="A45" s="34"/>
      <c r="B45" s="34"/>
      <c r="C45" s="34"/>
      <c r="D45" s="34"/>
      <c r="E45" s="34"/>
      <c r="F45" s="34"/>
      <c r="G45" s="34"/>
      <c r="H45" s="34"/>
      <c r="I45" s="34"/>
      <c r="J45" s="34"/>
      <c r="K45" s="34"/>
      <c r="L45" s="34"/>
      <c r="M45" s="34"/>
      <c r="N45" s="34"/>
      <c r="O45" s="34"/>
      <c r="Q45" s="269">
        <f>Data!B34</f>
        <v>0</v>
      </c>
      <c r="R45" s="267"/>
      <c r="S45" s="267"/>
      <c r="T45" s="267"/>
      <c r="U45" s="267"/>
      <c r="V45" s="267"/>
      <c r="X45" s="34"/>
      <c r="Y45" s="34"/>
      <c r="Z45" s="34"/>
      <c r="AA45" s="34"/>
      <c r="AB45" s="34"/>
      <c r="AC45" s="34"/>
      <c r="AD45" s="34"/>
      <c r="AE45" s="34"/>
      <c r="AF45" s="34"/>
      <c r="AG45" s="34"/>
      <c r="AH45" s="34"/>
      <c r="AI45" s="34"/>
      <c r="AJ45" s="34"/>
      <c r="AK45" s="34"/>
      <c r="AL45" s="34"/>
    </row>
    <row r="46" spans="1:38" x14ac:dyDescent="0.2">
      <c r="A46" t="s">
        <v>944</v>
      </c>
      <c r="Q46" t="s">
        <v>368</v>
      </c>
      <c r="X46" t="s">
        <v>2959</v>
      </c>
    </row>
    <row r="50" spans="1:27" x14ac:dyDescent="0.2">
      <c r="A50" s="34"/>
      <c r="B50" s="34"/>
      <c r="C50" s="34"/>
      <c r="D50" s="34"/>
      <c r="E50" s="34"/>
      <c r="F50" s="34"/>
      <c r="G50" s="34"/>
      <c r="H50" s="34"/>
      <c r="I50" s="34"/>
      <c r="J50" s="34"/>
      <c r="K50" s="34"/>
      <c r="L50" s="34"/>
      <c r="M50" s="34"/>
      <c r="N50" s="34"/>
      <c r="O50" s="34"/>
      <c r="Q50" s="276">
        <f>Data!B175</f>
        <v>0</v>
      </c>
      <c r="R50" s="276"/>
      <c r="S50" s="276"/>
      <c r="T50" s="276"/>
      <c r="U50" s="276"/>
      <c r="V50" s="276"/>
      <c r="W50" s="276"/>
      <c r="X50" s="276"/>
      <c r="Y50" s="276"/>
      <c r="Z50" s="276"/>
      <c r="AA50" s="276"/>
    </row>
    <row r="51" spans="1:27" x14ac:dyDescent="0.2">
      <c r="A51" t="s">
        <v>2889</v>
      </c>
      <c r="Q51" t="s">
        <v>1465</v>
      </c>
    </row>
  </sheetData>
  <mergeCells count="57">
    <mergeCell ref="A30:AL32"/>
    <mergeCell ref="A37:AL40"/>
    <mergeCell ref="Q50:AA50"/>
    <mergeCell ref="Q45:V45"/>
    <mergeCell ref="A27:AL28"/>
    <mergeCell ref="A34:AL35"/>
    <mergeCell ref="AA17:AF17"/>
    <mergeCell ref="AD20:AH20"/>
    <mergeCell ref="AD21:AI21"/>
    <mergeCell ref="M18:O18"/>
    <mergeCell ref="P18:R18"/>
    <mergeCell ref="S18:U18"/>
    <mergeCell ref="P19:R21"/>
    <mergeCell ref="S19:U21"/>
    <mergeCell ref="A19:C21"/>
    <mergeCell ref="D19:F21"/>
    <mergeCell ref="G19:I21"/>
    <mergeCell ref="J19:L21"/>
    <mergeCell ref="M19:O21"/>
    <mergeCell ref="AB14:AI14"/>
    <mergeCell ref="C15:P15"/>
    <mergeCell ref="V15:AL15"/>
    <mergeCell ref="A16:AL16"/>
    <mergeCell ref="D14:W14"/>
    <mergeCell ref="A18:C18"/>
    <mergeCell ref="D18:F18"/>
    <mergeCell ref="G18:I18"/>
    <mergeCell ref="J18:L18"/>
    <mergeCell ref="A17:U17"/>
    <mergeCell ref="F7:U7"/>
    <mergeCell ref="AF7:AJ7"/>
    <mergeCell ref="A10:AL11"/>
    <mergeCell ref="A12:AL12"/>
    <mergeCell ref="G13:L13"/>
    <mergeCell ref="P13:W13"/>
    <mergeCell ref="AE13:AK13"/>
    <mergeCell ref="D3:J3"/>
    <mergeCell ref="P3:V3"/>
    <mergeCell ref="AC3:AI3"/>
    <mergeCell ref="F4:U4"/>
    <mergeCell ref="F6:J6"/>
    <mergeCell ref="Q6:U6"/>
    <mergeCell ref="AB6:AF6"/>
    <mergeCell ref="Z4:AJ4"/>
    <mergeCell ref="E1:P1"/>
    <mergeCell ref="AE1:AL1"/>
    <mergeCell ref="AE2:AL2"/>
    <mergeCell ref="D2:AC2"/>
    <mergeCell ref="T1:Y1"/>
    <mergeCell ref="AG23:AK23"/>
    <mergeCell ref="AG24:AK24"/>
    <mergeCell ref="AG25:AK25"/>
    <mergeCell ref="N22:R22"/>
    <mergeCell ref="I26:M26"/>
    <mergeCell ref="K23:O23"/>
    <mergeCell ref="K24:O24"/>
    <mergeCell ref="K25:O25"/>
  </mergeCells>
  <pageMargins left="0.25" right="0.25" top="0.75" bottom="0.75" header="0.3" footer="0.3"/>
  <pageSetup orientation="portrait" horizontalDpi="4294967293" verticalDpi="1200" r:id="rId1"/>
  <headerFooter>
    <oddHeader>&amp;L&amp;G&amp;RPrivate Pay Service Agreement
Private Home Care Provider</oddHeader>
    <oddFooter>&amp;LPS&amp;C3088 Mercer University Drive Suite 100 Atlanta, GA 30341
678-310-6305 Fax 404-935-6110&amp;RPP</oddFooter>
  </headerFooter>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65">
    <tabColor rgb="FF7030A0"/>
  </sheetPr>
  <dimension ref="A1:AM43"/>
  <sheetViews>
    <sheetView showZeros="0" view="pageLayout" zoomScaleNormal="100" workbookViewId="0">
      <selection activeCell="A5" sqref="A5"/>
    </sheetView>
  </sheetViews>
  <sheetFormatPr defaultColWidth="2.7109375" defaultRowHeight="14.25" customHeight="1" x14ac:dyDescent="0.2"/>
  <sheetData>
    <row r="1" spans="1:39" ht="14.25" customHeight="1" x14ac:dyDescent="0.2">
      <c r="A1" t="s">
        <v>336</v>
      </c>
      <c r="F1" s="219" t="str">
        <f>_xlfn.CONCAT(Data!B2,", ",Data!B3," ",Data!B4)</f>
        <v xml:space="preserve">,  </v>
      </c>
      <c r="G1" s="219"/>
      <c r="H1" s="219"/>
      <c r="I1" s="219"/>
      <c r="J1" s="219"/>
      <c r="K1" s="219"/>
      <c r="L1" s="219"/>
      <c r="M1" s="219"/>
      <c r="N1" s="219"/>
      <c r="O1" s="219"/>
      <c r="P1" s="219"/>
      <c r="Q1" s="219"/>
      <c r="R1" s="219"/>
      <c r="S1" s="219"/>
      <c r="T1" s="219"/>
      <c r="U1" s="219"/>
      <c r="W1" t="s">
        <v>371</v>
      </c>
      <c r="Y1" s="218">
        <f>Data!B14</f>
        <v>0</v>
      </c>
      <c r="Z1" s="219"/>
      <c r="AA1" s="219"/>
      <c r="AB1" s="219"/>
      <c r="AC1" s="219"/>
      <c r="AD1" s="219"/>
      <c r="AE1" s="219"/>
    </row>
    <row r="2" spans="1:39" ht="14.25" customHeight="1" x14ac:dyDescent="0.2">
      <c r="A2" s="493" t="s">
        <v>3366</v>
      </c>
      <c r="B2" s="493"/>
      <c r="C2" s="493"/>
      <c r="D2" s="493"/>
      <c r="E2" s="493"/>
      <c r="F2" s="493"/>
      <c r="G2" s="493"/>
      <c r="H2" s="493"/>
      <c r="I2" s="493"/>
      <c r="J2" s="493"/>
      <c r="K2" s="493"/>
      <c r="L2" s="493"/>
      <c r="M2" s="493"/>
      <c r="N2" s="493"/>
      <c r="O2" s="493"/>
      <c r="P2" s="493"/>
      <c r="Q2" s="493"/>
      <c r="R2" s="493"/>
      <c r="S2" s="493"/>
      <c r="T2" s="493"/>
      <c r="U2" s="493"/>
      <c r="V2" s="493"/>
      <c r="W2" s="493"/>
      <c r="X2" s="493"/>
      <c r="Y2" s="493"/>
      <c r="Z2" s="493"/>
      <c r="AA2" s="493"/>
      <c r="AB2" s="493"/>
      <c r="AC2" s="493"/>
      <c r="AD2" s="493"/>
      <c r="AE2" s="493"/>
      <c r="AF2" s="493"/>
      <c r="AG2" s="493"/>
      <c r="AH2" s="493"/>
      <c r="AI2" s="493"/>
      <c r="AJ2" s="493"/>
      <c r="AK2" s="493"/>
      <c r="AL2" s="493"/>
      <c r="AM2" s="109"/>
    </row>
    <row r="3" spans="1:39" ht="19.5" customHeight="1" x14ac:dyDescent="0.2">
      <c r="A3" s="493"/>
      <c r="B3" s="493"/>
      <c r="C3" s="493"/>
      <c r="D3" s="493"/>
      <c r="E3" s="493"/>
      <c r="F3" s="493"/>
      <c r="G3" s="493"/>
      <c r="H3" s="493"/>
      <c r="I3" s="493"/>
      <c r="J3" s="493"/>
      <c r="K3" s="493"/>
      <c r="L3" s="493"/>
      <c r="M3" s="493"/>
      <c r="N3" s="493"/>
      <c r="O3" s="493"/>
      <c r="P3" s="493"/>
      <c r="Q3" s="493"/>
      <c r="R3" s="493"/>
      <c r="S3" s="493"/>
      <c r="T3" s="493"/>
      <c r="U3" s="493"/>
      <c r="V3" s="493"/>
      <c r="W3" s="493"/>
      <c r="X3" s="493"/>
      <c r="Y3" s="493"/>
      <c r="Z3" s="493"/>
      <c r="AA3" s="493"/>
      <c r="AB3" s="493"/>
      <c r="AC3" s="493"/>
      <c r="AD3" s="493"/>
      <c r="AE3" s="493"/>
      <c r="AF3" s="493"/>
      <c r="AG3" s="493"/>
      <c r="AH3" s="493"/>
      <c r="AI3" s="493"/>
      <c r="AJ3" s="493"/>
      <c r="AK3" s="493"/>
      <c r="AL3" s="493"/>
      <c r="AM3" s="109"/>
    </row>
    <row r="4" spans="1:39" ht="18.75" customHeight="1" x14ac:dyDescent="0.2">
      <c r="A4" t="s">
        <v>951</v>
      </c>
      <c r="G4" s="4" t="s">
        <v>3027</v>
      </c>
      <c r="Q4" t="s">
        <v>3029</v>
      </c>
      <c r="R4" s="4"/>
      <c r="S4" s="4"/>
      <c r="T4" s="4"/>
      <c r="U4" s="4"/>
      <c r="V4" s="4"/>
      <c r="W4" s="4"/>
      <c r="Z4" s="4" t="s">
        <v>3028</v>
      </c>
      <c r="AD4" s="4"/>
      <c r="AE4" s="4"/>
      <c r="AF4" s="4"/>
      <c r="AG4" s="4"/>
      <c r="AH4" s="4"/>
      <c r="AI4" s="4"/>
      <c r="AM4" s="110"/>
    </row>
    <row r="5" spans="1:39" ht="14.25" customHeight="1" x14ac:dyDescent="0.2">
      <c r="A5" s="3" t="str">
        <f>IF(Data!B86=TRUE,"P","")</f>
        <v/>
      </c>
      <c r="B5" t="s">
        <v>953</v>
      </c>
      <c r="O5" t="s">
        <v>955</v>
      </c>
      <c r="U5" s="473">
        <v>5.07</v>
      </c>
      <c r="V5" s="233"/>
      <c r="W5" s="233"/>
      <c r="X5" t="s">
        <v>956</v>
      </c>
      <c r="AA5" t="s">
        <v>957</v>
      </c>
      <c r="AD5" s="473">
        <v>10.14</v>
      </c>
      <c r="AE5" s="233"/>
      <c r="AF5" s="233"/>
      <c r="AG5" t="s">
        <v>956</v>
      </c>
      <c r="AM5" s="29"/>
    </row>
    <row r="6" spans="1:39" ht="14.25" customHeight="1" x14ac:dyDescent="0.2">
      <c r="A6" s="3" t="str">
        <f>IF(Data!B87=TRUE,"P","")</f>
        <v/>
      </c>
      <c r="B6" t="s">
        <v>954</v>
      </c>
      <c r="O6" t="s">
        <v>955</v>
      </c>
      <c r="U6" s="473">
        <v>4.51</v>
      </c>
      <c r="V6" s="233"/>
      <c r="W6" s="233"/>
      <c r="X6" t="s">
        <v>956</v>
      </c>
      <c r="AA6" t="s">
        <v>957</v>
      </c>
      <c r="AD6" s="473">
        <v>9.02</v>
      </c>
      <c r="AE6" s="233"/>
      <c r="AF6" s="233"/>
      <c r="AG6" t="s">
        <v>956</v>
      </c>
      <c r="AM6" s="29"/>
    </row>
    <row r="7" spans="1:39" ht="14.25" customHeight="1" x14ac:dyDescent="0.2">
      <c r="A7" t="s">
        <v>958</v>
      </c>
      <c r="O7" t="s">
        <v>959</v>
      </c>
      <c r="AA7" t="s">
        <v>1253</v>
      </c>
      <c r="AE7" s="476">
        <f>Data!B101</f>
        <v>0</v>
      </c>
      <c r="AF7" s="476"/>
      <c r="AG7" s="476"/>
      <c r="AH7" s="476"/>
      <c r="AI7" s="476"/>
      <c r="AJ7" s="476"/>
      <c r="AK7" s="476"/>
      <c r="AM7" s="29"/>
    </row>
    <row r="8" spans="1:39" ht="14.25" customHeight="1" x14ac:dyDescent="0.2">
      <c r="A8" s="340" t="s">
        <v>726</v>
      </c>
      <c r="B8" s="340"/>
      <c r="C8" s="340"/>
      <c r="D8" s="340"/>
      <c r="E8" s="340"/>
      <c r="F8" s="340"/>
      <c r="G8" s="340"/>
      <c r="H8" s="340"/>
      <c r="I8" s="340"/>
      <c r="J8" s="340"/>
      <c r="K8" s="340"/>
      <c r="L8" s="340"/>
      <c r="M8" s="340"/>
      <c r="N8" s="340"/>
      <c r="O8" s="340"/>
      <c r="P8" s="340"/>
      <c r="Q8" s="340"/>
      <c r="R8" s="340"/>
      <c r="S8" s="340"/>
      <c r="T8" s="340"/>
      <c r="U8" s="340"/>
      <c r="V8" s="340"/>
      <c r="W8" s="340"/>
      <c r="X8" s="340"/>
      <c r="Y8" s="340"/>
      <c r="Z8" s="340"/>
      <c r="AA8" s="340"/>
      <c r="AB8" s="340"/>
      <c r="AC8" s="340"/>
      <c r="AD8" s="340"/>
      <c r="AE8" s="340"/>
      <c r="AF8" s="340"/>
      <c r="AG8" s="340"/>
      <c r="AH8" s="340"/>
      <c r="AI8" s="340"/>
      <c r="AJ8" s="340"/>
      <c r="AK8" s="340"/>
      <c r="AL8" s="340"/>
    </row>
    <row r="9" spans="1:39" ht="14.25" customHeight="1" x14ac:dyDescent="0.2">
      <c r="A9" t="s">
        <v>727</v>
      </c>
      <c r="H9" s="233">
        <f>Data!B110</f>
        <v>0</v>
      </c>
      <c r="I9" s="233"/>
      <c r="J9" s="233"/>
      <c r="K9" s="233"/>
      <c r="L9" s="233"/>
      <c r="M9" s="233"/>
      <c r="N9" s="233"/>
      <c r="P9" t="s">
        <v>342</v>
      </c>
      <c r="S9" s="233">
        <f>IF(Data!B110="self",F1,Data!B111)</f>
        <v>0</v>
      </c>
      <c r="T9" s="233"/>
      <c r="U9" s="233"/>
      <c r="V9" s="233"/>
      <c r="W9" s="233"/>
      <c r="X9" s="233"/>
      <c r="Y9" s="233"/>
      <c r="Z9" s="233"/>
      <c r="AB9" t="s">
        <v>348</v>
      </c>
      <c r="AE9" s="472">
        <f>Data!B113</f>
        <v>0</v>
      </c>
      <c r="AF9" s="472"/>
      <c r="AG9" s="472"/>
      <c r="AH9" s="472"/>
      <c r="AI9" s="472"/>
      <c r="AJ9" s="472"/>
      <c r="AK9" s="472"/>
      <c r="AL9" s="472"/>
    </row>
    <row r="10" spans="1:39" ht="14.25" customHeight="1" x14ac:dyDescent="0.2">
      <c r="A10" t="s">
        <v>343</v>
      </c>
      <c r="D10" s="233">
        <f>Data!B112</f>
        <v>0</v>
      </c>
      <c r="E10" s="233"/>
      <c r="F10" s="233"/>
      <c r="G10" s="233"/>
      <c r="H10" s="233"/>
      <c r="I10" s="233"/>
      <c r="J10" s="233"/>
      <c r="K10" s="233"/>
      <c r="L10" s="233"/>
      <c r="M10" s="233"/>
      <c r="N10" s="233"/>
      <c r="O10" s="233"/>
      <c r="P10" s="233"/>
      <c r="Q10" s="233"/>
      <c r="R10" s="233"/>
      <c r="S10" s="233"/>
      <c r="T10" s="233"/>
      <c r="U10" s="233"/>
      <c r="V10" s="233"/>
      <c r="W10" s="233"/>
      <c r="X10" s="233"/>
      <c r="Y10" s="233"/>
      <c r="Z10" s="233"/>
    </row>
    <row r="11" spans="1:39" ht="14.25" customHeight="1" x14ac:dyDescent="0.2">
      <c r="A11" t="s">
        <v>715</v>
      </c>
      <c r="D11" s="233">
        <f>Data!B114</f>
        <v>0</v>
      </c>
      <c r="E11" s="233"/>
      <c r="F11" s="233"/>
      <c r="G11" s="233"/>
      <c r="H11" s="233"/>
      <c r="I11" s="233"/>
      <c r="J11" s="233"/>
      <c r="K11" s="233"/>
      <c r="L11" s="233"/>
      <c r="M11" s="233"/>
      <c r="N11" s="233"/>
      <c r="O11" s="233"/>
      <c r="P11" s="233"/>
      <c r="Q11" s="233"/>
      <c r="R11" s="233"/>
      <c r="S11" s="233"/>
      <c r="T11" s="233"/>
      <c r="U11" s="233"/>
      <c r="V11" s="233"/>
      <c r="W11" t="s">
        <v>730</v>
      </c>
      <c r="AG11" s="233" t="str">
        <f>IF(Data!B115=TRUE,"Check","Credit Card")</f>
        <v>Credit Card</v>
      </c>
      <c r="AH11" s="233"/>
      <c r="AI11" s="233"/>
      <c r="AJ11" s="233"/>
      <c r="AK11" s="233"/>
      <c r="AL11" s="233"/>
    </row>
    <row r="12" spans="1:39" ht="14.25" customHeight="1" x14ac:dyDescent="0.2">
      <c r="A12" t="s">
        <v>728</v>
      </c>
      <c r="J12" s="233">
        <f>Data!B117</f>
        <v>0</v>
      </c>
      <c r="K12" s="233"/>
      <c r="L12" s="233"/>
      <c r="M12" s="233"/>
      <c r="N12" s="233"/>
      <c r="O12" s="233"/>
      <c r="P12" s="233"/>
      <c r="Q12" s="233"/>
      <c r="R12" s="233"/>
      <c r="S12" s="233"/>
      <c r="T12" s="233"/>
      <c r="U12" s="233"/>
      <c r="V12" s="233"/>
      <c r="W12" s="233"/>
      <c r="X12" s="233"/>
      <c r="Y12" s="233"/>
      <c r="Z12" s="233"/>
      <c r="AA12" s="233"/>
      <c r="AB12" s="233"/>
      <c r="AC12" s="233"/>
      <c r="AD12" s="233"/>
      <c r="AE12" s="233"/>
      <c r="AF12" s="233"/>
      <c r="AG12" s="233"/>
      <c r="AH12" s="233"/>
      <c r="AI12" s="233"/>
      <c r="AJ12" s="233"/>
      <c r="AK12" s="233"/>
      <c r="AL12" s="233"/>
      <c r="AM12" s="4"/>
    </row>
    <row r="13" spans="1:39" ht="14.25" customHeight="1" x14ac:dyDescent="0.2">
      <c r="A13" s="260" t="s">
        <v>3030</v>
      </c>
      <c r="B13" s="260"/>
      <c r="C13" s="260"/>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c r="AE13" s="260"/>
      <c r="AF13" s="260"/>
      <c r="AG13" s="260"/>
      <c r="AH13" s="260"/>
      <c r="AI13" s="260"/>
      <c r="AJ13" s="260"/>
      <c r="AK13" s="260"/>
      <c r="AL13" s="260"/>
      <c r="AM13" s="14"/>
    </row>
    <row r="14" spans="1:39" ht="14.25" customHeight="1" x14ac:dyDescent="0.2">
      <c r="A14" s="260"/>
      <c r="B14" s="260"/>
      <c r="C14" s="260"/>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c r="AE14" s="260"/>
      <c r="AF14" s="260"/>
      <c r="AG14" s="260"/>
      <c r="AH14" s="260"/>
      <c r="AI14" s="260"/>
      <c r="AJ14" s="260"/>
      <c r="AK14" s="260"/>
      <c r="AL14" s="260"/>
      <c r="AM14" s="14"/>
    </row>
    <row r="15" spans="1:39" ht="14.25" customHeight="1" x14ac:dyDescent="0.2">
      <c r="A15" s="260"/>
      <c r="B15" s="260"/>
      <c r="C15" s="260"/>
      <c r="D15" s="260"/>
      <c r="E15" s="260"/>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c r="AE15" s="260"/>
      <c r="AF15" s="260"/>
      <c r="AG15" s="260"/>
      <c r="AH15" s="260"/>
      <c r="AI15" s="260"/>
      <c r="AJ15" s="260"/>
      <c r="AK15" s="260"/>
      <c r="AL15" s="260"/>
      <c r="AM15" s="14"/>
    </row>
    <row r="16" spans="1:39" ht="14.25" customHeight="1" x14ac:dyDescent="0.2">
      <c r="A16" s="260"/>
      <c r="B16" s="260"/>
      <c r="C16" s="260"/>
      <c r="D16" s="260"/>
      <c r="E16" s="260"/>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c r="AE16" s="260"/>
      <c r="AF16" s="260"/>
      <c r="AG16" s="260"/>
      <c r="AH16" s="260"/>
      <c r="AI16" s="260"/>
      <c r="AJ16" s="260"/>
      <c r="AK16" s="260"/>
      <c r="AL16" s="260"/>
      <c r="AM16" s="14"/>
    </row>
    <row r="17" spans="1:39" ht="14.25" customHeight="1" x14ac:dyDescent="0.2">
      <c r="A17" s="260"/>
      <c r="B17" s="260"/>
      <c r="C17" s="260"/>
      <c r="D17" s="260"/>
      <c r="E17" s="260"/>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c r="AE17" s="260"/>
      <c r="AF17" s="260"/>
      <c r="AG17" s="260"/>
      <c r="AH17" s="260"/>
      <c r="AI17" s="260"/>
      <c r="AJ17" s="260"/>
      <c r="AK17" s="260"/>
      <c r="AL17" s="260"/>
      <c r="AM17" s="14"/>
    </row>
    <row r="18" spans="1:39" ht="14.25" customHeight="1" x14ac:dyDescent="0.2">
      <c r="A18" s="260" t="s">
        <v>3367</v>
      </c>
      <c r="B18" s="260"/>
      <c r="C18" s="260"/>
      <c r="D18" s="260"/>
      <c r="E18" s="260"/>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c r="AE18" s="260"/>
      <c r="AF18" s="260"/>
      <c r="AG18" s="260"/>
      <c r="AH18" s="260"/>
      <c r="AI18" s="260"/>
      <c r="AJ18" s="260"/>
      <c r="AK18" s="260"/>
      <c r="AL18" s="260"/>
      <c r="AM18" s="14"/>
    </row>
    <row r="19" spans="1:39" ht="14.25" customHeight="1" x14ac:dyDescent="0.2">
      <c r="A19" s="260"/>
      <c r="B19" s="260"/>
      <c r="C19" s="260"/>
      <c r="D19" s="260"/>
      <c r="E19" s="260"/>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c r="AE19" s="260"/>
      <c r="AF19" s="260"/>
      <c r="AG19" s="260"/>
      <c r="AH19" s="260"/>
      <c r="AI19" s="260"/>
      <c r="AJ19" s="260"/>
      <c r="AK19" s="260"/>
      <c r="AL19" s="260"/>
      <c r="AM19" s="14"/>
    </row>
    <row r="20" spans="1:39" ht="24" customHeight="1" x14ac:dyDescent="0.2">
      <c r="A20" s="260"/>
      <c r="B20" s="260"/>
      <c r="C20" s="260"/>
      <c r="D20" s="260"/>
      <c r="E20" s="260"/>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c r="AE20" s="260"/>
      <c r="AF20" s="260"/>
      <c r="AG20" s="260"/>
      <c r="AH20" s="260"/>
      <c r="AI20" s="260"/>
      <c r="AJ20" s="260"/>
      <c r="AK20" s="260"/>
      <c r="AL20" s="260"/>
      <c r="AM20" s="14"/>
    </row>
    <row r="21" spans="1:39" ht="14.25" customHeight="1" x14ac:dyDescent="0.2">
      <c r="A21" s="340" t="s">
        <v>731</v>
      </c>
      <c r="B21" s="340"/>
      <c r="C21" s="340"/>
      <c r="D21" s="340"/>
      <c r="E21" s="340"/>
      <c r="F21" s="340"/>
      <c r="G21" s="340"/>
      <c r="H21" s="340"/>
      <c r="I21" s="340"/>
      <c r="J21" s="340"/>
      <c r="K21" s="340"/>
      <c r="L21" s="340"/>
      <c r="M21" s="340"/>
      <c r="N21" s="340"/>
      <c r="O21" s="340"/>
      <c r="P21" s="340"/>
      <c r="Q21" s="340"/>
      <c r="R21" s="340"/>
      <c r="S21" s="340"/>
      <c r="T21" s="340"/>
      <c r="U21" s="340"/>
      <c r="V21" s="340"/>
      <c r="W21" s="340"/>
      <c r="X21" s="340"/>
      <c r="Y21" s="340"/>
      <c r="Z21" s="340"/>
      <c r="AA21" s="340"/>
      <c r="AB21" s="340"/>
      <c r="AC21" s="340"/>
      <c r="AD21" s="340"/>
      <c r="AE21" s="340"/>
      <c r="AF21" s="340"/>
      <c r="AG21" s="340"/>
      <c r="AH21" s="340"/>
      <c r="AI21" s="340"/>
      <c r="AJ21" s="340"/>
      <c r="AK21" s="340"/>
      <c r="AL21" s="340"/>
    </row>
    <row r="22" spans="1:39" ht="14.25" customHeight="1" x14ac:dyDescent="0.2">
      <c r="A22" s="260" t="s">
        <v>3031</v>
      </c>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c r="AE22" s="260"/>
      <c r="AF22" s="260"/>
      <c r="AG22" s="260"/>
      <c r="AH22" s="260"/>
      <c r="AI22" s="260"/>
      <c r="AJ22" s="260"/>
      <c r="AK22" s="260"/>
      <c r="AL22" s="260"/>
      <c r="AM22" s="14"/>
    </row>
    <row r="23" spans="1:39" ht="14.25" customHeight="1" x14ac:dyDescent="0.2">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c r="AE23" s="260"/>
      <c r="AF23" s="260"/>
      <c r="AG23" s="260"/>
      <c r="AH23" s="260"/>
      <c r="AI23" s="260"/>
      <c r="AJ23" s="260"/>
      <c r="AK23" s="260"/>
      <c r="AL23" s="260"/>
      <c r="AM23" s="14"/>
    </row>
    <row r="24" spans="1:39" ht="14.25" customHeight="1" x14ac:dyDescent="0.2">
      <c r="L24" s="474"/>
      <c r="M24" s="219"/>
      <c r="N24" s="219"/>
      <c r="O24" s="219"/>
      <c r="P24" s="219"/>
      <c r="Q24" s="219"/>
    </row>
    <row r="26" spans="1:39" ht="14.25" customHeight="1" x14ac:dyDescent="0.2">
      <c r="A26" t="s">
        <v>771</v>
      </c>
      <c r="I26" s="489">
        <f>Data!B101</f>
        <v>0</v>
      </c>
      <c r="J26" s="233"/>
      <c r="K26" s="233"/>
      <c r="L26" s="233"/>
      <c r="M26" s="233"/>
      <c r="N26" s="233"/>
      <c r="O26" s="233"/>
      <c r="P26" s="233"/>
    </row>
    <row r="28" spans="1:39" ht="14.25" customHeight="1" x14ac:dyDescent="0.2">
      <c r="A28" s="4" t="s">
        <v>1261</v>
      </c>
      <c r="H28" s="276"/>
      <c r="I28" s="276"/>
      <c r="J28" s="276"/>
      <c r="K28" s="276"/>
      <c r="L28" s="276"/>
      <c r="M28" s="276"/>
      <c r="N28" s="276"/>
      <c r="O28" s="276"/>
      <c r="P28" s="276"/>
      <c r="Q28" s="276"/>
      <c r="R28" s="276"/>
      <c r="S28" s="276"/>
      <c r="T28" s="276"/>
      <c r="U28" s="4" t="s">
        <v>733</v>
      </c>
      <c r="X28" s="266"/>
      <c r="Y28" s="266"/>
      <c r="Z28" s="266"/>
      <c r="AA28" s="266"/>
      <c r="AB28" s="266"/>
      <c r="AC28" s="266"/>
      <c r="AE28" s="4" t="s">
        <v>734</v>
      </c>
      <c r="AH28" s="266"/>
      <c r="AI28" s="266"/>
      <c r="AJ28" s="266"/>
      <c r="AK28" s="266"/>
      <c r="AL28" s="266"/>
    </row>
    <row r="29" spans="1:39" ht="14.25" customHeight="1" x14ac:dyDescent="0.2">
      <c r="A29" s="340" t="s">
        <v>1485</v>
      </c>
      <c r="B29" s="340"/>
      <c r="C29" s="340"/>
      <c r="D29" s="340"/>
      <c r="E29" s="340"/>
      <c r="F29" s="340"/>
      <c r="G29" s="340"/>
      <c r="H29" s="340"/>
      <c r="I29" s="340"/>
      <c r="J29" s="340"/>
      <c r="K29" s="340"/>
      <c r="L29" s="340"/>
      <c r="M29" s="340"/>
      <c r="N29" s="340"/>
      <c r="O29" s="340"/>
      <c r="P29" s="340"/>
      <c r="Q29" s="340"/>
      <c r="R29" s="340"/>
      <c r="S29" s="340"/>
      <c r="T29" s="340"/>
      <c r="U29" s="340"/>
      <c r="V29" s="340"/>
      <c r="W29" s="340"/>
      <c r="X29" s="340"/>
      <c r="Y29" s="340"/>
      <c r="Z29" s="340"/>
      <c r="AA29" s="340"/>
      <c r="AB29" s="340"/>
      <c r="AC29" s="340"/>
      <c r="AD29" s="340"/>
      <c r="AE29" s="340"/>
      <c r="AF29" s="340"/>
      <c r="AG29" s="340"/>
      <c r="AH29" s="340"/>
      <c r="AI29" s="340"/>
      <c r="AJ29" s="340"/>
      <c r="AK29" s="340"/>
      <c r="AL29" s="340"/>
    </row>
    <row r="30" spans="1:39" ht="14.25" customHeight="1" x14ac:dyDescent="0.2">
      <c r="A30" s="494" t="s">
        <v>1484</v>
      </c>
      <c r="B30" s="494"/>
      <c r="C30" s="494"/>
      <c r="D30" s="494"/>
      <c r="E30" s="494"/>
      <c r="F30" s="494"/>
      <c r="G30" s="494"/>
      <c r="H30" s="494"/>
      <c r="I30" s="494"/>
      <c r="J30" s="494"/>
      <c r="K30" s="494"/>
      <c r="L30" s="494"/>
      <c r="M30" s="494"/>
      <c r="N30" s="494"/>
      <c r="O30" s="494"/>
      <c r="P30" s="494"/>
      <c r="Q30" s="494"/>
      <c r="R30" s="494"/>
      <c r="S30" s="494"/>
      <c r="T30" s="494"/>
      <c r="U30" s="494"/>
      <c r="V30" s="494"/>
      <c r="W30" s="494"/>
      <c r="X30" s="494"/>
      <c r="Y30" s="494"/>
      <c r="Z30" s="494"/>
      <c r="AA30" s="494"/>
      <c r="AB30" s="494"/>
      <c r="AC30" s="494"/>
      <c r="AD30" s="494"/>
      <c r="AE30" s="494"/>
      <c r="AF30" s="494"/>
      <c r="AG30" s="494"/>
      <c r="AH30" s="494"/>
      <c r="AI30" s="494"/>
      <c r="AJ30" s="494"/>
      <c r="AK30" s="494"/>
      <c r="AL30" s="494"/>
      <c r="AM30" s="5"/>
    </row>
    <row r="31" spans="1:39" ht="14.25" customHeight="1" x14ac:dyDescent="0.2">
      <c r="A31" s="494"/>
      <c r="B31" s="494"/>
      <c r="C31" s="494"/>
      <c r="D31" s="494"/>
      <c r="E31" s="494"/>
      <c r="F31" s="494"/>
      <c r="G31" s="494"/>
      <c r="H31" s="494"/>
      <c r="I31" s="494"/>
      <c r="J31" s="494"/>
      <c r="K31" s="494"/>
      <c r="L31" s="494"/>
      <c r="M31" s="494"/>
      <c r="N31" s="494"/>
      <c r="O31" s="494"/>
      <c r="P31" s="494"/>
      <c r="Q31" s="494"/>
      <c r="R31" s="494"/>
      <c r="S31" s="494"/>
      <c r="T31" s="494"/>
      <c r="U31" s="494"/>
      <c r="V31" s="494"/>
      <c r="W31" s="494"/>
      <c r="X31" s="494"/>
      <c r="Y31" s="494"/>
      <c r="Z31" s="494"/>
      <c r="AA31" s="494"/>
      <c r="AB31" s="494"/>
      <c r="AC31" s="494"/>
      <c r="AD31" s="494"/>
      <c r="AE31" s="494"/>
      <c r="AF31" s="494"/>
      <c r="AG31" s="494"/>
      <c r="AH31" s="494"/>
      <c r="AI31" s="494"/>
      <c r="AJ31" s="494"/>
      <c r="AK31" s="494"/>
      <c r="AL31" s="494"/>
      <c r="AM31" s="5"/>
    </row>
    <row r="32" spans="1:39" ht="14.25" customHeight="1" x14ac:dyDescent="0.2">
      <c r="A32" t="s">
        <v>735</v>
      </c>
      <c r="X32" s="233">
        <f>Data!B111</f>
        <v>0</v>
      </c>
      <c r="Y32" s="233"/>
      <c r="Z32" s="233"/>
      <c r="AA32" s="233"/>
      <c r="AB32" s="233"/>
      <c r="AC32" s="233"/>
      <c r="AD32" s="233"/>
      <c r="AE32" s="233"/>
      <c r="AF32" s="233"/>
      <c r="AG32" s="233"/>
      <c r="AH32" s="233"/>
      <c r="AI32" s="233"/>
      <c r="AJ32" s="233"/>
      <c r="AK32" s="233"/>
      <c r="AL32" s="233"/>
    </row>
    <row r="33" spans="1:38" ht="27.75" customHeight="1" x14ac:dyDescent="0.2">
      <c r="A33" t="s">
        <v>736</v>
      </c>
      <c r="F33" s="1"/>
      <c r="G33" s="1"/>
      <c r="H33" s="1"/>
      <c r="I33" s="1"/>
      <c r="J33" s="1"/>
      <c r="K33" s="1"/>
      <c r="L33" s="1"/>
      <c r="M33" s="1"/>
      <c r="N33" s="1"/>
      <c r="O33" s="1"/>
      <c r="P33" s="1"/>
      <c r="Q33" s="1"/>
      <c r="R33" s="1"/>
      <c r="S33" s="1"/>
      <c r="T33" s="1"/>
      <c r="U33" s="1"/>
      <c r="W33" t="s">
        <v>737</v>
      </c>
      <c r="Y33" s="1"/>
      <c r="Z33" s="1"/>
      <c r="AA33" s="1"/>
      <c r="AB33" s="1"/>
      <c r="AD33" t="s">
        <v>738</v>
      </c>
      <c r="AF33" s="266"/>
      <c r="AG33" s="266"/>
      <c r="AH33" s="266"/>
      <c r="AI33" s="266"/>
      <c r="AJ33" s="266"/>
    </row>
    <row r="34" spans="1:38" ht="26.25" customHeight="1" x14ac:dyDescent="0.25">
      <c r="A34" t="s">
        <v>739</v>
      </c>
      <c r="F34" s="31"/>
      <c r="G34" s="31"/>
      <c r="H34" s="31"/>
      <c r="I34" s="31"/>
      <c r="J34" s="31"/>
      <c r="K34" s="31"/>
      <c r="M34" t="s">
        <v>740</v>
      </c>
      <c r="Q34" s="495" t="s">
        <v>741</v>
      </c>
      <c r="R34" s="495"/>
      <c r="S34" t="s">
        <v>742</v>
      </c>
      <c r="U34" s="496" t="s">
        <v>741</v>
      </c>
      <c r="V34" s="496"/>
      <c r="W34" t="s">
        <v>743</v>
      </c>
      <c r="Y34" s="495" t="s">
        <v>744</v>
      </c>
      <c r="Z34" s="495"/>
      <c r="AA34" t="s">
        <v>745</v>
      </c>
      <c r="AC34" s="496" t="s">
        <v>741</v>
      </c>
      <c r="AD34" s="496"/>
      <c r="AE34" t="s">
        <v>746</v>
      </c>
    </row>
    <row r="35" spans="1:38" ht="14.25" customHeight="1" x14ac:dyDescent="0.2">
      <c r="A35" s="300" t="s">
        <v>1486</v>
      </c>
      <c r="B35" s="300"/>
      <c r="C35" s="300"/>
      <c r="D35" s="300"/>
      <c r="E35" s="300"/>
      <c r="F35" s="300"/>
      <c r="G35" s="300"/>
      <c r="H35" s="300"/>
      <c r="I35" s="300"/>
      <c r="J35" s="300"/>
      <c r="K35" s="300"/>
      <c r="L35" s="300"/>
      <c r="M35" s="300"/>
      <c r="N35" s="300"/>
      <c r="O35" s="300"/>
      <c r="P35" s="300"/>
      <c r="Q35" s="300"/>
      <c r="R35" s="300"/>
      <c r="S35" s="300"/>
      <c r="T35" s="300"/>
      <c r="U35" s="300"/>
      <c r="V35" s="300"/>
      <c r="W35" s="300"/>
      <c r="X35" s="300"/>
      <c r="Y35" s="300"/>
      <c r="Z35" s="300"/>
      <c r="AA35" s="300"/>
      <c r="AB35" s="300"/>
      <c r="AC35" s="300"/>
      <c r="AD35" s="300"/>
      <c r="AE35" s="300"/>
      <c r="AF35" s="300"/>
      <c r="AG35" s="300"/>
      <c r="AH35" s="300"/>
      <c r="AI35" s="300"/>
      <c r="AJ35" s="300"/>
      <c r="AK35" s="300"/>
      <c r="AL35" s="300"/>
    </row>
    <row r="36" spans="1:38" ht="14.25" customHeight="1" x14ac:dyDescent="0.2">
      <c r="A36" s="240"/>
      <c r="B36" s="240"/>
      <c r="C36" s="240"/>
      <c r="D36" s="240"/>
      <c r="E36" s="240"/>
      <c r="F36" s="240"/>
      <c r="G36" s="240"/>
      <c r="H36" s="240"/>
      <c r="I36" s="240"/>
      <c r="J36" s="240"/>
      <c r="K36" s="240"/>
      <c r="L36" s="240"/>
      <c r="M36" s="240"/>
      <c r="N36" s="240"/>
      <c r="O36" s="240"/>
      <c r="P36" s="240"/>
      <c r="AA36" s="240"/>
      <c r="AB36" s="240"/>
      <c r="AC36" s="240"/>
      <c r="AD36" s="240"/>
      <c r="AE36" s="240"/>
      <c r="AF36" s="240"/>
      <c r="AG36" s="240"/>
      <c r="AH36" s="240"/>
      <c r="AI36" s="240"/>
      <c r="AJ36" s="240"/>
      <c r="AK36" s="240"/>
      <c r="AL36" s="240"/>
    </row>
    <row r="37" spans="1:38" ht="14.25" customHeight="1" x14ac:dyDescent="0.2">
      <c r="A37" s="240"/>
      <c r="B37" s="240"/>
      <c r="C37" s="240"/>
      <c r="D37" s="240"/>
      <c r="E37" s="240"/>
      <c r="F37" s="240"/>
      <c r="G37" s="240"/>
      <c r="H37" s="240"/>
      <c r="I37" s="240"/>
      <c r="J37" s="240"/>
      <c r="K37" s="240"/>
      <c r="L37" s="240"/>
      <c r="M37" s="240"/>
      <c r="N37" s="240"/>
      <c r="O37" s="240"/>
      <c r="P37" s="240"/>
      <c r="AA37" s="240"/>
      <c r="AB37" s="240"/>
      <c r="AC37" s="240"/>
      <c r="AD37" s="240"/>
      <c r="AE37" s="240"/>
      <c r="AF37" s="240"/>
      <c r="AG37" s="240"/>
      <c r="AH37" s="240"/>
      <c r="AI37" s="240"/>
      <c r="AJ37" s="240"/>
      <c r="AK37" s="240"/>
      <c r="AL37" s="240"/>
    </row>
    <row r="38" spans="1:38" ht="14.25" customHeight="1" x14ac:dyDescent="0.2">
      <c r="A38" s="266"/>
      <c r="B38" s="266"/>
      <c r="C38" s="266"/>
      <c r="D38" s="266"/>
      <c r="E38" s="266"/>
      <c r="F38" s="266"/>
      <c r="G38" s="266"/>
      <c r="H38" s="266"/>
      <c r="I38" s="266"/>
      <c r="J38" s="266"/>
      <c r="K38" s="266"/>
      <c r="L38" s="266"/>
      <c r="M38" s="266"/>
      <c r="N38" s="266"/>
      <c r="O38" s="266"/>
      <c r="P38" s="266"/>
      <c r="R38" s="269">
        <f>Data!B34</f>
        <v>0</v>
      </c>
      <c r="S38" s="267"/>
      <c r="T38" s="267"/>
      <c r="U38" s="267"/>
      <c r="V38" s="267"/>
      <c r="W38" s="267"/>
      <c r="X38" s="267"/>
      <c r="Y38" s="267"/>
      <c r="AA38" s="266"/>
      <c r="AB38" s="266"/>
      <c r="AC38" s="266"/>
      <c r="AD38" s="266"/>
      <c r="AE38" s="266"/>
      <c r="AF38" s="266"/>
      <c r="AG38" s="266"/>
      <c r="AH38" s="266"/>
      <c r="AI38" s="266"/>
      <c r="AJ38" s="266"/>
      <c r="AK38" s="266"/>
      <c r="AL38" s="266"/>
    </row>
    <row r="39" spans="1:38" ht="14.25" customHeight="1" x14ac:dyDescent="0.2">
      <c r="A39" t="s">
        <v>616</v>
      </c>
      <c r="R39" t="s">
        <v>368</v>
      </c>
      <c r="AA39" t="s">
        <v>747</v>
      </c>
    </row>
    <row r="40" spans="1:38" ht="14.25" customHeight="1" x14ac:dyDescent="0.2">
      <c r="A40" s="240"/>
      <c r="B40" s="240"/>
      <c r="C40" s="240"/>
      <c r="D40" s="240"/>
      <c r="E40" s="240"/>
      <c r="F40" s="240"/>
      <c r="G40" s="240"/>
      <c r="H40" s="240"/>
      <c r="I40" s="240"/>
      <c r="J40" s="240"/>
      <c r="K40" s="240"/>
      <c r="L40" s="240"/>
      <c r="M40" s="240"/>
      <c r="N40" s="240"/>
      <c r="O40" s="240"/>
      <c r="P40" s="240"/>
    </row>
    <row r="41" spans="1:38" ht="14.25" customHeight="1" x14ac:dyDescent="0.2">
      <c r="A41" s="240"/>
      <c r="B41" s="240"/>
      <c r="C41" s="240"/>
      <c r="D41" s="240"/>
      <c r="E41" s="240"/>
      <c r="F41" s="240"/>
      <c r="G41" s="240"/>
      <c r="H41" s="240"/>
      <c r="I41" s="240"/>
      <c r="J41" s="240"/>
      <c r="K41" s="240"/>
      <c r="L41" s="240"/>
      <c r="M41" s="240"/>
      <c r="N41" s="240"/>
      <c r="O41" s="240"/>
      <c r="P41" s="240"/>
    </row>
    <row r="42" spans="1:38" ht="14.25" customHeight="1" x14ac:dyDescent="0.2">
      <c r="A42" s="266"/>
      <c r="B42" s="266"/>
      <c r="C42" s="266"/>
      <c r="D42" s="266"/>
      <c r="E42" s="266"/>
      <c r="F42" s="266"/>
      <c r="G42" s="266"/>
      <c r="H42" s="266"/>
      <c r="I42" s="266"/>
      <c r="J42" s="266"/>
      <c r="K42" s="266"/>
      <c r="L42" s="266"/>
      <c r="M42" s="266"/>
      <c r="N42" s="266"/>
      <c r="O42" s="266"/>
      <c r="P42" s="266"/>
      <c r="R42" s="267">
        <f>Data!B175</f>
        <v>0</v>
      </c>
      <c r="S42" s="267"/>
      <c r="T42" s="267"/>
      <c r="U42" s="267"/>
      <c r="V42" s="267"/>
      <c r="W42" s="267"/>
      <c r="X42" s="267"/>
      <c r="Y42" s="267"/>
      <c r="Z42" s="267"/>
      <c r="AA42" s="267"/>
      <c r="AB42" s="267"/>
      <c r="AC42" s="267"/>
      <c r="AD42" s="267"/>
      <c r="AE42" s="267"/>
    </row>
    <row r="43" spans="1:38" ht="14.25" customHeight="1" x14ac:dyDescent="0.2">
      <c r="A43" t="s">
        <v>617</v>
      </c>
      <c r="R43" t="s">
        <v>369</v>
      </c>
    </row>
  </sheetData>
  <mergeCells count="40">
    <mergeCell ref="A35:AL35"/>
    <mergeCell ref="A29:AL29"/>
    <mergeCell ref="A30:AL31"/>
    <mergeCell ref="X32:AL32"/>
    <mergeCell ref="AF33:AJ33"/>
    <mergeCell ref="Q34:R34"/>
    <mergeCell ref="U34:V34"/>
    <mergeCell ref="Y34:Z34"/>
    <mergeCell ref="AC34:AD34"/>
    <mergeCell ref="A36:P38"/>
    <mergeCell ref="AA36:AL38"/>
    <mergeCell ref="R38:Y38"/>
    <mergeCell ref="A40:P42"/>
    <mergeCell ref="R42:AE42"/>
    <mergeCell ref="F1:U1"/>
    <mergeCell ref="Y1:AE1"/>
    <mergeCell ref="A2:AL3"/>
    <mergeCell ref="U5:W5"/>
    <mergeCell ref="A16:AL17"/>
    <mergeCell ref="A8:AL8"/>
    <mergeCell ref="H9:N9"/>
    <mergeCell ref="S9:Z9"/>
    <mergeCell ref="AE9:AL9"/>
    <mergeCell ref="D10:Z10"/>
    <mergeCell ref="D11:V11"/>
    <mergeCell ref="AG11:AL11"/>
    <mergeCell ref="J12:AL12"/>
    <mergeCell ref="AD6:AF6"/>
    <mergeCell ref="AE7:AK7"/>
    <mergeCell ref="A13:AL15"/>
    <mergeCell ref="AD5:AF5"/>
    <mergeCell ref="U6:W6"/>
    <mergeCell ref="H28:T28"/>
    <mergeCell ref="X28:AC28"/>
    <mergeCell ref="AH28:AL28"/>
    <mergeCell ref="A18:AL20"/>
    <mergeCell ref="A21:AL21"/>
    <mergeCell ref="A22:AL23"/>
    <mergeCell ref="L24:Q24"/>
    <mergeCell ref="I26:P26"/>
  </mergeCells>
  <pageMargins left="0.25" right="0.25" top="0.75" bottom="0.75" header="0.3" footer="0.3"/>
  <pageSetup orientation="portrait" r:id="rId1"/>
  <headerFooter>
    <oddHeader>&amp;L&amp;G&amp;RCost Share Financial Agreement</oddHeader>
    <oddFooter>&amp;LPS&amp;C3088 Mercer University Drive Suite 100 Atlanta, GA 30341
678-310-6305 Fax 404-935-6110&amp;RM</oddFooter>
  </headerFooter>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4CF61-DDAA-4AD2-8F1E-31749285965D}">
  <sheetPr codeName="Sheet77">
    <tabColor rgb="FF7030A0"/>
  </sheetPr>
  <dimension ref="A1:AM43"/>
  <sheetViews>
    <sheetView showZeros="0" view="pageLayout" zoomScaleNormal="100" workbookViewId="0">
      <selection activeCell="X28" sqref="X28:AC28"/>
    </sheetView>
  </sheetViews>
  <sheetFormatPr defaultColWidth="2.7109375" defaultRowHeight="14.25" customHeight="1" x14ac:dyDescent="0.2"/>
  <sheetData>
    <row r="1" spans="1:39" ht="14.25" customHeight="1" x14ac:dyDescent="0.2">
      <c r="A1" t="s">
        <v>336</v>
      </c>
      <c r="F1" s="219" t="str">
        <f>_xlfn.CONCAT(Data!B2,", ",Data!B3," ",Data!B4)</f>
        <v xml:space="preserve">,  </v>
      </c>
      <c r="G1" s="219"/>
      <c r="H1" s="219"/>
      <c r="I1" s="219"/>
      <c r="J1" s="219"/>
      <c r="K1" s="219"/>
      <c r="L1" s="219"/>
      <c r="M1" s="219"/>
      <c r="N1" s="219"/>
      <c r="O1" s="219"/>
      <c r="P1" s="219"/>
      <c r="Q1" s="219"/>
      <c r="R1" s="219"/>
      <c r="S1" s="219"/>
      <c r="T1" s="219"/>
      <c r="U1" s="219"/>
      <c r="W1" t="s">
        <v>371</v>
      </c>
      <c r="Y1" s="218">
        <f>Data!B14</f>
        <v>0</v>
      </c>
      <c r="Z1" s="219"/>
      <c r="AA1" s="219"/>
      <c r="AB1" s="219"/>
      <c r="AC1" s="219"/>
      <c r="AD1" s="219"/>
      <c r="AE1" s="219"/>
    </row>
    <row r="2" spans="1:39" ht="14.25" customHeight="1" x14ac:dyDescent="0.2">
      <c r="A2" s="493" t="s">
        <v>3366</v>
      </c>
      <c r="B2" s="493"/>
      <c r="C2" s="493"/>
      <c r="D2" s="493"/>
      <c r="E2" s="493"/>
      <c r="F2" s="493"/>
      <c r="G2" s="493"/>
      <c r="H2" s="493"/>
      <c r="I2" s="493"/>
      <c r="J2" s="493"/>
      <c r="K2" s="493"/>
      <c r="L2" s="493"/>
      <c r="M2" s="493"/>
      <c r="N2" s="493"/>
      <c r="O2" s="493"/>
      <c r="P2" s="493"/>
      <c r="Q2" s="493"/>
      <c r="R2" s="493"/>
      <c r="S2" s="493"/>
      <c r="T2" s="493"/>
      <c r="U2" s="493"/>
      <c r="V2" s="493"/>
      <c r="W2" s="493"/>
      <c r="X2" s="493"/>
      <c r="Y2" s="493"/>
      <c r="Z2" s="493"/>
      <c r="AA2" s="493"/>
      <c r="AB2" s="493"/>
      <c r="AC2" s="493"/>
      <c r="AD2" s="493"/>
      <c r="AE2" s="493"/>
      <c r="AF2" s="493"/>
      <c r="AG2" s="493"/>
      <c r="AH2" s="493"/>
      <c r="AI2" s="493"/>
      <c r="AJ2" s="493"/>
      <c r="AK2" s="493"/>
      <c r="AL2" s="493"/>
      <c r="AM2" s="109"/>
    </row>
    <row r="3" spans="1:39" ht="13.5" customHeight="1" x14ac:dyDescent="0.2">
      <c r="A3" s="493"/>
      <c r="B3" s="493"/>
      <c r="C3" s="493"/>
      <c r="D3" s="493"/>
      <c r="E3" s="493"/>
      <c r="F3" s="493"/>
      <c r="G3" s="493"/>
      <c r="H3" s="493"/>
      <c r="I3" s="493"/>
      <c r="J3" s="493"/>
      <c r="K3" s="493"/>
      <c r="L3" s="493"/>
      <c r="M3" s="493"/>
      <c r="N3" s="493"/>
      <c r="O3" s="493"/>
      <c r="P3" s="493"/>
      <c r="Q3" s="493"/>
      <c r="R3" s="493"/>
      <c r="S3" s="493"/>
      <c r="T3" s="493"/>
      <c r="U3" s="493"/>
      <c r="V3" s="493"/>
      <c r="W3" s="493"/>
      <c r="X3" s="493"/>
      <c r="Y3" s="493"/>
      <c r="Z3" s="493"/>
      <c r="AA3" s="493"/>
      <c r="AB3" s="493"/>
      <c r="AC3" s="493"/>
      <c r="AD3" s="493"/>
      <c r="AE3" s="493"/>
      <c r="AF3" s="493"/>
      <c r="AG3" s="493"/>
      <c r="AH3" s="493"/>
      <c r="AI3" s="493"/>
      <c r="AJ3" s="493"/>
      <c r="AK3" s="493"/>
      <c r="AL3" s="493"/>
      <c r="AM3" s="109"/>
    </row>
    <row r="4" spans="1:39" ht="18.75" customHeight="1" x14ac:dyDescent="0.2">
      <c r="A4" t="s">
        <v>2951</v>
      </c>
      <c r="K4" s="476">
        <f>Data!B107</f>
        <v>0</v>
      </c>
      <c r="L4" s="476"/>
      <c r="M4" s="476"/>
      <c r="N4" s="476"/>
      <c r="O4" s="476"/>
      <c r="P4" s="4"/>
      <c r="Q4" s="4"/>
      <c r="R4" s="4"/>
      <c r="U4" t="s">
        <v>2947</v>
      </c>
      <c r="AG4" s="476">
        <f>Data!G104</f>
        <v>0</v>
      </c>
      <c r="AH4" s="476"/>
      <c r="AI4" s="476"/>
      <c r="AJ4" s="476"/>
      <c r="AK4" s="476"/>
      <c r="AM4" s="110"/>
    </row>
    <row r="5" spans="1:39" ht="14.25" customHeight="1" x14ac:dyDescent="0.2">
      <c r="A5" t="s">
        <v>2946</v>
      </c>
      <c r="J5" s="128"/>
      <c r="K5" s="476">
        <f>Data!B106</f>
        <v>0</v>
      </c>
      <c r="L5" s="476"/>
      <c r="M5" s="476"/>
      <c r="N5" s="476"/>
      <c r="O5" s="476"/>
      <c r="U5" t="s">
        <v>2948</v>
      </c>
      <c r="AG5" s="476">
        <f>Data!G105</f>
        <v>0</v>
      </c>
      <c r="AH5" s="476"/>
      <c r="AI5" s="476"/>
      <c r="AJ5" s="476"/>
      <c r="AK5" s="476"/>
      <c r="AM5" s="29"/>
    </row>
    <row r="6" spans="1:39" ht="14.25" customHeight="1" x14ac:dyDescent="0.2">
      <c r="A6" t="s">
        <v>2950</v>
      </c>
      <c r="I6" s="129"/>
      <c r="J6" s="129"/>
      <c r="K6" s="483">
        <f>Data!B108</f>
        <v>0</v>
      </c>
      <c r="L6" s="476"/>
      <c r="M6" s="476"/>
      <c r="N6" s="476"/>
      <c r="O6" s="476"/>
      <c r="U6" t="s">
        <v>2949</v>
      </c>
      <c r="AG6" s="483">
        <f>Data!B105</f>
        <v>0</v>
      </c>
      <c r="AH6" s="476"/>
      <c r="AI6" s="476"/>
      <c r="AJ6" s="476"/>
      <c r="AK6" s="476"/>
      <c r="AM6" s="29"/>
    </row>
    <row r="7" spans="1:39" ht="27" customHeight="1" x14ac:dyDescent="0.2">
      <c r="A7" s="349" t="s">
        <v>3290</v>
      </c>
      <c r="B7" s="349"/>
      <c r="C7" s="349"/>
      <c r="D7" s="349"/>
      <c r="E7" s="349"/>
      <c r="F7" s="349"/>
      <c r="G7" s="349"/>
      <c r="H7" s="349"/>
      <c r="I7" s="349"/>
      <c r="J7" s="349"/>
      <c r="K7" s="349"/>
      <c r="L7" s="349"/>
      <c r="M7" s="349"/>
      <c r="N7" s="349"/>
      <c r="O7" s="349"/>
      <c r="P7" s="349"/>
      <c r="Q7" s="349"/>
      <c r="R7" s="349"/>
      <c r="S7" s="349"/>
      <c r="T7" s="349"/>
      <c r="U7" s="349"/>
      <c r="V7" s="349"/>
      <c r="W7" s="349"/>
      <c r="X7" s="349"/>
      <c r="Y7" s="349"/>
      <c r="Z7" s="349"/>
      <c r="AA7" s="349"/>
      <c r="AB7" s="349"/>
      <c r="AC7" s="349"/>
      <c r="AD7" s="349"/>
      <c r="AE7" s="349"/>
      <c r="AF7" s="349"/>
      <c r="AG7" s="349"/>
      <c r="AH7" s="349"/>
      <c r="AI7" s="349"/>
      <c r="AJ7" s="349"/>
      <c r="AK7" s="349"/>
      <c r="AL7" s="349"/>
      <c r="AM7" s="29"/>
    </row>
    <row r="8" spans="1:39" ht="14.25" customHeight="1" x14ac:dyDescent="0.2">
      <c r="A8" s="340" t="s">
        <v>726</v>
      </c>
      <c r="B8" s="340"/>
      <c r="C8" s="340"/>
      <c r="D8" s="340"/>
      <c r="E8" s="340"/>
      <c r="F8" s="340"/>
      <c r="G8" s="340"/>
      <c r="H8" s="340"/>
      <c r="I8" s="340"/>
      <c r="J8" s="340"/>
      <c r="K8" s="340"/>
      <c r="L8" s="340"/>
      <c r="M8" s="340"/>
      <c r="N8" s="340"/>
      <c r="O8" s="340"/>
      <c r="P8" s="340"/>
      <c r="Q8" s="340"/>
      <c r="R8" s="340"/>
      <c r="S8" s="340"/>
      <c r="T8" s="340"/>
      <c r="U8" s="340"/>
      <c r="V8" s="340"/>
      <c r="W8" s="340"/>
      <c r="X8" s="340"/>
      <c r="Y8" s="340"/>
      <c r="Z8" s="340"/>
      <c r="AA8" s="340"/>
      <c r="AB8" s="340"/>
      <c r="AC8" s="340"/>
      <c r="AD8" s="340"/>
      <c r="AE8" s="340"/>
      <c r="AF8" s="340"/>
      <c r="AG8" s="340"/>
      <c r="AH8" s="340"/>
      <c r="AI8" s="340"/>
      <c r="AJ8" s="340"/>
      <c r="AK8" s="340"/>
      <c r="AL8" s="340"/>
    </row>
    <row r="9" spans="1:39" ht="14.25" customHeight="1" x14ac:dyDescent="0.2">
      <c r="A9" t="s">
        <v>727</v>
      </c>
      <c r="H9" s="233">
        <f>Data!B110</f>
        <v>0</v>
      </c>
      <c r="I9" s="233"/>
      <c r="J9" s="233"/>
      <c r="K9" s="233"/>
      <c r="L9" s="233"/>
      <c r="M9" s="233"/>
      <c r="N9" s="233"/>
      <c r="P9" t="s">
        <v>342</v>
      </c>
      <c r="S9" s="233">
        <f>IF(Data!B110="self",F1,Data!B111)</f>
        <v>0</v>
      </c>
      <c r="T9" s="233"/>
      <c r="U9" s="233"/>
      <c r="V9" s="233"/>
      <c r="W9" s="233"/>
      <c r="X9" s="233"/>
      <c r="Y9" s="233"/>
      <c r="Z9" s="233"/>
      <c r="AB9" t="s">
        <v>348</v>
      </c>
      <c r="AE9" s="472">
        <f>Data!B113</f>
        <v>0</v>
      </c>
      <c r="AF9" s="472"/>
      <c r="AG9" s="472"/>
      <c r="AH9" s="472"/>
      <c r="AI9" s="472"/>
      <c r="AJ9" s="472"/>
      <c r="AK9" s="472"/>
      <c r="AL9" s="472"/>
    </row>
    <row r="10" spans="1:39" ht="14.25" customHeight="1" x14ac:dyDescent="0.2">
      <c r="A10" t="s">
        <v>343</v>
      </c>
      <c r="D10" s="233">
        <f>Data!B112</f>
        <v>0</v>
      </c>
      <c r="E10" s="233"/>
      <c r="F10" s="233"/>
      <c r="G10" s="233"/>
      <c r="H10" s="233"/>
      <c r="I10" s="233"/>
      <c r="J10" s="233"/>
      <c r="K10" s="233"/>
      <c r="L10" s="233"/>
      <c r="M10" s="233"/>
      <c r="N10" s="233"/>
      <c r="O10" s="233"/>
      <c r="P10" s="233"/>
      <c r="Q10" s="233"/>
      <c r="R10" s="233"/>
      <c r="S10" s="233"/>
      <c r="T10" s="233"/>
      <c r="U10" s="233"/>
      <c r="V10" s="233"/>
      <c r="W10" s="233"/>
      <c r="X10" s="233"/>
      <c r="Y10" s="233"/>
      <c r="Z10" s="233"/>
    </row>
    <row r="11" spans="1:39" ht="14.25" customHeight="1" x14ac:dyDescent="0.2">
      <c r="A11" t="s">
        <v>715</v>
      </c>
      <c r="D11" s="233">
        <f>Data!B114</f>
        <v>0</v>
      </c>
      <c r="E11" s="233"/>
      <c r="F11" s="233"/>
      <c r="G11" s="233"/>
      <c r="H11" s="233"/>
      <c r="I11" s="233"/>
      <c r="J11" s="233"/>
      <c r="K11" s="233"/>
      <c r="L11" s="233"/>
      <c r="M11" s="233"/>
      <c r="N11" s="233"/>
      <c r="O11" s="233"/>
      <c r="P11" s="233"/>
      <c r="Q11" s="233"/>
      <c r="R11" s="233"/>
      <c r="S11" s="233"/>
      <c r="T11" s="233"/>
      <c r="U11" s="233"/>
      <c r="V11" s="233"/>
      <c r="W11" t="s">
        <v>730</v>
      </c>
      <c r="AG11" s="233" t="str">
        <f>IF(Data!B115=TRUE,"Check","Credit Card")</f>
        <v>Credit Card</v>
      </c>
      <c r="AH11" s="233"/>
      <c r="AI11" s="233"/>
      <c r="AJ11" s="233"/>
      <c r="AK11" s="233"/>
      <c r="AL11" s="233"/>
    </row>
    <row r="12" spans="1:39" ht="14.25" customHeight="1" x14ac:dyDescent="0.2">
      <c r="A12" t="s">
        <v>728</v>
      </c>
      <c r="J12" s="233">
        <f>Data!B117</f>
        <v>0</v>
      </c>
      <c r="K12" s="233"/>
      <c r="L12" s="233"/>
      <c r="M12" s="233"/>
      <c r="N12" s="233"/>
      <c r="O12" s="233"/>
      <c r="P12" s="233"/>
      <c r="Q12" s="233"/>
      <c r="R12" s="233"/>
      <c r="S12" s="233"/>
      <c r="T12" s="233"/>
      <c r="U12" s="233"/>
      <c r="V12" s="233"/>
      <c r="W12" s="233"/>
      <c r="X12" s="233"/>
      <c r="Y12" s="233"/>
      <c r="Z12" s="233"/>
      <c r="AA12" s="233"/>
      <c r="AB12" s="233"/>
      <c r="AC12" s="233"/>
      <c r="AD12" s="233"/>
      <c r="AE12" s="233"/>
      <c r="AF12" s="233"/>
      <c r="AG12" s="233"/>
      <c r="AH12" s="233"/>
      <c r="AI12" s="233"/>
      <c r="AJ12" s="233"/>
      <c r="AK12" s="233"/>
      <c r="AL12" s="233"/>
      <c r="AM12" s="4"/>
    </row>
    <row r="13" spans="1:39" ht="14.25" customHeight="1" x14ac:dyDescent="0.2">
      <c r="A13" s="260" t="s">
        <v>729</v>
      </c>
      <c r="B13" s="260"/>
      <c r="C13" s="260"/>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c r="AE13" s="260"/>
      <c r="AF13" s="260"/>
      <c r="AG13" s="260"/>
      <c r="AH13" s="260"/>
      <c r="AI13" s="260"/>
      <c r="AJ13" s="260"/>
      <c r="AK13" s="260"/>
      <c r="AL13" s="260"/>
      <c r="AM13" s="14"/>
    </row>
    <row r="14" spans="1:39" ht="14.25" customHeight="1" x14ac:dyDescent="0.2">
      <c r="A14" s="260"/>
      <c r="B14" s="260"/>
      <c r="C14" s="260"/>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c r="AE14" s="260"/>
      <c r="AF14" s="260"/>
      <c r="AG14" s="260"/>
      <c r="AH14" s="260"/>
      <c r="AI14" s="260"/>
      <c r="AJ14" s="260"/>
      <c r="AK14" s="260"/>
      <c r="AL14" s="260"/>
      <c r="AM14" s="14"/>
    </row>
    <row r="15" spans="1:39" ht="14.25" customHeight="1" x14ac:dyDescent="0.2">
      <c r="A15" s="260"/>
      <c r="B15" s="260"/>
      <c r="C15" s="260"/>
      <c r="D15" s="260"/>
      <c r="E15" s="260"/>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c r="AE15" s="260"/>
      <c r="AF15" s="260"/>
      <c r="AG15" s="260"/>
      <c r="AH15" s="260"/>
      <c r="AI15" s="260"/>
      <c r="AJ15" s="260"/>
      <c r="AK15" s="260"/>
      <c r="AL15" s="260"/>
      <c r="AM15" s="14"/>
    </row>
    <row r="16" spans="1:39" ht="14.25" customHeight="1" x14ac:dyDescent="0.2">
      <c r="A16" s="260" t="s">
        <v>3400</v>
      </c>
      <c r="B16" s="260"/>
      <c r="C16" s="260"/>
      <c r="D16" s="260"/>
      <c r="E16" s="260"/>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c r="AE16" s="260"/>
      <c r="AF16" s="260"/>
      <c r="AG16" s="260"/>
      <c r="AH16" s="260"/>
      <c r="AI16" s="260"/>
      <c r="AJ16" s="260"/>
      <c r="AK16" s="260"/>
      <c r="AL16" s="260"/>
      <c r="AM16" s="14"/>
    </row>
    <row r="17" spans="1:39" ht="14.25" customHeight="1" x14ac:dyDescent="0.2">
      <c r="A17" s="260"/>
      <c r="B17" s="260"/>
      <c r="C17" s="260"/>
      <c r="D17" s="260"/>
      <c r="E17" s="260"/>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c r="AE17" s="260"/>
      <c r="AF17" s="260"/>
      <c r="AG17" s="260"/>
      <c r="AH17" s="260"/>
      <c r="AI17" s="260"/>
      <c r="AJ17" s="260"/>
      <c r="AK17" s="260"/>
      <c r="AL17" s="260"/>
      <c r="AM17" s="14"/>
    </row>
    <row r="18" spans="1:39" ht="14.25" customHeight="1" x14ac:dyDescent="0.2">
      <c r="A18" s="260" t="s">
        <v>3367</v>
      </c>
      <c r="B18" s="260"/>
      <c r="C18" s="260"/>
      <c r="D18" s="260"/>
      <c r="E18" s="260"/>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c r="AE18" s="260"/>
      <c r="AF18" s="260"/>
      <c r="AG18" s="260"/>
      <c r="AH18" s="260"/>
      <c r="AI18" s="260"/>
      <c r="AJ18" s="260"/>
      <c r="AK18" s="260"/>
      <c r="AL18" s="260"/>
      <c r="AM18" s="14"/>
    </row>
    <row r="19" spans="1:39" ht="14.25" customHeight="1" x14ac:dyDescent="0.2">
      <c r="A19" s="260"/>
      <c r="B19" s="260"/>
      <c r="C19" s="260"/>
      <c r="D19" s="260"/>
      <c r="E19" s="260"/>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c r="AE19" s="260"/>
      <c r="AF19" s="260"/>
      <c r="AG19" s="260"/>
      <c r="AH19" s="260"/>
      <c r="AI19" s="260"/>
      <c r="AJ19" s="260"/>
      <c r="AK19" s="260"/>
      <c r="AL19" s="260"/>
      <c r="AM19" s="14"/>
    </row>
    <row r="20" spans="1:39" ht="24" customHeight="1" x14ac:dyDescent="0.2">
      <c r="A20" s="260"/>
      <c r="B20" s="260"/>
      <c r="C20" s="260"/>
      <c r="D20" s="260"/>
      <c r="E20" s="260"/>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c r="AE20" s="260"/>
      <c r="AF20" s="260"/>
      <c r="AG20" s="260"/>
      <c r="AH20" s="260"/>
      <c r="AI20" s="260"/>
      <c r="AJ20" s="260"/>
      <c r="AK20" s="260"/>
      <c r="AL20" s="260"/>
      <c r="AM20" s="14"/>
    </row>
    <row r="21" spans="1:39" ht="14.25" customHeight="1" x14ac:dyDescent="0.2">
      <c r="A21" s="340" t="s">
        <v>731</v>
      </c>
      <c r="B21" s="340"/>
      <c r="C21" s="340"/>
      <c r="D21" s="340"/>
      <c r="E21" s="340"/>
      <c r="F21" s="340"/>
      <c r="G21" s="340"/>
      <c r="H21" s="340"/>
      <c r="I21" s="340"/>
      <c r="J21" s="340"/>
      <c r="K21" s="340"/>
      <c r="L21" s="340"/>
      <c r="M21" s="340"/>
      <c r="N21" s="340"/>
      <c r="O21" s="340"/>
      <c r="P21" s="340"/>
      <c r="Q21" s="340"/>
      <c r="R21" s="340"/>
      <c r="S21" s="340"/>
      <c r="T21" s="340"/>
      <c r="U21" s="340"/>
      <c r="V21" s="340"/>
      <c r="W21" s="340"/>
      <c r="X21" s="340"/>
      <c r="Y21" s="340"/>
      <c r="Z21" s="340"/>
      <c r="AA21" s="340"/>
      <c r="AB21" s="340"/>
      <c r="AC21" s="340"/>
      <c r="AD21" s="340"/>
      <c r="AE21" s="340"/>
      <c r="AF21" s="340"/>
      <c r="AG21" s="340"/>
      <c r="AH21" s="340"/>
      <c r="AI21" s="340"/>
      <c r="AJ21" s="340"/>
      <c r="AK21" s="340"/>
      <c r="AL21" s="340"/>
    </row>
    <row r="22" spans="1:39" ht="14.25" customHeight="1" x14ac:dyDescent="0.2">
      <c r="A22" s="260" t="s">
        <v>732</v>
      </c>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c r="AE22" s="260"/>
      <c r="AF22" s="260"/>
      <c r="AG22" s="260"/>
      <c r="AH22" s="260"/>
      <c r="AI22" s="260"/>
      <c r="AJ22" s="260"/>
      <c r="AK22" s="260"/>
      <c r="AL22" s="260"/>
      <c r="AM22" s="14"/>
    </row>
    <row r="23" spans="1:39" ht="14.25" customHeight="1" x14ac:dyDescent="0.2">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c r="AE23" s="260"/>
      <c r="AF23" s="260"/>
      <c r="AG23" s="260"/>
      <c r="AH23" s="260"/>
      <c r="AI23" s="260"/>
      <c r="AJ23" s="260"/>
      <c r="AK23" s="260"/>
      <c r="AL23" s="260"/>
      <c r="AM23" s="14"/>
    </row>
    <row r="24" spans="1:39" ht="14.25" customHeight="1" x14ac:dyDescent="0.2">
      <c r="A24" t="s">
        <v>2952</v>
      </c>
      <c r="L24" s="474">
        <f>SCHDualMPP!F10</f>
        <v>0</v>
      </c>
      <c r="M24" s="219"/>
      <c r="N24" s="219"/>
      <c r="O24" s="219"/>
      <c r="P24" s="219"/>
      <c r="Q24" s="219"/>
    </row>
    <row r="25" spans="1:39" ht="14.25" customHeight="1" x14ac:dyDescent="0.2">
      <c r="A25" t="s">
        <v>3287</v>
      </c>
      <c r="H25" s="497">
        <f>IF(Data!B1693=TRUE,Data!B1694,"N/A")</f>
        <v>100</v>
      </c>
      <c r="I25" s="497"/>
      <c r="J25" s="497"/>
      <c r="K25" s="497"/>
      <c r="L25" s="497"/>
      <c r="M25" s="497"/>
      <c r="N25" s="497"/>
      <c r="P25" t="s">
        <v>3288</v>
      </c>
    </row>
    <row r="26" spans="1:39" ht="14.25" customHeight="1" x14ac:dyDescent="0.2">
      <c r="A26" t="s">
        <v>3289</v>
      </c>
      <c r="I26" s="128"/>
      <c r="J26" s="4"/>
      <c r="K26" s="476">
        <f>SCHDualMPP!N26</f>
        <v>0</v>
      </c>
      <c r="L26" s="476"/>
      <c r="M26" s="476"/>
      <c r="N26" s="476"/>
      <c r="O26" s="476"/>
      <c r="P26" s="476"/>
      <c r="R26" t="s">
        <v>2953</v>
      </c>
    </row>
    <row r="27" spans="1:39" ht="14.25" customHeight="1" x14ac:dyDescent="0.2">
      <c r="A27" t="s">
        <v>771</v>
      </c>
      <c r="I27" s="476">
        <f>SUM(SCHDualMPP!N26+Data!B1694)</f>
        <v>100</v>
      </c>
      <c r="J27" s="476"/>
      <c r="K27" s="476"/>
      <c r="L27" s="476"/>
      <c r="M27" s="476"/>
      <c r="N27" s="476"/>
    </row>
    <row r="28" spans="1:39" ht="14.25" customHeight="1" x14ac:dyDescent="0.2">
      <c r="A28" s="4" t="s">
        <v>1261</v>
      </c>
      <c r="H28" s="276"/>
      <c r="I28" s="276"/>
      <c r="J28" s="276"/>
      <c r="K28" s="276"/>
      <c r="L28" s="276"/>
      <c r="M28" s="276"/>
      <c r="N28" s="276"/>
      <c r="O28" s="276"/>
      <c r="P28" s="276"/>
      <c r="Q28" s="276"/>
      <c r="R28" s="276"/>
      <c r="S28" s="276"/>
      <c r="T28" s="276"/>
      <c r="U28" s="4" t="s">
        <v>733</v>
      </c>
      <c r="X28" s="266"/>
      <c r="Y28" s="266"/>
      <c r="Z28" s="266"/>
      <c r="AA28" s="266"/>
      <c r="AB28" s="266"/>
      <c r="AC28" s="266"/>
      <c r="AE28" s="4" t="s">
        <v>734</v>
      </c>
      <c r="AH28" s="266"/>
      <c r="AI28" s="266"/>
      <c r="AJ28" s="266"/>
      <c r="AK28" s="266"/>
      <c r="AL28" s="266"/>
    </row>
    <row r="29" spans="1:39" ht="14.25" customHeight="1" x14ac:dyDescent="0.2">
      <c r="A29" s="340" t="s">
        <v>1485</v>
      </c>
      <c r="B29" s="340"/>
      <c r="C29" s="340"/>
      <c r="D29" s="340"/>
      <c r="E29" s="340"/>
      <c r="F29" s="340"/>
      <c r="G29" s="340"/>
      <c r="H29" s="340"/>
      <c r="I29" s="340"/>
      <c r="J29" s="340"/>
      <c r="K29" s="340"/>
      <c r="L29" s="340"/>
      <c r="M29" s="340"/>
      <c r="N29" s="340"/>
      <c r="O29" s="340"/>
      <c r="P29" s="340"/>
      <c r="Q29" s="340"/>
      <c r="R29" s="340"/>
      <c r="S29" s="340"/>
      <c r="T29" s="340"/>
      <c r="U29" s="340"/>
      <c r="V29" s="340"/>
      <c r="W29" s="340"/>
      <c r="X29" s="340"/>
      <c r="Y29" s="340"/>
      <c r="Z29" s="340"/>
      <c r="AA29" s="340"/>
      <c r="AB29" s="340"/>
      <c r="AC29" s="340"/>
      <c r="AD29" s="340"/>
      <c r="AE29" s="340"/>
      <c r="AF29" s="340"/>
      <c r="AG29" s="340"/>
      <c r="AH29" s="340"/>
      <c r="AI29" s="340"/>
      <c r="AJ29" s="340"/>
      <c r="AK29" s="340"/>
      <c r="AL29" s="340"/>
    </row>
    <row r="30" spans="1:39" ht="14.25" customHeight="1" x14ac:dyDescent="0.2">
      <c r="A30" s="494" t="s">
        <v>1484</v>
      </c>
      <c r="B30" s="494"/>
      <c r="C30" s="494"/>
      <c r="D30" s="494"/>
      <c r="E30" s="494"/>
      <c r="F30" s="494"/>
      <c r="G30" s="494"/>
      <c r="H30" s="494"/>
      <c r="I30" s="494"/>
      <c r="J30" s="494"/>
      <c r="K30" s="494"/>
      <c r="L30" s="494"/>
      <c r="M30" s="494"/>
      <c r="N30" s="494"/>
      <c r="O30" s="494"/>
      <c r="P30" s="494"/>
      <c r="Q30" s="494"/>
      <c r="R30" s="494"/>
      <c r="S30" s="494"/>
      <c r="T30" s="494"/>
      <c r="U30" s="494"/>
      <c r="V30" s="494"/>
      <c r="W30" s="494"/>
      <c r="X30" s="494"/>
      <c r="Y30" s="494"/>
      <c r="Z30" s="494"/>
      <c r="AA30" s="494"/>
      <c r="AB30" s="494"/>
      <c r="AC30" s="494"/>
      <c r="AD30" s="494"/>
      <c r="AE30" s="494"/>
      <c r="AF30" s="494"/>
      <c r="AG30" s="494"/>
      <c r="AH30" s="494"/>
      <c r="AI30" s="494"/>
      <c r="AJ30" s="494"/>
      <c r="AK30" s="494"/>
      <c r="AL30" s="494"/>
      <c r="AM30" s="5"/>
    </row>
    <row r="31" spans="1:39" ht="14.25" customHeight="1" x14ac:dyDescent="0.2">
      <c r="A31" s="494"/>
      <c r="B31" s="494"/>
      <c r="C31" s="494"/>
      <c r="D31" s="494"/>
      <c r="E31" s="494"/>
      <c r="F31" s="494"/>
      <c r="G31" s="494"/>
      <c r="H31" s="494"/>
      <c r="I31" s="494"/>
      <c r="J31" s="494"/>
      <c r="K31" s="494"/>
      <c r="L31" s="494"/>
      <c r="M31" s="494"/>
      <c r="N31" s="494"/>
      <c r="O31" s="494"/>
      <c r="P31" s="494"/>
      <c r="Q31" s="494"/>
      <c r="R31" s="494"/>
      <c r="S31" s="494"/>
      <c r="T31" s="494"/>
      <c r="U31" s="494"/>
      <c r="V31" s="494"/>
      <c r="W31" s="494"/>
      <c r="X31" s="494"/>
      <c r="Y31" s="494"/>
      <c r="Z31" s="494"/>
      <c r="AA31" s="494"/>
      <c r="AB31" s="494"/>
      <c r="AC31" s="494"/>
      <c r="AD31" s="494"/>
      <c r="AE31" s="494"/>
      <c r="AF31" s="494"/>
      <c r="AG31" s="494"/>
      <c r="AH31" s="494"/>
      <c r="AI31" s="494"/>
      <c r="AJ31" s="494"/>
      <c r="AK31" s="494"/>
      <c r="AL31" s="494"/>
      <c r="AM31" s="5"/>
    </row>
    <row r="32" spans="1:39" ht="14.25" customHeight="1" x14ac:dyDescent="0.2">
      <c r="A32" t="s">
        <v>735</v>
      </c>
      <c r="X32" s="233">
        <f>Data!B111</f>
        <v>0</v>
      </c>
      <c r="Y32" s="233"/>
      <c r="Z32" s="233"/>
      <c r="AA32" s="233"/>
      <c r="AB32" s="233"/>
      <c r="AC32" s="233"/>
      <c r="AD32" s="233"/>
      <c r="AE32" s="233"/>
      <c r="AF32" s="233"/>
      <c r="AG32" s="233"/>
      <c r="AH32" s="233"/>
      <c r="AI32" s="233"/>
      <c r="AJ32" s="233"/>
      <c r="AK32" s="233"/>
      <c r="AL32" s="233"/>
    </row>
    <row r="33" spans="1:38" ht="27.75" customHeight="1" x14ac:dyDescent="0.2">
      <c r="A33" t="s">
        <v>736</v>
      </c>
      <c r="F33" s="1"/>
      <c r="G33" s="1"/>
      <c r="H33" s="1"/>
      <c r="I33" s="1"/>
      <c r="J33" s="1"/>
      <c r="K33" s="1"/>
      <c r="L33" s="1"/>
      <c r="M33" s="1"/>
      <c r="N33" s="1"/>
      <c r="O33" s="1"/>
      <c r="P33" s="1"/>
      <c r="Q33" s="1"/>
      <c r="R33" s="1"/>
      <c r="S33" s="1"/>
      <c r="T33" s="1"/>
      <c r="U33" s="1"/>
      <c r="W33" t="s">
        <v>737</v>
      </c>
      <c r="Y33" s="1"/>
      <c r="Z33" s="1"/>
      <c r="AA33" s="1"/>
      <c r="AB33" s="1"/>
      <c r="AD33" t="s">
        <v>738</v>
      </c>
      <c r="AF33" s="266"/>
      <c r="AG33" s="266"/>
      <c r="AH33" s="266"/>
      <c r="AI33" s="266"/>
      <c r="AJ33" s="266"/>
    </row>
    <row r="34" spans="1:38" ht="26.25" customHeight="1" x14ac:dyDescent="0.25">
      <c r="A34" t="s">
        <v>739</v>
      </c>
      <c r="F34" s="31"/>
      <c r="G34" s="31"/>
      <c r="H34" s="31"/>
      <c r="I34" s="31"/>
      <c r="J34" s="31"/>
      <c r="K34" s="31"/>
      <c r="M34" t="s">
        <v>740</v>
      </c>
      <c r="Q34" s="495" t="s">
        <v>741</v>
      </c>
      <c r="R34" s="495"/>
      <c r="S34" t="s">
        <v>742</v>
      </c>
      <c r="U34" s="496" t="s">
        <v>741</v>
      </c>
      <c r="V34" s="496"/>
      <c r="W34" t="s">
        <v>743</v>
      </c>
      <c r="Y34" s="495" t="s">
        <v>744</v>
      </c>
      <c r="Z34" s="495"/>
      <c r="AA34" t="s">
        <v>745</v>
      </c>
      <c r="AC34" s="496" t="s">
        <v>741</v>
      </c>
      <c r="AD34" s="496"/>
      <c r="AE34" t="s">
        <v>746</v>
      </c>
    </row>
    <row r="35" spans="1:38" ht="14.25" customHeight="1" x14ac:dyDescent="0.2">
      <c r="A35" s="300" t="s">
        <v>1486</v>
      </c>
      <c r="B35" s="300"/>
      <c r="C35" s="300"/>
      <c r="D35" s="300"/>
      <c r="E35" s="300"/>
      <c r="F35" s="300"/>
      <c r="G35" s="300"/>
      <c r="H35" s="300"/>
      <c r="I35" s="300"/>
      <c r="J35" s="300"/>
      <c r="K35" s="300"/>
      <c r="L35" s="300"/>
      <c r="M35" s="300"/>
      <c r="N35" s="300"/>
      <c r="O35" s="300"/>
      <c r="P35" s="300"/>
      <c r="Q35" s="300"/>
      <c r="R35" s="300"/>
      <c r="S35" s="300"/>
      <c r="T35" s="300"/>
      <c r="U35" s="300"/>
      <c r="V35" s="300"/>
      <c r="W35" s="300"/>
      <c r="X35" s="300"/>
      <c r="Y35" s="300"/>
      <c r="Z35" s="300"/>
      <c r="AA35" s="300"/>
      <c r="AB35" s="300"/>
      <c r="AC35" s="300"/>
      <c r="AD35" s="300"/>
      <c r="AE35" s="300"/>
      <c r="AF35" s="300"/>
      <c r="AG35" s="300"/>
      <c r="AH35" s="300"/>
      <c r="AI35" s="300"/>
      <c r="AJ35" s="300"/>
      <c r="AK35" s="300"/>
      <c r="AL35" s="300"/>
    </row>
    <row r="36" spans="1:38" ht="14.25" customHeight="1" x14ac:dyDescent="0.2">
      <c r="A36" s="240"/>
      <c r="B36" s="240"/>
      <c r="C36" s="240"/>
      <c r="D36" s="240"/>
      <c r="E36" s="240"/>
      <c r="F36" s="240"/>
      <c r="G36" s="240"/>
      <c r="H36" s="240"/>
      <c r="I36" s="240"/>
      <c r="J36" s="240"/>
      <c r="K36" s="240"/>
      <c r="L36" s="240"/>
      <c r="M36" s="240"/>
      <c r="N36" s="240"/>
      <c r="O36" s="240"/>
      <c r="P36" s="240"/>
      <c r="AA36" s="240"/>
      <c r="AB36" s="240"/>
      <c r="AC36" s="240"/>
      <c r="AD36" s="240"/>
      <c r="AE36" s="240"/>
      <c r="AF36" s="240"/>
      <c r="AG36" s="240"/>
      <c r="AH36" s="240"/>
      <c r="AI36" s="240"/>
      <c r="AJ36" s="240"/>
      <c r="AK36" s="240"/>
      <c r="AL36" s="240"/>
    </row>
    <row r="37" spans="1:38" ht="14.25" customHeight="1" x14ac:dyDescent="0.2">
      <c r="A37" s="240"/>
      <c r="B37" s="240"/>
      <c r="C37" s="240"/>
      <c r="D37" s="240"/>
      <c r="E37" s="240"/>
      <c r="F37" s="240"/>
      <c r="G37" s="240"/>
      <c r="H37" s="240"/>
      <c r="I37" s="240"/>
      <c r="J37" s="240"/>
      <c r="K37" s="240"/>
      <c r="L37" s="240"/>
      <c r="M37" s="240"/>
      <c r="N37" s="240"/>
      <c r="O37" s="240"/>
      <c r="P37" s="240"/>
      <c r="AA37" s="240"/>
      <c r="AB37" s="240"/>
      <c r="AC37" s="240"/>
      <c r="AD37" s="240"/>
      <c r="AE37" s="240"/>
      <c r="AF37" s="240"/>
      <c r="AG37" s="240"/>
      <c r="AH37" s="240"/>
      <c r="AI37" s="240"/>
      <c r="AJ37" s="240"/>
      <c r="AK37" s="240"/>
      <c r="AL37" s="240"/>
    </row>
    <row r="38" spans="1:38" ht="14.25" customHeight="1" x14ac:dyDescent="0.2">
      <c r="A38" s="266"/>
      <c r="B38" s="266"/>
      <c r="C38" s="266"/>
      <c r="D38" s="266"/>
      <c r="E38" s="266"/>
      <c r="F38" s="266"/>
      <c r="G38" s="266"/>
      <c r="H38" s="266"/>
      <c r="I38" s="266"/>
      <c r="J38" s="266"/>
      <c r="K38" s="266"/>
      <c r="L38" s="266"/>
      <c r="M38" s="266"/>
      <c r="N38" s="266"/>
      <c r="O38" s="266"/>
      <c r="P38" s="266"/>
      <c r="R38" s="269">
        <f>Data!B34</f>
        <v>0</v>
      </c>
      <c r="S38" s="267"/>
      <c r="T38" s="267"/>
      <c r="U38" s="267"/>
      <c r="V38" s="267"/>
      <c r="W38" s="267"/>
      <c r="X38" s="267"/>
      <c r="Y38" s="267"/>
      <c r="AA38" s="266"/>
      <c r="AB38" s="266"/>
      <c r="AC38" s="266"/>
      <c r="AD38" s="266"/>
      <c r="AE38" s="266"/>
      <c r="AF38" s="266"/>
      <c r="AG38" s="266"/>
      <c r="AH38" s="266"/>
      <c r="AI38" s="266"/>
      <c r="AJ38" s="266"/>
      <c r="AK38" s="266"/>
      <c r="AL38" s="266"/>
    </row>
    <row r="39" spans="1:38" ht="14.25" customHeight="1" x14ac:dyDescent="0.2">
      <c r="A39" t="s">
        <v>616</v>
      </c>
      <c r="R39" t="s">
        <v>368</v>
      </c>
      <c r="AA39" t="s">
        <v>747</v>
      </c>
    </row>
    <row r="40" spans="1:38" ht="14.25" customHeight="1" x14ac:dyDescent="0.2">
      <c r="A40" s="240"/>
      <c r="B40" s="240"/>
      <c r="C40" s="240"/>
      <c r="D40" s="240"/>
      <c r="E40" s="240"/>
      <c r="F40" s="240"/>
      <c r="G40" s="240"/>
      <c r="H40" s="240"/>
      <c r="I40" s="240"/>
      <c r="J40" s="240"/>
      <c r="K40" s="240"/>
      <c r="L40" s="240"/>
      <c r="M40" s="240"/>
      <c r="N40" s="240"/>
      <c r="O40" s="240"/>
      <c r="P40" s="240"/>
    </row>
    <row r="41" spans="1:38" ht="14.25" customHeight="1" x14ac:dyDescent="0.2">
      <c r="A41" s="240"/>
      <c r="B41" s="240"/>
      <c r="C41" s="240"/>
      <c r="D41" s="240"/>
      <c r="E41" s="240"/>
      <c r="F41" s="240"/>
      <c r="G41" s="240"/>
      <c r="H41" s="240"/>
      <c r="I41" s="240"/>
      <c r="J41" s="240"/>
      <c r="K41" s="240"/>
      <c r="L41" s="240"/>
      <c r="M41" s="240"/>
      <c r="N41" s="240"/>
      <c r="O41" s="240"/>
      <c r="P41" s="240"/>
    </row>
    <row r="42" spans="1:38" ht="14.25" customHeight="1" x14ac:dyDescent="0.2">
      <c r="A42" s="266"/>
      <c r="B42" s="266"/>
      <c r="C42" s="266"/>
      <c r="D42" s="266"/>
      <c r="E42" s="266"/>
      <c r="F42" s="266"/>
      <c r="G42" s="266"/>
      <c r="H42" s="266"/>
      <c r="I42" s="266"/>
      <c r="J42" s="266"/>
      <c r="K42" s="266"/>
      <c r="L42" s="266"/>
      <c r="M42" s="266"/>
      <c r="N42" s="266"/>
      <c r="O42" s="266"/>
      <c r="P42" s="266"/>
      <c r="R42" s="267">
        <f>Data!B175</f>
        <v>0</v>
      </c>
      <c r="S42" s="267"/>
      <c r="T42" s="267"/>
      <c r="U42" s="267"/>
      <c r="V42" s="267"/>
      <c r="W42" s="267"/>
      <c r="X42" s="267"/>
      <c r="Y42" s="267"/>
      <c r="Z42" s="267"/>
      <c r="AA42" s="267"/>
      <c r="AB42" s="267"/>
      <c r="AC42" s="267"/>
      <c r="AD42" s="267"/>
      <c r="AE42" s="267"/>
    </row>
    <row r="43" spans="1:38" ht="14.25" customHeight="1" x14ac:dyDescent="0.2">
      <c r="A43" t="s">
        <v>617</v>
      </c>
      <c r="R43" t="s">
        <v>369</v>
      </c>
    </row>
  </sheetData>
  <mergeCells count="44">
    <mergeCell ref="K5:O5"/>
    <mergeCell ref="AG5:AK5"/>
    <mergeCell ref="F1:U1"/>
    <mergeCell ref="Y1:AE1"/>
    <mergeCell ref="A2:AL3"/>
    <mergeCell ref="K4:O4"/>
    <mergeCell ref="AG4:AK4"/>
    <mergeCell ref="A16:AL17"/>
    <mergeCell ref="K6:O6"/>
    <mergeCell ref="AG6:AK6"/>
    <mergeCell ref="A7:AL7"/>
    <mergeCell ref="A8:AL8"/>
    <mergeCell ref="H9:N9"/>
    <mergeCell ref="S9:Z9"/>
    <mergeCell ref="AE9:AL9"/>
    <mergeCell ref="D10:Z10"/>
    <mergeCell ref="D11:V11"/>
    <mergeCell ref="AG11:AL11"/>
    <mergeCell ref="J12:AL12"/>
    <mergeCell ref="A13:AL15"/>
    <mergeCell ref="A30:AL31"/>
    <mergeCell ref="A18:AL20"/>
    <mergeCell ref="A21:AL21"/>
    <mergeCell ref="A22:AL23"/>
    <mergeCell ref="L24:Q24"/>
    <mergeCell ref="H25:N25"/>
    <mergeCell ref="K26:P26"/>
    <mergeCell ref="I27:N27"/>
    <mergeCell ref="H28:T28"/>
    <mergeCell ref="X28:AC28"/>
    <mergeCell ref="AH28:AL28"/>
    <mergeCell ref="A29:AL29"/>
    <mergeCell ref="X32:AL32"/>
    <mergeCell ref="AF33:AJ33"/>
    <mergeCell ref="Q34:R34"/>
    <mergeCell ref="U34:V34"/>
    <mergeCell ref="Y34:Z34"/>
    <mergeCell ref="AC34:AD34"/>
    <mergeCell ref="A35:AL35"/>
    <mergeCell ref="A36:P38"/>
    <mergeCell ref="AA36:AL38"/>
    <mergeCell ref="R38:Y38"/>
    <mergeCell ref="A40:P42"/>
    <mergeCell ref="R42:AE42"/>
  </mergeCells>
  <pageMargins left="0.25" right="0.25" top="0.75" bottom="0.75" header="0.3" footer="0.3"/>
  <pageSetup orientation="portrait" r:id="rId1"/>
  <headerFooter>
    <oddHeader>&amp;L&amp;G&amp;RFinancial Agreement</oddHeader>
    <oddFooter>&amp;LPS&amp;C3088 Mercer University Drive Suite 100 Atlanta, GA 30341
678-310-6305 Fax 404-935-6110&amp;RPP</oddFooter>
  </headerFooter>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7">
    <tabColor rgb="FF7030A0"/>
  </sheetPr>
  <dimension ref="A1:AM43"/>
  <sheetViews>
    <sheetView showZeros="0" view="pageLayout" topLeftCell="A4" zoomScaleNormal="100" workbookViewId="0">
      <selection activeCell="R38" sqref="R38:Y38"/>
    </sheetView>
  </sheetViews>
  <sheetFormatPr defaultColWidth="2.7109375" defaultRowHeight="14.25" customHeight="1" x14ac:dyDescent="0.2"/>
  <sheetData>
    <row r="1" spans="1:39" ht="14.25" customHeight="1" x14ac:dyDescent="0.2">
      <c r="A1" t="s">
        <v>336</v>
      </c>
      <c r="F1" s="219" t="str">
        <f>_xlfn.CONCAT(Data!B2,", ",Data!B3," ",Data!B4)</f>
        <v xml:space="preserve">,  </v>
      </c>
      <c r="G1" s="219"/>
      <c r="H1" s="219"/>
      <c r="I1" s="219"/>
      <c r="J1" s="219"/>
      <c r="K1" s="219"/>
      <c r="L1" s="219"/>
      <c r="M1" s="219"/>
      <c r="N1" s="219"/>
      <c r="O1" s="219"/>
      <c r="P1" s="219"/>
      <c r="Q1" s="219"/>
      <c r="R1" s="219"/>
      <c r="S1" s="219"/>
      <c r="T1" s="219"/>
      <c r="U1" s="219"/>
      <c r="W1" t="s">
        <v>371</v>
      </c>
      <c r="Y1" s="218">
        <f>Data!B14</f>
        <v>0</v>
      </c>
      <c r="Z1" s="219"/>
      <c r="AA1" s="219"/>
      <c r="AB1" s="219"/>
      <c r="AC1" s="219"/>
      <c r="AD1" s="219"/>
      <c r="AE1" s="219"/>
    </row>
    <row r="2" spans="1:39" ht="14.25" customHeight="1" x14ac:dyDescent="0.2">
      <c r="A2" s="493" t="s">
        <v>3366</v>
      </c>
      <c r="B2" s="493"/>
      <c r="C2" s="493"/>
      <c r="D2" s="493"/>
      <c r="E2" s="493"/>
      <c r="F2" s="493"/>
      <c r="G2" s="493"/>
      <c r="H2" s="493"/>
      <c r="I2" s="493"/>
      <c r="J2" s="493"/>
      <c r="K2" s="493"/>
      <c r="L2" s="493"/>
      <c r="M2" s="493"/>
      <c r="N2" s="493"/>
      <c r="O2" s="493"/>
      <c r="P2" s="493"/>
      <c r="Q2" s="493"/>
      <c r="R2" s="493"/>
      <c r="S2" s="493"/>
      <c r="T2" s="493"/>
      <c r="U2" s="493"/>
      <c r="V2" s="493"/>
      <c r="W2" s="493"/>
      <c r="X2" s="493"/>
      <c r="Y2" s="493"/>
      <c r="Z2" s="493"/>
      <c r="AA2" s="493"/>
      <c r="AB2" s="493"/>
      <c r="AC2" s="493"/>
      <c r="AD2" s="493"/>
      <c r="AE2" s="493"/>
      <c r="AF2" s="493"/>
      <c r="AG2" s="493"/>
      <c r="AH2" s="493"/>
      <c r="AI2" s="493"/>
      <c r="AJ2" s="493"/>
      <c r="AK2" s="493"/>
      <c r="AL2" s="493"/>
      <c r="AM2" s="109"/>
    </row>
    <row r="3" spans="1:39" ht="13.5" customHeight="1" x14ac:dyDescent="0.2">
      <c r="A3" s="493"/>
      <c r="B3" s="493"/>
      <c r="C3" s="493"/>
      <c r="D3" s="493"/>
      <c r="E3" s="493"/>
      <c r="F3" s="493"/>
      <c r="G3" s="493"/>
      <c r="H3" s="493"/>
      <c r="I3" s="493"/>
      <c r="J3" s="493"/>
      <c r="K3" s="493"/>
      <c r="L3" s="493"/>
      <c r="M3" s="493"/>
      <c r="N3" s="493"/>
      <c r="O3" s="493"/>
      <c r="P3" s="493"/>
      <c r="Q3" s="493"/>
      <c r="R3" s="493"/>
      <c r="S3" s="493"/>
      <c r="T3" s="493"/>
      <c r="U3" s="493"/>
      <c r="V3" s="493"/>
      <c r="W3" s="493"/>
      <c r="X3" s="493"/>
      <c r="Y3" s="493"/>
      <c r="Z3" s="493"/>
      <c r="AA3" s="493"/>
      <c r="AB3" s="493"/>
      <c r="AC3" s="493"/>
      <c r="AD3" s="493"/>
      <c r="AE3" s="493"/>
      <c r="AF3" s="493"/>
      <c r="AG3" s="493"/>
      <c r="AH3" s="493"/>
      <c r="AI3" s="493"/>
      <c r="AJ3" s="493"/>
      <c r="AK3" s="493"/>
      <c r="AL3" s="493"/>
      <c r="AM3" s="109"/>
    </row>
    <row r="4" spans="1:39" ht="18.75" customHeight="1" x14ac:dyDescent="0.2">
      <c r="A4" t="s">
        <v>2951</v>
      </c>
      <c r="K4" s="476">
        <f>Data!B107</f>
        <v>0</v>
      </c>
      <c r="L4" s="476"/>
      <c r="M4" s="476"/>
      <c r="N4" s="476"/>
      <c r="O4" s="476"/>
      <c r="P4" s="4"/>
      <c r="Q4" s="4"/>
      <c r="R4" s="4"/>
      <c r="U4" t="s">
        <v>2947</v>
      </c>
      <c r="AG4" s="476">
        <f>Data!G104</f>
        <v>0</v>
      </c>
      <c r="AH4" s="476"/>
      <c r="AI4" s="476"/>
      <c r="AJ4" s="476"/>
      <c r="AK4" s="476"/>
      <c r="AM4" s="110"/>
    </row>
    <row r="5" spans="1:39" ht="14.25" customHeight="1" x14ac:dyDescent="0.2">
      <c r="A5" t="s">
        <v>2946</v>
      </c>
      <c r="J5" s="128"/>
      <c r="K5" s="476">
        <f>Data!B106</f>
        <v>0</v>
      </c>
      <c r="L5" s="476"/>
      <c r="M5" s="476"/>
      <c r="N5" s="476"/>
      <c r="O5" s="476"/>
      <c r="U5" t="s">
        <v>2948</v>
      </c>
      <c r="AG5" s="476">
        <f>Data!G105</f>
        <v>0</v>
      </c>
      <c r="AH5" s="476"/>
      <c r="AI5" s="476"/>
      <c r="AJ5" s="476"/>
      <c r="AK5" s="476"/>
      <c r="AM5" s="29"/>
    </row>
    <row r="6" spans="1:39" ht="14.25" customHeight="1" x14ac:dyDescent="0.2">
      <c r="A6" t="s">
        <v>2950</v>
      </c>
      <c r="I6" s="129"/>
      <c r="J6" s="129"/>
      <c r="K6" s="483">
        <f>Data!B108</f>
        <v>0</v>
      </c>
      <c r="L6" s="476"/>
      <c r="M6" s="476"/>
      <c r="N6" s="476"/>
      <c r="O6" s="476"/>
      <c r="U6" t="s">
        <v>2949</v>
      </c>
      <c r="AG6" s="483">
        <f>Data!B105</f>
        <v>0</v>
      </c>
      <c r="AH6" s="476"/>
      <c r="AI6" s="476"/>
      <c r="AJ6" s="476"/>
      <c r="AK6" s="476"/>
      <c r="AM6" s="29"/>
    </row>
    <row r="7" spans="1:39" ht="27" customHeight="1" x14ac:dyDescent="0.2">
      <c r="A7" s="349" t="s">
        <v>3290</v>
      </c>
      <c r="B7" s="349"/>
      <c r="C7" s="349"/>
      <c r="D7" s="349"/>
      <c r="E7" s="349"/>
      <c r="F7" s="349"/>
      <c r="G7" s="349"/>
      <c r="H7" s="349"/>
      <c r="I7" s="349"/>
      <c r="J7" s="349"/>
      <c r="K7" s="349"/>
      <c r="L7" s="349"/>
      <c r="M7" s="349"/>
      <c r="N7" s="349"/>
      <c r="O7" s="349"/>
      <c r="P7" s="349"/>
      <c r="Q7" s="349"/>
      <c r="R7" s="349"/>
      <c r="S7" s="349"/>
      <c r="T7" s="349"/>
      <c r="U7" s="349"/>
      <c r="V7" s="349"/>
      <c r="W7" s="349"/>
      <c r="X7" s="349"/>
      <c r="Y7" s="349"/>
      <c r="Z7" s="349"/>
      <c r="AA7" s="349"/>
      <c r="AB7" s="349"/>
      <c r="AC7" s="349"/>
      <c r="AD7" s="349"/>
      <c r="AE7" s="349"/>
      <c r="AF7" s="349"/>
      <c r="AG7" s="349"/>
      <c r="AH7" s="349"/>
      <c r="AI7" s="349"/>
      <c r="AJ7" s="349"/>
      <c r="AK7" s="349"/>
      <c r="AL7" s="349"/>
      <c r="AM7" s="29"/>
    </row>
    <row r="8" spans="1:39" ht="14.25" customHeight="1" x14ac:dyDescent="0.2">
      <c r="A8" s="340" t="s">
        <v>726</v>
      </c>
      <c r="B8" s="340"/>
      <c r="C8" s="340"/>
      <c r="D8" s="340"/>
      <c r="E8" s="340"/>
      <c r="F8" s="340"/>
      <c r="G8" s="340"/>
      <c r="H8" s="340"/>
      <c r="I8" s="340"/>
      <c r="J8" s="340"/>
      <c r="K8" s="340"/>
      <c r="L8" s="340"/>
      <c r="M8" s="340"/>
      <c r="N8" s="340"/>
      <c r="O8" s="340"/>
      <c r="P8" s="340"/>
      <c r="Q8" s="340"/>
      <c r="R8" s="340"/>
      <c r="S8" s="340"/>
      <c r="T8" s="340"/>
      <c r="U8" s="340"/>
      <c r="V8" s="340"/>
      <c r="W8" s="340"/>
      <c r="X8" s="340"/>
      <c r="Y8" s="340"/>
      <c r="Z8" s="340"/>
      <c r="AA8" s="340"/>
      <c r="AB8" s="340"/>
      <c r="AC8" s="340"/>
      <c r="AD8" s="340"/>
      <c r="AE8" s="340"/>
      <c r="AF8" s="340"/>
      <c r="AG8" s="340"/>
      <c r="AH8" s="340"/>
      <c r="AI8" s="340"/>
      <c r="AJ8" s="340"/>
      <c r="AK8" s="340"/>
      <c r="AL8" s="340"/>
    </row>
    <row r="9" spans="1:39" ht="14.25" customHeight="1" x14ac:dyDescent="0.2">
      <c r="A9" t="s">
        <v>727</v>
      </c>
      <c r="H9" s="233">
        <f>Data!B110</f>
        <v>0</v>
      </c>
      <c r="I9" s="233"/>
      <c r="J9" s="233"/>
      <c r="K9" s="233"/>
      <c r="L9" s="233"/>
      <c r="M9" s="233"/>
      <c r="N9" s="233"/>
      <c r="P9" t="s">
        <v>342</v>
      </c>
      <c r="S9" s="233">
        <f>IF(Data!B110="self",F1,Data!B111)</f>
        <v>0</v>
      </c>
      <c r="T9" s="233"/>
      <c r="U9" s="233"/>
      <c r="V9" s="233"/>
      <c r="W9" s="233"/>
      <c r="X9" s="233"/>
      <c r="Y9" s="233"/>
      <c r="Z9" s="233"/>
      <c r="AB9" t="s">
        <v>348</v>
      </c>
      <c r="AE9" s="472">
        <f>Data!B113</f>
        <v>0</v>
      </c>
      <c r="AF9" s="472"/>
      <c r="AG9" s="472"/>
      <c r="AH9" s="472"/>
      <c r="AI9" s="472"/>
      <c r="AJ9" s="472"/>
      <c r="AK9" s="472"/>
      <c r="AL9" s="472"/>
    </row>
    <row r="10" spans="1:39" ht="14.25" customHeight="1" x14ac:dyDescent="0.2">
      <c r="A10" t="s">
        <v>343</v>
      </c>
      <c r="D10" s="233">
        <f>Data!B112</f>
        <v>0</v>
      </c>
      <c r="E10" s="233"/>
      <c r="F10" s="233"/>
      <c r="G10" s="233"/>
      <c r="H10" s="233"/>
      <c r="I10" s="233"/>
      <c r="J10" s="233"/>
      <c r="K10" s="233"/>
      <c r="L10" s="233"/>
      <c r="M10" s="233"/>
      <c r="N10" s="233"/>
      <c r="O10" s="233"/>
      <c r="P10" s="233"/>
      <c r="Q10" s="233"/>
      <c r="R10" s="233"/>
      <c r="S10" s="233"/>
      <c r="T10" s="233"/>
      <c r="U10" s="233"/>
      <c r="V10" s="233"/>
      <c r="W10" s="233"/>
      <c r="X10" s="233"/>
      <c r="Y10" s="233"/>
      <c r="Z10" s="233"/>
    </row>
    <row r="11" spans="1:39" ht="14.25" customHeight="1" x14ac:dyDescent="0.2">
      <c r="A11" t="s">
        <v>715</v>
      </c>
      <c r="D11" s="233">
        <f>Data!B114</f>
        <v>0</v>
      </c>
      <c r="E11" s="233"/>
      <c r="F11" s="233"/>
      <c r="G11" s="233"/>
      <c r="H11" s="233"/>
      <c r="I11" s="233"/>
      <c r="J11" s="233"/>
      <c r="K11" s="233"/>
      <c r="L11" s="233"/>
      <c r="M11" s="233"/>
      <c r="N11" s="233"/>
      <c r="O11" s="233"/>
      <c r="P11" s="233"/>
      <c r="Q11" s="233"/>
      <c r="R11" s="233"/>
      <c r="S11" s="233"/>
      <c r="T11" s="233"/>
      <c r="U11" s="233"/>
      <c r="V11" s="233"/>
      <c r="W11" t="s">
        <v>730</v>
      </c>
      <c r="AG11" s="233" t="str">
        <f>IF(Data!B115=TRUE,"Check","Credit Card")</f>
        <v>Credit Card</v>
      </c>
      <c r="AH11" s="233"/>
      <c r="AI11" s="233"/>
      <c r="AJ11" s="233"/>
      <c r="AK11" s="233"/>
      <c r="AL11" s="233"/>
    </row>
    <row r="12" spans="1:39" ht="14.25" customHeight="1" x14ac:dyDescent="0.2">
      <c r="A12" t="s">
        <v>728</v>
      </c>
      <c r="J12" s="233">
        <f>Data!B117</f>
        <v>0</v>
      </c>
      <c r="K12" s="233"/>
      <c r="L12" s="233"/>
      <c r="M12" s="233"/>
      <c r="N12" s="233"/>
      <c r="O12" s="233"/>
      <c r="P12" s="233"/>
      <c r="Q12" s="233"/>
      <c r="R12" s="233"/>
      <c r="S12" s="233"/>
      <c r="T12" s="233"/>
      <c r="U12" s="233"/>
      <c r="V12" s="233"/>
      <c r="W12" s="233"/>
      <c r="X12" s="233"/>
      <c r="Y12" s="233"/>
      <c r="Z12" s="233"/>
      <c r="AA12" s="233"/>
      <c r="AB12" s="233"/>
      <c r="AC12" s="233"/>
      <c r="AD12" s="233"/>
      <c r="AE12" s="233"/>
      <c r="AF12" s="233"/>
      <c r="AG12" s="233"/>
      <c r="AH12" s="233"/>
      <c r="AI12" s="233"/>
      <c r="AJ12" s="233"/>
      <c r="AK12" s="233"/>
      <c r="AL12" s="233"/>
      <c r="AM12" s="4"/>
    </row>
    <row r="13" spans="1:39" ht="14.25" customHeight="1" x14ac:dyDescent="0.2">
      <c r="A13" s="260" t="s">
        <v>729</v>
      </c>
      <c r="B13" s="260"/>
      <c r="C13" s="260"/>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c r="AE13" s="260"/>
      <c r="AF13" s="260"/>
      <c r="AG13" s="260"/>
      <c r="AH13" s="260"/>
      <c r="AI13" s="260"/>
      <c r="AJ13" s="260"/>
      <c r="AK13" s="260"/>
      <c r="AL13" s="260"/>
      <c r="AM13" s="14"/>
    </row>
    <row r="14" spans="1:39" ht="14.25" customHeight="1" x14ac:dyDescent="0.2">
      <c r="A14" s="260"/>
      <c r="B14" s="260"/>
      <c r="C14" s="260"/>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c r="AE14" s="260"/>
      <c r="AF14" s="260"/>
      <c r="AG14" s="260"/>
      <c r="AH14" s="260"/>
      <c r="AI14" s="260"/>
      <c r="AJ14" s="260"/>
      <c r="AK14" s="260"/>
      <c r="AL14" s="260"/>
      <c r="AM14" s="14"/>
    </row>
    <row r="15" spans="1:39" ht="14.25" customHeight="1" x14ac:dyDescent="0.2">
      <c r="A15" s="260"/>
      <c r="B15" s="260"/>
      <c r="C15" s="260"/>
      <c r="D15" s="260"/>
      <c r="E15" s="260"/>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c r="AE15" s="260"/>
      <c r="AF15" s="260"/>
      <c r="AG15" s="260"/>
      <c r="AH15" s="260"/>
      <c r="AI15" s="260"/>
      <c r="AJ15" s="260"/>
      <c r="AK15" s="260"/>
      <c r="AL15" s="260"/>
      <c r="AM15" s="14"/>
    </row>
    <row r="16" spans="1:39" ht="14.25" customHeight="1" x14ac:dyDescent="0.2">
      <c r="A16" s="260" t="s">
        <v>3400</v>
      </c>
      <c r="B16" s="260"/>
      <c r="C16" s="260"/>
      <c r="D16" s="260"/>
      <c r="E16" s="260"/>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c r="AE16" s="260"/>
      <c r="AF16" s="260"/>
      <c r="AG16" s="260"/>
      <c r="AH16" s="260"/>
      <c r="AI16" s="260"/>
      <c r="AJ16" s="260"/>
      <c r="AK16" s="260"/>
      <c r="AL16" s="260"/>
      <c r="AM16" s="14"/>
    </row>
    <row r="17" spans="1:39" ht="14.25" customHeight="1" x14ac:dyDescent="0.2">
      <c r="A17" s="260"/>
      <c r="B17" s="260"/>
      <c r="C17" s="260"/>
      <c r="D17" s="260"/>
      <c r="E17" s="260"/>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c r="AE17" s="260"/>
      <c r="AF17" s="260"/>
      <c r="AG17" s="260"/>
      <c r="AH17" s="260"/>
      <c r="AI17" s="260"/>
      <c r="AJ17" s="260"/>
      <c r="AK17" s="260"/>
      <c r="AL17" s="260"/>
      <c r="AM17" s="14"/>
    </row>
    <row r="18" spans="1:39" ht="14.25" customHeight="1" x14ac:dyDescent="0.2">
      <c r="A18" s="260" t="s">
        <v>3451</v>
      </c>
      <c r="B18" s="260"/>
      <c r="C18" s="260"/>
      <c r="D18" s="260"/>
      <c r="E18" s="260"/>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c r="AE18" s="260"/>
      <c r="AF18" s="260"/>
      <c r="AG18" s="260"/>
      <c r="AH18" s="260"/>
      <c r="AI18" s="260"/>
      <c r="AJ18" s="260"/>
      <c r="AK18" s="260"/>
      <c r="AL18" s="260"/>
      <c r="AM18" s="14"/>
    </row>
    <row r="19" spans="1:39" ht="14.25" customHeight="1" x14ac:dyDescent="0.2">
      <c r="A19" s="260"/>
      <c r="B19" s="260"/>
      <c r="C19" s="260"/>
      <c r="D19" s="260"/>
      <c r="E19" s="260"/>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c r="AE19" s="260"/>
      <c r="AF19" s="260"/>
      <c r="AG19" s="260"/>
      <c r="AH19" s="260"/>
      <c r="AI19" s="260"/>
      <c r="AJ19" s="260"/>
      <c r="AK19" s="260"/>
      <c r="AL19" s="260"/>
      <c r="AM19" s="14"/>
    </row>
    <row r="20" spans="1:39" ht="24" customHeight="1" x14ac:dyDescent="0.2">
      <c r="A20" s="260"/>
      <c r="B20" s="260"/>
      <c r="C20" s="260"/>
      <c r="D20" s="260"/>
      <c r="E20" s="260"/>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c r="AE20" s="260"/>
      <c r="AF20" s="260"/>
      <c r="AG20" s="260"/>
      <c r="AH20" s="260"/>
      <c r="AI20" s="260"/>
      <c r="AJ20" s="260"/>
      <c r="AK20" s="260"/>
      <c r="AL20" s="260"/>
      <c r="AM20" s="14"/>
    </row>
    <row r="21" spans="1:39" ht="14.25" customHeight="1" x14ac:dyDescent="0.2">
      <c r="A21" s="340" t="s">
        <v>731</v>
      </c>
      <c r="B21" s="340"/>
      <c r="C21" s="340"/>
      <c r="D21" s="340"/>
      <c r="E21" s="340"/>
      <c r="F21" s="340"/>
      <c r="G21" s="340"/>
      <c r="H21" s="340"/>
      <c r="I21" s="340"/>
      <c r="J21" s="340"/>
      <c r="K21" s="340"/>
      <c r="L21" s="340"/>
      <c r="M21" s="340"/>
      <c r="N21" s="340"/>
      <c r="O21" s="340"/>
      <c r="P21" s="340"/>
      <c r="Q21" s="340"/>
      <c r="R21" s="340"/>
      <c r="S21" s="340"/>
      <c r="T21" s="340"/>
      <c r="U21" s="340"/>
      <c r="V21" s="340"/>
      <c r="W21" s="340"/>
      <c r="X21" s="340"/>
      <c r="Y21" s="340"/>
      <c r="Z21" s="340"/>
      <c r="AA21" s="340"/>
      <c r="AB21" s="340"/>
      <c r="AC21" s="340"/>
      <c r="AD21" s="340"/>
      <c r="AE21" s="340"/>
      <c r="AF21" s="340"/>
      <c r="AG21" s="340"/>
      <c r="AH21" s="340"/>
      <c r="AI21" s="340"/>
      <c r="AJ21" s="340"/>
      <c r="AK21" s="340"/>
      <c r="AL21" s="340"/>
    </row>
    <row r="22" spans="1:39" ht="14.25" customHeight="1" x14ac:dyDescent="0.2">
      <c r="A22" s="260" t="s">
        <v>732</v>
      </c>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c r="AE22" s="260"/>
      <c r="AF22" s="260"/>
      <c r="AG22" s="260"/>
      <c r="AH22" s="260"/>
      <c r="AI22" s="260"/>
      <c r="AJ22" s="260"/>
      <c r="AK22" s="260"/>
      <c r="AL22" s="260"/>
      <c r="AM22" s="14"/>
    </row>
    <row r="23" spans="1:39" ht="14.25" customHeight="1" x14ac:dyDescent="0.2">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c r="AE23" s="260"/>
      <c r="AF23" s="260"/>
      <c r="AG23" s="260"/>
      <c r="AH23" s="260"/>
      <c r="AI23" s="260"/>
      <c r="AJ23" s="260"/>
      <c r="AK23" s="260"/>
      <c r="AL23" s="260"/>
      <c r="AM23" s="14"/>
    </row>
    <row r="24" spans="1:39" ht="14.25" customHeight="1" x14ac:dyDescent="0.2">
      <c r="A24" t="s">
        <v>2952</v>
      </c>
      <c r="L24" s="474">
        <f>schtest!AL30</f>
        <v>0</v>
      </c>
      <c r="M24" s="219"/>
      <c r="N24" s="219"/>
      <c r="O24" s="219"/>
      <c r="P24" s="219"/>
      <c r="Q24" s="219"/>
    </row>
    <row r="25" spans="1:39" ht="14.25" customHeight="1" x14ac:dyDescent="0.2">
      <c r="A25" t="s">
        <v>3287</v>
      </c>
      <c r="H25" s="497">
        <f>IF(Data!B1693=TRUE,Data!B1694,"N/A")</f>
        <v>100</v>
      </c>
      <c r="I25" s="497"/>
      <c r="J25" s="497"/>
      <c r="K25" s="497"/>
      <c r="L25" s="497"/>
      <c r="M25" s="497"/>
      <c r="N25" s="497"/>
      <c r="P25" t="s">
        <v>3288</v>
      </c>
    </row>
    <row r="26" spans="1:39" ht="14.25" customHeight="1" x14ac:dyDescent="0.2">
      <c r="A26" t="s">
        <v>3289</v>
      </c>
      <c r="I26" s="128"/>
      <c r="J26" s="4"/>
      <c r="K26" s="476">
        <f>schtest!AV20</f>
        <v>0</v>
      </c>
      <c r="L26" s="476"/>
      <c r="M26" s="476"/>
      <c r="N26" s="476"/>
      <c r="O26" s="476"/>
      <c r="P26" s="476"/>
      <c r="R26" t="s">
        <v>2953</v>
      </c>
    </row>
    <row r="27" spans="1:39" ht="14.25" customHeight="1" x14ac:dyDescent="0.2">
      <c r="A27" t="s">
        <v>771</v>
      </c>
      <c r="I27" s="476">
        <f>SUM(schtest!AV20+Data!B1694)</f>
        <v>100</v>
      </c>
      <c r="J27" s="476"/>
      <c r="K27" s="476"/>
      <c r="L27" s="476"/>
      <c r="M27" s="476"/>
      <c r="N27" s="476"/>
    </row>
    <row r="28" spans="1:39" ht="14.25" customHeight="1" x14ac:dyDescent="0.2">
      <c r="A28" s="4" t="s">
        <v>1261</v>
      </c>
      <c r="H28" s="276"/>
      <c r="I28" s="276"/>
      <c r="J28" s="276"/>
      <c r="K28" s="276"/>
      <c r="L28" s="276"/>
      <c r="M28" s="276"/>
      <c r="N28" s="276"/>
      <c r="O28" s="276"/>
      <c r="P28" s="276"/>
      <c r="Q28" s="276"/>
      <c r="R28" s="276"/>
      <c r="S28" s="276"/>
      <c r="T28" s="276"/>
      <c r="U28" s="4" t="s">
        <v>733</v>
      </c>
      <c r="X28" s="266"/>
      <c r="Y28" s="266"/>
      <c r="Z28" s="266"/>
      <c r="AA28" s="266"/>
      <c r="AB28" s="266"/>
      <c r="AC28" s="266"/>
      <c r="AE28" s="4" t="s">
        <v>734</v>
      </c>
      <c r="AH28" s="266"/>
      <c r="AI28" s="266"/>
      <c r="AJ28" s="266"/>
      <c r="AK28" s="266"/>
      <c r="AL28" s="266"/>
    </row>
    <row r="29" spans="1:39" ht="14.25" customHeight="1" x14ac:dyDescent="0.2">
      <c r="A29" s="340" t="s">
        <v>1485</v>
      </c>
      <c r="B29" s="340"/>
      <c r="C29" s="340"/>
      <c r="D29" s="340"/>
      <c r="E29" s="340"/>
      <c r="F29" s="340"/>
      <c r="G29" s="340"/>
      <c r="H29" s="340"/>
      <c r="I29" s="340"/>
      <c r="J29" s="340"/>
      <c r="K29" s="340"/>
      <c r="L29" s="340"/>
      <c r="M29" s="340"/>
      <c r="N29" s="340"/>
      <c r="O29" s="340"/>
      <c r="P29" s="340"/>
      <c r="Q29" s="340"/>
      <c r="R29" s="340"/>
      <c r="S29" s="340"/>
      <c r="T29" s="340"/>
      <c r="U29" s="340"/>
      <c r="V29" s="340"/>
      <c r="W29" s="340"/>
      <c r="X29" s="340"/>
      <c r="Y29" s="340"/>
      <c r="Z29" s="340"/>
      <c r="AA29" s="340"/>
      <c r="AB29" s="340"/>
      <c r="AC29" s="340"/>
      <c r="AD29" s="340"/>
      <c r="AE29" s="340"/>
      <c r="AF29" s="340"/>
      <c r="AG29" s="340"/>
      <c r="AH29" s="340"/>
      <c r="AI29" s="340"/>
      <c r="AJ29" s="340"/>
      <c r="AK29" s="340"/>
      <c r="AL29" s="340"/>
    </row>
    <row r="30" spans="1:39" ht="14.25" customHeight="1" x14ac:dyDescent="0.2">
      <c r="A30" s="494" t="s">
        <v>1484</v>
      </c>
      <c r="B30" s="494"/>
      <c r="C30" s="494"/>
      <c r="D30" s="494"/>
      <c r="E30" s="494"/>
      <c r="F30" s="494"/>
      <c r="G30" s="494"/>
      <c r="H30" s="494"/>
      <c r="I30" s="494"/>
      <c r="J30" s="494"/>
      <c r="K30" s="494"/>
      <c r="L30" s="494"/>
      <c r="M30" s="494"/>
      <c r="N30" s="494"/>
      <c r="O30" s="494"/>
      <c r="P30" s="494"/>
      <c r="Q30" s="494"/>
      <c r="R30" s="494"/>
      <c r="S30" s="494"/>
      <c r="T30" s="494"/>
      <c r="U30" s="494"/>
      <c r="V30" s="494"/>
      <c r="W30" s="494"/>
      <c r="X30" s="494"/>
      <c r="Y30" s="494"/>
      <c r="Z30" s="494"/>
      <c r="AA30" s="494"/>
      <c r="AB30" s="494"/>
      <c r="AC30" s="494"/>
      <c r="AD30" s="494"/>
      <c r="AE30" s="494"/>
      <c r="AF30" s="494"/>
      <c r="AG30" s="494"/>
      <c r="AH30" s="494"/>
      <c r="AI30" s="494"/>
      <c r="AJ30" s="494"/>
      <c r="AK30" s="494"/>
      <c r="AL30" s="494"/>
      <c r="AM30" s="5"/>
    </row>
    <row r="31" spans="1:39" ht="14.25" customHeight="1" x14ac:dyDescent="0.2">
      <c r="A31" s="494"/>
      <c r="B31" s="494"/>
      <c r="C31" s="494"/>
      <c r="D31" s="494"/>
      <c r="E31" s="494"/>
      <c r="F31" s="494"/>
      <c r="G31" s="494"/>
      <c r="H31" s="494"/>
      <c r="I31" s="494"/>
      <c r="J31" s="494"/>
      <c r="K31" s="494"/>
      <c r="L31" s="494"/>
      <c r="M31" s="494"/>
      <c r="N31" s="494"/>
      <c r="O31" s="494"/>
      <c r="P31" s="494"/>
      <c r="Q31" s="494"/>
      <c r="R31" s="494"/>
      <c r="S31" s="494"/>
      <c r="T31" s="494"/>
      <c r="U31" s="494"/>
      <c r="V31" s="494"/>
      <c r="W31" s="494"/>
      <c r="X31" s="494"/>
      <c r="Y31" s="494"/>
      <c r="Z31" s="494"/>
      <c r="AA31" s="494"/>
      <c r="AB31" s="494"/>
      <c r="AC31" s="494"/>
      <c r="AD31" s="494"/>
      <c r="AE31" s="494"/>
      <c r="AF31" s="494"/>
      <c r="AG31" s="494"/>
      <c r="AH31" s="494"/>
      <c r="AI31" s="494"/>
      <c r="AJ31" s="494"/>
      <c r="AK31" s="494"/>
      <c r="AL31" s="494"/>
      <c r="AM31" s="5"/>
    </row>
    <row r="32" spans="1:39" ht="14.25" customHeight="1" x14ac:dyDescent="0.2">
      <c r="A32" t="s">
        <v>735</v>
      </c>
      <c r="X32" s="233">
        <f>Data!B111</f>
        <v>0</v>
      </c>
      <c r="Y32" s="233"/>
      <c r="Z32" s="233"/>
      <c r="AA32" s="233"/>
      <c r="AB32" s="233"/>
      <c r="AC32" s="233"/>
      <c r="AD32" s="233"/>
      <c r="AE32" s="233"/>
      <c r="AF32" s="233"/>
      <c r="AG32" s="233"/>
      <c r="AH32" s="233"/>
      <c r="AI32" s="233"/>
      <c r="AJ32" s="233"/>
      <c r="AK32" s="233"/>
      <c r="AL32" s="233"/>
    </row>
    <row r="33" spans="1:38" ht="27.75" customHeight="1" x14ac:dyDescent="0.2">
      <c r="A33" t="s">
        <v>736</v>
      </c>
      <c r="F33" s="1"/>
      <c r="G33" s="1"/>
      <c r="H33" s="1"/>
      <c r="I33" s="1"/>
      <c r="J33" s="1"/>
      <c r="K33" s="1"/>
      <c r="L33" s="1"/>
      <c r="M33" s="1"/>
      <c r="N33" s="1"/>
      <c r="O33" s="1"/>
      <c r="P33" s="1"/>
      <c r="Q33" s="1"/>
      <c r="R33" s="1"/>
      <c r="S33" s="1"/>
      <c r="T33" s="1"/>
      <c r="U33" s="1"/>
      <c r="W33" t="s">
        <v>737</v>
      </c>
      <c r="Y33" s="1"/>
      <c r="Z33" s="1"/>
      <c r="AA33" s="1"/>
      <c r="AB33" s="1"/>
      <c r="AD33" t="s">
        <v>738</v>
      </c>
      <c r="AF33" s="266"/>
      <c r="AG33" s="266"/>
      <c r="AH33" s="266"/>
      <c r="AI33" s="266"/>
      <c r="AJ33" s="266"/>
    </row>
    <row r="34" spans="1:38" ht="26.25" customHeight="1" x14ac:dyDescent="0.25">
      <c r="A34" t="s">
        <v>739</v>
      </c>
      <c r="F34" s="31"/>
      <c r="G34" s="31"/>
      <c r="H34" s="31"/>
      <c r="I34" s="31"/>
      <c r="J34" s="31"/>
      <c r="K34" s="31"/>
      <c r="M34" t="s">
        <v>740</v>
      </c>
      <c r="Q34" s="495" t="s">
        <v>741</v>
      </c>
      <c r="R34" s="495"/>
      <c r="S34" t="s">
        <v>742</v>
      </c>
      <c r="U34" s="496" t="s">
        <v>741</v>
      </c>
      <c r="V34" s="496"/>
      <c r="W34" t="s">
        <v>743</v>
      </c>
      <c r="Y34" s="495" t="s">
        <v>744</v>
      </c>
      <c r="Z34" s="495"/>
      <c r="AA34" t="s">
        <v>745</v>
      </c>
      <c r="AC34" s="496" t="s">
        <v>741</v>
      </c>
      <c r="AD34" s="496"/>
      <c r="AE34" t="s">
        <v>746</v>
      </c>
    </row>
    <row r="35" spans="1:38" ht="14.25" customHeight="1" x14ac:dyDescent="0.2">
      <c r="A35" s="300" t="s">
        <v>1486</v>
      </c>
      <c r="B35" s="300"/>
      <c r="C35" s="300"/>
      <c r="D35" s="300"/>
      <c r="E35" s="300"/>
      <c r="F35" s="300"/>
      <c r="G35" s="300"/>
      <c r="H35" s="300"/>
      <c r="I35" s="300"/>
      <c r="J35" s="300"/>
      <c r="K35" s="300"/>
      <c r="L35" s="300"/>
      <c r="M35" s="300"/>
      <c r="N35" s="300"/>
      <c r="O35" s="300"/>
      <c r="P35" s="300"/>
      <c r="Q35" s="300"/>
      <c r="R35" s="300"/>
      <c r="S35" s="300"/>
      <c r="T35" s="300"/>
      <c r="U35" s="300"/>
      <c r="V35" s="300"/>
      <c r="W35" s="300"/>
      <c r="X35" s="300"/>
      <c r="Y35" s="300"/>
      <c r="Z35" s="300"/>
      <c r="AA35" s="300"/>
      <c r="AB35" s="300"/>
      <c r="AC35" s="300"/>
      <c r="AD35" s="300"/>
      <c r="AE35" s="300"/>
      <c r="AF35" s="300"/>
      <c r="AG35" s="300"/>
      <c r="AH35" s="300"/>
      <c r="AI35" s="300"/>
      <c r="AJ35" s="300"/>
      <c r="AK35" s="300"/>
      <c r="AL35" s="300"/>
    </row>
    <row r="36" spans="1:38" ht="14.25" customHeight="1" x14ac:dyDescent="0.2">
      <c r="A36" s="240"/>
      <c r="B36" s="240"/>
      <c r="C36" s="240"/>
      <c r="D36" s="240"/>
      <c r="E36" s="240"/>
      <c r="F36" s="240"/>
      <c r="G36" s="240"/>
      <c r="H36" s="240"/>
      <c r="I36" s="240"/>
      <c r="J36" s="240"/>
      <c r="K36" s="240"/>
      <c r="L36" s="240"/>
      <c r="M36" s="240"/>
      <c r="N36" s="240"/>
      <c r="O36" s="240"/>
      <c r="P36" s="240"/>
      <c r="AA36" s="240"/>
      <c r="AB36" s="240"/>
      <c r="AC36" s="240"/>
      <c r="AD36" s="240"/>
      <c r="AE36" s="240"/>
      <c r="AF36" s="240"/>
      <c r="AG36" s="240"/>
      <c r="AH36" s="240"/>
      <c r="AI36" s="240"/>
      <c r="AJ36" s="240"/>
      <c r="AK36" s="240"/>
      <c r="AL36" s="240"/>
    </row>
    <row r="37" spans="1:38" ht="14.25" customHeight="1" x14ac:dyDescent="0.2">
      <c r="A37" s="240"/>
      <c r="B37" s="240"/>
      <c r="C37" s="240"/>
      <c r="D37" s="240"/>
      <c r="E37" s="240"/>
      <c r="F37" s="240"/>
      <c r="G37" s="240"/>
      <c r="H37" s="240"/>
      <c r="I37" s="240"/>
      <c r="J37" s="240"/>
      <c r="K37" s="240"/>
      <c r="L37" s="240"/>
      <c r="M37" s="240"/>
      <c r="N37" s="240"/>
      <c r="O37" s="240"/>
      <c r="P37" s="240"/>
      <c r="AA37" s="240"/>
      <c r="AB37" s="240"/>
      <c r="AC37" s="240"/>
      <c r="AD37" s="240"/>
      <c r="AE37" s="240"/>
      <c r="AF37" s="240"/>
      <c r="AG37" s="240"/>
      <c r="AH37" s="240"/>
      <c r="AI37" s="240"/>
      <c r="AJ37" s="240"/>
      <c r="AK37" s="240"/>
      <c r="AL37" s="240"/>
    </row>
    <row r="38" spans="1:38" ht="14.25" customHeight="1" x14ac:dyDescent="0.2">
      <c r="A38" s="266"/>
      <c r="B38" s="266"/>
      <c r="C38" s="266"/>
      <c r="D38" s="266"/>
      <c r="E38" s="266"/>
      <c r="F38" s="266"/>
      <c r="G38" s="266"/>
      <c r="H38" s="266"/>
      <c r="I38" s="266"/>
      <c r="J38" s="266"/>
      <c r="K38" s="266"/>
      <c r="L38" s="266"/>
      <c r="M38" s="266"/>
      <c r="N38" s="266"/>
      <c r="O38" s="266"/>
      <c r="P38" s="266"/>
      <c r="R38" s="269">
        <f>Data!B34</f>
        <v>0</v>
      </c>
      <c r="S38" s="267"/>
      <c r="T38" s="267"/>
      <c r="U38" s="267"/>
      <c r="V38" s="267"/>
      <c r="W38" s="267"/>
      <c r="X38" s="267"/>
      <c r="Y38" s="267"/>
      <c r="AA38" s="266"/>
      <c r="AB38" s="266"/>
      <c r="AC38" s="266"/>
      <c r="AD38" s="266"/>
      <c r="AE38" s="266"/>
      <c r="AF38" s="266"/>
      <c r="AG38" s="266"/>
      <c r="AH38" s="266"/>
      <c r="AI38" s="266"/>
      <c r="AJ38" s="266"/>
      <c r="AK38" s="266"/>
      <c r="AL38" s="266"/>
    </row>
    <row r="39" spans="1:38" ht="14.25" customHeight="1" x14ac:dyDescent="0.2">
      <c r="A39" t="s">
        <v>616</v>
      </c>
      <c r="R39" t="s">
        <v>368</v>
      </c>
      <c r="AA39" t="s">
        <v>747</v>
      </c>
    </row>
    <row r="40" spans="1:38" ht="14.25" customHeight="1" x14ac:dyDescent="0.2">
      <c r="A40" s="240"/>
      <c r="B40" s="240"/>
      <c r="C40" s="240"/>
      <c r="D40" s="240"/>
      <c r="E40" s="240"/>
      <c r="F40" s="240"/>
      <c r="G40" s="240"/>
      <c r="H40" s="240"/>
      <c r="I40" s="240"/>
      <c r="J40" s="240"/>
      <c r="K40" s="240"/>
      <c r="L40" s="240"/>
      <c r="M40" s="240"/>
      <c r="N40" s="240"/>
      <c r="O40" s="240"/>
      <c r="P40" s="240"/>
    </row>
    <row r="41" spans="1:38" ht="14.25" customHeight="1" x14ac:dyDescent="0.2">
      <c r="A41" s="240"/>
      <c r="B41" s="240"/>
      <c r="C41" s="240"/>
      <c r="D41" s="240"/>
      <c r="E41" s="240"/>
      <c r="F41" s="240"/>
      <c r="G41" s="240"/>
      <c r="H41" s="240"/>
      <c r="I41" s="240"/>
      <c r="J41" s="240"/>
      <c r="K41" s="240"/>
      <c r="L41" s="240"/>
      <c r="M41" s="240"/>
      <c r="N41" s="240"/>
      <c r="O41" s="240"/>
      <c r="P41" s="240"/>
    </row>
    <row r="42" spans="1:38" ht="14.25" customHeight="1" x14ac:dyDescent="0.2">
      <c r="A42" s="266"/>
      <c r="B42" s="266"/>
      <c r="C42" s="266"/>
      <c r="D42" s="266"/>
      <c r="E42" s="266"/>
      <c r="F42" s="266"/>
      <c r="G42" s="266"/>
      <c r="H42" s="266"/>
      <c r="I42" s="266"/>
      <c r="J42" s="266"/>
      <c r="K42" s="266"/>
      <c r="L42" s="266"/>
      <c r="M42" s="266"/>
      <c r="N42" s="266"/>
      <c r="O42" s="266"/>
      <c r="P42" s="266"/>
      <c r="R42" s="267">
        <f>Data!B175</f>
        <v>0</v>
      </c>
      <c r="S42" s="267"/>
      <c r="T42" s="267"/>
      <c r="U42" s="267"/>
      <c r="V42" s="267"/>
      <c r="W42" s="267"/>
      <c r="X42" s="267"/>
      <c r="Y42" s="267"/>
      <c r="Z42" s="267"/>
      <c r="AA42" s="267"/>
      <c r="AB42" s="267"/>
      <c r="AC42" s="267"/>
      <c r="AD42" s="267"/>
      <c r="AE42" s="267"/>
    </row>
    <row r="43" spans="1:38" ht="14.25" customHeight="1" x14ac:dyDescent="0.2">
      <c r="A43" t="s">
        <v>617</v>
      </c>
      <c r="R43" t="s">
        <v>369</v>
      </c>
    </row>
  </sheetData>
  <mergeCells count="44">
    <mergeCell ref="X32:AL32"/>
    <mergeCell ref="A40:P42"/>
    <mergeCell ref="R42:AE42"/>
    <mergeCell ref="AF33:AJ33"/>
    <mergeCell ref="Q34:R34"/>
    <mergeCell ref="U34:V34"/>
    <mergeCell ref="Y34:Z34"/>
    <mergeCell ref="AC34:AD34"/>
    <mergeCell ref="A36:P38"/>
    <mergeCell ref="R38:Y38"/>
    <mergeCell ref="A35:AL35"/>
    <mergeCell ref="AA36:AL38"/>
    <mergeCell ref="A30:AL31"/>
    <mergeCell ref="A29:AL29"/>
    <mergeCell ref="H28:T28"/>
    <mergeCell ref="X28:AC28"/>
    <mergeCell ref="H25:N25"/>
    <mergeCell ref="K26:P26"/>
    <mergeCell ref="I27:N27"/>
    <mergeCell ref="AH28:AL28"/>
    <mergeCell ref="A7:AL7"/>
    <mergeCell ref="L24:Q24"/>
    <mergeCell ref="A22:AL23"/>
    <mergeCell ref="A8:AL8"/>
    <mergeCell ref="J12:AL12"/>
    <mergeCell ref="A13:AL15"/>
    <mergeCell ref="A16:AL17"/>
    <mergeCell ref="A18:AL20"/>
    <mergeCell ref="AG11:AL11"/>
    <mergeCell ref="D11:V11"/>
    <mergeCell ref="A21:AL21"/>
    <mergeCell ref="H9:N9"/>
    <mergeCell ref="D10:Z10"/>
    <mergeCell ref="S9:Z9"/>
    <mergeCell ref="AE9:AL9"/>
    <mergeCell ref="K5:O5"/>
    <mergeCell ref="AG5:AK5"/>
    <mergeCell ref="K6:O6"/>
    <mergeCell ref="AG6:AK6"/>
    <mergeCell ref="F1:U1"/>
    <mergeCell ref="Y1:AE1"/>
    <mergeCell ref="A2:AL3"/>
    <mergeCell ref="K4:O4"/>
    <mergeCell ref="AG4:AK4"/>
  </mergeCells>
  <pageMargins left="0.25" right="0.25" top="0.75" bottom="0.75" header="0.3" footer="0.3"/>
  <pageSetup orientation="portrait" r:id="rId1"/>
  <headerFooter>
    <oddHeader>&amp;L&amp;G&amp;RFinancial Agreement</oddHeader>
    <oddFooter>&amp;LPS&amp;C3088 Mercer University Drive Suite 100 Atlanta, GA 30341
678-310-6305 Fax 404-935-6110&amp;RPP</oddFooter>
  </headerFooter>
  <legacyDrawingHF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tabColor theme="1"/>
  </sheetPr>
  <dimension ref="A1:AM44"/>
  <sheetViews>
    <sheetView showZeros="0" view="pageLayout" topLeftCell="A4" zoomScaleNormal="100" workbookViewId="0">
      <selection activeCell="G13" sqref="G13:AK16"/>
    </sheetView>
  </sheetViews>
  <sheetFormatPr defaultColWidth="2.7109375" defaultRowHeight="12.75" x14ac:dyDescent="0.2"/>
  <sheetData>
    <row r="1" spans="1:39" x14ac:dyDescent="0.2">
      <c r="X1" t="s">
        <v>3222</v>
      </c>
      <c r="AC1" s="269" t="str">
        <f>IF(Data!B1653="",TEXT(Data!B34,"mm/dd/yyyy"),Data!B1653)</f>
        <v>01/00/1900</v>
      </c>
      <c r="AD1" s="267"/>
      <c r="AE1" s="267"/>
      <c r="AF1" s="267"/>
      <c r="AG1" s="267"/>
      <c r="AH1" s="267"/>
      <c r="AI1" s="267"/>
      <c r="AJ1" s="267"/>
      <c r="AK1" s="267"/>
    </row>
    <row r="2" spans="1:39" ht="19.5" x14ac:dyDescent="0.25">
      <c r="A2" s="135" t="s">
        <v>336</v>
      </c>
      <c r="B2" s="135"/>
      <c r="C2" s="135"/>
      <c r="D2" s="135"/>
      <c r="E2" s="135"/>
      <c r="F2" s="135"/>
      <c r="G2" s="135"/>
      <c r="H2" s="135"/>
      <c r="I2" s="135"/>
      <c r="J2" s="500" t="str">
        <f>_xlfn.CONCAT(Data!B2,", ",Data!B3," ",Data!B4)</f>
        <v xml:space="preserve">,  </v>
      </c>
      <c r="K2" s="500"/>
      <c r="L2" s="500"/>
      <c r="M2" s="500"/>
      <c r="N2" s="500"/>
      <c r="O2" s="500"/>
      <c r="P2" s="500"/>
      <c r="Q2" s="500"/>
      <c r="R2" s="500"/>
      <c r="S2" s="500"/>
      <c r="T2" s="500"/>
      <c r="U2" s="500"/>
      <c r="V2" s="500"/>
      <c r="W2" s="500"/>
      <c r="X2" s="500"/>
      <c r="Y2" s="500"/>
      <c r="Z2" s="500"/>
      <c r="AA2" s="500"/>
      <c r="AB2" s="500"/>
      <c r="AC2" s="500"/>
      <c r="AD2" s="500"/>
      <c r="AE2" s="500"/>
      <c r="AF2" s="500"/>
      <c r="AG2" s="500"/>
      <c r="AH2" s="500"/>
      <c r="AI2" s="500"/>
      <c r="AJ2" s="500"/>
      <c r="AK2" s="500"/>
    </row>
    <row r="3" spans="1:39" ht="19.5" x14ac:dyDescent="0.25">
      <c r="A3" s="135" t="s">
        <v>337</v>
      </c>
      <c r="B3" s="135"/>
      <c r="C3" s="135"/>
      <c r="D3" s="135"/>
      <c r="E3" s="135"/>
      <c r="F3" s="135"/>
      <c r="G3" s="135"/>
      <c r="H3" s="135"/>
      <c r="I3" s="135"/>
      <c r="J3" s="501">
        <f>Data!B14</f>
        <v>0</v>
      </c>
      <c r="K3" s="502"/>
      <c r="L3" s="502"/>
      <c r="M3" s="502"/>
      <c r="N3" s="502"/>
      <c r="O3" s="502"/>
      <c r="P3" s="502"/>
      <c r="Q3" s="502"/>
      <c r="R3" s="502"/>
      <c r="S3" s="502"/>
      <c r="T3" s="502"/>
      <c r="U3" s="502"/>
      <c r="V3" s="502"/>
      <c r="W3" s="502"/>
      <c r="X3" s="502"/>
      <c r="Y3" s="502"/>
      <c r="Z3" s="502"/>
      <c r="AA3" s="502"/>
      <c r="AB3" s="502"/>
      <c r="AC3" s="502"/>
      <c r="AD3" s="502"/>
      <c r="AE3" s="502"/>
      <c r="AF3" s="502"/>
      <c r="AG3" s="502"/>
      <c r="AH3" s="502"/>
      <c r="AI3" s="502"/>
      <c r="AJ3" s="502"/>
      <c r="AK3" s="502"/>
    </row>
    <row r="4" spans="1:39" ht="19.5" x14ac:dyDescent="0.25">
      <c r="A4" s="135" t="s">
        <v>650</v>
      </c>
      <c r="B4" s="135"/>
      <c r="C4" s="135"/>
      <c r="D4" s="135"/>
      <c r="E4" s="135"/>
      <c r="F4" s="135"/>
      <c r="G4" s="135"/>
      <c r="H4" s="135"/>
      <c r="I4" s="135"/>
      <c r="J4" s="503" t="str">
        <f>IF(Data!B21="","N/A",Data!B21)</f>
        <v>N/A</v>
      </c>
      <c r="K4" s="503"/>
      <c r="L4" s="503"/>
      <c r="M4" s="503"/>
      <c r="N4" s="503"/>
      <c r="O4" s="503"/>
      <c r="P4" s="503"/>
      <c r="Q4" s="503"/>
      <c r="R4" s="503"/>
      <c r="S4" s="503"/>
      <c r="T4" s="503"/>
      <c r="U4" s="503"/>
      <c r="V4" s="503"/>
      <c r="W4" s="503"/>
      <c r="X4" s="503"/>
      <c r="Y4" s="503"/>
      <c r="Z4" s="503"/>
      <c r="AA4" s="503"/>
      <c r="AB4" s="503"/>
      <c r="AC4" s="503"/>
      <c r="AD4" s="503"/>
      <c r="AE4" s="503"/>
      <c r="AF4" s="503"/>
      <c r="AG4" s="503"/>
      <c r="AH4" s="503"/>
      <c r="AI4" s="503"/>
      <c r="AJ4" s="503"/>
      <c r="AK4" s="503"/>
    </row>
    <row r="6" spans="1:39" ht="21" customHeight="1" x14ac:dyDescent="0.35">
      <c r="A6" s="504" t="s">
        <v>651</v>
      </c>
      <c r="B6" s="504"/>
      <c r="C6" s="504"/>
      <c r="D6" s="504"/>
      <c r="E6" s="504"/>
      <c r="F6" s="504"/>
      <c r="G6" s="504"/>
      <c r="H6" s="504"/>
      <c r="I6" s="504"/>
      <c r="J6" s="504"/>
      <c r="K6" s="504"/>
      <c r="L6" s="504"/>
      <c r="M6" s="504"/>
      <c r="N6" s="504"/>
      <c r="O6" s="504"/>
      <c r="P6" s="504"/>
      <c r="Q6" s="504"/>
      <c r="R6" s="504"/>
      <c r="S6" s="504"/>
      <c r="T6" s="504"/>
      <c r="U6" s="504"/>
      <c r="V6" s="504"/>
      <c r="W6" s="504"/>
      <c r="X6" s="504"/>
      <c r="Y6" s="504"/>
      <c r="Z6" s="504"/>
      <c r="AA6" s="504"/>
      <c r="AB6" s="504"/>
      <c r="AC6" s="504"/>
      <c r="AD6" s="504"/>
      <c r="AE6" s="504"/>
      <c r="AF6" s="504"/>
      <c r="AG6" s="504"/>
      <c r="AH6" s="504"/>
      <c r="AI6" s="504"/>
      <c r="AJ6" s="504"/>
      <c r="AK6" s="504"/>
      <c r="AL6" s="24"/>
      <c r="AM6" s="24"/>
    </row>
    <row r="7" spans="1:39" ht="14.25" x14ac:dyDescent="0.2">
      <c r="A7" s="12" t="s">
        <v>652</v>
      </c>
      <c r="G7" s="255" t="str">
        <f>_xlfn.CONCAT(IF(Data!B141=TRUE,"Cane",""),IF(Data!B142=TRUE," - Walker",""),IF(Data!B143=TRUE," - Crutches",""),IF(Data!B144=TRUE," - Manual W/C",""),IF(Data!B145=TRUE," - Power W/C",""),IF(Data!B146=TRUE," - Hoyer Lift",""),IF(Data!B147=TRUE," - Hospital Bed",""),IF(Data!B148=TRUE," - Gait Belt",""),IF(Data!B149=TRUE," - Sliding Board",""),IF(Data!B150=TRUE," - Bedside Commode",""),IF(Data!B151=TRUE," - Shower Chair",""),IF(Data!B152=TRUE," - Grab Bars",""),IF(Data!B153=TRUE," - Diapers",""),IF(Data!B154=TRUE," - Incontinence Pads",""),IF(Data!B155=TRUE," - Glasses",""),IF(Data!B156=TRUE," - Dentures",""),IF(Data!B157=TRUE," - Back Brace",""),IF(Data!B158=TRUE," - Knee Brace",""),IF(Data!B159=TRUE," - Diabetic Shoes",""),IF(Data!B160=TRUE," - Hearing Aids",""),IF(Data!B161=TRUE," - CPAP",""),IF(Data!B162=TRUE," - Nebulizer",""),IF(Data!B163=TRUE," - O2 Tanks",""),IF(Data!B164=TRUE," - O2 Machine",""),IF(Data!D141=TRUE," - Scale",""),IF(Data!D142=TRUE," - Bath Equipment",""),IF(Data!D143=TRUE," - Raised Toilet Seat",""),IF(Data!D144=TRUE," - Wrist Brace",""),IF(Data!D145=TRUE," - Compression Hose",""),IF(Data!D146=TRUE," - Leg Brace",""),IF(Data!D147=TRUE," - Bed Rails",""),IF(Data!B1417=TRUE," - "&amp;Data!B1418,""),IF(Data!B1430=TRUE," - Trapeze Grab Bar",""))</f>
        <v/>
      </c>
      <c r="H7" s="255"/>
      <c r="I7" s="255"/>
      <c r="J7" s="255"/>
      <c r="K7" s="255"/>
      <c r="L7" s="255"/>
      <c r="M7" s="255"/>
      <c r="N7" s="255"/>
      <c r="O7" s="255"/>
      <c r="P7" s="255"/>
      <c r="Q7" s="255"/>
      <c r="R7" s="255"/>
      <c r="S7" s="255"/>
      <c r="T7" s="255"/>
      <c r="U7" s="255"/>
      <c r="V7" s="255"/>
      <c r="W7" s="255"/>
      <c r="X7" s="255"/>
      <c r="Y7" s="255"/>
      <c r="Z7" s="255"/>
      <c r="AA7" s="255"/>
      <c r="AB7" s="255"/>
      <c r="AC7" s="255"/>
      <c r="AD7" s="255"/>
      <c r="AE7" s="255"/>
      <c r="AF7" s="255"/>
      <c r="AG7" s="255"/>
      <c r="AH7" s="255"/>
      <c r="AI7" s="255"/>
      <c r="AJ7" s="255"/>
      <c r="AK7" s="255"/>
    </row>
    <row r="8" spans="1:39" ht="14.25" x14ac:dyDescent="0.2">
      <c r="A8" s="12"/>
      <c r="G8" s="255"/>
      <c r="H8" s="255"/>
      <c r="I8" s="255"/>
      <c r="J8" s="255"/>
      <c r="K8" s="255"/>
      <c r="L8" s="255"/>
      <c r="M8" s="255"/>
      <c r="N8" s="255"/>
      <c r="O8" s="255"/>
      <c r="P8" s="255"/>
      <c r="Q8" s="255"/>
      <c r="R8" s="255"/>
      <c r="S8" s="255"/>
      <c r="T8" s="255"/>
      <c r="U8" s="255"/>
      <c r="V8" s="255"/>
      <c r="W8" s="255"/>
      <c r="X8" s="255"/>
      <c r="Y8" s="255"/>
      <c r="Z8" s="255"/>
      <c r="AA8" s="255"/>
      <c r="AB8" s="255"/>
      <c r="AC8" s="255"/>
      <c r="AD8" s="255"/>
      <c r="AE8" s="255"/>
      <c r="AF8" s="255"/>
      <c r="AG8" s="255"/>
      <c r="AH8" s="255"/>
      <c r="AI8" s="255"/>
      <c r="AJ8" s="255"/>
      <c r="AK8" s="255"/>
    </row>
    <row r="9" spans="1:39" ht="14.25" x14ac:dyDescent="0.2">
      <c r="A9" s="12"/>
      <c r="G9" s="255"/>
      <c r="H9" s="255"/>
      <c r="I9" s="255"/>
      <c r="J9" s="255"/>
      <c r="K9" s="255"/>
      <c r="L9" s="255"/>
      <c r="M9" s="255"/>
      <c r="N9" s="255"/>
      <c r="O9" s="255"/>
      <c r="P9" s="255"/>
      <c r="Q9" s="255"/>
      <c r="R9" s="255"/>
      <c r="S9" s="255"/>
      <c r="T9" s="255"/>
      <c r="U9" s="255"/>
      <c r="V9" s="255"/>
      <c r="W9" s="255"/>
      <c r="X9" s="255"/>
      <c r="Y9" s="255"/>
      <c r="Z9" s="255"/>
      <c r="AA9" s="255"/>
      <c r="AB9" s="255"/>
      <c r="AC9" s="255"/>
      <c r="AD9" s="255"/>
      <c r="AE9" s="255"/>
      <c r="AF9" s="255"/>
      <c r="AG9" s="255"/>
      <c r="AH9" s="255"/>
      <c r="AI9" s="255"/>
      <c r="AJ9" s="255"/>
      <c r="AK9" s="255"/>
    </row>
    <row r="10" spans="1:39" ht="14.25" x14ac:dyDescent="0.2">
      <c r="A10" s="12"/>
      <c r="G10" s="255"/>
      <c r="H10" s="255"/>
      <c r="I10" s="255"/>
      <c r="J10" s="255"/>
      <c r="K10" s="255"/>
      <c r="L10" s="255"/>
      <c r="M10" s="255"/>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row>
    <row r="11" spans="1:39" ht="14.25" x14ac:dyDescent="0.2">
      <c r="A11" s="12" t="s">
        <v>3200</v>
      </c>
      <c r="L11" s="239" t="str">
        <f>IF(Data!B166="","N/A",Data!B166)</f>
        <v>N/A</v>
      </c>
      <c r="M11" s="239"/>
      <c r="N11" s="239"/>
      <c r="O11" s="239"/>
      <c r="P11" s="239"/>
      <c r="Q11" s="239"/>
      <c r="R11" s="239"/>
      <c r="S11" s="239"/>
      <c r="T11" s="239"/>
      <c r="U11" s="239"/>
      <c r="V11" s="239"/>
      <c r="W11" s="239"/>
      <c r="X11" s="239"/>
      <c r="Y11" s="239"/>
      <c r="Z11" s="239"/>
      <c r="AA11" s="239"/>
      <c r="AB11" s="239"/>
      <c r="AC11" s="239"/>
      <c r="AD11" s="239"/>
      <c r="AE11" s="239"/>
      <c r="AF11" s="239"/>
      <c r="AG11" s="239"/>
      <c r="AH11" s="239"/>
      <c r="AI11" s="239"/>
      <c r="AJ11" s="239"/>
      <c r="AK11" s="239"/>
    </row>
    <row r="12" spans="1:39" ht="14.25" x14ac:dyDescent="0.2">
      <c r="A12" s="12"/>
      <c r="L12" s="239"/>
      <c r="M12" s="239"/>
      <c r="N12" s="239"/>
      <c r="O12" s="239"/>
      <c r="P12" s="239"/>
      <c r="Q12" s="239"/>
      <c r="R12" s="239"/>
      <c r="S12" s="239"/>
      <c r="T12" s="239"/>
      <c r="U12" s="239"/>
      <c r="V12" s="239"/>
      <c r="W12" s="239"/>
      <c r="X12" s="239"/>
      <c r="Y12" s="239"/>
      <c r="Z12" s="239"/>
      <c r="AA12" s="239"/>
      <c r="AB12" s="239"/>
      <c r="AC12" s="239"/>
      <c r="AD12" s="239"/>
      <c r="AE12" s="239"/>
      <c r="AF12" s="239"/>
      <c r="AG12" s="239"/>
      <c r="AH12" s="239"/>
      <c r="AI12" s="239"/>
      <c r="AJ12" s="239"/>
      <c r="AK12" s="239"/>
    </row>
    <row r="13" spans="1:39" ht="15" x14ac:dyDescent="0.2">
      <c r="A13" s="12" t="s">
        <v>653</v>
      </c>
      <c r="B13" s="23"/>
      <c r="C13" s="23"/>
      <c r="D13" s="23"/>
      <c r="E13" s="23"/>
      <c r="F13" s="23"/>
      <c r="G13" s="255" t="str">
        <f>_xlfn.CONCAT(IF(DxListFull!A2="","",DxListFull!A2&amp;" ("&amp;DxListFull!B2&amp;") "),IF(DxListFull!A3="","",DxListFull!A3&amp;" ("&amp;DxListFull!B3&amp;") "),IF(DxListFull!A4="","",DxListFull!A4&amp;" ("&amp;DxListFull!B4&amp;") "),IF(DxListFull!A5="","",DxListFull!A5&amp;" ("&amp;DxListFull!B5&amp;") "),IF(DxListFull!A6="","",DxListFull!A6&amp;" ("&amp;DxListFull!B6&amp;") "),IF(DxListFull!A7="","",DxListFull!A7&amp;" ("&amp;DxListFull!B7&amp;") "),IF(DxListFull!A8="","",DxListFull!A8&amp;" ("&amp;DxListFull!B8&amp;") "),IF(DxListFull!A9="","",DxListFull!A9&amp;" ("&amp;DxListFull!B9&amp;") "),IF(DxListFull!A10="","",DxListFull!A10&amp;" ("&amp;DxListFull!B10&amp;")"),IF(DxListFull!A11="","",DxListFull!A11&amp;" ("&amp;DxListFull!B11&amp;")"),IF(ISBLANK(DxListFull!A12),""," Additional diagnoses are listed on the Client Diagnosis List."))</f>
        <v/>
      </c>
      <c r="H13" s="255"/>
      <c r="I13" s="255"/>
      <c r="J13" s="255"/>
      <c r="K13" s="255"/>
      <c r="L13" s="255"/>
      <c r="M13" s="255"/>
      <c r="N13" s="255"/>
      <c r="O13" s="255"/>
      <c r="P13" s="255"/>
      <c r="Q13" s="255"/>
      <c r="R13" s="255"/>
      <c r="S13" s="255"/>
      <c r="T13" s="255"/>
      <c r="U13" s="255"/>
      <c r="V13" s="255"/>
      <c r="W13" s="255"/>
      <c r="X13" s="255"/>
      <c r="Y13" s="255"/>
      <c r="Z13" s="255"/>
      <c r="AA13" s="255"/>
      <c r="AB13" s="255"/>
      <c r="AC13" s="255"/>
      <c r="AD13" s="255"/>
      <c r="AE13" s="255"/>
      <c r="AF13" s="255"/>
      <c r="AG13" s="255"/>
      <c r="AH13" s="255"/>
      <c r="AI13" s="255"/>
      <c r="AJ13" s="255"/>
      <c r="AK13" s="255"/>
      <c r="AL13" s="23"/>
      <c r="AM13" s="23"/>
    </row>
    <row r="14" spans="1:39" ht="15" x14ac:dyDescent="0.2">
      <c r="A14" s="12"/>
      <c r="B14" s="23"/>
      <c r="C14" s="23"/>
      <c r="D14" s="23"/>
      <c r="E14" s="23"/>
      <c r="F14" s="23"/>
      <c r="G14" s="255"/>
      <c r="H14" s="255"/>
      <c r="I14" s="255"/>
      <c r="J14" s="255"/>
      <c r="K14" s="255"/>
      <c r="L14" s="255"/>
      <c r="M14" s="255"/>
      <c r="N14" s="255"/>
      <c r="O14" s="255"/>
      <c r="P14" s="255"/>
      <c r="Q14" s="255"/>
      <c r="R14" s="255"/>
      <c r="S14" s="255"/>
      <c r="T14" s="255"/>
      <c r="U14" s="255"/>
      <c r="V14" s="255"/>
      <c r="W14" s="255"/>
      <c r="X14" s="255"/>
      <c r="Y14" s="255"/>
      <c r="Z14" s="255"/>
      <c r="AA14" s="255"/>
      <c r="AB14" s="255"/>
      <c r="AC14" s="255"/>
      <c r="AD14" s="255"/>
      <c r="AE14" s="255"/>
      <c r="AF14" s="255"/>
      <c r="AG14" s="255"/>
      <c r="AH14" s="255"/>
      <c r="AI14" s="255"/>
      <c r="AJ14" s="255"/>
      <c r="AK14" s="255"/>
      <c r="AL14" s="23"/>
      <c r="AM14" s="23"/>
    </row>
    <row r="15" spans="1:39" ht="15" x14ac:dyDescent="0.2">
      <c r="A15" s="12"/>
      <c r="B15" s="23"/>
      <c r="C15" s="23"/>
      <c r="D15" s="23"/>
      <c r="E15" s="23"/>
      <c r="F15" s="23"/>
      <c r="G15" s="255"/>
      <c r="H15" s="255"/>
      <c r="I15" s="255"/>
      <c r="J15" s="255"/>
      <c r="K15" s="255"/>
      <c r="L15" s="255"/>
      <c r="M15" s="255"/>
      <c r="N15" s="255"/>
      <c r="O15" s="255"/>
      <c r="P15" s="255"/>
      <c r="Q15" s="255"/>
      <c r="R15" s="255"/>
      <c r="S15" s="255"/>
      <c r="T15" s="255"/>
      <c r="U15" s="255"/>
      <c r="V15" s="255"/>
      <c r="W15" s="255"/>
      <c r="X15" s="255"/>
      <c r="Y15" s="255"/>
      <c r="Z15" s="255"/>
      <c r="AA15" s="255"/>
      <c r="AB15" s="255"/>
      <c r="AC15" s="255"/>
      <c r="AD15" s="255"/>
      <c r="AE15" s="255"/>
      <c r="AF15" s="255"/>
      <c r="AG15" s="255"/>
      <c r="AH15" s="255"/>
      <c r="AI15" s="255"/>
      <c r="AJ15" s="255"/>
      <c r="AK15" s="255"/>
      <c r="AL15" s="23"/>
      <c r="AM15" s="23"/>
    </row>
    <row r="16" spans="1:39" ht="15" x14ac:dyDescent="0.2">
      <c r="A16" s="12"/>
      <c r="B16" s="23"/>
      <c r="C16" s="23"/>
      <c r="D16" s="23"/>
      <c r="E16" s="23"/>
      <c r="F16" s="23"/>
      <c r="G16" s="255"/>
      <c r="H16" s="255"/>
      <c r="I16" s="255"/>
      <c r="J16" s="255"/>
      <c r="K16" s="255"/>
      <c r="L16" s="255"/>
      <c r="M16" s="255"/>
      <c r="N16" s="255"/>
      <c r="O16" s="255"/>
      <c r="P16" s="255"/>
      <c r="Q16" s="255"/>
      <c r="R16" s="255"/>
      <c r="S16" s="255"/>
      <c r="T16" s="255"/>
      <c r="U16" s="255"/>
      <c r="V16" s="255"/>
      <c r="W16" s="255"/>
      <c r="X16" s="255"/>
      <c r="Y16" s="255"/>
      <c r="Z16" s="255"/>
      <c r="AA16" s="255"/>
      <c r="AB16" s="255"/>
      <c r="AC16" s="255"/>
      <c r="AD16" s="255"/>
      <c r="AE16" s="255"/>
      <c r="AF16" s="255"/>
      <c r="AG16" s="255"/>
      <c r="AH16" s="255"/>
      <c r="AI16" s="255"/>
      <c r="AJ16" s="255"/>
      <c r="AK16" s="255"/>
      <c r="AL16" s="23"/>
      <c r="AM16" s="23"/>
    </row>
    <row r="17" spans="1:39" ht="15" customHeight="1" x14ac:dyDescent="0.2">
      <c r="A17" s="12" t="s">
        <v>654</v>
      </c>
      <c r="B17" s="23"/>
      <c r="C17" s="23"/>
      <c r="D17" s="23"/>
      <c r="E17" s="23"/>
      <c r="F17" s="23"/>
      <c r="G17" s="23"/>
      <c r="H17" s="505" t="str">
        <f>_xlfn.CONCAT(IF(Data!B201="","",Data!B201&amp;" ("&amp;Data!D201&amp;")"),IF(Data!B202="","",Data!B202&amp;" ("&amp;Data!D202&amp;")"),IF(Data!B203="","",Data!B203&amp;" ("&amp;Data!D203&amp;")"),IF(Data!B204="","",Data!B204&amp;" ("&amp;Data!D204&amp;")"),IF(Data!B205="","",Data!B205&amp;" ("&amp;Data!D205&amp;")"),IF(Data!B206="","",Data!B206&amp;" ("&amp;Data!D206&amp;")"),IF(Data!B207="","",Data!B207&amp;" ("&amp;Data!D207&amp;")"),IF(Data!B208="","",Data!B208&amp;" ("&amp;Data!D208&amp;")"),IF(Data!B201="","No Surgical History",""))</f>
        <v>No Surgical History</v>
      </c>
      <c r="I17" s="505"/>
      <c r="J17" s="505"/>
      <c r="K17" s="505"/>
      <c r="L17" s="505"/>
      <c r="M17" s="505"/>
      <c r="N17" s="505"/>
      <c r="O17" s="505"/>
      <c r="P17" s="505"/>
      <c r="Q17" s="505"/>
      <c r="R17" s="505"/>
      <c r="S17" s="505"/>
      <c r="T17" s="505"/>
      <c r="U17" s="505"/>
      <c r="V17" s="505"/>
      <c r="W17" s="505"/>
      <c r="X17" s="505"/>
      <c r="Y17" s="505"/>
      <c r="Z17" s="505"/>
      <c r="AA17" s="505"/>
      <c r="AB17" s="505"/>
      <c r="AC17" s="505"/>
      <c r="AD17" s="505"/>
      <c r="AE17" s="505"/>
      <c r="AF17" s="505"/>
      <c r="AG17" s="505"/>
      <c r="AH17" s="505"/>
      <c r="AI17" s="505"/>
      <c r="AJ17" s="505"/>
      <c r="AK17" s="505"/>
      <c r="AL17" s="23"/>
      <c r="AM17" s="23"/>
    </row>
    <row r="18" spans="1:39" ht="34.5" customHeight="1" x14ac:dyDescent="0.2">
      <c r="A18" s="12"/>
      <c r="B18" s="23"/>
      <c r="C18" s="23"/>
      <c r="D18" s="23"/>
      <c r="E18" s="23"/>
      <c r="F18" s="23"/>
      <c r="G18" s="23"/>
      <c r="H18" s="505"/>
      <c r="I18" s="505"/>
      <c r="J18" s="505"/>
      <c r="K18" s="505"/>
      <c r="L18" s="505"/>
      <c r="M18" s="505"/>
      <c r="N18" s="505"/>
      <c r="O18" s="505"/>
      <c r="P18" s="505"/>
      <c r="Q18" s="505"/>
      <c r="R18" s="505"/>
      <c r="S18" s="505"/>
      <c r="T18" s="505"/>
      <c r="U18" s="505"/>
      <c r="V18" s="505"/>
      <c r="W18" s="505"/>
      <c r="X18" s="505"/>
      <c r="Y18" s="505"/>
      <c r="Z18" s="505"/>
      <c r="AA18" s="505"/>
      <c r="AB18" s="505"/>
      <c r="AC18" s="505"/>
      <c r="AD18" s="505"/>
      <c r="AE18" s="505"/>
      <c r="AF18" s="505"/>
      <c r="AG18" s="505"/>
      <c r="AH18" s="505"/>
      <c r="AI18" s="505"/>
      <c r="AJ18" s="505"/>
      <c r="AK18" s="505"/>
      <c r="AL18" s="23"/>
      <c r="AM18" s="23"/>
    </row>
    <row r="19" spans="1:39" ht="15" x14ac:dyDescent="0.2">
      <c r="A19" s="12" t="s">
        <v>3206</v>
      </c>
      <c r="B19" s="23"/>
      <c r="C19" s="23"/>
      <c r="D19" s="23"/>
      <c r="E19" s="23"/>
      <c r="F19" s="23"/>
      <c r="G19" s="23"/>
      <c r="H19" s="259" t="str">
        <f>_xlfn.CONCAT(IF(Data!B1612&lt;&gt;"",Data!B1612&amp;" ("&amp;TEXT(Data!D1612,"mm/dd/yyyy")&amp;")",""),IF(Data!B1613&lt;&gt;"",", "&amp;Data!B1613&amp;" ("&amp;TEXT(Data!D1613,"mm/dd/yyyy")&amp;")",""),IF(Data!B1614&lt;&gt;"",", "&amp;Data!B1614&amp;" ("&amp;TEXT(Data!D1614,"mm/dd/yyyy")&amp;")",""),IF(Data!B1615&lt;&gt;"",", "&amp;Data!B1615&amp;" ("&amp;TEXT(Data!D1615,"mm/dd/yyyy")&amp;")",""),IF(Data!B1616&lt;&gt;"",", "&amp;Data!B1616&amp;" ("&amp;TEXT(Data!D1616,"mm/dd/yyyy")&amp;")",""),IF(Data!B1617&lt;&gt;"",", "&amp;Data!B1617&amp;" ("&amp;TEXT(Data!D1617,"mm/dd/yyyy")&amp;")",""),IF(Data!B1618&lt;&gt;"",", "&amp;Data!B1618&amp;" ("&amp;TEXT(Data!D1618,"mm/dd/yyyy")&amp;")",""),IF(Data!B1619&lt;&gt;"",", "&amp;Data!B1619&amp;" ("&amp;TEXT(Data!D1619,"mm/dd/yyyy")&amp;")",""),IF(Data!B1612="","No Procedure History.",""))</f>
        <v>No Procedure History.</v>
      </c>
      <c r="I19" s="259"/>
      <c r="J19" s="259"/>
      <c r="K19" s="259"/>
      <c r="L19" s="259"/>
      <c r="M19" s="259"/>
      <c r="N19" s="259"/>
      <c r="O19" s="259"/>
      <c r="P19" s="259"/>
      <c r="Q19" s="259"/>
      <c r="R19" s="259"/>
      <c r="S19" s="259"/>
      <c r="T19" s="259"/>
      <c r="U19" s="259"/>
      <c r="V19" s="259"/>
      <c r="W19" s="259"/>
      <c r="X19" s="259"/>
      <c r="Y19" s="259"/>
      <c r="Z19" s="259"/>
      <c r="AA19" s="259"/>
      <c r="AB19" s="259"/>
      <c r="AC19" s="259"/>
      <c r="AD19" s="259"/>
      <c r="AE19" s="259"/>
      <c r="AF19" s="259"/>
      <c r="AG19" s="259"/>
      <c r="AH19" s="259"/>
      <c r="AI19" s="259"/>
      <c r="AJ19" s="259"/>
      <c r="AK19" s="259"/>
      <c r="AL19" s="23"/>
      <c r="AM19" s="23"/>
    </row>
    <row r="20" spans="1:39" ht="15" x14ac:dyDescent="0.2">
      <c r="A20" s="12"/>
      <c r="B20" s="23"/>
      <c r="C20" s="23"/>
      <c r="D20" s="23"/>
      <c r="E20" s="23"/>
      <c r="F20" s="23"/>
      <c r="G20" s="23"/>
      <c r="H20" s="259"/>
      <c r="I20" s="259"/>
      <c r="J20" s="259"/>
      <c r="K20" s="259"/>
      <c r="L20" s="259"/>
      <c r="M20" s="259"/>
      <c r="N20" s="259"/>
      <c r="O20" s="259"/>
      <c r="P20" s="259"/>
      <c r="Q20" s="259"/>
      <c r="R20" s="259"/>
      <c r="S20" s="259"/>
      <c r="T20" s="259"/>
      <c r="U20" s="259"/>
      <c r="V20" s="259"/>
      <c r="W20" s="259"/>
      <c r="X20" s="259"/>
      <c r="Y20" s="259"/>
      <c r="Z20" s="259"/>
      <c r="AA20" s="259"/>
      <c r="AB20" s="259"/>
      <c r="AC20" s="259"/>
      <c r="AD20" s="259"/>
      <c r="AE20" s="259"/>
      <c r="AF20" s="259"/>
      <c r="AG20" s="259"/>
      <c r="AH20" s="259"/>
      <c r="AI20" s="259"/>
      <c r="AJ20" s="259"/>
      <c r="AK20" s="259"/>
      <c r="AL20" s="23"/>
      <c r="AM20" s="23"/>
    </row>
    <row r="21" spans="1:39" ht="15" customHeight="1" x14ac:dyDescent="0.2">
      <c r="A21" s="12" t="s">
        <v>575</v>
      </c>
      <c r="B21" s="23"/>
      <c r="C21" s="23"/>
      <c r="D21" s="23"/>
      <c r="E21" s="508" t="s">
        <v>576</v>
      </c>
      <c r="F21" s="508"/>
      <c r="G21" s="508"/>
      <c r="H21" s="508"/>
      <c r="I21" s="508"/>
      <c r="J21" s="508"/>
      <c r="K21" s="25"/>
      <c r="L21" s="509" t="str">
        <f>_xlfn.CONCAT(Data!B414,IF(Data!B417=TRUE,"No Medication Allergies.",""))</f>
        <v/>
      </c>
      <c r="M21" s="509"/>
      <c r="N21" s="509"/>
      <c r="O21" s="509"/>
      <c r="P21" s="509"/>
      <c r="Q21" s="509"/>
      <c r="R21" s="509"/>
      <c r="S21" s="509"/>
      <c r="T21" s="509"/>
      <c r="U21" s="509"/>
      <c r="V21" s="509"/>
      <c r="W21" s="509"/>
      <c r="X21" s="509"/>
      <c r="Y21" s="509"/>
      <c r="Z21" s="509"/>
      <c r="AA21" s="509"/>
      <c r="AB21" s="509"/>
      <c r="AC21" s="509"/>
      <c r="AD21" s="509"/>
      <c r="AE21" s="509"/>
      <c r="AF21" s="509"/>
      <c r="AG21" s="509"/>
      <c r="AH21" s="509"/>
      <c r="AI21" s="509"/>
      <c r="AJ21" s="509"/>
      <c r="AK21" s="509"/>
    </row>
    <row r="22" spans="1:39" ht="15" customHeight="1" x14ac:dyDescent="0.2">
      <c r="A22" s="12"/>
      <c r="B22" s="23"/>
      <c r="C22" s="23"/>
      <c r="D22" s="23"/>
      <c r="E22" s="508" t="s">
        <v>577</v>
      </c>
      <c r="F22" s="508"/>
      <c r="G22" s="508"/>
      <c r="H22" s="508"/>
      <c r="I22" s="508"/>
      <c r="J22" s="508"/>
      <c r="K22" s="25"/>
      <c r="L22" s="510" t="str">
        <f>_xlfn.CONCAT(Data!B415,IF(Data!B418=TRUE,"No Food Allergies.",""))</f>
        <v/>
      </c>
      <c r="M22" s="510"/>
      <c r="N22" s="510"/>
      <c r="O22" s="510"/>
      <c r="P22" s="510"/>
      <c r="Q22" s="510"/>
      <c r="R22" s="510"/>
      <c r="S22" s="510"/>
      <c r="T22" s="510"/>
      <c r="U22" s="510"/>
      <c r="V22" s="510"/>
      <c r="W22" s="510"/>
      <c r="X22" s="510"/>
      <c r="Y22" s="510"/>
      <c r="Z22" s="510"/>
      <c r="AA22" s="510"/>
      <c r="AB22" s="510"/>
      <c r="AC22" s="510"/>
      <c r="AD22" s="510"/>
      <c r="AE22" s="510"/>
      <c r="AF22" s="510"/>
      <c r="AG22" s="510"/>
      <c r="AH22" s="510"/>
      <c r="AI22" s="510"/>
      <c r="AJ22" s="510"/>
      <c r="AK22" s="510"/>
    </row>
    <row r="23" spans="1:39" ht="15" x14ac:dyDescent="0.2">
      <c r="A23" s="23"/>
      <c r="B23" s="23"/>
      <c r="C23" s="23"/>
      <c r="D23" s="23"/>
      <c r="E23" s="508" t="s">
        <v>578</v>
      </c>
      <c r="F23" s="508"/>
      <c r="G23" s="508"/>
      <c r="H23" s="508"/>
      <c r="I23" s="508"/>
      <c r="J23" s="508"/>
      <c r="K23" s="25"/>
      <c r="L23" s="511" t="str">
        <f>_xlfn.CONCAT(Data!B416,IF(Data!B419=TRUE,"No Environmental Allergies",""))</f>
        <v/>
      </c>
      <c r="M23" s="511"/>
      <c r="N23" s="511"/>
      <c r="O23" s="511"/>
      <c r="P23" s="511"/>
      <c r="Q23" s="511"/>
      <c r="R23" s="511"/>
      <c r="S23" s="511"/>
      <c r="T23" s="511"/>
      <c r="U23" s="511"/>
      <c r="V23" s="511"/>
      <c r="W23" s="511"/>
      <c r="X23" s="511"/>
      <c r="Y23" s="511"/>
      <c r="Z23" s="511"/>
      <c r="AA23" s="511"/>
      <c r="AB23" s="511"/>
      <c r="AC23" s="511"/>
      <c r="AD23" s="511"/>
      <c r="AE23" s="511"/>
      <c r="AF23" s="511"/>
      <c r="AG23" s="511"/>
      <c r="AH23" s="511"/>
      <c r="AI23" s="511"/>
      <c r="AJ23" s="511"/>
      <c r="AK23" s="511"/>
    </row>
    <row r="25" spans="1:39" ht="15" x14ac:dyDescent="0.2">
      <c r="A25" s="23" t="s">
        <v>655</v>
      </c>
      <c r="B25" s="23"/>
      <c r="C25" s="23"/>
      <c r="D25" s="23"/>
      <c r="E25" s="23"/>
      <c r="F25" s="498">
        <f>Data!B466</f>
        <v>0</v>
      </c>
      <c r="G25" s="498"/>
      <c r="H25" s="498"/>
      <c r="I25" s="113"/>
      <c r="J25" s="23"/>
      <c r="K25" s="23"/>
      <c r="L25" s="23"/>
      <c r="M25" s="23"/>
      <c r="N25" s="498"/>
      <c r="O25" s="498"/>
      <c r="P25" s="23" t="s">
        <v>657</v>
      </c>
      <c r="Q25" s="23"/>
      <c r="R25" s="23"/>
      <c r="S25" s="23"/>
      <c r="T25" s="23"/>
      <c r="U25" s="498">
        <f>Data!B590</f>
        <v>0</v>
      </c>
      <c r="V25" s="498"/>
      <c r="W25" s="498"/>
      <c r="X25" s="498"/>
      <c r="Y25" s="498"/>
      <c r="Z25" s="498"/>
      <c r="AA25" s="23" t="s">
        <v>658</v>
      </c>
      <c r="AB25" s="23"/>
      <c r="AC25" s="23"/>
      <c r="AD25" s="23"/>
      <c r="AE25" s="23"/>
      <c r="AF25" s="498">
        <f>Data!B573</f>
        <v>0</v>
      </c>
      <c r="AG25" s="498"/>
      <c r="AH25" s="498"/>
      <c r="AI25" s="498"/>
      <c r="AJ25" s="498"/>
      <c r="AK25" s="498"/>
      <c r="AL25" s="498"/>
      <c r="AM25" s="23"/>
    </row>
    <row r="26" spans="1:39" ht="15" x14ac:dyDescent="0.2">
      <c r="A26" s="23" t="s">
        <v>656</v>
      </c>
      <c r="B26" s="23"/>
      <c r="C26" s="23"/>
      <c r="D26" s="499" t="str">
        <f>IF(Data!B467="","N/A",Data!B467)</f>
        <v>N/A</v>
      </c>
      <c r="E26" s="499"/>
      <c r="F26" s="499"/>
      <c r="G26" s="499"/>
      <c r="H26" s="499"/>
      <c r="I26" s="499"/>
      <c r="J26" s="499"/>
      <c r="K26" s="499"/>
      <c r="L26" s="499"/>
      <c r="M26" s="499"/>
      <c r="N26" s="499"/>
      <c r="O26" s="499"/>
      <c r="P26" s="23"/>
      <c r="Q26" s="23" t="s">
        <v>773</v>
      </c>
      <c r="R26" s="23"/>
      <c r="S26" s="23"/>
      <c r="T26" s="23"/>
      <c r="U26" s="23"/>
      <c r="V26" s="23"/>
      <c r="W26" s="23"/>
      <c r="X26" s="23"/>
      <c r="Y26" s="23"/>
      <c r="Z26" s="23"/>
      <c r="AA26" s="23"/>
      <c r="AB26" s="506">
        <f>Data!B176</f>
        <v>0</v>
      </c>
      <c r="AC26" s="506"/>
      <c r="AD26" s="506"/>
      <c r="AE26" s="506"/>
      <c r="AF26" s="23"/>
      <c r="AG26" s="23"/>
      <c r="AH26" s="23"/>
      <c r="AI26" s="23"/>
      <c r="AJ26" s="23"/>
      <c r="AK26" s="23"/>
      <c r="AL26" s="23"/>
      <c r="AM26" s="23"/>
    </row>
    <row r="27" spans="1:39" ht="15" x14ac:dyDescent="0.2">
      <c r="A27" s="23" t="s">
        <v>659</v>
      </c>
      <c r="B27" s="23"/>
      <c r="C27" s="23"/>
      <c r="D27" s="23"/>
      <c r="E27" s="23"/>
      <c r="F27" s="506" t="str">
        <f>IF(Data!B732=TRUE,"Yes","No")</f>
        <v>No</v>
      </c>
      <c r="G27" s="506"/>
      <c r="H27" s="506"/>
      <c r="I27" s="506"/>
      <c r="J27" s="23"/>
      <c r="K27" s="23" t="s">
        <v>660</v>
      </c>
      <c r="L27" s="23"/>
      <c r="M27" s="23"/>
      <c r="N27" s="23"/>
      <c r="O27" s="23"/>
      <c r="P27" s="23"/>
      <c r="Q27" s="506" t="str">
        <f>IF(Data!B733=TRUE,"Yes","No")</f>
        <v>No</v>
      </c>
      <c r="R27" s="506"/>
      <c r="S27" s="506"/>
      <c r="T27" s="23"/>
      <c r="U27" s="23" t="s">
        <v>663</v>
      </c>
      <c r="V27" s="23"/>
      <c r="W27" s="23"/>
      <c r="X27" s="23"/>
      <c r="Y27" s="23"/>
      <c r="Z27" s="23"/>
      <c r="AA27" s="498">
        <f>Data!B332</f>
        <v>0</v>
      </c>
      <c r="AB27" s="498"/>
      <c r="AC27" s="498"/>
      <c r="AD27" s="498"/>
      <c r="AE27" s="23"/>
      <c r="AF27" s="23"/>
      <c r="AG27" s="23"/>
      <c r="AH27" s="23"/>
      <c r="AI27" s="23"/>
      <c r="AJ27" s="23"/>
      <c r="AK27" s="23"/>
      <c r="AL27" s="23"/>
      <c r="AM27" s="23"/>
    </row>
    <row r="28" spans="1:39" ht="15" x14ac:dyDescent="0.2">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row>
    <row r="29" spans="1:39" ht="15" x14ac:dyDescent="0.2">
      <c r="A29" s="23" t="s">
        <v>661</v>
      </c>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row>
    <row r="30" spans="1:39" ht="15" x14ac:dyDescent="0.2">
      <c r="A30" s="239" t="str">
        <f>_xlfn.CONCAT(IF(Data!D168=TRUE,"Difficult or unable to turn self around and face opposite direction when standing;",""),IF(Data!F168=TRUE," Difficult or unable to move self to standing position unassisted;",""),IF(Data!B758=TRUE," Dizziness;",""),IF(Data!B925=TRUE," Unsteady gait;",""),IF(Data!B762=TRUE," Chest pain;",""),IF(Data!B793=TRUE," Difficulty clearing airway secretions;",""),IF(Data!B881=TRUE," Abnormal thought process;",""),IF(Data!B884=TRUE," Delusions;",""),IF(Data!B888=TRUE," Hallucinations;",""),IF(Data!B810=TRUE, " Aphasia;",""),IF(Data!B702=TRUE," Acid reflux/Heartburn;",""),IF(Data!B703=TRUE," Constipation;",""),IF(Data!B705=TRUE," Diarrhea;",""),IF(Data!B701=TRUE," Vomitting;",""),IF(Data!B812=TRUE," Insomnia;",""),IF(Data!B816=TRUE," Too much sleep;",""),IF(Data!E881=TRUE," Unusually poor hygiene;",""),IF(Data!B771=TRUE," Peripheral edema;",""),IF(Data!E751=TRUE," Dyspnea;",""),IF(Data!B820=TRUE," Fatique;",""),IF(Data!B626=TRUE," General pain;",""))</f>
        <v/>
      </c>
      <c r="B30" s="239"/>
      <c r="C30" s="239"/>
      <c r="D30" s="239"/>
      <c r="E30" s="239"/>
      <c r="F30" s="239"/>
      <c r="G30" s="239"/>
      <c r="H30" s="239"/>
      <c r="I30" s="239"/>
      <c r="J30" s="239"/>
      <c r="K30" s="239"/>
      <c r="L30" s="239"/>
      <c r="M30" s="239"/>
      <c r="N30" s="239"/>
      <c r="O30" s="239"/>
      <c r="P30" s="239"/>
      <c r="Q30" s="239"/>
      <c r="R30" s="239"/>
      <c r="S30" s="239"/>
      <c r="T30" s="239"/>
      <c r="U30" s="239"/>
      <c r="V30" s="239"/>
      <c r="W30" s="239"/>
      <c r="X30" s="239"/>
      <c r="Y30" s="239"/>
      <c r="Z30" s="239"/>
      <c r="AA30" s="239"/>
      <c r="AB30" s="239"/>
      <c r="AC30" s="239"/>
      <c r="AD30" s="239"/>
      <c r="AE30" s="239"/>
      <c r="AF30" s="239"/>
      <c r="AG30" s="239"/>
      <c r="AH30" s="239"/>
      <c r="AI30" s="239"/>
      <c r="AJ30" s="239"/>
      <c r="AK30" s="239"/>
      <c r="AL30" s="112"/>
      <c r="AM30" s="23"/>
    </row>
    <row r="31" spans="1:39" ht="15" x14ac:dyDescent="0.2">
      <c r="A31" s="239"/>
      <c r="B31" s="239"/>
      <c r="C31" s="239"/>
      <c r="D31" s="239"/>
      <c r="E31" s="239"/>
      <c r="F31" s="239"/>
      <c r="G31" s="239"/>
      <c r="H31" s="239"/>
      <c r="I31" s="239"/>
      <c r="J31" s="239"/>
      <c r="K31" s="239"/>
      <c r="L31" s="239"/>
      <c r="M31" s="239"/>
      <c r="N31" s="239"/>
      <c r="O31" s="239"/>
      <c r="P31" s="239"/>
      <c r="Q31" s="239"/>
      <c r="R31" s="239"/>
      <c r="S31" s="239"/>
      <c r="T31" s="239"/>
      <c r="U31" s="239"/>
      <c r="V31" s="239"/>
      <c r="W31" s="239"/>
      <c r="X31" s="239"/>
      <c r="Y31" s="239"/>
      <c r="Z31" s="239"/>
      <c r="AA31" s="239"/>
      <c r="AB31" s="239"/>
      <c r="AC31" s="239"/>
      <c r="AD31" s="239"/>
      <c r="AE31" s="239"/>
      <c r="AF31" s="239"/>
      <c r="AG31" s="239"/>
      <c r="AH31" s="239"/>
      <c r="AI31" s="239"/>
      <c r="AJ31" s="239"/>
      <c r="AK31" s="239"/>
      <c r="AL31" s="112"/>
      <c r="AM31" s="23"/>
    </row>
    <row r="32" spans="1:39" ht="15" x14ac:dyDescent="0.2">
      <c r="A32" s="239"/>
      <c r="B32" s="239"/>
      <c r="C32" s="239"/>
      <c r="D32" s="239"/>
      <c r="E32" s="239"/>
      <c r="F32" s="239"/>
      <c r="G32" s="239"/>
      <c r="H32" s="239"/>
      <c r="I32" s="239"/>
      <c r="J32" s="239"/>
      <c r="K32" s="239"/>
      <c r="L32" s="239"/>
      <c r="M32" s="239"/>
      <c r="N32" s="239"/>
      <c r="O32" s="239"/>
      <c r="P32" s="239"/>
      <c r="Q32" s="239"/>
      <c r="R32" s="239"/>
      <c r="S32" s="239"/>
      <c r="T32" s="239"/>
      <c r="U32" s="239"/>
      <c r="V32" s="239"/>
      <c r="W32" s="239"/>
      <c r="X32" s="239"/>
      <c r="Y32" s="239"/>
      <c r="Z32" s="239"/>
      <c r="AA32" s="239"/>
      <c r="AB32" s="239"/>
      <c r="AC32" s="239"/>
      <c r="AD32" s="239"/>
      <c r="AE32" s="239"/>
      <c r="AF32" s="239"/>
      <c r="AG32" s="239"/>
      <c r="AH32" s="239"/>
      <c r="AI32" s="239"/>
      <c r="AJ32" s="239"/>
      <c r="AK32" s="239"/>
      <c r="AL32" s="112"/>
      <c r="AM32" s="23"/>
    </row>
    <row r="33" spans="1:39" ht="15" x14ac:dyDescent="0.2">
      <c r="A33" s="239"/>
      <c r="B33" s="239"/>
      <c r="C33" s="239"/>
      <c r="D33" s="239"/>
      <c r="E33" s="239"/>
      <c r="F33" s="239"/>
      <c r="G33" s="239"/>
      <c r="H33" s="239"/>
      <c r="I33" s="239"/>
      <c r="J33" s="239"/>
      <c r="K33" s="239"/>
      <c r="L33" s="239"/>
      <c r="M33" s="239"/>
      <c r="N33" s="239"/>
      <c r="O33" s="239"/>
      <c r="P33" s="239"/>
      <c r="Q33" s="239"/>
      <c r="R33" s="239"/>
      <c r="S33" s="239"/>
      <c r="T33" s="239"/>
      <c r="U33" s="239"/>
      <c r="V33" s="239"/>
      <c r="W33" s="239"/>
      <c r="X33" s="239"/>
      <c r="Y33" s="239"/>
      <c r="Z33" s="239"/>
      <c r="AA33" s="239"/>
      <c r="AB33" s="239"/>
      <c r="AC33" s="239"/>
      <c r="AD33" s="239"/>
      <c r="AE33" s="239"/>
      <c r="AF33" s="239"/>
      <c r="AG33" s="239"/>
      <c r="AH33" s="239"/>
      <c r="AI33" s="239"/>
      <c r="AJ33" s="239"/>
      <c r="AK33" s="239"/>
      <c r="AL33" s="112"/>
      <c r="AM33" s="23"/>
    </row>
    <row r="34" spans="1:39" ht="15" x14ac:dyDescent="0.2">
      <c r="A34" s="239"/>
      <c r="B34" s="239"/>
      <c r="C34" s="239"/>
      <c r="D34" s="239"/>
      <c r="E34" s="239"/>
      <c r="F34" s="239"/>
      <c r="G34" s="239"/>
      <c r="H34" s="239"/>
      <c r="I34" s="239"/>
      <c r="J34" s="239"/>
      <c r="K34" s="239"/>
      <c r="L34" s="239"/>
      <c r="M34" s="239"/>
      <c r="N34" s="239"/>
      <c r="O34" s="239"/>
      <c r="P34" s="239"/>
      <c r="Q34" s="239"/>
      <c r="R34" s="239"/>
      <c r="S34" s="239"/>
      <c r="T34" s="239"/>
      <c r="U34" s="239"/>
      <c r="V34" s="239"/>
      <c r="W34" s="239"/>
      <c r="X34" s="239"/>
      <c r="Y34" s="239"/>
      <c r="Z34" s="239"/>
      <c r="AA34" s="239"/>
      <c r="AB34" s="239"/>
      <c r="AC34" s="239"/>
      <c r="AD34" s="239"/>
      <c r="AE34" s="239"/>
      <c r="AF34" s="239"/>
      <c r="AG34" s="239"/>
      <c r="AH34" s="239"/>
      <c r="AI34" s="239"/>
      <c r="AJ34" s="239"/>
      <c r="AK34" s="239"/>
      <c r="AL34" s="112"/>
      <c r="AM34" s="23"/>
    </row>
    <row r="35" spans="1:39" ht="15" x14ac:dyDescent="0.2">
      <c r="A35" s="23" t="s">
        <v>662</v>
      </c>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row>
    <row r="36" spans="1:39" ht="15" customHeight="1" x14ac:dyDescent="0.2">
      <c r="A36" s="507" t="s">
        <v>3301</v>
      </c>
      <c r="B36" s="507"/>
      <c r="C36" s="507"/>
      <c r="D36" s="507"/>
      <c r="E36" s="507"/>
      <c r="F36" s="507"/>
      <c r="G36" s="507"/>
      <c r="H36" s="507"/>
      <c r="I36" s="507"/>
      <c r="J36" s="507"/>
      <c r="K36" s="507"/>
      <c r="L36" s="507"/>
      <c r="M36" s="507"/>
      <c r="N36" s="507"/>
      <c r="O36" s="507"/>
      <c r="P36" s="507"/>
      <c r="Q36" s="507"/>
      <c r="R36" s="507"/>
      <c r="S36" s="507"/>
      <c r="T36" s="507"/>
      <c r="U36" s="507"/>
      <c r="V36" s="507"/>
      <c r="W36" s="507"/>
      <c r="X36" s="507"/>
      <c r="Y36" s="507"/>
      <c r="Z36" s="507"/>
      <c r="AA36" s="507"/>
      <c r="AB36" s="507"/>
      <c r="AC36" s="507"/>
      <c r="AD36" s="507"/>
      <c r="AE36" s="507"/>
      <c r="AF36" s="507"/>
      <c r="AG36" s="507"/>
      <c r="AH36" s="507"/>
      <c r="AI36" s="507"/>
      <c r="AJ36" s="507"/>
      <c r="AK36" s="507"/>
      <c r="AL36" s="111"/>
      <c r="AM36" s="23"/>
    </row>
    <row r="37" spans="1:39" ht="15" x14ac:dyDescent="0.2">
      <c r="A37" s="507"/>
      <c r="B37" s="507"/>
      <c r="C37" s="507"/>
      <c r="D37" s="507"/>
      <c r="E37" s="507"/>
      <c r="F37" s="507"/>
      <c r="G37" s="507"/>
      <c r="H37" s="507"/>
      <c r="I37" s="507"/>
      <c r="J37" s="507"/>
      <c r="K37" s="507"/>
      <c r="L37" s="507"/>
      <c r="M37" s="507"/>
      <c r="N37" s="507"/>
      <c r="O37" s="507"/>
      <c r="P37" s="507"/>
      <c r="Q37" s="507"/>
      <c r="R37" s="507"/>
      <c r="S37" s="507"/>
      <c r="T37" s="507"/>
      <c r="U37" s="507"/>
      <c r="V37" s="507"/>
      <c r="W37" s="507"/>
      <c r="X37" s="507"/>
      <c r="Y37" s="507"/>
      <c r="Z37" s="507"/>
      <c r="AA37" s="507"/>
      <c r="AB37" s="507"/>
      <c r="AC37" s="507"/>
      <c r="AD37" s="507"/>
      <c r="AE37" s="507"/>
      <c r="AF37" s="507"/>
      <c r="AG37" s="507"/>
      <c r="AH37" s="507"/>
      <c r="AI37" s="507"/>
      <c r="AJ37" s="507"/>
      <c r="AK37" s="507"/>
      <c r="AL37" s="111"/>
      <c r="AM37" s="23"/>
    </row>
    <row r="38" spans="1:39" ht="13.5" customHeight="1" x14ac:dyDescent="0.2">
      <c r="A38" s="255" t="s">
        <v>3000</v>
      </c>
      <c r="B38" s="255"/>
      <c r="C38" s="255"/>
      <c r="D38" s="255"/>
      <c r="E38" s="255"/>
      <c r="F38" s="255"/>
      <c r="G38" s="255"/>
      <c r="H38" s="255"/>
      <c r="I38" s="255"/>
      <c r="J38" s="255"/>
      <c r="K38" s="255"/>
      <c r="L38" s="255"/>
      <c r="M38" s="255"/>
      <c r="N38" s="255"/>
      <c r="O38" s="255"/>
      <c r="P38" s="255"/>
      <c r="Q38" s="255"/>
      <c r="R38" s="255"/>
      <c r="S38" s="255"/>
      <c r="T38" s="255"/>
      <c r="U38" s="255"/>
      <c r="V38" s="255"/>
      <c r="W38" s="255"/>
      <c r="X38" s="255"/>
      <c r="Y38" s="255"/>
      <c r="Z38" s="255"/>
      <c r="AA38" s="255"/>
      <c r="AB38" s="255"/>
      <c r="AC38" s="255"/>
      <c r="AD38" s="255"/>
      <c r="AE38" s="255"/>
      <c r="AF38" s="255"/>
      <c r="AG38" s="255"/>
      <c r="AH38" s="255"/>
      <c r="AI38" s="255"/>
      <c r="AJ38" s="255"/>
      <c r="AK38" s="255"/>
      <c r="AL38" s="111"/>
      <c r="AM38" s="23"/>
    </row>
    <row r="39" spans="1:39" ht="15" x14ac:dyDescent="0.2">
      <c r="A39" s="239">
        <f>Data!B1416</f>
        <v>0</v>
      </c>
      <c r="B39" s="239"/>
      <c r="C39" s="239"/>
      <c r="D39" s="239"/>
      <c r="E39" s="239"/>
      <c r="F39" s="239"/>
      <c r="G39" s="239"/>
      <c r="H39" s="239"/>
      <c r="I39" s="239"/>
      <c r="J39" s="239"/>
      <c r="K39" s="239"/>
      <c r="L39" s="239"/>
      <c r="M39" s="239"/>
      <c r="N39" s="239"/>
      <c r="O39" s="239"/>
      <c r="P39" s="239"/>
      <c r="Q39" s="239"/>
      <c r="R39" s="239"/>
      <c r="S39" s="239"/>
      <c r="T39" s="239"/>
      <c r="U39" s="239"/>
      <c r="V39" s="239"/>
      <c r="W39" s="239"/>
      <c r="X39" s="239"/>
      <c r="Y39" s="239"/>
      <c r="Z39" s="239"/>
      <c r="AA39" s="239"/>
      <c r="AB39" s="239"/>
      <c r="AC39" s="239"/>
      <c r="AD39" s="239"/>
      <c r="AE39" s="239"/>
      <c r="AF39" s="239"/>
      <c r="AG39" s="239"/>
      <c r="AH39" s="239"/>
      <c r="AI39" s="239"/>
      <c r="AJ39" s="239"/>
      <c r="AK39" s="239"/>
      <c r="AL39" s="111"/>
      <c r="AM39" s="23"/>
    </row>
    <row r="40" spans="1:39" ht="15" x14ac:dyDescent="0.2">
      <c r="A40" s="239"/>
      <c r="B40" s="239"/>
      <c r="C40" s="239"/>
      <c r="D40" s="239"/>
      <c r="E40" s="239"/>
      <c r="F40" s="239"/>
      <c r="G40" s="239"/>
      <c r="H40" s="239"/>
      <c r="I40" s="239"/>
      <c r="J40" s="239"/>
      <c r="K40" s="239"/>
      <c r="L40" s="239"/>
      <c r="M40" s="239"/>
      <c r="N40" s="239"/>
      <c r="O40" s="239"/>
      <c r="P40" s="239"/>
      <c r="Q40" s="239"/>
      <c r="R40" s="239"/>
      <c r="S40" s="239"/>
      <c r="T40" s="239"/>
      <c r="U40" s="239"/>
      <c r="V40" s="239"/>
      <c r="W40" s="239"/>
      <c r="X40" s="239"/>
      <c r="Y40" s="239"/>
      <c r="Z40" s="239"/>
      <c r="AA40" s="239"/>
      <c r="AB40" s="239"/>
      <c r="AC40" s="239"/>
      <c r="AD40" s="239"/>
      <c r="AE40" s="239"/>
      <c r="AF40" s="239"/>
      <c r="AG40" s="239"/>
      <c r="AH40" s="239"/>
      <c r="AI40" s="239"/>
      <c r="AJ40" s="239"/>
      <c r="AK40" s="239"/>
      <c r="AL40" s="23"/>
      <c r="AM40" s="23"/>
    </row>
    <row r="41" spans="1:39" ht="15" x14ac:dyDescent="0.2">
      <c r="A41" s="239"/>
      <c r="B41" s="239"/>
      <c r="C41" s="239"/>
      <c r="D41" s="239"/>
      <c r="E41" s="239"/>
      <c r="F41" s="239"/>
      <c r="G41" s="239"/>
      <c r="H41" s="239"/>
      <c r="I41" s="239"/>
      <c r="J41" s="239"/>
      <c r="K41" s="239"/>
      <c r="L41" s="239"/>
      <c r="M41" s="239"/>
      <c r="N41" s="239"/>
      <c r="O41" s="239"/>
      <c r="P41" s="239"/>
      <c r="Q41" s="239"/>
      <c r="R41" s="239"/>
      <c r="S41" s="239"/>
      <c r="T41" s="239"/>
      <c r="U41" s="239"/>
      <c r="V41" s="239"/>
      <c r="W41" s="239"/>
      <c r="X41" s="239"/>
      <c r="Y41" s="239"/>
      <c r="Z41" s="239"/>
      <c r="AA41" s="239"/>
      <c r="AB41" s="239"/>
      <c r="AC41" s="239"/>
      <c r="AD41" s="239"/>
      <c r="AE41" s="239"/>
      <c r="AF41" s="239"/>
      <c r="AG41" s="239"/>
      <c r="AH41" s="239"/>
      <c r="AI41" s="239"/>
      <c r="AJ41" s="239"/>
      <c r="AK41" s="239"/>
      <c r="AL41" s="23"/>
      <c r="AM41" s="23"/>
    </row>
    <row r="42" spans="1:39" ht="15" x14ac:dyDescent="0.2">
      <c r="A42" s="239"/>
      <c r="B42" s="239"/>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39"/>
      <c r="AC42" s="239"/>
      <c r="AD42" s="239"/>
      <c r="AE42" s="239"/>
      <c r="AF42" s="239"/>
      <c r="AG42" s="239"/>
      <c r="AH42" s="239"/>
      <c r="AI42" s="239"/>
      <c r="AJ42" s="239"/>
      <c r="AK42" s="239"/>
      <c r="AL42" s="23"/>
      <c r="AM42" s="23"/>
    </row>
    <row r="43" spans="1:39" ht="15" x14ac:dyDescent="0.2">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row>
    <row r="44" spans="1:39" ht="15" x14ac:dyDescent="0.2">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row>
  </sheetData>
  <mergeCells count="29">
    <mergeCell ref="A30:AK34"/>
    <mergeCell ref="AA27:AD27"/>
    <mergeCell ref="N25:O25"/>
    <mergeCell ref="U25:Z25"/>
    <mergeCell ref="AF25:AL25"/>
    <mergeCell ref="F27:I27"/>
    <mergeCell ref="Q27:S27"/>
    <mergeCell ref="E21:J21"/>
    <mergeCell ref="E22:J22"/>
    <mergeCell ref="E23:J23"/>
    <mergeCell ref="L21:AK21"/>
    <mergeCell ref="L22:AK22"/>
    <mergeCell ref="L23:AK23"/>
    <mergeCell ref="AC1:AK1"/>
    <mergeCell ref="A39:AK42"/>
    <mergeCell ref="F25:H25"/>
    <mergeCell ref="D26:O26"/>
    <mergeCell ref="J2:AK2"/>
    <mergeCell ref="J3:AK3"/>
    <mergeCell ref="J4:AK4"/>
    <mergeCell ref="G7:AK10"/>
    <mergeCell ref="A6:AK6"/>
    <mergeCell ref="H17:AK18"/>
    <mergeCell ref="H19:AK20"/>
    <mergeCell ref="AB26:AE26"/>
    <mergeCell ref="L11:AK12"/>
    <mergeCell ref="G13:AK16"/>
    <mergeCell ref="A38:AK38"/>
    <mergeCell ref="A36:AK37"/>
  </mergeCells>
  <pageMargins left="0.25" right="0.25" top="0.75" bottom="0.75" header="0.3" footer="0.3"/>
  <pageSetup orientation="portrait" r:id="rId1"/>
  <headerFooter>
    <oddHeader>&amp;L&amp;G&amp;RClient Specific Information</oddHeader>
    <oddFooter>&amp;LINT&amp;C3088 Mercer University Drive Suite 100 Atlanta, GA 30341
678-310-6305 Fax 404-935-6110&amp;RPP.M</oddFooter>
  </headerFooter>
  <legacyDrawingHF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2">
    <tabColor theme="1"/>
  </sheetPr>
  <dimension ref="A1:AL46"/>
  <sheetViews>
    <sheetView showZeros="0" view="pageLayout" zoomScaleNormal="100" workbookViewId="0">
      <selection sqref="A1:AL1"/>
    </sheetView>
  </sheetViews>
  <sheetFormatPr defaultColWidth="2.7109375" defaultRowHeight="14.25" customHeight="1" x14ac:dyDescent="0.2"/>
  <sheetData>
    <row r="1" spans="1:38" ht="14.25" customHeight="1" x14ac:dyDescent="0.2">
      <c r="A1" s="300" t="str">
        <f>IF(OR(Data!B917=TRUE,Data!B929=TRUE),"AT RISK FOR SKIN BREAKDOWN","")&amp;IF(Data!B917=TRUE," -Bedbound","")&amp;IF(Data!B929=TRUE," -Chairbound","")&amp;IF(Data!B1610="Yes","  **LATEX ALLERGY**","")&amp;IF(AND(Data!B1644="Yes",Data!B1645="Yes"),"**DNR ON FILE**","")</f>
        <v/>
      </c>
      <c r="B1" s="300"/>
      <c r="C1" s="300"/>
      <c r="D1" s="300"/>
      <c r="E1" s="300"/>
      <c r="F1" s="300"/>
      <c r="G1" s="300"/>
      <c r="H1" s="300"/>
      <c r="I1" s="300"/>
      <c r="J1" s="300"/>
      <c r="K1" s="300"/>
      <c r="L1" s="300"/>
      <c r="M1" s="300"/>
      <c r="N1" s="300"/>
      <c r="O1" s="300"/>
      <c r="P1" s="300"/>
      <c r="Q1" s="300"/>
      <c r="R1" s="300"/>
      <c r="S1" s="300"/>
      <c r="T1" s="300"/>
      <c r="U1" s="300"/>
      <c r="V1" s="300"/>
      <c r="W1" s="300"/>
      <c r="X1" s="300"/>
      <c r="Y1" s="300"/>
      <c r="Z1" s="300"/>
      <c r="AA1" s="300"/>
      <c r="AB1" s="300"/>
      <c r="AC1" s="300"/>
      <c r="AD1" s="300"/>
      <c r="AE1" s="300"/>
      <c r="AF1" s="300"/>
      <c r="AG1" s="300"/>
      <c r="AH1" s="300"/>
      <c r="AI1" s="300"/>
      <c r="AJ1" s="300"/>
      <c r="AK1" s="300"/>
      <c r="AL1" s="300"/>
    </row>
    <row r="2" spans="1:38" ht="14.25" customHeight="1" x14ac:dyDescent="0.2">
      <c r="A2" t="s">
        <v>336</v>
      </c>
      <c r="E2" s="219" t="str">
        <f>_xlfn.CONCAT(Data!B2,", ",Data!B3," ",Data!B4)</f>
        <v xml:space="preserve">,  </v>
      </c>
      <c r="F2" s="219"/>
      <c r="G2" s="219"/>
      <c r="H2" s="219"/>
      <c r="I2" s="219"/>
      <c r="J2" s="219"/>
      <c r="K2" s="219"/>
      <c r="L2" s="219"/>
      <c r="M2" s="219"/>
      <c r="N2" s="219"/>
      <c r="O2" s="219"/>
      <c r="P2" s="219"/>
      <c r="Q2" s="219"/>
      <c r="R2" s="219"/>
      <c r="S2" s="219"/>
      <c r="T2" s="219"/>
      <c r="V2" t="s">
        <v>371</v>
      </c>
      <c r="X2" s="218">
        <f>Data!B14</f>
        <v>0</v>
      </c>
      <c r="Y2" s="218"/>
      <c r="Z2" s="218"/>
      <c r="AA2" s="218"/>
      <c r="AB2" s="218"/>
      <c r="AC2" s="16" t="s">
        <v>668</v>
      </c>
      <c r="AF2" s="233">
        <f>Data!B10</f>
        <v>0</v>
      </c>
      <c r="AG2" s="233"/>
      <c r="AH2" s="233"/>
      <c r="AI2" s="233"/>
      <c r="AJ2" s="233"/>
      <c r="AK2" s="233"/>
      <c r="AL2" s="233"/>
    </row>
    <row r="3" spans="1:38" ht="14.25" customHeight="1" x14ac:dyDescent="0.2">
      <c r="A3" t="s">
        <v>343</v>
      </c>
      <c r="D3" s="233">
        <f>Data!B5</f>
        <v>0</v>
      </c>
      <c r="E3" s="233"/>
      <c r="F3" s="233"/>
      <c r="G3" s="233"/>
      <c r="H3" s="233"/>
      <c r="I3" s="233"/>
      <c r="J3" s="233"/>
      <c r="K3" s="233"/>
      <c r="L3" s="233"/>
      <c r="M3" s="233"/>
      <c r="N3" s="233"/>
      <c r="O3" t="s">
        <v>664</v>
      </c>
      <c r="P3" s="4"/>
      <c r="Q3" s="219">
        <f>Data!B6</f>
        <v>0</v>
      </c>
      <c r="R3" s="219"/>
      <c r="S3" s="219"/>
      <c r="T3" t="s">
        <v>665</v>
      </c>
      <c r="V3" s="4">
        <f>Data!B7</f>
        <v>0</v>
      </c>
      <c r="W3" s="4"/>
      <c r="X3" s="4"/>
      <c r="Y3" s="4"/>
      <c r="Z3" s="4"/>
      <c r="AA3" s="4"/>
      <c r="AB3" s="4"/>
      <c r="AC3" t="s">
        <v>666</v>
      </c>
      <c r="AE3" s="233">
        <f>Data!B8</f>
        <v>0</v>
      </c>
      <c r="AF3" s="233"/>
      <c r="AG3" t="s">
        <v>667</v>
      </c>
      <c r="AI3" s="219">
        <f>Data!B9</f>
        <v>0</v>
      </c>
      <c r="AJ3" s="219"/>
      <c r="AK3" s="219"/>
      <c r="AL3" s="219"/>
    </row>
    <row r="4" spans="1:38" ht="14.25" customHeight="1" x14ac:dyDescent="0.2">
      <c r="A4" t="s">
        <v>669</v>
      </c>
      <c r="F4" s="298" t="str">
        <f>IF(Data!B11="","No home phone.",TEXT(Data!B11,"(###) ###_####"))</f>
        <v>No home phone.</v>
      </c>
      <c r="G4" s="298"/>
      <c r="H4" s="298"/>
      <c r="I4" s="298"/>
      <c r="J4" s="298"/>
      <c r="K4" s="298"/>
      <c r="L4" s="298"/>
      <c r="M4" s="298"/>
      <c r="N4" s="298"/>
      <c r="O4" s="298"/>
      <c r="Q4" t="s">
        <v>670</v>
      </c>
      <c r="V4" s="298" t="str">
        <f>IF(Data!B12="","N/A",Data!B12)</f>
        <v>N/A</v>
      </c>
      <c r="W4" s="298"/>
      <c r="X4" s="298"/>
      <c r="Y4" s="298"/>
      <c r="Z4" s="298"/>
      <c r="AA4" s="298"/>
      <c r="AB4" s="298"/>
      <c r="AC4" s="298"/>
      <c r="AD4" s="298"/>
      <c r="AE4" s="298"/>
    </row>
    <row r="5" spans="1:38" ht="14.25" customHeight="1" x14ac:dyDescent="0.2">
      <c r="A5" t="s">
        <v>671</v>
      </c>
      <c r="G5" s="512" t="str">
        <f>IF(Data!B27="","N/A",Data!B27)</f>
        <v>N/A</v>
      </c>
      <c r="H5" s="512"/>
      <c r="I5" s="512"/>
      <c r="J5" s="512"/>
      <c r="K5" s="512"/>
      <c r="L5" s="512"/>
      <c r="M5" s="512"/>
      <c r="N5" s="512"/>
      <c r="O5" s="512"/>
      <c r="T5" t="s">
        <v>773</v>
      </c>
      <c r="AC5" s="233">
        <f>Data!B176</f>
        <v>0</v>
      </c>
      <c r="AD5" s="233"/>
      <c r="AE5" s="233"/>
      <c r="AF5" s="233"/>
    </row>
    <row r="7" spans="1:38" ht="14.25" customHeight="1" x14ac:dyDescent="0.2">
      <c r="A7" t="s">
        <v>672</v>
      </c>
      <c r="E7" s="219" t="str">
        <f>IF(Data!B22="","N/A",Data!B22)</f>
        <v>N/A</v>
      </c>
      <c r="F7" s="219"/>
      <c r="G7" s="219"/>
      <c r="H7" s="219"/>
      <c r="I7" s="219"/>
      <c r="J7" s="219"/>
      <c r="K7" s="219"/>
      <c r="L7" s="219"/>
      <c r="N7" s="21" t="str">
        <f>IF(Data!B23=TRUE,"P","")</f>
        <v/>
      </c>
      <c r="O7" t="s">
        <v>31</v>
      </c>
      <c r="R7" s="21" t="str">
        <f>IF(Data!B24=TRUE,"P","")</f>
        <v/>
      </c>
      <c r="S7" t="s">
        <v>32</v>
      </c>
      <c r="V7" s="21" t="str">
        <f>IF(Data!B25=TRUE,"P","")</f>
        <v/>
      </c>
      <c r="W7" t="s">
        <v>33</v>
      </c>
      <c r="Z7" s="21" t="str">
        <f>IF(Data!B26=TRUE,"P","")</f>
        <v/>
      </c>
      <c r="AA7" t="s">
        <v>34</v>
      </c>
    </row>
    <row r="9" spans="1:38" ht="14.25" customHeight="1" x14ac:dyDescent="0.2">
      <c r="A9" t="s">
        <v>650</v>
      </c>
      <c r="E9" s="490" t="str">
        <f>IF(Data!B21="","N/A",Data!B21)</f>
        <v>N/A</v>
      </c>
      <c r="F9" s="490"/>
      <c r="G9" s="490"/>
      <c r="H9" s="490"/>
      <c r="I9" s="490"/>
      <c r="J9" s="490"/>
      <c r="K9" s="490"/>
      <c r="L9" s="490"/>
    </row>
    <row r="11" spans="1:38" ht="14.25" customHeight="1" x14ac:dyDescent="0.2">
      <c r="A11" t="s">
        <v>673</v>
      </c>
      <c r="G11" s="233">
        <f>Data!B87</f>
        <v>0</v>
      </c>
      <c r="H11" s="233"/>
      <c r="I11" s="233"/>
      <c r="J11" s="233"/>
      <c r="K11" s="233"/>
      <c r="L11" s="233"/>
      <c r="M11" s="233"/>
      <c r="N11" s="233"/>
      <c r="O11" s="233"/>
      <c r="P11" s="233"/>
      <c r="Q11" s="233"/>
      <c r="R11" s="233"/>
      <c r="S11" s="233"/>
      <c r="U11" t="s">
        <v>674</v>
      </c>
      <c r="X11" s="233">
        <f>Data!B95</f>
        <v>0</v>
      </c>
      <c r="Y11" s="233"/>
      <c r="Z11" s="233"/>
      <c r="AA11" s="233"/>
      <c r="AB11" s="233"/>
      <c r="AC11" s="233"/>
    </row>
    <row r="12" spans="1:38" ht="14.25" customHeight="1" x14ac:dyDescent="0.2">
      <c r="A12" t="s">
        <v>343</v>
      </c>
      <c r="D12" s="306">
        <f>Data!B88</f>
        <v>0</v>
      </c>
      <c r="E12" s="233"/>
      <c r="F12" s="233"/>
      <c r="G12" s="233"/>
      <c r="H12" s="233"/>
      <c r="I12" s="233"/>
      <c r="J12" s="233"/>
      <c r="K12" s="233"/>
      <c r="L12" s="233"/>
      <c r="M12" s="233"/>
      <c r="N12" s="233"/>
      <c r="O12" t="s">
        <v>664</v>
      </c>
      <c r="P12" s="4"/>
      <c r="Q12" s="219">
        <f>Data!B89</f>
        <v>0</v>
      </c>
      <c r="R12" s="219"/>
      <c r="S12" s="219"/>
      <c r="T12" t="s">
        <v>665</v>
      </c>
      <c r="V12" s="233">
        <f>Data!B90</f>
        <v>0</v>
      </c>
      <c r="W12" s="233"/>
      <c r="X12" s="233"/>
      <c r="Y12" s="233"/>
      <c r="Z12" s="233"/>
      <c r="AA12" s="233"/>
      <c r="AB12" s="233"/>
      <c r="AC12" t="s">
        <v>666</v>
      </c>
      <c r="AE12" s="233">
        <f>Data!B91</f>
        <v>0</v>
      </c>
      <c r="AF12" s="233"/>
      <c r="AG12" t="s">
        <v>667</v>
      </c>
      <c r="AI12" s="219">
        <f>Data!B92</f>
        <v>0</v>
      </c>
      <c r="AJ12" s="219"/>
      <c r="AK12" s="219"/>
      <c r="AL12" s="219"/>
    </row>
    <row r="13" spans="1:38" ht="14.25" customHeight="1" x14ac:dyDescent="0.2">
      <c r="A13" t="s">
        <v>573</v>
      </c>
      <c r="F13" s="472" t="str">
        <f>Data!B93&amp;" "&amp;Data!D88</f>
        <v xml:space="preserve"> </v>
      </c>
      <c r="G13" s="472"/>
      <c r="H13" s="472"/>
      <c r="I13" s="472"/>
      <c r="J13" s="472"/>
      <c r="K13" s="472"/>
      <c r="L13" s="472"/>
      <c r="M13" s="472"/>
      <c r="N13" s="472"/>
      <c r="O13" s="472"/>
      <c r="P13" s="472"/>
      <c r="Q13" s="472"/>
      <c r="R13" s="472"/>
      <c r="S13" s="472"/>
      <c r="T13" s="472"/>
      <c r="U13" s="472"/>
      <c r="W13" t="s">
        <v>675</v>
      </c>
      <c r="Y13" s="233" t="str">
        <f>Data!B94&amp;" "&amp;Data!D89</f>
        <v xml:space="preserve"> </v>
      </c>
      <c r="Z13" s="233"/>
      <c r="AA13" s="233"/>
      <c r="AB13" s="233"/>
      <c r="AC13" s="233"/>
      <c r="AD13" s="233"/>
      <c r="AE13" s="233"/>
      <c r="AF13" s="233"/>
      <c r="AG13" s="233"/>
      <c r="AH13" s="233"/>
      <c r="AI13" s="233"/>
      <c r="AJ13" s="233"/>
      <c r="AK13" s="233"/>
      <c r="AL13" s="233"/>
    </row>
    <row r="14" spans="1:38" ht="14.25" customHeight="1" x14ac:dyDescent="0.2">
      <c r="A14" t="str">
        <f>IF(Data!D87=TRUE,"Physician has multiple office locations","")</f>
        <v/>
      </c>
    </row>
    <row r="15" spans="1:38" ht="14.25" customHeight="1" x14ac:dyDescent="0.2">
      <c r="A15" t="s">
        <v>572</v>
      </c>
      <c r="G15" s="233">
        <f>Data!B409</f>
        <v>0</v>
      </c>
      <c r="H15" s="233"/>
      <c r="I15" s="233"/>
      <c r="J15" s="233"/>
      <c r="K15" s="233"/>
      <c r="L15" s="233"/>
      <c r="M15" s="233"/>
      <c r="N15" s="233"/>
      <c r="O15" s="233"/>
      <c r="P15" s="233"/>
      <c r="Q15" s="233"/>
      <c r="R15" t="s">
        <v>348</v>
      </c>
      <c r="U15" s="298">
        <f>Data!B410</f>
        <v>0</v>
      </c>
      <c r="V15" s="298"/>
      <c r="W15" s="298"/>
      <c r="X15" s="298"/>
      <c r="Y15" s="298"/>
      <c r="Z15" s="298"/>
      <c r="AA15" s="298"/>
      <c r="AB15" s="298"/>
      <c r="AC15" t="s">
        <v>675</v>
      </c>
      <c r="AE15" s="298">
        <f>Data!B411</f>
        <v>0</v>
      </c>
      <c r="AF15" s="298"/>
      <c r="AG15" s="298"/>
      <c r="AH15" s="298"/>
      <c r="AI15" s="298"/>
      <c r="AJ15" s="298"/>
      <c r="AK15" s="298"/>
      <c r="AL15" s="298"/>
    </row>
    <row r="17" spans="1:38" ht="14.25" customHeight="1" x14ac:dyDescent="0.2">
      <c r="A17" t="s">
        <v>602</v>
      </c>
      <c r="H17" s="219">
        <f>Data!B172</f>
        <v>0</v>
      </c>
      <c r="I17" s="219"/>
      <c r="J17" s="219"/>
      <c r="K17" s="219"/>
      <c r="L17" s="219"/>
      <c r="M17" s="219"/>
      <c r="N17" s="219"/>
      <c r="O17" s="219"/>
      <c r="P17" s="219"/>
      <c r="Q17" s="219"/>
      <c r="S17" t="s">
        <v>676</v>
      </c>
      <c r="X17" s="219">
        <f>Data!B1661</f>
        <v>0</v>
      </c>
      <c r="Y17" s="219"/>
      <c r="Z17" s="219"/>
      <c r="AA17" s="219"/>
      <c r="AB17" s="219"/>
      <c r="AC17" s="219"/>
      <c r="AD17" s="219"/>
      <c r="AE17" s="219"/>
      <c r="AF17" s="219"/>
      <c r="AG17" s="219"/>
      <c r="AH17" s="219"/>
      <c r="AI17" s="219"/>
    </row>
    <row r="19" spans="1:38" ht="14.25" customHeight="1" x14ac:dyDescent="0.2">
      <c r="A19" t="s">
        <v>575</v>
      </c>
      <c r="D19" s="301" t="s">
        <v>576</v>
      </c>
      <c r="E19" s="301"/>
      <c r="F19" s="301"/>
      <c r="G19" s="301"/>
      <c r="H19" s="301"/>
      <c r="I19" s="301"/>
      <c r="J19" s="15"/>
      <c r="K19" s="302" t="str">
        <f>_xlfn.CONCAT(Data!B414,IF(Data!B417=TRUE,"No Medication Allergies.",""))</f>
        <v/>
      </c>
      <c r="L19" s="302"/>
      <c r="M19" s="302"/>
      <c r="N19" s="302"/>
      <c r="O19" s="302"/>
      <c r="P19" s="302"/>
      <c r="Q19" s="302"/>
      <c r="R19" s="302"/>
      <c r="S19" s="302"/>
      <c r="T19" s="302"/>
      <c r="U19" s="302"/>
      <c r="V19" s="302"/>
      <c r="W19" s="302"/>
      <c r="X19" s="302"/>
      <c r="Y19" s="302"/>
      <c r="Z19" s="302"/>
      <c r="AA19" s="302"/>
      <c r="AB19" s="302"/>
      <c r="AC19" s="302"/>
      <c r="AD19" s="302"/>
      <c r="AE19" s="302"/>
      <c r="AF19" s="302"/>
      <c r="AG19" s="302"/>
      <c r="AH19" s="302"/>
      <c r="AI19" s="302"/>
      <c r="AJ19" s="302"/>
      <c r="AK19" s="302"/>
      <c r="AL19" s="302"/>
    </row>
    <row r="20" spans="1:38" ht="14.25" customHeight="1" x14ac:dyDescent="0.2">
      <c r="D20" s="301" t="s">
        <v>577</v>
      </c>
      <c r="E20" s="301"/>
      <c r="F20" s="301"/>
      <c r="G20" s="301"/>
      <c r="H20" s="301"/>
      <c r="I20" s="301"/>
      <c r="J20" s="15"/>
      <c r="K20" s="303" t="str">
        <f>_xlfn.CONCAT(Data!B415,IF(Data!B418=TRUE,"No Food Allergies.",""))</f>
        <v/>
      </c>
      <c r="L20" s="303"/>
      <c r="M20" s="303"/>
      <c r="N20" s="303"/>
      <c r="O20" s="303"/>
      <c r="P20" s="303"/>
      <c r="Q20" s="303"/>
      <c r="R20" s="303"/>
      <c r="S20" s="303"/>
      <c r="T20" s="303"/>
      <c r="U20" s="303"/>
      <c r="V20" s="303"/>
      <c r="W20" s="303"/>
      <c r="X20" s="303"/>
      <c r="Y20" s="303"/>
      <c r="Z20" s="303"/>
      <c r="AA20" s="303"/>
      <c r="AB20" s="303"/>
      <c r="AC20" s="303"/>
      <c r="AD20" s="303"/>
      <c r="AE20" s="303"/>
      <c r="AF20" s="303"/>
      <c r="AG20" s="303"/>
      <c r="AH20" s="303"/>
      <c r="AI20" s="303"/>
      <c r="AJ20" s="303"/>
      <c r="AK20" s="303"/>
      <c r="AL20" s="303"/>
    </row>
    <row r="21" spans="1:38" ht="14.25" customHeight="1" x14ac:dyDescent="0.2">
      <c r="D21" s="301" t="s">
        <v>578</v>
      </c>
      <c r="E21" s="301"/>
      <c r="F21" s="301"/>
      <c r="G21" s="301"/>
      <c r="H21" s="301"/>
      <c r="I21" s="301"/>
      <c r="J21" s="15"/>
      <c r="K21" s="264" t="str">
        <f>_xlfn.CONCAT(Data!B416,IF(Data!B419=TRUE,"No Environmental Allergies",""))</f>
        <v/>
      </c>
      <c r="L21" s="264"/>
      <c r="M21" s="264"/>
      <c r="N21" s="264"/>
      <c r="O21" s="264"/>
      <c r="P21" s="264"/>
      <c r="Q21" s="264"/>
      <c r="R21" s="264"/>
      <c r="S21" s="264"/>
      <c r="T21" s="264"/>
      <c r="U21" s="264"/>
      <c r="V21" s="264"/>
      <c r="W21" s="264"/>
      <c r="X21" s="264"/>
      <c r="Y21" s="264"/>
      <c r="Z21" s="264"/>
      <c r="AA21" s="264"/>
      <c r="AB21" s="264"/>
      <c r="AC21" s="264"/>
      <c r="AD21" s="264"/>
      <c r="AE21" s="264"/>
      <c r="AF21" s="264"/>
      <c r="AG21" s="264"/>
      <c r="AH21" s="264"/>
      <c r="AI21" s="264"/>
      <c r="AJ21" s="264"/>
      <c r="AK21" s="264"/>
      <c r="AL21" s="264"/>
    </row>
    <row r="23" spans="1:38" ht="14.25" customHeight="1" x14ac:dyDescent="0.2">
      <c r="A23" t="s">
        <v>677</v>
      </c>
      <c r="H23" s="21" t="str">
        <f>IF(Data!B262=TRUE,"P","")</f>
        <v/>
      </c>
      <c r="I23" t="s">
        <v>111</v>
      </c>
      <c r="M23" s="21" t="str">
        <f>IF(Data!B1644=TRUE,"P","")</f>
        <v/>
      </c>
      <c r="N23" t="s">
        <v>112</v>
      </c>
      <c r="Q23" s="21" t="str">
        <f>IF(Data!B1645=TRUE,"P","")</f>
        <v/>
      </c>
      <c r="R23" t="s">
        <v>3242</v>
      </c>
      <c r="W23" s="21" t="str">
        <f>IF(Data!B265=TRUE,"P","")</f>
        <v/>
      </c>
      <c r="X23" t="s">
        <v>113</v>
      </c>
      <c r="AE23" s="21" t="str">
        <f>IF(Data!B266=TRUE,"P","")</f>
        <v/>
      </c>
      <c r="AF23" t="s">
        <v>195</v>
      </c>
    </row>
    <row r="25" spans="1:38" ht="14.25" customHeight="1" x14ac:dyDescent="0.2">
      <c r="A25" s="340" t="s">
        <v>678</v>
      </c>
      <c r="B25" s="340"/>
      <c r="C25" s="340"/>
      <c r="D25" s="340"/>
      <c r="E25" s="340"/>
      <c r="F25" s="340"/>
      <c r="G25" s="340"/>
      <c r="H25" s="340"/>
      <c r="I25" s="340"/>
      <c r="J25" s="340"/>
      <c r="K25" s="340"/>
      <c r="L25" s="340"/>
      <c r="M25" s="340"/>
      <c r="N25" s="340"/>
      <c r="O25" s="340"/>
      <c r="P25" s="340"/>
      <c r="Q25" s="340"/>
      <c r="R25" s="340"/>
      <c r="S25" s="340"/>
      <c r="T25" s="340"/>
      <c r="U25" s="340"/>
      <c r="V25" s="340"/>
      <c r="W25" s="340"/>
      <c r="X25" s="340"/>
      <c r="Y25" s="340"/>
      <c r="Z25" s="340"/>
      <c r="AA25" s="340"/>
      <c r="AB25" s="340"/>
      <c r="AC25" s="340"/>
      <c r="AD25" s="340"/>
      <c r="AE25" s="340"/>
      <c r="AF25" s="340"/>
      <c r="AG25" s="340"/>
      <c r="AH25" s="340"/>
      <c r="AI25" s="340"/>
      <c r="AJ25" s="340"/>
      <c r="AK25" s="340"/>
      <c r="AL25" s="340"/>
    </row>
    <row r="27" spans="1:38" ht="14.25" customHeight="1" x14ac:dyDescent="0.2">
      <c r="C27" s="299" t="s">
        <v>679</v>
      </c>
      <c r="D27" s="299"/>
      <c r="E27" s="299"/>
      <c r="F27" s="299"/>
      <c r="G27" s="299"/>
      <c r="I27" s="233">
        <f>Data!B43</f>
        <v>0</v>
      </c>
      <c r="J27" s="233"/>
      <c r="K27" s="233"/>
      <c r="L27" s="233"/>
      <c r="M27" s="233"/>
      <c r="N27" s="233"/>
      <c r="O27" s="233"/>
      <c r="P27" s="233"/>
      <c r="Q27" s="233"/>
      <c r="R27" s="233"/>
      <c r="S27" s="233"/>
      <c r="T27" s="233"/>
      <c r="U27" s="299" t="s">
        <v>679</v>
      </c>
      <c r="V27" s="299"/>
      <c r="W27" s="299"/>
      <c r="X27" s="299"/>
      <c r="Y27" s="299"/>
      <c r="AA27" s="233" t="str">
        <f>IF(Data!B55="","N/A",Data!B55)</f>
        <v>N/A</v>
      </c>
      <c r="AB27" s="233"/>
      <c r="AC27" s="233"/>
      <c r="AD27" s="233"/>
      <c r="AE27" s="233"/>
      <c r="AF27" s="233"/>
      <c r="AG27" s="233"/>
      <c r="AH27" s="233"/>
      <c r="AI27" s="233"/>
      <c r="AJ27" s="233"/>
      <c r="AK27" s="233"/>
      <c r="AL27" s="233"/>
    </row>
    <row r="28" spans="1:38" ht="14.25" customHeight="1" x14ac:dyDescent="0.2">
      <c r="C28" s="299" t="s">
        <v>348</v>
      </c>
      <c r="D28" s="299"/>
      <c r="E28" s="299"/>
      <c r="F28" s="299"/>
      <c r="G28" s="299"/>
      <c r="I28" s="290" t="str">
        <f>_xlfn.CONCAT(IF(Data!B45&lt;&gt;"","Home: "&amp;TEXT(Data!B45,"(###) ###-####")&amp;" ","No home phone.  "),IF(Data!B46&lt;&gt;"","Cell: "&amp;TEXT(Data!B46,"(###) ###-####")&amp;" "," No cell phone."))</f>
        <v>No home phone.   No cell phone.</v>
      </c>
      <c r="J28" s="290"/>
      <c r="K28" s="290"/>
      <c r="L28" s="290"/>
      <c r="M28" s="290"/>
      <c r="N28" s="290"/>
      <c r="O28" s="290"/>
      <c r="P28" s="290"/>
      <c r="Q28" s="290"/>
      <c r="R28" s="290"/>
      <c r="S28" s="290"/>
      <c r="T28" s="290"/>
      <c r="U28" s="299" t="s">
        <v>348</v>
      </c>
      <c r="V28" s="299"/>
      <c r="W28" s="299"/>
      <c r="X28" s="299"/>
      <c r="Y28" s="299"/>
      <c r="AA28" s="290" t="str">
        <f>IF(Data!B55="","N/A",IF(Data!B57&lt;&gt;"","Home: "&amp;TEXT(Data!B57,"(###) ###-####")&amp;" ","No home phone.  ")&amp;IF(Data!B58&lt;&gt;"","Cell: "&amp;TEXT(Data!B58,"(###) ###-####")&amp;" "," No cell phone."))</f>
        <v>N/A</v>
      </c>
      <c r="AB28" s="290"/>
      <c r="AC28" s="290"/>
      <c r="AD28" s="290"/>
      <c r="AE28" s="290"/>
      <c r="AF28" s="290"/>
      <c r="AG28" s="290"/>
      <c r="AH28" s="290"/>
      <c r="AI28" s="290"/>
      <c r="AJ28" s="290"/>
      <c r="AK28" s="290"/>
      <c r="AL28" s="290"/>
    </row>
    <row r="29" spans="1:38" ht="14.25" customHeight="1" x14ac:dyDescent="0.2">
      <c r="C29" s="299" t="s">
        <v>344</v>
      </c>
      <c r="D29" s="299"/>
      <c r="E29" s="299"/>
      <c r="F29" s="299"/>
      <c r="G29" s="299"/>
      <c r="I29" s="233">
        <f>Data!B48</f>
        <v>0</v>
      </c>
      <c r="J29" s="233"/>
      <c r="K29" s="233"/>
      <c r="L29" s="233"/>
      <c r="M29" s="233"/>
      <c r="N29" s="233"/>
      <c r="O29" s="233"/>
      <c r="P29" s="233"/>
      <c r="Q29" s="233"/>
      <c r="R29" s="233"/>
      <c r="S29" s="233"/>
      <c r="T29" s="233"/>
      <c r="U29" s="299" t="s">
        <v>344</v>
      </c>
      <c r="V29" s="299"/>
      <c r="W29" s="299"/>
      <c r="X29" s="299"/>
      <c r="Y29" s="299"/>
      <c r="AA29" s="233" t="str">
        <f>IF(Data!B60="","N/A",Data!B60)</f>
        <v>N/A</v>
      </c>
      <c r="AB29" s="233"/>
      <c r="AC29" s="233"/>
      <c r="AD29" s="233"/>
      <c r="AE29" s="233"/>
      <c r="AF29" s="233"/>
      <c r="AG29" s="233"/>
      <c r="AH29" s="233"/>
      <c r="AI29" s="233"/>
      <c r="AJ29" s="233"/>
      <c r="AK29" s="233"/>
      <c r="AL29" s="233"/>
    </row>
    <row r="30" spans="1:38" ht="14.25" customHeight="1" x14ac:dyDescent="0.2">
      <c r="A30" s="340" t="s">
        <v>680</v>
      </c>
      <c r="B30" s="340"/>
      <c r="C30" s="340"/>
      <c r="D30" s="340"/>
      <c r="E30" s="340"/>
      <c r="F30" s="340"/>
      <c r="G30" s="340"/>
      <c r="H30" s="340"/>
      <c r="I30" s="340"/>
      <c r="J30" s="340"/>
      <c r="K30" s="340"/>
      <c r="L30" s="340"/>
      <c r="M30" s="340"/>
      <c r="N30" s="340"/>
      <c r="O30" s="340"/>
      <c r="P30" s="340"/>
      <c r="Q30" s="340"/>
      <c r="R30" s="340"/>
      <c r="S30" s="340"/>
      <c r="T30" s="340"/>
      <c r="U30" s="340"/>
      <c r="V30" s="340"/>
      <c r="W30" s="340"/>
      <c r="X30" s="340"/>
      <c r="Y30" s="340"/>
      <c r="Z30" s="340"/>
      <c r="AA30" s="340"/>
      <c r="AB30" s="340"/>
      <c r="AC30" s="340"/>
      <c r="AD30" s="340"/>
      <c r="AE30" s="340"/>
      <c r="AF30" s="340"/>
      <c r="AG30" s="340"/>
      <c r="AH30" s="340"/>
      <c r="AI30" s="340"/>
      <c r="AJ30" s="340"/>
      <c r="AK30" s="340"/>
      <c r="AL30" s="340"/>
    </row>
    <row r="31" spans="1:38" ht="14.25" customHeight="1" x14ac:dyDescent="0.2">
      <c r="A31" s="255" t="str">
        <f>ppm.specific!G13</f>
        <v/>
      </c>
      <c r="B31" s="255"/>
      <c r="C31" s="255"/>
      <c r="D31" s="255"/>
      <c r="E31" s="255"/>
      <c r="F31" s="255"/>
      <c r="G31" s="255"/>
      <c r="H31" s="255"/>
      <c r="I31" s="255"/>
      <c r="J31" s="255"/>
      <c r="K31" s="255"/>
      <c r="L31" s="255"/>
      <c r="M31" s="255"/>
      <c r="N31" s="255"/>
      <c r="O31" s="255"/>
      <c r="P31" s="255"/>
      <c r="Q31" s="255"/>
      <c r="R31" s="255"/>
      <c r="S31" s="255"/>
      <c r="T31" s="255"/>
      <c r="U31" s="255"/>
      <c r="V31" s="255"/>
      <c r="W31" s="255"/>
      <c r="X31" s="255"/>
      <c r="Y31" s="255"/>
      <c r="Z31" s="255"/>
      <c r="AA31" s="255"/>
      <c r="AB31" s="255"/>
      <c r="AC31" s="255"/>
      <c r="AD31" s="255"/>
      <c r="AE31" s="255"/>
      <c r="AF31" s="255"/>
      <c r="AG31" s="255"/>
      <c r="AH31" s="255"/>
      <c r="AI31" s="255"/>
      <c r="AJ31" s="255"/>
      <c r="AK31" s="255"/>
      <c r="AL31" s="255"/>
    </row>
    <row r="32" spans="1:38" ht="14.25" customHeight="1" x14ac:dyDescent="0.2">
      <c r="A32" s="255"/>
      <c r="B32" s="255"/>
      <c r="C32" s="255"/>
      <c r="D32" s="255"/>
      <c r="E32" s="255"/>
      <c r="F32" s="255"/>
      <c r="G32" s="255"/>
      <c r="H32" s="255"/>
      <c r="I32" s="255"/>
      <c r="J32" s="255"/>
      <c r="K32" s="255"/>
      <c r="L32" s="255"/>
      <c r="M32" s="255"/>
      <c r="N32" s="255"/>
      <c r="O32" s="255"/>
      <c r="P32" s="255"/>
      <c r="Q32" s="255"/>
      <c r="R32" s="255"/>
      <c r="S32" s="255"/>
      <c r="T32" s="255"/>
      <c r="U32" s="255"/>
      <c r="V32" s="255"/>
      <c r="W32" s="255"/>
      <c r="X32" s="255"/>
      <c r="Y32" s="255"/>
      <c r="Z32" s="255"/>
      <c r="AA32" s="255"/>
      <c r="AB32" s="255"/>
      <c r="AC32" s="255"/>
      <c r="AD32" s="255"/>
      <c r="AE32" s="255"/>
      <c r="AF32" s="255"/>
      <c r="AG32" s="255"/>
      <c r="AH32" s="255"/>
      <c r="AI32" s="255"/>
      <c r="AJ32" s="255"/>
      <c r="AK32" s="255"/>
      <c r="AL32" s="255"/>
    </row>
    <row r="33" spans="1:38" ht="14.25" customHeight="1" x14ac:dyDescent="0.2">
      <c r="A33" s="255"/>
      <c r="B33" s="255"/>
      <c r="C33" s="255"/>
      <c r="D33" s="255"/>
      <c r="E33" s="255"/>
      <c r="F33" s="255"/>
      <c r="G33" s="255"/>
      <c r="H33" s="255"/>
      <c r="I33" s="255"/>
      <c r="J33" s="255"/>
      <c r="K33" s="255"/>
      <c r="L33" s="255"/>
      <c r="M33" s="255"/>
      <c r="N33" s="255"/>
      <c r="O33" s="255"/>
      <c r="P33" s="255"/>
      <c r="Q33" s="255"/>
      <c r="R33" s="255"/>
      <c r="S33" s="255"/>
      <c r="T33" s="255"/>
      <c r="U33" s="255"/>
      <c r="V33" s="255"/>
      <c r="W33" s="255"/>
      <c r="X33" s="255"/>
      <c r="Y33" s="255"/>
      <c r="Z33" s="255"/>
      <c r="AA33" s="255"/>
      <c r="AB33" s="255"/>
      <c r="AC33" s="255"/>
      <c r="AD33" s="255"/>
      <c r="AE33" s="255"/>
      <c r="AF33" s="255"/>
      <c r="AG33" s="255"/>
      <c r="AH33" s="255"/>
      <c r="AI33" s="255"/>
      <c r="AJ33" s="255"/>
      <c r="AK33" s="255"/>
      <c r="AL33" s="255"/>
    </row>
    <row r="34" spans="1:38" ht="14.25" customHeight="1" x14ac:dyDescent="0.2">
      <c r="A34" s="255"/>
      <c r="B34" s="255"/>
      <c r="C34" s="255"/>
      <c r="D34" s="255"/>
      <c r="E34" s="255"/>
      <c r="F34" s="255"/>
      <c r="G34" s="255"/>
      <c r="H34" s="255"/>
      <c r="I34" s="255"/>
      <c r="J34" s="255"/>
      <c r="K34" s="255"/>
      <c r="L34" s="255"/>
      <c r="M34" s="255"/>
      <c r="N34" s="255"/>
      <c r="O34" s="255"/>
      <c r="P34" s="255"/>
      <c r="Q34" s="255"/>
      <c r="R34" s="255"/>
      <c r="S34" s="255"/>
      <c r="T34" s="255"/>
      <c r="U34" s="255"/>
      <c r="V34" s="255"/>
      <c r="W34" s="255"/>
      <c r="X34" s="255"/>
      <c r="Y34" s="255"/>
      <c r="Z34" s="255"/>
      <c r="AA34" s="255"/>
      <c r="AB34" s="255"/>
      <c r="AC34" s="255"/>
      <c r="AD34" s="255"/>
      <c r="AE34" s="255"/>
      <c r="AF34" s="255"/>
      <c r="AG34" s="255"/>
      <c r="AH34" s="255"/>
      <c r="AI34" s="255"/>
      <c r="AJ34" s="255"/>
      <c r="AK34" s="255"/>
      <c r="AL34" s="255"/>
    </row>
    <row r="35" spans="1:38" ht="14.25" customHeight="1" x14ac:dyDescent="0.2">
      <c r="A35" t="s">
        <v>654</v>
      </c>
      <c r="G35" s="239" t="str">
        <f>_xlfn.CONCAT(IF(Data!B201="","",Data!B201&amp;" ("&amp;Data!D201&amp;")"),IF(Data!B202="","",Data!B202&amp;" ("&amp;Data!D202&amp;")"),IF(Data!B203="","",Data!B203&amp;" ("&amp;Data!D203&amp;")"),IF(Data!B204="","",Data!B204&amp;" ("&amp;Data!D204&amp;")"),IF(Data!B205="","",Data!B205&amp;" ("&amp;Data!D205&amp;")"),IF(Data!B206="","",Data!B206&amp;" ("&amp;Data!D206&amp;")"),IF(Data!B207="","",Data!B207&amp;" ("&amp;Data!D207&amp;")"),IF(Data!B208="","",Data!B208&amp;" ("&amp;Data!D208&amp;")"),IF(Data!B201="","No Surgical History",""))</f>
        <v>No Surgical History</v>
      </c>
      <c r="H35" s="239"/>
      <c r="I35" s="239"/>
      <c r="J35" s="239"/>
      <c r="K35" s="239"/>
      <c r="L35" s="239"/>
      <c r="M35" s="239"/>
      <c r="N35" s="239"/>
      <c r="O35" s="239"/>
      <c r="P35" s="239"/>
      <c r="Q35" s="239"/>
      <c r="R35" s="239"/>
      <c r="S35" s="239"/>
      <c r="T35" s="239"/>
      <c r="U35" s="239"/>
      <c r="V35" s="239"/>
      <c r="W35" s="239"/>
      <c r="X35" s="239"/>
      <c r="Y35" s="239"/>
      <c r="Z35" s="239"/>
      <c r="AA35" s="239"/>
      <c r="AB35" s="239"/>
      <c r="AC35" s="239"/>
      <c r="AD35" s="239"/>
      <c r="AE35" s="239"/>
      <c r="AF35" s="239"/>
      <c r="AG35" s="239"/>
      <c r="AH35" s="239"/>
      <c r="AI35" s="239"/>
      <c r="AJ35" s="239"/>
      <c r="AK35" s="239"/>
      <c r="AL35" s="239"/>
    </row>
    <row r="36" spans="1:38" ht="31.5" customHeight="1" x14ac:dyDescent="0.2">
      <c r="G36" s="239"/>
      <c r="H36" s="239"/>
      <c r="I36" s="239"/>
      <c r="J36" s="239"/>
      <c r="K36" s="239"/>
      <c r="L36" s="239"/>
      <c r="M36" s="239"/>
      <c r="N36" s="239"/>
      <c r="O36" s="239"/>
      <c r="P36" s="239"/>
      <c r="Q36" s="239"/>
      <c r="R36" s="239"/>
      <c r="S36" s="239"/>
      <c r="T36" s="239"/>
      <c r="U36" s="239"/>
      <c r="V36" s="239"/>
      <c r="W36" s="239"/>
      <c r="X36" s="239"/>
      <c r="Y36" s="239"/>
      <c r="Z36" s="239"/>
      <c r="AA36" s="239"/>
      <c r="AB36" s="239"/>
      <c r="AC36" s="239"/>
      <c r="AD36" s="239"/>
      <c r="AE36" s="239"/>
      <c r="AF36" s="239"/>
      <c r="AG36" s="239"/>
      <c r="AH36" s="239"/>
      <c r="AI36" s="239"/>
      <c r="AJ36" s="239"/>
      <c r="AK36" s="239"/>
      <c r="AL36" s="239"/>
    </row>
    <row r="37" spans="1:38" ht="14.25" customHeight="1" x14ac:dyDescent="0.2">
      <c r="A37" t="s">
        <v>3206</v>
      </c>
      <c r="G37" s="239" t="str">
        <f>_xlfn.CONCAT(IF(Data!B1612&lt;&gt;"",Data!B1612&amp;" ("&amp;TEXT(Data!D1612,"mm/dd/yyyy")&amp;")",""),IF(Data!B1613&lt;&gt;"",", "&amp;Data!B1613&amp;" ("&amp;TEXT(Data!D1613,"mm/dd/yyyy")&amp;")",""),IF(Data!B1614&lt;&gt;"",", "&amp;Data!B1614&amp;" ("&amp;TEXT(Data!D1614,"mm/dd/yyyy")&amp;")",""),IF(Data!B1615&lt;&gt;"",", "&amp;Data!B1615&amp;" ("&amp;TEXT(Data!D1615,"mm/dd/yyyy")&amp;")",""),IF(Data!B1616&lt;&gt;"",", "&amp;Data!B1616&amp;" ("&amp;TEXT(Data!D1616,"mm/dd/yyyy")&amp;")",""),IF(Data!B1617&lt;&gt;"",", "&amp;Data!B1617&amp;" ("&amp;TEXT(Data!D1617,"mm/dd/yyyy")&amp;")",""),IF(Data!B1618&lt;&gt;"",", "&amp;Data!B1618&amp;" ("&amp;TEXT(Data!D1618,"mm/dd/yyyy")&amp;")",""),IF(Data!B1619&lt;&gt;"",", "&amp;Data!B1619&amp;" ("&amp;TEXT(Data!D1619,"mm/dd/yyyy")&amp;")",""),IF(Data!B1612="","No Procedure History.",""))</f>
        <v>No Procedure History.</v>
      </c>
      <c r="H37" s="239"/>
      <c r="I37" s="239"/>
      <c r="J37" s="239"/>
      <c r="K37" s="239"/>
      <c r="L37" s="239"/>
      <c r="M37" s="239"/>
      <c r="N37" s="239"/>
      <c r="O37" s="239"/>
      <c r="P37" s="239"/>
      <c r="Q37" s="239"/>
      <c r="R37" s="239"/>
      <c r="S37" s="239"/>
      <c r="T37" s="239"/>
      <c r="U37" s="239"/>
      <c r="V37" s="239"/>
      <c r="W37" s="239"/>
      <c r="X37" s="239"/>
      <c r="Y37" s="239"/>
      <c r="Z37" s="239"/>
      <c r="AA37" s="239"/>
      <c r="AB37" s="239"/>
      <c r="AC37" s="239"/>
      <c r="AD37" s="239"/>
      <c r="AE37" s="239"/>
      <c r="AF37" s="239"/>
      <c r="AG37" s="239"/>
      <c r="AH37" s="239"/>
      <c r="AI37" s="239"/>
      <c r="AJ37" s="239"/>
      <c r="AK37" s="239"/>
      <c r="AL37" s="239"/>
    </row>
    <row r="38" spans="1:38" ht="14.25" customHeight="1" x14ac:dyDescent="0.2">
      <c r="G38" s="239"/>
      <c r="H38" s="239"/>
      <c r="I38" s="239"/>
      <c r="J38" s="239"/>
      <c r="K38" s="239"/>
      <c r="L38" s="239"/>
      <c r="M38" s="239"/>
      <c r="N38" s="239"/>
      <c r="O38" s="239"/>
      <c r="P38" s="239"/>
      <c r="Q38" s="239"/>
      <c r="R38" s="239"/>
      <c r="S38" s="239"/>
      <c r="T38" s="239"/>
      <c r="U38" s="239"/>
      <c r="V38" s="239"/>
      <c r="W38" s="239"/>
      <c r="X38" s="239"/>
      <c r="Y38" s="239"/>
      <c r="Z38" s="239"/>
      <c r="AA38" s="239"/>
      <c r="AB38" s="239"/>
      <c r="AC38" s="239"/>
      <c r="AD38" s="239"/>
      <c r="AE38" s="239"/>
      <c r="AF38" s="239"/>
      <c r="AG38" s="239"/>
      <c r="AH38" s="239"/>
      <c r="AI38" s="239"/>
      <c r="AJ38" s="239"/>
      <c r="AK38" s="239"/>
      <c r="AL38" s="239"/>
    </row>
    <row r="39" spans="1:38" ht="10.5" customHeight="1" x14ac:dyDescent="0.2"/>
    <row r="40" spans="1:38" ht="14.25" customHeight="1" x14ac:dyDescent="0.2">
      <c r="A40" s="340" t="s">
        <v>632</v>
      </c>
      <c r="B40" s="340"/>
      <c r="C40" s="340"/>
      <c r="D40" s="340"/>
      <c r="E40" s="340"/>
      <c r="F40" s="340"/>
      <c r="G40" s="340"/>
      <c r="H40" s="340"/>
      <c r="I40" s="340"/>
      <c r="J40" s="340"/>
      <c r="K40" s="340"/>
      <c r="L40" s="340"/>
      <c r="M40" s="340"/>
      <c r="N40" s="340"/>
      <c r="O40" s="340"/>
      <c r="P40" s="340"/>
      <c r="Q40" s="340"/>
      <c r="R40" s="340"/>
      <c r="S40" s="340"/>
      <c r="T40" s="340"/>
      <c r="U40" s="340"/>
      <c r="V40" s="340"/>
      <c r="W40" s="340"/>
      <c r="X40" s="340"/>
      <c r="Y40" s="340"/>
      <c r="Z40" s="340"/>
      <c r="AA40" s="340"/>
      <c r="AB40" s="340"/>
      <c r="AC40" s="340"/>
      <c r="AD40" s="340"/>
      <c r="AE40" s="340"/>
      <c r="AF40" s="340"/>
      <c r="AG40" s="340"/>
      <c r="AH40" s="340"/>
      <c r="AI40" s="340"/>
      <c r="AJ40" s="340"/>
      <c r="AK40" s="340"/>
      <c r="AL40" s="340"/>
    </row>
    <row r="41" spans="1:38" ht="7.5" customHeight="1" x14ac:dyDescent="0.2"/>
    <row r="42" spans="1:38" ht="14.25" customHeight="1" x14ac:dyDescent="0.2">
      <c r="B42" s="513">
        <f>IF(Data!B1653="",Data!B34,Data!B1653)</f>
        <v>0</v>
      </c>
      <c r="C42" s="300"/>
      <c r="D42" s="300"/>
      <c r="E42" s="300"/>
      <c r="F42" s="300"/>
      <c r="G42" s="300"/>
      <c r="J42" s="240"/>
      <c r="K42" s="240"/>
      <c r="L42" s="240"/>
      <c r="M42" s="240"/>
      <c r="N42" s="240"/>
      <c r="O42" s="240"/>
      <c r="R42" s="240"/>
      <c r="S42" s="240"/>
      <c r="T42" s="240"/>
      <c r="U42" s="240"/>
      <c r="V42" s="240"/>
      <c r="W42" s="240"/>
      <c r="Z42" s="240"/>
      <c r="AA42" s="240"/>
      <c r="AB42" s="240"/>
      <c r="AC42" s="240"/>
      <c r="AD42" s="240"/>
      <c r="AE42" s="240"/>
      <c r="AG42" s="240"/>
      <c r="AH42" s="240"/>
      <c r="AI42" s="240"/>
      <c r="AJ42" s="240"/>
      <c r="AK42" s="240"/>
      <c r="AL42" s="240"/>
    </row>
    <row r="43" spans="1:38" ht="14.25" customHeight="1" x14ac:dyDescent="0.2">
      <c r="B43" s="514"/>
      <c r="C43" s="514"/>
      <c r="D43" s="514"/>
      <c r="E43" s="514"/>
      <c r="F43" s="514"/>
      <c r="G43" s="514"/>
      <c r="J43" s="266"/>
      <c r="K43" s="266"/>
      <c r="L43" s="266"/>
      <c r="M43" s="266"/>
      <c r="N43" s="266"/>
      <c r="O43" s="266"/>
      <c r="R43" s="266"/>
      <c r="S43" s="266"/>
      <c r="T43" s="266"/>
      <c r="U43" s="266"/>
      <c r="V43" s="266"/>
      <c r="W43" s="266"/>
      <c r="Z43" s="266"/>
      <c r="AA43" s="266"/>
      <c r="AB43" s="266"/>
      <c r="AC43" s="266"/>
      <c r="AD43" s="266"/>
      <c r="AE43" s="266"/>
      <c r="AG43" s="266"/>
      <c r="AH43" s="266"/>
      <c r="AI43" s="266"/>
      <c r="AJ43" s="266"/>
      <c r="AK43" s="266"/>
      <c r="AL43" s="266"/>
    </row>
    <row r="45" spans="1:38" ht="14.25" customHeight="1" x14ac:dyDescent="0.2">
      <c r="B45" s="240"/>
      <c r="C45" s="240"/>
      <c r="D45" s="240"/>
      <c r="E45" s="240"/>
      <c r="F45" s="240"/>
      <c r="G45" s="240"/>
      <c r="J45" s="240"/>
      <c r="K45" s="240"/>
      <c r="L45" s="240"/>
      <c r="M45" s="240"/>
      <c r="N45" s="240"/>
      <c r="O45" s="240"/>
      <c r="R45" s="240"/>
      <c r="S45" s="240"/>
      <c r="T45" s="240"/>
      <c r="U45" s="240"/>
      <c r="V45" s="240"/>
      <c r="W45" s="240"/>
      <c r="Z45" s="240"/>
      <c r="AA45" s="240"/>
      <c r="AB45" s="240"/>
      <c r="AC45" s="240"/>
      <c r="AD45" s="240"/>
      <c r="AE45" s="240"/>
      <c r="AG45" s="240"/>
      <c r="AH45" s="240"/>
      <c r="AI45" s="240"/>
      <c r="AJ45" s="240"/>
      <c r="AK45" s="240"/>
      <c r="AL45" s="240"/>
    </row>
    <row r="46" spans="1:38" ht="14.25" customHeight="1" x14ac:dyDescent="0.2">
      <c r="B46" s="266"/>
      <c r="C46" s="266"/>
      <c r="D46" s="266"/>
      <c r="E46" s="266"/>
      <c r="F46" s="266"/>
      <c r="G46" s="266"/>
      <c r="J46" s="266"/>
      <c r="K46" s="266"/>
      <c r="L46" s="266"/>
      <c r="M46" s="266"/>
      <c r="N46" s="266"/>
      <c r="O46" s="266"/>
      <c r="R46" s="266"/>
      <c r="S46" s="266"/>
      <c r="T46" s="266"/>
      <c r="U46" s="266"/>
      <c r="V46" s="266"/>
      <c r="W46" s="266"/>
      <c r="Z46" s="266"/>
      <c r="AA46" s="266"/>
      <c r="AB46" s="266"/>
      <c r="AC46" s="266"/>
      <c r="AD46" s="266"/>
      <c r="AE46" s="266"/>
      <c r="AG46" s="266"/>
      <c r="AH46" s="266"/>
      <c r="AI46" s="266"/>
      <c r="AJ46" s="266"/>
      <c r="AK46" s="266"/>
      <c r="AL46" s="266"/>
    </row>
  </sheetData>
  <mergeCells count="62">
    <mergeCell ref="A1:AL1"/>
    <mergeCell ref="AC5:AF5"/>
    <mergeCell ref="G35:AL36"/>
    <mergeCell ref="G37:AL38"/>
    <mergeCell ref="A40:AL40"/>
    <mergeCell ref="C28:G28"/>
    <mergeCell ref="C29:G29"/>
    <mergeCell ref="U27:Y27"/>
    <mergeCell ref="U28:Y28"/>
    <mergeCell ref="C27:G27"/>
    <mergeCell ref="U29:Y29"/>
    <mergeCell ref="A30:AL30"/>
    <mergeCell ref="A31:AL34"/>
    <mergeCell ref="I27:T27"/>
    <mergeCell ref="I28:T28"/>
    <mergeCell ref="I29:T29"/>
    <mergeCell ref="AA27:AL27"/>
    <mergeCell ref="AA28:AL28"/>
    <mergeCell ref="AA29:AL29"/>
    <mergeCell ref="B42:G43"/>
    <mergeCell ref="J42:O43"/>
    <mergeCell ref="R42:W43"/>
    <mergeCell ref="Z42:AE43"/>
    <mergeCell ref="AG42:AL43"/>
    <mergeCell ref="B45:G46"/>
    <mergeCell ref="J45:O46"/>
    <mergeCell ref="R45:W46"/>
    <mergeCell ref="Z45:AE46"/>
    <mergeCell ref="AG45:AL46"/>
    <mergeCell ref="D20:I20"/>
    <mergeCell ref="K20:AL20"/>
    <mergeCell ref="D21:I21"/>
    <mergeCell ref="K21:AL21"/>
    <mergeCell ref="A25:AL25"/>
    <mergeCell ref="D19:I19"/>
    <mergeCell ref="K19:AL19"/>
    <mergeCell ref="AI12:AL12"/>
    <mergeCell ref="V12:AB12"/>
    <mergeCell ref="G11:S11"/>
    <mergeCell ref="X11:AC11"/>
    <mergeCell ref="D12:N12"/>
    <mergeCell ref="Q12:S12"/>
    <mergeCell ref="AE12:AF12"/>
    <mergeCell ref="G15:Q15"/>
    <mergeCell ref="U15:AB15"/>
    <mergeCell ref="AE15:AL15"/>
    <mergeCell ref="H17:Q17"/>
    <mergeCell ref="X17:AI17"/>
    <mergeCell ref="F13:U13"/>
    <mergeCell ref="Y13:AL13"/>
    <mergeCell ref="F4:O4"/>
    <mergeCell ref="V4:AE4"/>
    <mergeCell ref="G5:O5"/>
    <mergeCell ref="E7:L7"/>
    <mergeCell ref="E9:L9"/>
    <mergeCell ref="X2:AB2"/>
    <mergeCell ref="AF2:AL2"/>
    <mergeCell ref="E2:T2"/>
    <mergeCell ref="AE3:AF3"/>
    <mergeCell ref="D3:N3"/>
    <mergeCell ref="AI3:AL3"/>
    <mergeCell ref="Q3:S3"/>
  </mergeCells>
  <pageMargins left="0.25" right="0.25" top="0.75" bottom="0.75" header="0.3" footer="0.3"/>
  <pageSetup orientation="portrait" r:id="rId1"/>
  <headerFooter>
    <oddHeader>&amp;L&amp;G&amp;RClient Emergency Form</oddHeader>
    <oddFooter>&amp;LINT&amp;C3088 Mercer University Drive Suite 100 Atlanta, GA 30341
678-310-6305 Fax 404-935-6110&amp;RPP.M</oddFooter>
  </headerFooter>
  <legacyDrawingHF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tabColor theme="1"/>
  </sheetPr>
  <dimension ref="A1:AL46"/>
  <sheetViews>
    <sheetView showZeros="0" view="pageLayout" zoomScaleNormal="100" workbookViewId="0">
      <selection sqref="A1:AL47"/>
    </sheetView>
  </sheetViews>
  <sheetFormatPr defaultColWidth="2.7109375" defaultRowHeight="14.25" customHeight="1" x14ac:dyDescent="0.2"/>
  <sheetData>
    <row r="1" spans="1:38" ht="14.25" customHeight="1" x14ac:dyDescent="0.2">
      <c r="A1" t="s">
        <v>922</v>
      </c>
      <c r="F1" s="218">
        <f>Data!B30</f>
        <v>0</v>
      </c>
      <c r="G1" s="219"/>
      <c r="H1" s="219"/>
      <c r="I1" s="219"/>
      <c r="J1" s="219"/>
      <c r="K1" s="219"/>
      <c r="L1" t="s">
        <v>924</v>
      </c>
      <c r="Q1" s="218">
        <f>Data!B32</f>
        <v>0</v>
      </c>
      <c r="R1" s="219"/>
      <c r="S1" s="219"/>
      <c r="T1" s="219"/>
      <c r="U1" s="219"/>
      <c r="W1" t="s">
        <v>582</v>
      </c>
      <c r="AB1" s="218">
        <f>Data!B33</f>
        <v>0</v>
      </c>
      <c r="AC1" s="218"/>
      <c r="AD1" s="218"/>
      <c r="AE1" s="218"/>
      <c r="AF1" s="218"/>
      <c r="AG1" s="218"/>
      <c r="AH1" s="218"/>
    </row>
    <row r="2" spans="1:38" ht="14.25" customHeight="1" x14ac:dyDescent="0.2">
      <c r="A2" t="s">
        <v>1010</v>
      </c>
      <c r="F2" s="277">
        <f>Data!B1323</f>
        <v>0</v>
      </c>
      <c r="G2" s="240"/>
      <c r="H2" s="240"/>
      <c r="I2" s="240"/>
      <c r="J2" s="240"/>
      <c r="K2" s="240"/>
    </row>
    <row r="3" spans="1:38" ht="14.25" customHeight="1" x14ac:dyDescent="0.2">
      <c r="A3" s="300" t="str">
        <f>IF(OR(Data!B917=TRUE,Data!B929=TRUE),"AT RISK FOR SKIN BREAKDOWN","")&amp;IF(Data!B917=TRUE," -Bedbound","")&amp;IF(Data!B929=TRUE," -Chairbound","")&amp;IF(Data!B1610="Yes","  **LATEX ALLERGY**","")&amp;IF(AND(Data!B1644="Yes",Data!B1645="Yes"),"**DNR ON FILE**","")</f>
        <v/>
      </c>
      <c r="B3" s="300"/>
      <c r="C3" s="300"/>
      <c r="D3" s="300"/>
      <c r="E3" s="300"/>
      <c r="F3" s="300"/>
      <c r="G3" s="300"/>
      <c r="H3" s="300"/>
      <c r="I3" s="300"/>
      <c r="J3" s="300"/>
      <c r="K3" s="300"/>
      <c r="L3" s="300"/>
      <c r="M3" s="300"/>
      <c r="N3" s="300"/>
      <c r="O3" s="300"/>
      <c r="P3" s="300"/>
      <c r="Q3" s="300"/>
      <c r="R3" s="300"/>
      <c r="S3" s="300"/>
      <c r="T3" s="300"/>
      <c r="U3" s="300"/>
      <c r="V3" s="300"/>
      <c r="W3" s="300"/>
      <c r="X3" s="300"/>
      <c r="Y3" s="300"/>
      <c r="Z3" s="300"/>
      <c r="AA3" s="300"/>
      <c r="AB3" s="300"/>
      <c r="AC3" s="300"/>
      <c r="AD3" s="300"/>
      <c r="AE3" s="300"/>
      <c r="AF3" s="300"/>
      <c r="AG3" s="300"/>
      <c r="AH3" s="300"/>
      <c r="AI3" s="300"/>
      <c r="AJ3" s="300"/>
      <c r="AK3" s="300"/>
      <c r="AL3" s="300"/>
    </row>
    <row r="4" spans="1:38" ht="14.25" customHeight="1" x14ac:dyDescent="0.2">
      <c r="A4" t="s">
        <v>336</v>
      </c>
      <c r="E4" s="219" t="str">
        <f>_xlfn.CONCAT(Data!B2,", ",Data!B3," ",Data!B4)</f>
        <v xml:space="preserve">,  </v>
      </c>
      <c r="F4" s="219"/>
      <c r="G4" s="219"/>
      <c r="H4" s="219"/>
      <c r="I4" s="219"/>
      <c r="J4" s="219"/>
      <c r="K4" s="219"/>
      <c r="L4" s="219"/>
      <c r="M4" s="219"/>
      <c r="N4" s="219"/>
      <c r="O4" s="219"/>
      <c r="P4" s="219"/>
      <c r="Q4" s="219"/>
      <c r="R4" s="219"/>
      <c r="S4" s="219"/>
      <c r="T4" s="219"/>
      <c r="V4" t="s">
        <v>371</v>
      </c>
      <c r="X4" s="218">
        <f>Data!B14</f>
        <v>0</v>
      </c>
      <c r="Y4" s="218"/>
      <c r="Z4" s="218"/>
      <c r="AA4" s="218"/>
      <c r="AB4" s="218"/>
      <c r="AC4" s="16" t="s">
        <v>668</v>
      </c>
      <c r="AF4" s="233">
        <f>Data!B10</f>
        <v>0</v>
      </c>
      <c r="AG4" s="233"/>
      <c r="AH4" s="233"/>
      <c r="AI4" s="233"/>
      <c r="AJ4" s="233"/>
      <c r="AK4" s="233"/>
      <c r="AL4" s="233"/>
    </row>
    <row r="5" spans="1:38" ht="14.25" customHeight="1" x14ac:dyDescent="0.2">
      <c r="A5" t="s">
        <v>343</v>
      </c>
      <c r="D5" s="233">
        <f>Data!B5</f>
        <v>0</v>
      </c>
      <c r="E5" s="233"/>
      <c r="F5" s="233"/>
      <c r="G5" s="233"/>
      <c r="H5" s="233"/>
      <c r="I5" s="233"/>
      <c r="J5" s="233"/>
      <c r="K5" s="233"/>
      <c r="L5" s="233"/>
      <c r="M5" s="233"/>
      <c r="N5" s="233"/>
      <c r="O5" t="s">
        <v>664</v>
      </c>
      <c r="P5" s="4"/>
      <c r="Q5" s="219">
        <f>Data!B6</f>
        <v>0</v>
      </c>
      <c r="R5" s="219"/>
      <c r="S5" s="219"/>
      <c r="T5" t="s">
        <v>665</v>
      </c>
      <c r="V5" s="4">
        <f>Data!B7</f>
        <v>0</v>
      </c>
      <c r="W5" s="4"/>
      <c r="X5" s="4"/>
      <c r="Y5" s="4"/>
      <c r="Z5" s="4"/>
      <c r="AA5" s="4"/>
      <c r="AB5" s="4"/>
      <c r="AC5" t="s">
        <v>666</v>
      </c>
      <c r="AE5" s="233">
        <f>Data!B8</f>
        <v>0</v>
      </c>
      <c r="AF5" s="233"/>
      <c r="AG5" t="s">
        <v>667</v>
      </c>
      <c r="AI5" s="219">
        <f>Data!B9</f>
        <v>0</v>
      </c>
      <c r="AJ5" s="219"/>
      <c r="AK5" s="219"/>
      <c r="AL5" s="219"/>
    </row>
    <row r="6" spans="1:38" ht="14.25" customHeight="1" x14ac:dyDescent="0.2">
      <c r="A6" t="s">
        <v>669</v>
      </c>
      <c r="F6" s="298">
        <f>Data!B11</f>
        <v>0</v>
      </c>
      <c r="G6" s="298"/>
      <c r="H6" s="298"/>
      <c r="I6" s="298"/>
      <c r="J6" s="298"/>
      <c r="K6" s="298"/>
      <c r="L6" s="298"/>
      <c r="M6" s="298"/>
      <c r="N6" s="298"/>
      <c r="O6" s="298"/>
      <c r="Q6" t="s">
        <v>670</v>
      </c>
      <c r="V6" s="298">
        <f>Data!B12</f>
        <v>0</v>
      </c>
      <c r="W6" s="298"/>
      <c r="X6" s="298"/>
      <c r="Y6" s="298"/>
      <c r="Z6" s="298"/>
      <c r="AA6" s="298"/>
      <c r="AB6" s="298"/>
      <c r="AC6" s="298"/>
      <c r="AD6" s="298"/>
      <c r="AE6" s="298"/>
    </row>
    <row r="7" spans="1:38" ht="14.25" customHeight="1" x14ac:dyDescent="0.2">
      <c r="A7" t="s">
        <v>671</v>
      </c>
      <c r="G7" s="512" t="str">
        <f>IF(Data!B27="","N/A",Data!B27)</f>
        <v>N/A</v>
      </c>
      <c r="H7" s="512"/>
      <c r="I7" s="512"/>
      <c r="J7" s="512"/>
      <c r="K7" s="512"/>
      <c r="L7" s="512"/>
      <c r="M7" s="512"/>
      <c r="N7" s="512"/>
      <c r="O7" s="512"/>
      <c r="R7" t="s">
        <v>1018</v>
      </c>
      <c r="U7" s="233">
        <f>Data!B18</f>
        <v>0</v>
      </c>
      <c r="V7" s="233"/>
      <c r="W7" s="233"/>
      <c r="Z7" t="s">
        <v>773</v>
      </c>
      <c r="AI7" s="233">
        <f>Data!B176</f>
        <v>0</v>
      </c>
      <c r="AJ7" s="233"/>
      <c r="AK7" s="233"/>
      <c r="AL7" s="233"/>
    </row>
    <row r="9" spans="1:38" ht="14.25" customHeight="1" x14ac:dyDescent="0.2">
      <c r="A9" t="s">
        <v>1012</v>
      </c>
      <c r="F9" s="233">
        <f>Data!B16</f>
        <v>0</v>
      </c>
      <c r="G9" s="233"/>
      <c r="H9" s="233"/>
      <c r="I9" s="233"/>
      <c r="J9" s="233"/>
      <c r="K9" s="233"/>
      <c r="L9" s="233"/>
      <c r="N9" t="s">
        <v>1013</v>
      </c>
      <c r="Q9" s="219">
        <f>Data!B19</f>
        <v>0</v>
      </c>
      <c r="R9" s="219"/>
      <c r="S9" s="219"/>
      <c r="T9" s="219"/>
      <c r="V9" t="s">
        <v>1014</v>
      </c>
      <c r="X9" s="219">
        <f>Data!B17</f>
        <v>0</v>
      </c>
      <c r="Y9" s="219"/>
      <c r="Z9" s="219"/>
      <c r="AA9" s="219"/>
      <c r="AB9" s="219"/>
      <c r="AC9" s="219"/>
      <c r="AD9" s="219"/>
      <c r="AF9" t="s">
        <v>1015</v>
      </c>
      <c r="AH9" s="516">
        <f>IF(Data!B1653="",DATEDIF(Data!B14,Data!B34,"y"),DATEDIF(Data!B14,Data!B1653,"y"))</f>
        <v>0</v>
      </c>
      <c r="AI9" s="516"/>
      <c r="AJ9" s="516"/>
    </row>
    <row r="11" spans="1:38" ht="14.25" customHeight="1" x14ac:dyDescent="0.2">
      <c r="A11" t="s">
        <v>1019</v>
      </c>
      <c r="I11" s="219" t="str">
        <f>IF(Data!B185="Medicaid",Data!B38,"N/A")</f>
        <v>N/A</v>
      </c>
      <c r="J11" s="219"/>
      <c r="K11" s="219"/>
      <c r="L11" s="219"/>
      <c r="M11" s="219"/>
      <c r="N11" s="219"/>
      <c r="O11" s="219"/>
      <c r="P11" s="219"/>
      <c r="Q11" s="219"/>
      <c r="R11" s="219"/>
      <c r="S11" s="219"/>
      <c r="V11" t="s">
        <v>1020</v>
      </c>
      <c r="AC11" s="233" t="str">
        <f>IF(Data!B185="Medicaid",Data!B39,"N/A")</f>
        <v>N/A</v>
      </c>
      <c r="AD11" s="233"/>
      <c r="AE11" s="233"/>
      <c r="AF11" s="233"/>
      <c r="AG11" s="233"/>
      <c r="AH11" s="233"/>
      <c r="AI11" s="233"/>
      <c r="AJ11" s="233"/>
      <c r="AK11" s="233"/>
      <c r="AL11" s="233"/>
    </row>
    <row r="13" spans="1:38" ht="14.25" customHeight="1" x14ac:dyDescent="0.2">
      <c r="A13" t="s">
        <v>1021</v>
      </c>
      <c r="H13" s="298" t="str">
        <f>IF(Data!B185="Medicaid",Data!B40,"N/A")</f>
        <v>N/A</v>
      </c>
      <c r="I13" s="298"/>
      <c r="J13" s="298"/>
      <c r="K13" s="298"/>
      <c r="L13" s="298"/>
      <c r="M13" s="298"/>
      <c r="N13" s="298"/>
      <c r="O13" s="298"/>
      <c r="P13" s="298"/>
      <c r="Q13" s="298"/>
      <c r="R13" s="298"/>
      <c r="S13" s="298"/>
      <c r="V13" t="s">
        <v>1022</v>
      </c>
      <c r="AB13" s="298" t="str">
        <f>IF(Data!B185="Medicaid",Data!B41,"N/A")</f>
        <v>N/A</v>
      </c>
      <c r="AC13" s="298"/>
      <c r="AD13" s="298"/>
      <c r="AE13" s="298"/>
      <c r="AF13" s="298"/>
      <c r="AG13" s="298"/>
      <c r="AH13" s="298"/>
      <c r="AI13" s="298"/>
      <c r="AJ13" s="298"/>
      <c r="AK13" s="298"/>
      <c r="AL13" s="298"/>
    </row>
    <row r="15" spans="1:38" ht="14.25" customHeight="1" x14ac:dyDescent="0.2">
      <c r="A15" t="s">
        <v>672</v>
      </c>
      <c r="E15" s="219" t="str">
        <f>IF(Data!B22="","N/A",Data!B22)</f>
        <v>N/A</v>
      </c>
      <c r="F15" s="219"/>
      <c r="G15" s="219"/>
      <c r="H15" s="219"/>
      <c r="I15" s="219"/>
      <c r="J15" s="219"/>
      <c r="K15" s="219"/>
      <c r="L15" s="219"/>
      <c r="N15" s="21" t="str">
        <f>IF(Data!B23=TRUE,"P","")</f>
        <v/>
      </c>
      <c r="O15" t="s">
        <v>31</v>
      </c>
      <c r="R15" s="21" t="str">
        <f>IF(Data!B24=TRUE,"P","")</f>
        <v/>
      </c>
      <c r="S15" t="s">
        <v>32</v>
      </c>
      <c r="V15" s="21" t="str">
        <f>IF(Data!B25=TRUE,"P","")</f>
        <v/>
      </c>
      <c r="W15" t="s">
        <v>33</v>
      </c>
      <c r="Z15" s="21" t="str">
        <f>IF(Data!B26=TRUE,"P","")</f>
        <v/>
      </c>
      <c r="AA15" t="s">
        <v>34</v>
      </c>
    </row>
    <row r="17" spans="1:33" ht="14.25" customHeight="1" x14ac:dyDescent="0.2">
      <c r="A17" t="s">
        <v>650</v>
      </c>
      <c r="E17" s="490" t="str">
        <f>IF(Data!B21="","N/A",Data!B21)</f>
        <v>N/A</v>
      </c>
      <c r="F17" s="490"/>
      <c r="G17" s="490"/>
      <c r="H17" s="490"/>
      <c r="I17" s="490"/>
      <c r="J17" s="490"/>
      <c r="K17" s="490"/>
      <c r="L17" s="490"/>
      <c r="O17" t="s">
        <v>583</v>
      </c>
      <c r="T17" s="219">
        <f>Data!B185</f>
        <v>0</v>
      </c>
      <c r="U17" s="219"/>
      <c r="V17" s="219"/>
      <c r="W17" s="219"/>
      <c r="X17" s="219"/>
      <c r="Y17" s="219"/>
      <c r="AA17" t="s">
        <v>1011</v>
      </c>
      <c r="AG17" s="4" t="s">
        <v>195</v>
      </c>
    </row>
    <row r="19" spans="1:33" ht="14.25" customHeight="1" x14ac:dyDescent="0.2">
      <c r="A19" t="s">
        <v>1016</v>
      </c>
      <c r="I19" s="233">
        <f>Data!B185</f>
        <v>0</v>
      </c>
      <c r="J19" s="233"/>
      <c r="K19" s="233"/>
      <c r="L19" s="233"/>
      <c r="M19" s="233"/>
      <c r="N19" s="233"/>
      <c r="O19" s="233"/>
      <c r="T19" t="s">
        <v>1017</v>
      </c>
      <c r="Z19" s="233" t="str">
        <f>IF(Data!B28="","N/A",Data!B28)</f>
        <v>N/A</v>
      </c>
      <c r="AA19" s="233"/>
      <c r="AB19" s="233"/>
      <c r="AC19" s="233"/>
      <c r="AD19" s="233"/>
      <c r="AE19" s="233"/>
      <c r="AF19" s="233"/>
      <c r="AG19" s="233"/>
    </row>
    <row r="21" spans="1:33" ht="14.25" customHeight="1" x14ac:dyDescent="0.2">
      <c r="A21" t="s">
        <v>3207</v>
      </c>
      <c r="H21" s="497" t="str">
        <f>IF(Data!B101&lt;&gt;"",Data!B101,"N/A")</f>
        <v>N/A</v>
      </c>
      <c r="I21" s="497"/>
      <c r="J21" s="497"/>
      <c r="K21" s="497"/>
      <c r="L21" s="497"/>
      <c r="M21" s="497"/>
    </row>
    <row r="23" spans="1:33" ht="14.25" customHeight="1" x14ac:dyDescent="0.2">
      <c r="A23" t="s">
        <v>3208</v>
      </c>
      <c r="I23" s="490">
        <f>Data!B1621</f>
        <v>0</v>
      </c>
      <c r="J23" s="490"/>
      <c r="K23" s="490"/>
      <c r="L23" s="490"/>
      <c r="M23" s="490"/>
      <c r="N23" s="490"/>
      <c r="O23" s="490"/>
      <c r="P23" s="490"/>
      <c r="Q23" s="490"/>
      <c r="R23" s="490"/>
      <c r="S23" s="490"/>
      <c r="T23" s="490"/>
      <c r="V23" t="s">
        <v>3209</v>
      </c>
      <c r="Z23" s="218">
        <f>Data!B1622</f>
        <v>0</v>
      </c>
      <c r="AA23" s="218"/>
      <c r="AB23" s="218"/>
      <c r="AC23" s="218"/>
      <c r="AD23" s="218"/>
      <c r="AE23" s="218"/>
    </row>
    <row r="24" spans="1:33" ht="14.25" customHeight="1" x14ac:dyDescent="0.2">
      <c r="V24" t="s">
        <v>3210</v>
      </c>
      <c r="Z24" s="218">
        <f>Data!B1623</f>
        <v>0</v>
      </c>
      <c r="AA24" s="218"/>
      <c r="AB24" s="218"/>
      <c r="AC24" s="218"/>
      <c r="AD24" s="218"/>
      <c r="AE24" s="218"/>
    </row>
    <row r="31" spans="1:33" ht="14.25" customHeight="1" x14ac:dyDescent="0.2">
      <c r="A31" t="s">
        <v>677</v>
      </c>
      <c r="H31" s="21" t="str">
        <f>IF(Data!B262=TRUE,"P","")</f>
        <v/>
      </c>
      <c r="I31" t="s">
        <v>111</v>
      </c>
      <c r="M31" s="21" t="str">
        <f>IF(Data!B265=TRUE,"P","")</f>
        <v/>
      </c>
      <c r="N31" t="s">
        <v>113</v>
      </c>
      <c r="Q31" s="21"/>
      <c r="T31" s="136" t="str">
        <f>IF(Data!B266=TRUE,"P","")</f>
        <v/>
      </c>
      <c r="U31" t="s">
        <v>195</v>
      </c>
      <c r="W31" s="21"/>
      <c r="AE31" s="21"/>
    </row>
    <row r="32" spans="1:33" ht="14.25" customHeight="1" x14ac:dyDescent="0.2">
      <c r="H32" s="136" t="str">
        <f>IF(Data!B1644="Yes","P","")</f>
        <v/>
      </c>
      <c r="I32" t="s">
        <v>112</v>
      </c>
      <c r="L32" s="136" t="str">
        <f>IF(Data!B1645="Yes","P","")</f>
        <v/>
      </c>
      <c r="M32" t="s">
        <v>3241</v>
      </c>
    </row>
    <row r="33" spans="1:38" ht="14.25" customHeight="1" x14ac:dyDescent="0.2">
      <c r="A33" s="340" t="s">
        <v>678</v>
      </c>
      <c r="B33" s="340"/>
      <c r="C33" s="340"/>
      <c r="D33" s="340"/>
      <c r="E33" s="340"/>
      <c r="F33" s="340"/>
      <c r="G33" s="340"/>
      <c r="H33" s="340"/>
      <c r="I33" s="340"/>
      <c r="J33" s="340"/>
      <c r="K33" s="340"/>
      <c r="L33" s="340"/>
      <c r="M33" s="340"/>
      <c r="N33" s="340"/>
      <c r="O33" s="340"/>
      <c r="P33" s="340"/>
      <c r="Q33" s="340"/>
      <c r="R33" s="340"/>
      <c r="S33" s="340"/>
      <c r="T33" s="340"/>
      <c r="U33" s="340"/>
      <c r="V33" s="340"/>
      <c r="W33" s="340"/>
      <c r="X33" s="340"/>
      <c r="Y33" s="340"/>
      <c r="Z33" s="340"/>
      <c r="AA33" s="340"/>
      <c r="AB33" s="340"/>
      <c r="AC33" s="340"/>
      <c r="AD33" s="340"/>
      <c r="AE33" s="340"/>
      <c r="AF33" s="340"/>
      <c r="AG33" s="340"/>
      <c r="AH33" s="340"/>
      <c r="AI33" s="340"/>
      <c r="AJ33" s="340"/>
      <c r="AK33" s="340"/>
      <c r="AL33" s="340"/>
    </row>
    <row r="35" spans="1:38" ht="14.25" customHeight="1" x14ac:dyDescent="0.2">
      <c r="C35" s="299" t="s">
        <v>679</v>
      </c>
      <c r="D35" s="299"/>
      <c r="E35" s="299"/>
      <c r="F35" s="299"/>
      <c r="G35" s="299"/>
      <c r="I35" s="233">
        <f>Data!B43</f>
        <v>0</v>
      </c>
      <c r="J35" s="233"/>
      <c r="K35" s="233"/>
      <c r="L35" s="233"/>
      <c r="M35" s="233"/>
      <c r="N35" s="233"/>
      <c r="O35" s="233"/>
      <c r="P35" s="233"/>
      <c r="Q35" s="233"/>
      <c r="R35" s="233"/>
      <c r="S35" s="233"/>
      <c r="T35" s="233"/>
      <c r="U35" s="299" t="s">
        <v>679</v>
      </c>
      <c r="V35" s="299"/>
      <c r="W35" s="299"/>
      <c r="X35" s="299"/>
      <c r="Y35" s="299"/>
      <c r="AA35" s="233" t="str">
        <f>IF(Data!B55="","N/A",Data!B55)</f>
        <v>N/A</v>
      </c>
      <c r="AB35" s="233"/>
      <c r="AC35" s="233"/>
      <c r="AD35" s="233"/>
      <c r="AE35" s="233"/>
      <c r="AF35" s="233"/>
      <c r="AG35" s="233"/>
      <c r="AH35" s="233"/>
      <c r="AI35" s="233"/>
      <c r="AJ35" s="233"/>
      <c r="AK35" s="233"/>
      <c r="AL35" s="233"/>
    </row>
    <row r="36" spans="1:38" ht="14.25" customHeight="1" x14ac:dyDescent="0.2">
      <c r="C36" s="299" t="s">
        <v>348</v>
      </c>
      <c r="D36" s="299"/>
      <c r="E36" s="299"/>
      <c r="F36" s="299"/>
      <c r="G36" s="299"/>
      <c r="I36" s="515" t="str">
        <f>_xlfn.CONCAT(IF(Data!B45&lt;&gt;"","Home: "&amp;TEXT(Data!B45,"(###) ###-####")&amp;" ","No home phone.  "),IF(Data!B46&lt;&gt;"","Cell: "&amp;TEXT(Data!B46,"(###) ###-####")&amp;" "," No cell phone."))</f>
        <v>No home phone.   No cell phone.</v>
      </c>
      <c r="J36" s="515"/>
      <c r="K36" s="515"/>
      <c r="L36" s="515"/>
      <c r="M36" s="515"/>
      <c r="N36" s="515"/>
      <c r="O36" s="515"/>
      <c r="P36" s="515"/>
      <c r="Q36" s="515"/>
      <c r="R36" s="515"/>
      <c r="S36" s="515"/>
      <c r="T36" s="515"/>
      <c r="U36" s="299" t="s">
        <v>348</v>
      </c>
      <c r="V36" s="299"/>
      <c r="W36" s="299"/>
      <c r="X36" s="299"/>
      <c r="Y36" s="299"/>
      <c r="AA36" s="515" t="str">
        <f>IF(Data!B55="","N/A",IF(Data!B57&lt;&gt;"","Home: "&amp;TEXT(Data!B57,"(###) ###-####")&amp;" ","No home phone.  ")&amp;IF(Data!B58&lt;&gt;"","Cell: "&amp;TEXT(Data!B58,"(###) ###-####")&amp;" "," No cell phone."))</f>
        <v>N/A</v>
      </c>
      <c r="AB36" s="515"/>
      <c r="AC36" s="515"/>
      <c r="AD36" s="515"/>
      <c r="AE36" s="515"/>
      <c r="AF36" s="515"/>
      <c r="AG36" s="515"/>
      <c r="AH36" s="515"/>
      <c r="AI36" s="515"/>
      <c r="AJ36" s="515"/>
      <c r="AK36" s="515"/>
      <c r="AL36" s="515"/>
    </row>
    <row r="37" spans="1:38" ht="14.25" customHeight="1" x14ac:dyDescent="0.2">
      <c r="C37" s="299" t="s">
        <v>344</v>
      </c>
      <c r="D37" s="299"/>
      <c r="E37" s="299"/>
      <c r="F37" s="299"/>
      <c r="G37" s="299"/>
      <c r="I37" s="233">
        <f>Data!B48</f>
        <v>0</v>
      </c>
      <c r="J37" s="233"/>
      <c r="K37" s="233"/>
      <c r="L37" s="233"/>
      <c r="M37" s="233"/>
      <c r="N37" s="233"/>
      <c r="O37" s="233"/>
      <c r="P37" s="233"/>
      <c r="Q37" s="233"/>
      <c r="R37" s="233"/>
      <c r="S37" s="233"/>
      <c r="T37" s="233"/>
      <c r="U37" s="299" t="s">
        <v>344</v>
      </c>
      <c r="V37" s="299"/>
      <c r="W37" s="299"/>
      <c r="X37" s="299"/>
      <c r="Y37" s="299"/>
      <c r="AA37" s="233" t="str">
        <f>IF(Data!B60="","N/A",Data!B60)</f>
        <v>N/A</v>
      </c>
      <c r="AB37" s="233"/>
      <c r="AC37" s="233"/>
      <c r="AD37" s="233"/>
      <c r="AE37" s="233"/>
      <c r="AF37" s="233"/>
      <c r="AG37" s="233"/>
      <c r="AH37" s="233"/>
      <c r="AI37" s="233"/>
      <c r="AJ37" s="233"/>
      <c r="AK37" s="233"/>
      <c r="AL37" s="233"/>
    </row>
    <row r="40" spans="1:38" ht="14.25" customHeight="1" x14ac:dyDescent="0.2">
      <c r="A40" s="340" t="s">
        <v>632</v>
      </c>
      <c r="B40" s="340"/>
      <c r="C40" s="340"/>
      <c r="D40" s="340"/>
      <c r="E40" s="340"/>
      <c r="F40" s="340"/>
      <c r="G40" s="340"/>
      <c r="H40" s="340"/>
      <c r="I40" s="340"/>
      <c r="J40" s="340"/>
      <c r="K40" s="340"/>
      <c r="L40" s="340"/>
      <c r="M40" s="340"/>
      <c r="N40" s="340"/>
      <c r="O40" s="340"/>
      <c r="P40" s="340"/>
      <c r="Q40" s="340"/>
      <c r="R40" s="340"/>
      <c r="S40" s="340"/>
      <c r="T40" s="340"/>
      <c r="U40" s="340"/>
      <c r="V40" s="340"/>
      <c r="W40" s="340"/>
      <c r="X40" s="340"/>
      <c r="Y40" s="340"/>
      <c r="Z40" s="340"/>
      <c r="AA40" s="340"/>
      <c r="AB40" s="340"/>
      <c r="AC40" s="340"/>
      <c r="AD40" s="340"/>
      <c r="AE40" s="340"/>
      <c r="AF40" s="340"/>
      <c r="AG40" s="340"/>
      <c r="AH40" s="340"/>
      <c r="AI40" s="340"/>
      <c r="AJ40" s="340"/>
      <c r="AK40" s="340"/>
      <c r="AL40" s="340"/>
    </row>
    <row r="42" spans="1:38" ht="14.25" customHeight="1" x14ac:dyDescent="0.2">
      <c r="B42" s="513">
        <f>IF(Data!B1653="",Data!B34,Data!B1653)</f>
        <v>0</v>
      </c>
      <c r="C42" s="300"/>
      <c r="D42" s="300"/>
      <c r="E42" s="300"/>
      <c r="F42" s="300"/>
      <c r="G42" s="300"/>
      <c r="J42" s="240"/>
      <c r="K42" s="240"/>
      <c r="L42" s="240"/>
      <c r="M42" s="240"/>
      <c r="N42" s="240"/>
      <c r="O42" s="240"/>
      <c r="R42" s="240"/>
      <c r="S42" s="240"/>
      <c r="T42" s="240"/>
      <c r="U42" s="240"/>
      <c r="V42" s="240"/>
      <c r="W42" s="240"/>
      <c r="Z42" s="240"/>
      <c r="AA42" s="240"/>
      <c r="AB42" s="240"/>
      <c r="AC42" s="240"/>
      <c r="AD42" s="240"/>
      <c r="AE42" s="240"/>
      <c r="AG42" s="240"/>
      <c r="AH42" s="240"/>
      <c r="AI42" s="240"/>
      <c r="AJ42" s="240"/>
      <c r="AK42" s="240"/>
      <c r="AL42" s="240"/>
    </row>
    <row r="43" spans="1:38" ht="14.25" customHeight="1" x14ac:dyDescent="0.2">
      <c r="B43" s="514"/>
      <c r="C43" s="514"/>
      <c r="D43" s="514"/>
      <c r="E43" s="514"/>
      <c r="F43" s="514"/>
      <c r="G43" s="514"/>
      <c r="J43" s="266"/>
      <c r="K43" s="266"/>
      <c r="L43" s="266"/>
      <c r="M43" s="266"/>
      <c r="N43" s="266"/>
      <c r="O43" s="266"/>
      <c r="R43" s="266"/>
      <c r="S43" s="266"/>
      <c r="T43" s="266"/>
      <c r="U43" s="266"/>
      <c r="V43" s="266"/>
      <c r="W43" s="266"/>
      <c r="Z43" s="266"/>
      <c r="AA43" s="266"/>
      <c r="AB43" s="266"/>
      <c r="AC43" s="266"/>
      <c r="AD43" s="266"/>
      <c r="AE43" s="266"/>
      <c r="AG43" s="266"/>
      <c r="AH43" s="266"/>
      <c r="AI43" s="266"/>
      <c r="AJ43" s="266"/>
      <c r="AK43" s="266"/>
      <c r="AL43" s="266"/>
    </row>
    <row r="45" spans="1:38" ht="14.25" customHeight="1" x14ac:dyDescent="0.2">
      <c r="B45" s="240"/>
      <c r="C45" s="240"/>
      <c r="D45" s="240"/>
      <c r="E45" s="240"/>
      <c r="F45" s="240"/>
      <c r="G45" s="240"/>
      <c r="J45" s="240"/>
      <c r="K45" s="240"/>
      <c r="L45" s="240"/>
      <c r="M45" s="240"/>
      <c r="N45" s="240"/>
      <c r="O45" s="240"/>
      <c r="R45" s="240"/>
      <c r="S45" s="240"/>
      <c r="T45" s="240"/>
      <c r="U45" s="240"/>
      <c r="V45" s="240"/>
      <c r="W45" s="240"/>
      <c r="Z45" s="240"/>
      <c r="AA45" s="240"/>
      <c r="AB45" s="240"/>
      <c r="AC45" s="240"/>
      <c r="AD45" s="240"/>
      <c r="AE45" s="240"/>
      <c r="AG45" s="240"/>
      <c r="AH45" s="240"/>
      <c r="AI45" s="240"/>
      <c r="AJ45" s="240"/>
      <c r="AK45" s="240"/>
      <c r="AL45" s="240"/>
    </row>
    <row r="46" spans="1:38" ht="14.25" customHeight="1" x14ac:dyDescent="0.2">
      <c r="B46" s="266"/>
      <c r="C46" s="266"/>
      <c r="D46" s="266"/>
      <c r="E46" s="266"/>
      <c r="F46" s="266"/>
      <c r="G46" s="266"/>
      <c r="J46" s="266"/>
      <c r="K46" s="266"/>
      <c r="L46" s="266"/>
      <c r="M46" s="266"/>
      <c r="N46" s="266"/>
      <c r="O46" s="266"/>
      <c r="R46" s="266"/>
      <c r="S46" s="266"/>
      <c r="T46" s="266"/>
      <c r="U46" s="266"/>
      <c r="V46" s="266"/>
      <c r="W46" s="266"/>
      <c r="Z46" s="266"/>
      <c r="AA46" s="266"/>
      <c r="AB46" s="266"/>
      <c r="AC46" s="266"/>
      <c r="AD46" s="266"/>
      <c r="AE46" s="266"/>
      <c r="AG46" s="266"/>
      <c r="AH46" s="266"/>
      <c r="AI46" s="266"/>
      <c r="AJ46" s="266"/>
      <c r="AK46" s="266"/>
      <c r="AL46" s="266"/>
    </row>
  </sheetData>
  <mergeCells count="58">
    <mergeCell ref="B45:G46"/>
    <mergeCell ref="J45:O46"/>
    <mergeCell ref="R45:W46"/>
    <mergeCell ref="Z45:AE46"/>
    <mergeCell ref="AG45:AL46"/>
    <mergeCell ref="Z42:AE43"/>
    <mergeCell ref="AG42:AL43"/>
    <mergeCell ref="C37:G37"/>
    <mergeCell ref="U37:Y37"/>
    <mergeCell ref="A40:AL40"/>
    <mergeCell ref="I37:T37"/>
    <mergeCell ref="U36:Y36"/>
    <mergeCell ref="C36:G36"/>
    <mergeCell ref="B42:G43"/>
    <mergeCell ref="J42:O43"/>
    <mergeCell ref="R42:W43"/>
    <mergeCell ref="I36:T36"/>
    <mergeCell ref="A33:AL33"/>
    <mergeCell ref="I19:O19"/>
    <mergeCell ref="Z19:AG19"/>
    <mergeCell ref="C35:G35"/>
    <mergeCell ref="U35:Y35"/>
    <mergeCell ref="I35:T35"/>
    <mergeCell ref="AA35:AL35"/>
    <mergeCell ref="H21:M21"/>
    <mergeCell ref="I23:T23"/>
    <mergeCell ref="Z23:AE23"/>
    <mergeCell ref="Z24:AE24"/>
    <mergeCell ref="F9:L9"/>
    <mergeCell ref="U7:W7"/>
    <mergeCell ref="I11:S11"/>
    <mergeCell ref="AC11:AL11"/>
    <mergeCell ref="Q9:T9"/>
    <mergeCell ref="X9:AD9"/>
    <mergeCell ref="AH9:AJ9"/>
    <mergeCell ref="AI7:AL7"/>
    <mergeCell ref="F1:K1"/>
    <mergeCell ref="Q1:U1"/>
    <mergeCell ref="AB1:AH1"/>
    <mergeCell ref="F2:K2"/>
    <mergeCell ref="AF4:AL4"/>
    <mergeCell ref="A3:AL3"/>
    <mergeCell ref="AA36:AL36"/>
    <mergeCell ref="AA37:AL37"/>
    <mergeCell ref="F6:O6"/>
    <mergeCell ref="V6:AE6"/>
    <mergeCell ref="E4:T4"/>
    <mergeCell ref="X4:AB4"/>
    <mergeCell ref="D5:N5"/>
    <mergeCell ref="Q5:S5"/>
    <mergeCell ref="AE5:AF5"/>
    <mergeCell ref="AI5:AL5"/>
    <mergeCell ref="H13:S13"/>
    <mergeCell ref="AB13:AL13"/>
    <mergeCell ref="T17:Y17"/>
    <mergeCell ref="G7:O7"/>
    <mergeCell ref="E15:L15"/>
    <mergeCell ref="E17:L17"/>
  </mergeCells>
  <pageMargins left="0.25" right="0.25" top="0.75" bottom="0.75" header="0.3" footer="0.3"/>
  <pageSetup orientation="portrait" horizontalDpi="4294967293" r:id="rId1"/>
  <headerFooter>
    <oddHeader>&amp;L&amp;G&amp;RClient Information Form</oddHeader>
    <oddFooter>&amp;LINT&amp;C3088 Mercer University Drive Suite 100 Atlanta, GA 30341
678-310-6305 Fax 404-935-6110&amp;RPP.M</oddFooter>
  </headerFooter>
  <legacyDrawingHF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60">
    <tabColor theme="1" tint="4.9989318521683403E-2"/>
  </sheetPr>
  <dimension ref="A1:AL43"/>
  <sheetViews>
    <sheetView showZeros="0" view="pageLayout" zoomScaleNormal="100" workbookViewId="0">
      <selection activeCell="H18" sqref="H18:AL18"/>
    </sheetView>
  </sheetViews>
  <sheetFormatPr defaultColWidth="2.7109375" defaultRowHeight="14.25" x14ac:dyDescent="0.2"/>
  <cols>
    <col min="1" max="16384" width="2.7109375" style="12"/>
  </cols>
  <sheetData>
    <row r="1" spans="1:38" x14ac:dyDescent="0.2">
      <c r="A1" s="12" t="s">
        <v>3211</v>
      </c>
      <c r="E1" s="517">
        <f>Data!B1747</f>
        <v>0</v>
      </c>
      <c r="F1" s="517"/>
      <c r="G1" s="517"/>
      <c r="H1" s="517"/>
      <c r="I1" s="517"/>
      <c r="J1" s="517"/>
      <c r="K1" s="517"/>
      <c r="L1" s="517"/>
    </row>
    <row r="3" spans="1:38" x14ac:dyDescent="0.2">
      <c r="A3" s="12" t="s">
        <v>2966</v>
      </c>
      <c r="H3" s="462">
        <f>Data!B87</f>
        <v>0</v>
      </c>
      <c r="I3" s="462"/>
      <c r="J3" s="462"/>
      <c r="K3" s="462"/>
      <c r="L3" s="462"/>
      <c r="M3" s="462"/>
      <c r="N3" s="462"/>
      <c r="O3" s="462"/>
      <c r="P3" s="462"/>
      <c r="Q3" s="462"/>
      <c r="R3" s="462"/>
      <c r="S3" s="462"/>
      <c r="T3" s="462"/>
      <c r="U3" s="462"/>
      <c r="V3" s="462"/>
      <c r="W3" s="462"/>
    </row>
    <row r="5" spans="1:38" x14ac:dyDescent="0.2">
      <c r="A5" s="12" t="s">
        <v>573</v>
      </c>
      <c r="G5" s="462">
        <f>Data!B93</f>
        <v>0</v>
      </c>
      <c r="H5" s="462"/>
      <c r="I5" s="462"/>
      <c r="J5" s="462"/>
      <c r="K5" s="462"/>
      <c r="L5" s="462"/>
      <c r="M5" s="462"/>
      <c r="N5" s="462"/>
      <c r="O5" s="462"/>
      <c r="P5" s="462"/>
      <c r="Q5" s="462"/>
      <c r="R5" s="462"/>
      <c r="S5" s="462"/>
      <c r="T5" s="462"/>
      <c r="U5" s="462"/>
      <c r="V5" s="462"/>
    </row>
    <row r="6" spans="1:38" x14ac:dyDescent="0.2">
      <c r="A6" s="12" t="s">
        <v>2977</v>
      </c>
      <c r="G6" s="462">
        <f>Data!B94</f>
        <v>0</v>
      </c>
      <c r="H6" s="462"/>
      <c r="I6" s="462"/>
      <c r="J6" s="462"/>
      <c r="K6" s="462"/>
      <c r="L6" s="462"/>
      <c r="M6" s="462"/>
      <c r="N6" s="462"/>
      <c r="O6" s="462"/>
      <c r="P6" s="462"/>
      <c r="Q6" s="462"/>
      <c r="R6" s="462"/>
      <c r="S6" s="462"/>
      <c r="T6" s="462"/>
      <c r="U6" s="462"/>
      <c r="V6" s="462"/>
    </row>
    <row r="9" spans="1:38" x14ac:dyDescent="0.2">
      <c r="A9" s="12" t="s">
        <v>336</v>
      </c>
      <c r="F9" s="518" t="str">
        <f>_xlfn.CONCAT(Data!B2,", ",Data!B3," ",Data!B4)</f>
        <v xml:space="preserve">,  </v>
      </c>
      <c r="G9" s="518"/>
      <c r="H9" s="518"/>
      <c r="I9" s="518"/>
      <c r="J9" s="518"/>
      <c r="K9" s="518"/>
      <c r="L9" s="518"/>
      <c r="M9" s="518"/>
      <c r="N9" s="518"/>
      <c r="O9" s="518"/>
      <c r="P9" s="518"/>
      <c r="Q9" s="518"/>
      <c r="R9" s="518"/>
      <c r="S9" s="518"/>
      <c r="T9" s="518"/>
      <c r="U9" s="518"/>
      <c r="V9" s="518"/>
      <c r="W9" s="518"/>
      <c r="X9" s="518"/>
      <c r="Z9" s="12" t="s">
        <v>371</v>
      </c>
      <c r="AC9" s="517">
        <f>Data!B14</f>
        <v>0</v>
      </c>
      <c r="AD9" s="518"/>
      <c r="AE9" s="518"/>
      <c r="AF9" s="518"/>
      <c r="AG9" s="518"/>
      <c r="AH9" s="518"/>
      <c r="AI9" s="518"/>
      <c r="AJ9" s="518"/>
      <c r="AK9" s="518"/>
    </row>
    <row r="10" spans="1:38" x14ac:dyDescent="0.2">
      <c r="A10" s="12" t="s">
        <v>650</v>
      </c>
      <c r="F10" s="461">
        <f>Data!B21</f>
        <v>0</v>
      </c>
      <c r="G10" s="461"/>
      <c r="H10" s="461"/>
      <c r="I10" s="461"/>
      <c r="J10" s="461"/>
      <c r="K10" s="461"/>
      <c r="L10" s="461"/>
      <c r="M10" s="461"/>
      <c r="N10" s="461"/>
      <c r="O10" s="461"/>
      <c r="P10" s="461"/>
      <c r="Q10" s="461"/>
      <c r="R10" s="461"/>
      <c r="S10" s="461"/>
      <c r="T10" s="461"/>
      <c r="U10" s="461"/>
      <c r="V10" s="461"/>
      <c r="W10" s="461"/>
    </row>
    <row r="11" spans="1:38" x14ac:dyDescent="0.2">
      <c r="F11" s="134"/>
      <c r="G11" s="134"/>
      <c r="H11" s="134"/>
      <c r="I11" s="134"/>
      <c r="J11" s="134"/>
      <c r="K11" s="134"/>
      <c r="L11" s="134"/>
      <c r="M11" s="134"/>
      <c r="N11" s="134"/>
      <c r="O11" s="134"/>
      <c r="P11" s="134"/>
      <c r="Q11" s="134"/>
      <c r="R11" s="134"/>
      <c r="S11" s="134"/>
      <c r="T11" s="134"/>
      <c r="U11" s="134"/>
      <c r="V11" s="134"/>
      <c r="W11" s="134"/>
    </row>
    <row r="12" spans="1:38" x14ac:dyDescent="0.2">
      <c r="F12" s="134"/>
      <c r="G12" s="134"/>
      <c r="H12" s="134"/>
      <c r="I12" s="134"/>
      <c r="J12" s="134"/>
      <c r="K12" s="134"/>
      <c r="L12" s="134"/>
      <c r="M12" s="134"/>
      <c r="N12" s="134"/>
      <c r="O12" s="134"/>
      <c r="P12" s="134"/>
      <c r="Q12" s="134"/>
      <c r="R12" s="134"/>
      <c r="S12" s="134"/>
      <c r="T12" s="134"/>
      <c r="U12" s="134"/>
      <c r="V12" s="134"/>
      <c r="W12" s="134"/>
    </row>
    <row r="13" spans="1:38" x14ac:dyDescent="0.2">
      <c r="A13" s="519" t="str">
        <f>_xlfn.CONCAT("This notice is to inform you that ",Data!B3," ",Data!B4," ",Data!B2," was discharged from Prosper Home Care (Personal Support Services Provider) on ",(TEXT(Data!B1323,"mm/dd/yyyy")),". ")</f>
        <v xml:space="preserve">This notice is to inform you that    was discharged from Prosper Home Care (Personal Support Services Provider) on 01/00/1900. </v>
      </c>
      <c r="B13" s="519"/>
      <c r="C13" s="519"/>
      <c r="D13" s="519"/>
      <c r="E13" s="519"/>
      <c r="F13" s="519"/>
      <c r="G13" s="519"/>
      <c r="H13" s="519"/>
      <c r="I13" s="519"/>
      <c r="J13" s="519"/>
      <c r="K13" s="519"/>
      <c r="L13" s="519"/>
      <c r="M13" s="519"/>
      <c r="N13" s="519"/>
      <c r="O13" s="519"/>
      <c r="P13" s="519"/>
      <c r="Q13" s="519"/>
      <c r="R13" s="519"/>
      <c r="S13" s="519"/>
      <c r="T13" s="519"/>
      <c r="U13" s="519"/>
      <c r="V13" s="519"/>
      <c r="W13" s="519"/>
      <c r="X13" s="519"/>
      <c r="Y13" s="519"/>
      <c r="Z13" s="519"/>
      <c r="AA13" s="519"/>
      <c r="AB13" s="519"/>
      <c r="AC13" s="519"/>
      <c r="AD13" s="519"/>
      <c r="AE13" s="519"/>
      <c r="AF13" s="519"/>
      <c r="AG13" s="519"/>
      <c r="AH13" s="519"/>
      <c r="AI13" s="519"/>
      <c r="AJ13" s="519"/>
      <c r="AK13" s="519"/>
      <c r="AL13" s="519"/>
    </row>
    <row r="14" spans="1:38" x14ac:dyDescent="0.2">
      <c r="A14" s="519"/>
      <c r="B14" s="519"/>
      <c r="C14" s="519"/>
      <c r="D14" s="519"/>
      <c r="E14" s="519"/>
      <c r="F14" s="519"/>
      <c r="G14" s="519"/>
      <c r="H14" s="519"/>
      <c r="I14" s="519"/>
      <c r="J14" s="519"/>
      <c r="K14" s="519"/>
      <c r="L14" s="519"/>
      <c r="M14" s="519"/>
      <c r="N14" s="519"/>
      <c r="O14" s="519"/>
      <c r="P14" s="519"/>
      <c r="Q14" s="519"/>
      <c r="R14" s="519"/>
      <c r="S14" s="519"/>
      <c r="T14" s="519"/>
      <c r="U14" s="519"/>
      <c r="V14" s="519"/>
      <c r="W14" s="519"/>
      <c r="X14" s="519"/>
      <c r="Y14" s="519"/>
      <c r="Z14" s="519"/>
      <c r="AA14" s="519"/>
      <c r="AB14" s="519"/>
      <c r="AC14" s="519"/>
      <c r="AD14" s="519"/>
      <c r="AE14" s="519"/>
      <c r="AF14" s="519"/>
      <c r="AG14" s="519"/>
      <c r="AH14" s="519"/>
      <c r="AI14" s="519"/>
      <c r="AJ14" s="519"/>
      <c r="AK14" s="519"/>
      <c r="AL14" s="519"/>
    </row>
    <row r="15" spans="1:38" x14ac:dyDescent="0.2">
      <c r="A15" s="519"/>
      <c r="B15" s="519"/>
      <c r="C15" s="519"/>
      <c r="D15" s="519"/>
      <c r="E15" s="519"/>
      <c r="F15" s="519"/>
      <c r="G15" s="519"/>
      <c r="H15" s="519"/>
      <c r="I15" s="519"/>
      <c r="J15" s="519"/>
      <c r="K15" s="519"/>
      <c r="L15" s="519"/>
      <c r="M15" s="519"/>
      <c r="N15" s="519"/>
      <c r="O15" s="519"/>
      <c r="P15" s="519"/>
      <c r="Q15" s="519"/>
      <c r="R15" s="519"/>
      <c r="S15" s="519"/>
      <c r="T15" s="519"/>
      <c r="U15" s="519"/>
      <c r="V15" s="519"/>
      <c r="W15" s="519"/>
      <c r="X15" s="519"/>
      <c r="Y15" s="519"/>
      <c r="Z15" s="519"/>
      <c r="AA15" s="519"/>
      <c r="AB15" s="519"/>
      <c r="AC15" s="519"/>
      <c r="AD15" s="519"/>
      <c r="AE15" s="519"/>
      <c r="AF15" s="519"/>
      <c r="AG15" s="519"/>
      <c r="AH15" s="519"/>
      <c r="AI15" s="519"/>
      <c r="AJ15" s="519"/>
      <c r="AK15" s="519"/>
      <c r="AL15" s="519"/>
    </row>
    <row r="16" spans="1:38" x14ac:dyDescent="0.2">
      <c r="A16" s="519"/>
      <c r="B16" s="519"/>
      <c r="C16" s="519"/>
      <c r="D16" s="519"/>
      <c r="E16" s="519"/>
      <c r="F16" s="519"/>
      <c r="G16" s="519"/>
      <c r="H16" s="519"/>
      <c r="I16" s="519"/>
      <c r="J16" s="519"/>
      <c r="K16" s="519"/>
      <c r="L16" s="519"/>
      <c r="M16" s="519"/>
      <c r="N16" s="519"/>
      <c r="O16" s="519"/>
      <c r="P16" s="519"/>
      <c r="Q16" s="519"/>
      <c r="R16" s="519"/>
      <c r="S16" s="519"/>
      <c r="T16" s="519"/>
      <c r="U16" s="519"/>
      <c r="V16" s="519"/>
      <c r="W16" s="519"/>
      <c r="X16" s="519"/>
      <c r="Y16" s="519"/>
      <c r="Z16" s="519"/>
      <c r="AA16" s="519"/>
      <c r="AB16" s="519"/>
      <c r="AC16" s="519"/>
      <c r="AD16" s="519"/>
      <c r="AE16" s="519"/>
      <c r="AF16" s="519"/>
      <c r="AG16" s="519"/>
      <c r="AH16" s="519"/>
      <c r="AI16" s="519"/>
      <c r="AJ16" s="519"/>
      <c r="AK16" s="519"/>
      <c r="AL16" s="519"/>
    </row>
    <row r="18" spans="1:38" x14ac:dyDescent="0.2">
      <c r="A18" s="12" t="s">
        <v>2978</v>
      </c>
      <c r="H18" s="518">
        <f>Data!B1325</f>
        <v>0</v>
      </c>
      <c r="I18" s="518"/>
      <c r="J18" s="518"/>
      <c r="K18" s="518"/>
      <c r="L18" s="518"/>
      <c r="M18" s="518"/>
      <c r="N18" s="518"/>
      <c r="O18" s="518"/>
      <c r="P18" s="518"/>
      <c r="Q18" s="518"/>
      <c r="R18" s="518"/>
      <c r="S18" s="518"/>
      <c r="T18" s="518"/>
      <c r="U18" s="518"/>
      <c r="V18" s="518"/>
      <c r="W18" s="518"/>
      <c r="X18" s="518"/>
      <c r="Y18" s="518"/>
      <c r="Z18" s="518"/>
      <c r="AA18" s="518"/>
      <c r="AB18" s="518"/>
      <c r="AC18" s="518"/>
      <c r="AD18" s="518"/>
      <c r="AE18" s="518"/>
      <c r="AF18" s="518"/>
      <c r="AG18" s="518"/>
      <c r="AH18" s="518"/>
      <c r="AI18" s="518"/>
      <c r="AJ18" s="518"/>
      <c r="AK18" s="518"/>
      <c r="AL18" s="518"/>
    </row>
    <row r="20" spans="1:38" x14ac:dyDescent="0.2">
      <c r="A20" s="12" t="s">
        <v>595</v>
      </c>
      <c r="E20" s="520">
        <f>Data!B1326</f>
        <v>0</v>
      </c>
      <c r="F20" s="520"/>
      <c r="G20" s="520"/>
      <c r="H20" s="520"/>
      <c r="I20" s="520"/>
      <c r="J20" s="520"/>
      <c r="K20" s="520"/>
      <c r="L20" s="520"/>
      <c r="M20" s="520"/>
      <c r="N20" s="520"/>
      <c r="O20" s="520"/>
      <c r="P20" s="520"/>
      <c r="Q20" s="520"/>
      <c r="R20" s="520"/>
      <c r="S20" s="520"/>
      <c r="T20" s="520"/>
      <c r="U20" s="520"/>
      <c r="V20" s="520"/>
      <c r="W20" s="520"/>
      <c r="X20" s="520"/>
      <c r="Y20" s="520"/>
      <c r="Z20" s="520"/>
      <c r="AA20" s="520"/>
      <c r="AB20" s="520"/>
      <c r="AC20" s="520"/>
      <c r="AD20" s="520"/>
      <c r="AE20" s="520"/>
      <c r="AF20" s="520"/>
      <c r="AG20" s="520"/>
      <c r="AH20" s="520"/>
      <c r="AI20" s="520"/>
      <c r="AJ20" s="520"/>
      <c r="AK20" s="520"/>
      <c r="AL20" s="520"/>
    </row>
    <row r="21" spans="1:38" x14ac:dyDescent="0.2">
      <c r="E21" s="520"/>
      <c r="F21" s="520"/>
      <c r="G21" s="520"/>
      <c r="H21" s="520"/>
      <c r="I21" s="520"/>
      <c r="J21" s="520"/>
      <c r="K21" s="520"/>
      <c r="L21" s="520"/>
      <c r="M21" s="520"/>
      <c r="N21" s="520"/>
      <c r="O21" s="520"/>
      <c r="P21" s="520"/>
      <c r="Q21" s="520"/>
      <c r="R21" s="520"/>
      <c r="S21" s="520"/>
      <c r="T21" s="520"/>
      <c r="U21" s="520"/>
      <c r="V21" s="520"/>
      <c r="W21" s="520"/>
      <c r="X21" s="520"/>
      <c r="Y21" s="520"/>
      <c r="Z21" s="520"/>
      <c r="AA21" s="520"/>
      <c r="AB21" s="520"/>
      <c r="AC21" s="520"/>
      <c r="AD21" s="520"/>
      <c r="AE21" s="520"/>
      <c r="AF21" s="520"/>
      <c r="AG21" s="520"/>
      <c r="AH21" s="520"/>
      <c r="AI21" s="520"/>
      <c r="AJ21" s="520"/>
      <c r="AK21" s="520"/>
      <c r="AL21" s="520"/>
    </row>
    <row r="22" spans="1:38" x14ac:dyDescent="0.2">
      <c r="E22" s="520"/>
      <c r="F22" s="520"/>
      <c r="G22" s="520"/>
      <c r="H22" s="520"/>
      <c r="I22" s="520"/>
      <c r="J22" s="520"/>
      <c r="K22" s="520"/>
      <c r="L22" s="520"/>
      <c r="M22" s="520"/>
      <c r="N22" s="520"/>
      <c r="O22" s="520"/>
      <c r="P22" s="520"/>
      <c r="Q22" s="520"/>
      <c r="R22" s="520"/>
      <c r="S22" s="520"/>
      <c r="T22" s="520"/>
      <c r="U22" s="520"/>
      <c r="V22" s="520"/>
      <c r="W22" s="520"/>
      <c r="X22" s="520"/>
      <c r="Y22" s="520"/>
      <c r="Z22" s="520"/>
      <c r="AA22" s="520"/>
      <c r="AB22" s="520"/>
      <c r="AC22" s="520"/>
      <c r="AD22" s="520"/>
      <c r="AE22" s="520"/>
      <c r="AF22" s="520"/>
      <c r="AG22" s="520"/>
      <c r="AH22" s="520"/>
      <c r="AI22" s="520"/>
      <c r="AJ22" s="520"/>
      <c r="AK22" s="520"/>
      <c r="AL22" s="520"/>
    </row>
    <row r="23" spans="1:38" x14ac:dyDescent="0.2">
      <c r="E23" s="520"/>
      <c r="F23" s="520"/>
      <c r="G23" s="520"/>
      <c r="H23" s="520"/>
      <c r="I23" s="520"/>
      <c r="J23" s="520"/>
      <c r="K23" s="520"/>
      <c r="L23" s="520"/>
      <c r="M23" s="520"/>
      <c r="N23" s="520"/>
      <c r="O23" s="520"/>
      <c r="P23" s="520"/>
      <c r="Q23" s="520"/>
      <c r="R23" s="520"/>
      <c r="S23" s="520"/>
      <c r="T23" s="520"/>
      <c r="U23" s="520"/>
      <c r="V23" s="520"/>
      <c r="W23" s="520"/>
      <c r="X23" s="520"/>
      <c r="Y23" s="520"/>
      <c r="Z23" s="520"/>
      <c r="AA23" s="520"/>
      <c r="AB23" s="520"/>
      <c r="AC23" s="520"/>
      <c r="AD23" s="520"/>
      <c r="AE23" s="520"/>
      <c r="AF23" s="520"/>
      <c r="AG23" s="520"/>
      <c r="AH23" s="520"/>
      <c r="AI23" s="520"/>
      <c r="AJ23" s="520"/>
      <c r="AK23" s="520"/>
      <c r="AL23" s="520"/>
    </row>
    <row r="26" spans="1:38" x14ac:dyDescent="0.2">
      <c r="A26" s="12" t="s">
        <v>2979</v>
      </c>
      <c r="I26" s="517">
        <f>Data!B1324</f>
        <v>0</v>
      </c>
      <c r="J26" s="518"/>
      <c r="K26" s="518"/>
      <c r="L26" s="518"/>
      <c r="M26" s="518"/>
      <c r="N26" s="518"/>
      <c r="O26" s="518"/>
      <c r="P26" s="518"/>
      <c r="Q26" s="518"/>
      <c r="R26" s="518"/>
    </row>
    <row r="29" spans="1:38" x14ac:dyDescent="0.2">
      <c r="A29" s="12" t="s">
        <v>2980</v>
      </c>
    </row>
    <row r="36" spans="1:34" x14ac:dyDescent="0.2">
      <c r="A36" s="132"/>
      <c r="B36" s="132"/>
      <c r="C36" s="132"/>
      <c r="D36" s="132"/>
      <c r="E36" s="132"/>
      <c r="F36" s="132"/>
      <c r="G36" s="132"/>
      <c r="H36" s="132"/>
      <c r="I36" s="132"/>
      <c r="J36" s="132"/>
      <c r="K36" s="132"/>
      <c r="L36" s="132"/>
      <c r="M36" s="132"/>
      <c r="N36" s="132"/>
      <c r="O36" s="132"/>
      <c r="P36" s="132"/>
      <c r="Q36" s="132"/>
      <c r="R36" s="132"/>
      <c r="S36" s="132"/>
      <c r="T36" s="132"/>
      <c r="U36" s="132"/>
      <c r="V36" s="132"/>
      <c r="W36" s="132"/>
      <c r="Y36" s="466">
        <f>Data!B1747</f>
        <v>0</v>
      </c>
      <c r="Z36" s="467"/>
      <c r="AA36" s="467"/>
      <c r="AB36" s="467"/>
      <c r="AC36" s="467"/>
      <c r="AD36" s="467"/>
      <c r="AE36" s="467"/>
      <c r="AF36" s="467"/>
      <c r="AG36" s="467"/>
      <c r="AH36" s="467"/>
    </row>
    <row r="37" spans="1:34" x14ac:dyDescent="0.2">
      <c r="A37" s="12" t="s">
        <v>2981</v>
      </c>
      <c r="Y37" s="12" t="s">
        <v>368</v>
      </c>
    </row>
    <row r="42" spans="1:34" x14ac:dyDescent="0.2">
      <c r="A42" s="132"/>
      <c r="B42" s="132"/>
      <c r="C42" s="132"/>
      <c r="D42" s="132"/>
      <c r="E42" s="132"/>
      <c r="F42" s="132"/>
      <c r="G42" s="132"/>
      <c r="H42" s="132"/>
      <c r="I42" s="132"/>
      <c r="J42" s="132"/>
      <c r="K42" s="132"/>
      <c r="L42" s="132"/>
      <c r="M42" s="132"/>
      <c r="N42" s="132"/>
      <c r="O42" s="132"/>
      <c r="P42" s="132"/>
      <c r="Q42" s="132"/>
      <c r="R42" s="132"/>
      <c r="S42" s="132"/>
      <c r="T42" s="132"/>
      <c r="U42" s="132"/>
      <c r="V42" s="132"/>
      <c r="W42" s="132"/>
      <c r="Y42" s="466">
        <f>Data!B1747</f>
        <v>0</v>
      </c>
      <c r="Z42" s="467"/>
      <c r="AA42" s="467"/>
      <c r="AB42" s="467"/>
      <c r="AC42" s="467"/>
      <c r="AD42" s="467"/>
      <c r="AE42" s="467"/>
      <c r="AF42" s="467"/>
      <c r="AG42" s="467"/>
      <c r="AH42" s="467"/>
    </row>
    <row r="43" spans="1:34" x14ac:dyDescent="0.2">
      <c r="A43" s="12" t="s">
        <v>2982</v>
      </c>
      <c r="Y43" s="12" t="s">
        <v>368</v>
      </c>
    </row>
  </sheetData>
  <mergeCells count="13">
    <mergeCell ref="E1:L1"/>
    <mergeCell ref="Y42:AH42"/>
    <mergeCell ref="H3:W3"/>
    <mergeCell ref="G5:V5"/>
    <mergeCell ref="G6:V6"/>
    <mergeCell ref="F9:X9"/>
    <mergeCell ref="AC9:AK9"/>
    <mergeCell ref="A13:AL16"/>
    <mergeCell ref="H18:AL18"/>
    <mergeCell ref="E20:AL23"/>
    <mergeCell ref="I26:R26"/>
    <mergeCell ref="F10:W10"/>
    <mergeCell ref="Y36:AH36"/>
  </mergeCells>
  <pageMargins left="0.25" right="0.25" top="0.75" bottom="0.75" header="0.3" footer="0.3"/>
  <pageSetup orientation="portrait" verticalDpi="1200" r:id="rId1"/>
  <headerFooter>
    <oddHeader>&amp;L&amp;G&amp;R&amp;11Client Discharge Notice for PCP</oddHeader>
    <oddFooter>&amp;C3088 Mercer University Drive Suite 100 Atlanta, GA 30341
678-310-6305 Fax 404-935-6110</oddFooter>
  </headerFooter>
  <legacyDrawingHF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E2D7B8-0020-4756-AC37-1FCF30F3891E}">
  <sheetPr codeName="Sheet84">
    <tabColor theme="1" tint="4.9989318521683403E-2"/>
  </sheetPr>
  <dimension ref="A2:AL42"/>
  <sheetViews>
    <sheetView showZeros="0" view="pageLayout" zoomScaleNormal="100" workbookViewId="0">
      <selection sqref="A1:AL43"/>
    </sheetView>
  </sheetViews>
  <sheetFormatPr defaultColWidth="2.7109375" defaultRowHeight="14.25" x14ac:dyDescent="0.2"/>
  <cols>
    <col min="1" max="16384" width="2.7109375" style="12"/>
  </cols>
  <sheetData>
    <row r="2" spans="1:38" x14ac:dyDescent="0.2">
      <c r="A2" s="12" t="s">
        <v>336</v>
      </c>
      <c r="F2" s="518" t="str">
        <f>_xlfn.CONCAT(Data!B2,", ",Data!B3," ",Data!B4)</f>
        <v xml:space="preserve">,  </v>
      </c>
      <c r="G2" s="518"/>
      <c r="H2" s="518"/>
      <c r="I2" s="518"/>
      <c r="J2" s="518"/>
      <c r="K2" s="518"/>
      <c r="L2" s="518"/>
      <c r="M2" s="518"/>
      <c r="N2" s="518"/>
      <c r="O2" s="518"/>
      <c r="P2" s="518"/>
      <c r="Q2" s="518"/>
      <c r="R2" s="518"/>
      <c r="S2" s="518"/>
      <c r="T2" s="518"/>
      <c r="U2" s="518"/>
      <c r="V2" s="518"/>
      <c r="W2" s="518"/>
      <c r="X2" s="518"/>
      <c r="Z2" s="12" t="s">
        <v>371</v>
      </c>
      <c r="AC2" s="517">
        <f>Data!B14</f>
        <v>0</v>
      </c>
      <c r="AD2" s="518"/>
      <c r="AE2" s="518"/>
      <c r="AF2" s="518"/>
      <c r="AG2" s="518"/>
      <c r="AH2" s="518"/>
      <c r="AI2" s="518"/>
      <c r="AJ2" s="518"/>
      <c r="AK2" s="518"/>
    </row>
    <row r="3" spans="1:38" x14ac:dyDescent="0.2">
      <c r="A3" s="12" t="s">
        <v>650</v>
      </c>
      <c r="F3" s="461">
        <f>Data!B21</f>
        <v>0</v>
      </c>
      <c r="G3" s="461"/>
      <c r="H3" s="461"/>
      <c r="I3" s="461"/>
      <c r="J3" s="461"/>
      <c r="K3" s="461"/>
      <c r="L3" s="461"/>
      <c r="M3" s="461"/>
      <c r="N3" s="461"/>
      <c r="O3" s="461"/>
      <c r="P3" s="461"/>
      <c r="Q3" s="461"/>
      <c r="R3" s="461"/>
      <c r="S3" s="461"/>
      <c r="T3" s="461"/>
      <c r="U3" s="461"/>
      <c r="V3" s="461"/>
      <c r="W3" s="461"/>
      <c r="Z3" s="12" t="s">
        <v>3211</v>
      </c>
      <c r="AD3" s="521">
        <f>Data!B1747</f>
        <v>0</v>
      </c>
      <c r="AE3" s="521"/>
      <c r="AF3" s="521"/>
      <c r="AG3" s="521"/>
      <c r="AH3" s="521"/>
      <c r="AI3" s="521"/>
      <c r="AJ3" s="521"/>
      <c r="AK3" s="521"/>
    </row>
    <row r="4" spans="1:38" x14ac:dyDescent="0.2">
      <c r="F4" s="134"/>
      <c r="G4" s="134"/>
      <c r="H4" s="134"/>
      <c r="I4" s="134"/>
      <c r="J4" s="134"/>
      <c r="K4" s="134"/>
      <c r="L4" s="134"/>
      <c r="M4" s="134"/>
      <c r="N4" s="134"/>
      <c r="O4" s="134"/>
      <c r="P4" s="134"/>
      <c r="Q4" s="134"/>
      <c r="R4" s="134"/>
      <c r="S4" s="134"/>
      <c r="T4" s="134"/>
      <c r="U4" s="134"/>
      <c r="V4" s="134"/>
      <c r="W4" s="134"/>
    </row>
    <row r="5" spans="1:38" x14ac:dyDescent="0.2">
      <c r="F5" s="134"/>
      <c r="G5" s="134"/>
      <c r="H5" s="134"/>
      <c r="I5" s="134"/>
      <c r="J5" s="134"/>
      <c r="K5" s="134"/>
      <c r="L5" s="134"/>
      <c r="M5" s="134"/>
      <c r="N5" s="134"/>
      <c r="O5" s="134"/>
      <c r="P5" s="134"/>
      <c r="Q5" s="134"/>
      <c r="R5" s="134"/>
      <c r="S5" s="134"/>
      <c r="T5" s="134"/>
      <c r="U5" s="134"/>
      <c r="V5" s="134"/>
      <c r="W5" s="134"/>
    </row>
    <row r="6" spans="1:38" x14ac:dyDescent="0.2">
      <c r="A6" s="12" t="str">
        <f>_xlfn.CONCAT("Dear ",IF(Data!B19="Female","Ms. ","Mr. "),Data!B2&amp;" and/or family",",")</f>
        <v>Dear Mr.  and/or family,</v>
      </c>
      <c r="F6" s="134"/>
      <c r="G6" s="134"/>
      <c r="H6" s="134"/>
      <c r="I6" s="134"/>
      <c r="J6" s="134"/>
      <c r="K6" s="134"/>
      <c r="L6" s="134"/>
      <c r="M6" s="134"/>
      <c r="N6" s="134"/>
      <c r="O6" s="134"/>
      <c r="P6" s="134"/>
      <c r="Q6" s="134"/>
      <c r="R6" s="134"/>
      <c r="S6" s="134"/>
      <c r="T6" s="134"/>
      <c r="U6" s="134"/>
      <c r="V6" s="134"/>
      <c r="W6" s="134"/>
    </row>
    <row r="7" spans="1:38" x14ac:dyDescent="0.2">
      <c r="F7" s="134"/>
      <c r="G7" s="134"/>
      <c r="H7" s="134"/>
      <c r="I7" s="134"/>
      <c r="J7" s="134"/>
      <c r="K7" s="134"/>
      <c r="L7" s="134"/>
      <c r="M7" s="134"/>
      <c r="N7" s="134"/>
      <c r="O7" s="134"/>
      <c r="P7" s="134"/>
      <c r="Q7" s="134"/>
      <c r="R7" s="134"/>
      <c r="S7" s="134"/>
      <c r="T7" s="134"/>
      <c r="U7" s="134"/>
      <c r="V7" s="134"/>
      <c r="W7" s="134"/>
    </row>
    <row r="8" spans="1:38" ht="30" customHeight="1" x14ac:dyDescent="0.2">
      <c r="A8" s="482" t="s">
        <v>3468</v>
      </c>
      <c r="B8" s="482"/>
      <c r="C8" s="482"/>
      <c r="D8" s="482"/>
      <c r="E8" s="482"/>
      <c r="F8" s="482"/>
      <c r="G8" s="482"/>
      <c r="H8" s="482"/>
      <c r="I8" s="482"/>
      <c r="J8" s="482"/>
      <c r="K8" s="482"/>
      <c r="L8" s="482"/>
      <c r="M8" s="482"/>
      <c r="N8" s="482"/>
      <c r="O8" s="482"/>
      <c r="P8" s="482"/>
      <c r="Q8" s="482"/>
      <c r="R8" s="482"/>
      <c r="S8" s="482"/>
      <c r="T8" s="482"/>
      <c r="U8" s="482"/>
      <c r="V8" s="482"/>
      <c r="W8" s="482"/>
      <c r="X8" s="482"/>
      <c r="Y8" s="482"/>
      <c r="Z8" s="482"/>
      <c r="AA8" s="482"/>
      <c r="AB8" s="482"/>
      <c r="AC8" s="482"/>
      <c r="AD8" s="482"/>
      <c r="AE8" s="482"/>
      <c r="AF8" s="482"/>
      <c r="AG8" s="482"/>
      <c r="AH8" s="482"/>
      <c r="AI8" s="482"/>
      <c r="AJ8" s="482"/>
      <c r="AK8" s="482"/>
      <c r="AL8" s="482"/>
    </row>
    <row r="9" spans="1:38" x14ac:dyDescent="0.2">
      <c r="A9" s="159"/>
      <c r="B9" s="159"/>
      <c r="C9" s="159"/>
      <c r="D9" s="159"/>
      <c r="E9" s="159"/>
      <c r="F9" s="159"/>
      <c r="G9" s="159"/>
      <c r="H9" s="159"/>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row>
    <row r="10" spans="1:38" ht="40.5" customHeight="1" x14ac:dyDescent="0.2">
      <c r="A10" s="482" t="str">
        <f>_xlfn.CONCAT("This letter is to inform you that services are being discharged from our agency effective ",(TEXT(Data!B1323,"mm/dd/yyyy")),".")</f>
        <v>This letter is to inform you that services are being discharged from our agency effective 01/00/1900.</v>
      </c>
      <c r="B10" s="482"/>
      <c r="C10" s="482"/>
      <c r="D10" s="482"/>
      <c r="E10" s="482"/>
      <c r="F10" s="482"/>
      <c r="G10" s="482"/>
      <c r="H10" s="482"/>
      <c r="I10" s="482"/>
      <c r="J10" s="482"/>
      <c r="K10" s="482"/>
      <c r="L10" s="482"/>
      <c r="M10" s="482"/>
      <c r="N10" s="482"/>
      <c r="O10" s="482"/>
      <c r="P10" s="482"/>
      <c r="Q10" s="482"/>
      <c r="R10" s="482"/>
      <c r="S10" s="482"/>
      <c r="T10" s="482"/>
      <c r="U10" s="482"/>
      <c r="V10" s="482"/>
      <c r="W10" s="482"/>
      <c r="X10" s="482"/>
      <c r="Y10" s="482"/>
      <c r="Z10" s="482"/>
      <c r="AA10" s="482"/>
      <c r="AB10" s="482"/>
      <c r="AC10" s="482"/>
      <c r="AD10" s="482"/>
      <c r="AE10" s="482"/>
      <c r="AF10" s="482"/>
      <c r="AG10" s="482"/>
      <c r="AH10" s="482"/>
      <c r="AI10" s="482"/>
      <c r="AJ10" s="482"/>
      <c r="AK10" s="482"/>
      <c r="AL10" s="482"/>
    </row>
    <row r="11" spans="1:38" x14ac:dyDescent="0.2">
      <c r="A11" s="159"/>
      <c r="B11" s="159"/>
      <c r="C11" s="159"/>
      <c r="D11" s="159"/>
      <c r="E11" s="159"/>
      <c r="F11" s="159"/>
      <c r="G11" s="159"/>
      <c r="H11" s="159"/>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row>
    <row r="13" spans="1:38" x14ac:dyDescent="0.2">
      <c r="A13" s="12" t="s">
        <v>2978</v>
      </c>
      <c r="H13" s="518">
        <f>Data!B1325</f>
        <v>0</v>
      </c>
      <c r="I13" s="518"/>
      <c r="J13" s="518"/>
      <c r="K13" s="518"/>
      <c r="L13" s="518"/>
      <c r="M13" s="518"/>
      <c r="N13" s="518"/>
      <c r="O13" s="518"/>
      <c r="P13" s="518"/>
      <c r="Q13" s="518"/>
      <c r="R13" s="518"/>
      <c r="S13" s="518"/>
      <c r="T13" s="518"/>
      <c r="U13" s="518"/>
      <c r="V13" s="518"/>
      <c r="W13" s="518"/>
      <c r="X13" s="518"/>
      <c r="Y13" s="518"/>
      <c r="Z13" s="518"/>
      <c r="AA13" s="518"/>
      <c r="AB13" s="518"/>
      <c r="AC13" s="518"/>
      <c r="AD13" s="518"/>
      <c r="AE13" s="518"/>
      <c r="AF13" s="518"/>
      <c r="AG13" s="518"/>
      <c r="AH13" s="518"/>
      <c r="AI13" s="518"/>
      <c r="AJ13" s="518"/>
      <c r="AK13" s="518"/>
      <c r="AL13" s="518"/>
    </row>
    <row r="15" spans="1:38" x14ac:dyDescent="0.2">
      <c r="A15" s="12" t="s">
        <v>595</v>
      </c>
      <c r="E15" s="520">
        <f>Data!B1326</f>
        <v>0</v>
      </c>
      <c r="F15" s="520"/>
      <c r="G15" s="520"/>
      <c r="H15" s="520"/>
      <c r="I15" s="520"/>
      <c r="J15" s="520"/>
      <c r="K15" s="520"/>
      <c r="L15" s="520"/>
      <c r="M15" s="520"/>
      <c r="N15" s="520"/>
      <c r="O15" s="520"/>
      <c r="P15" s="520"/>
      <c r="Q15" s="520"/>
      <c r="R15" s="520"/>
      <c r="S15" s="520"/>
      <c r="T15" s="520"/>
      <c r="U15" s="520"/>
      <c r="V15" s="520"/>
      <c r="W15" s="520"/>
      <c r="X15" s="520"/>
      <c r="Y15" s="520"/>
      <c r="Z15" s="520"/>
      <c r="AA15" s="520"/>
      <c r="AB15" s="520"/>
      <c r="AC15" s="520"/>
      <c r="AD15" s="520"/>
      <c r="AE15" s="520"/>
      <c r="AF15" s="520"/>
      <c r="AG15" s="520"/>
      <c r="AH15" s="520"/>
      <c r="AI15" s="520"/>
      <c r="AJ15" s="520"/>
      <c r="AK15" s="520"/>
      <c r="AL15" s="520"/>
    </row>
    <row r="16" spans="1:38" x14ac:dyDescent="0.2">
      <c r="E16" s="520"/>
      <c r="F16" s="520"/>
      <c r="G16" s="520"/>
      <c r="H16" s="520"/>
      <c r="I16" s="520"/>
      <c r="J16" s="520"/>
      <c r="K16" s="520"/>
      <c r="L16" s="520"/>
      <c r="M16" s="520"/>
      <c r="N16" s="520"/>
      <c r="O16" s="520"/>
      <c r="P16" s="520"/>
      <c r="Q16" s="520"/>
      <c r="R16" s="520"/>
      <c r="S16" s="520"/>
      <c r="T16" s="520"/>
      <c r="U16" s="520"/>
      <c r="V16" s="520"/>
      <c r="W16" s="520"/>
      <c r="X16" s="520"/>
      <c r="Y16" s="520"/>
      <c r="Z16" s="520"/>
      <c r="AA16" s="520"/>
      <c r="AB16" s="520"/>
      <c r="AC16" s="520"/>
      <c r="AD16" s="520"/>
      <c r="AE16" s="520"/>
      <c r="AF16" s="520"/>
      <c r="AG16" s="520"/>
      <c r="AH16" s="520"/>
      <c r="AI16" s="520"/>
      <c r="AJ16" s="520"/>
      <c r="AK16" s="520"/>
      <c r="AL16" s="520"/>
    </row>
    <row r="17" spans="1:38" x14ac:dyDescent="0.2">
      <c r="E17" s="520"/>
      <c r="F17" s="520"/>
      <c r="G17" s="520"/>
      <c r="H17" s="520"/>
      <c r="I17" s="520"/>
      <c r="J17" s="520"/>
      <c r="K17" s="520"/>
      <c r="L17" s="520"/>
      <c r="M17" s="520"/>
      <c r="N17" s="520"/>
      <c r="O17" s="520"/>
      <c r="P17" s="520"/>
      <c r="Q17" s="520"/>
      <c r="R17" s="520"/>
      <c r="S17" s="520"/>
      <c r="T17" s="520"/>
      <c r="U17" s="520"/>
      <c r="V17" s="520"/>
      <c r="W17" s="520"/>
      <c r="X17" s="520"/>
      <c r="Y17" s="520"/>
      <c r="Z17" s="520"/>
      <c r="AA17" s="520"/>
      <c r="AB17" s="520"/>
      <c r="AC17" s="520"/>
      <c r="AD17" s="520"/>
      <c r="AE17" s="520"/>
      <c r="AF17" s="520"/>
      <c r="AG17" s="520"/>
      <c r="AH17" s="520"/>
      <c r="AI17" s="520"/>
      <c r="AJ17" s="520"/>
      <c r="AK17" s="520"/>
      <c r="AL17" s="520"/>
    </row>
    <row r="18" spans="1:38" x14ac:dyDescent="0.2">
      <c r="E18" s="520"/>
      <c r="F18" s="520"/>
      <c r="G18" s="520"/>
      <c r="H18" s="520"/>
      <c r="I18" s="520"/>
      <c r="J18" s="520"/>
      <c r="K18" s="520"/>
      <c r="L18" s="520"/>
      <c r="M18" s="520"/>
      <c r="N18" s="520"/>
      <c r="O18" s="520"/>
      <c r="P18" s="520"/>
      <c r="Q18" s="520"/>
      <c r="R18" s="520"/>
      <c r="S18" s="520"/>
      <c r="T18" s="520"/>
      <c r="U18" s="520"/>
      <c r="V18" s="520"/>
      <c r="W18" s="520"/>
      <c r="X18" s="520"/>
      <c r="Y18" s="520"/>
      <c r="Z18" s="520"/>
      <c r="AA18" s="520"/>
      <c r="AB18" s="520"/>
      <c r="AC18" s="520"/>
      <c r="AD18" s="520"/>
      <c r="AE18" s="520"/>
      <c r="AF18" s="520"/>
      <c r="AG18" s="520"/>
      <c r="AH18" s="520"/>
      <c r="AI18" s="520"/>
      <c r="AJ18" s="520"/>
      <c r="AK18" s="520"/>
      <c r="AL18" s="520"/>
    </row>
    <row r="21" spans="1:38" x14ac:dyDescent="0.2">
      <c r="A21" s="12" t="s">
        <v>2979</v>
      </c>
      <c r="I21" s="517">
        <f>Data!B1324</f>
        <v>0</v>
      </c>
      <c r="J21" s="518"/>
      <c r="K21" s="518"/>
      <c r="L21" s="518"/>
      <c r="M21" s="518"/>
      <c r="N21" s="518"/>
      <c r="O21" s="518"/>
      <c r="P21" s="518"/>
      <c r="Q21" s="518"/>
      <c r="R21" s="518"/>
    </row>
    <row r="24" spans="1:38" x14ac:dyDescent="0.2">
      <c r="A24" s="12" t="s">
        <v>2980</v>
      </c>
    </row>
    <row r="26" spans="1:38" x14ac:dyDescent="0.2">
      <c r="A26" s="12" t="s">
        <v>3467</v>
      </c>
    </row>
    <row r="27" spans="1:38" x14ac:dyDescent="0.2">
      <c r="A27" s="12" t="s">
        <v>3466</v>
      </c>
      <c r="J27" s="518">
        <f>Data!B87</f>
        <v>0</v>
      </c>
      <c r="K27" s="518"/>
      <c r="L27" s="518"/>
      <c r="M27" s="518"/>
      <c r="N27" s="518"/>
      <c r="O27" s="518"/>
      <c r="P27" s="518"/>
      <c r="Q27" s="518"/>
      <c r="R27" s="518"/>
      <c r="S27" s="518"/>
      <c r="T27" s="518"/>
      <c r="U27" s="518"/>
      <c r="V27" s="518"/>
      <c r="W27" s="518"/>
      <c r="X27" s="518"/>
      <c r="Y27" s="518"/>
      <c r="Z27" s="518"/>
      <c r="AA27" s="518"/>
    </row>
    <row r="28" spans="1:38" x14ac:dyDescent="0.2">
      <c r="A28" s="12" t="s">
        <v>570</v>
      </c>
      <c r="J28" s="518">
        <f>Data!B39</f>
        <v>0</v>
      </c>
      <c r="K28" s="518"/>
      <c r="L28" s="518"/>
      <c r="M28" s="518"/>
      <c r="N28" s="518"/>
      <c r="O28" s="518"/>
      <c r="P28" s="518"/>
      <c r="Q28" s="518"/>
      <c r="R28" s="518"/>
      <c r="S28" s="518"/>
      <c r="T28" s="518"/>
      <c r="U28" s="518"/>
      <c r="V28" s="518"/>
      <c r="W28" s="518"/>
      <c r="X28" s="518"/>
      <c r="Y28" s="518"/>
      <c r="Z28" s="518"/>
      <c r="AA28" s="518"/>
    </row>
    <row r="35" spans="1:34" x14ac:dyDescent="0.2">
      <c r="A35" s="132"/>
      <c r="B35" s="132"/>
      <c r="C35" s="132"/>
      <c r="D35" s="132"/>
      <c r="E35" s="132"/>
      <c r="F35" s="132"/>
      <c r="G35" s="132"/>
      <c r="H35" s="132"/>
      <c r="I35" s="132"/>
      <c r="J35" s="132"/>
      <c r="K35" s="132"/>
      <c r="L35" s="132"/>
      <c r="M35" s="132"/>
      <c r="N35" s="132"/>
      <c r="O35" s="132"/>
      <c r="P35" s="132"/>
      <c r="Q35" s="132"/>
      <c r="R35" s="132"/>
      <c r="S35" s="132"/>
      <c r="T35" s="132"/>
      <c r="U35" s="132"/>
      <c r="V35" s="132"/>
      <c r="W35" s="132"/>
      <c r="Y35" s="466">
        <f>Data!B1747</f>
        <v>0</v>
      </c>
      <c r="Z35" s="467"/>
      <c r="AA35" s="467"/>
      <c r="AB35" s="467"/>
      <c r="AC35" s="467"/>
      <c r="AD35" s="467"/>
      <c r="AE35" s="467"/>
      <c r="AF35" s="467"/>
      <c r="AG35" s="467"/>
      <c r="AH35" s="467"/>
    </row>
    <row r="36" spans="1:34" x14ac:dyDescent="0.2">
      <c r="A36" s="12" t="s">
        <v>2981</v>
      </c>
      <c r="Y36" s="12" t="s">
        <v>368</v>
      </c>
    </row>
    <row r="41" spans="1:34" x14ac:dyDescent="0.2">
      <c r="A41" s="132"/>
      <c r="B41" s="132"/>
      <c r="C41" s="132"/>
      <c r="D41" s="132"/>
      <c r="E41" s="132"/>
      <c r="F41" s="132"/>
      <c r="G41" s="132"/>
      <c r="H41" s="132"/>
      <c r="I41" s="132"/>
      <c r="J41" s="132"/>
      <c r="K41" s="132"/>
      <c r="L41" s="132"/>
      <c r="M41" s="132"/>
      <c r="N41" s="132"/>
      <c r="O41" s="132"/>
      <c r="P41" s="132"/>
      <c r="Q41" s="132"/>
      <c r="R41" s="132"/>
      <c r="S41" s="132"/>
      <c r="T41" s="132"/>
      <c r="U41" s="132"/>
      <c r="V41" s="132"/>
      <c r="W41" s="132"/>
      <c r="Y41" s="466">
        <f>Data!B1747</f>
        <v>0</v>
      </c>
      <c r="Z41" s="467"/>
      <c r="AA41" s="467"/>
      <c r="AB41" s="467"/>
      <c r="AC41" s="467"/>
      <c r="AD41" s="467"/>
      <c r="AE41" s="467"/>
      <c r="AF41" s="467"/>
      <c r="AG41" s="467"/>
      <c r="AH41" s="467"/>
    </row>
    <row r="42" spans="1:34" x14ac:dyDescent="0.2">
      <c r="A42" s="12" t="s">
        <v>2982</v>
      </c>
      <c r="Y42" s="12" t="s">
        <v>368</v>
      </c>
    </row>
  </sheetData>
  <mergeCells count="13">
    <mergeCell ref="A8:AL8"/>
    <mergeCell ref="A10:AL10"/>
    <mergeCell ref="F2:X2"/>
    <mergeCell ref="AC2:AK2"/>
    <mergeCell ref="F3:W3"/>
    <mergeCell ref="AD3:AK3"/>
    <mergeCell ref="Y35:AH35"/>
    <mergeCell ref="Y41:AH41"/>
    <mergeCell ref="J27:AA27"/>
    <mergeCell ref="J28:AA28"/>
    <mergeCell ref="H13:AL13"/>
    <mergeCell ref="E15:AL18"/>
    <mergeCell ref="I21:R21"/>
  </mergeCells>
  <pageMargins left="0.25" right="0.25" top="0.75" bottom="0.75" header="0.3" footer="0.3"/>
  <pageSetup orientation="portrait" verticalDpi="1200" r:id="rId1"/>
  <headerFooter>
    <oddHeader xml:space="preserve">&amp;L&amp;G&amp;R&amp;11Client Discharge Notice </oddHeader>
    <oddFooter>&amp;C3088 Mercer University Drive Suite 100 Atlanta, GA 30341
678-310-6305 Fax 404-935-6110</oddFooter>
  </headerFooter>
  <legacyDrawingHF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7">
    <tabColor theme="4" tint="-0.249977111117893"/>
  </sheetPr>
  <dimension ref="A1:AM50"/>
  <sheetViews>
    <sheetView showZeros="0" view="pageLayout" topLeftCell="A25" zoomScaleNormal="100" workbookViewId="0">
      <selection activeCell="A37" sqref="A37"/>
    </sheetView>
  </sheetViews>
  <sheetFormatPr defaultColWidth="2.7109375" defaultRowHeight="12.75" x14ac:dyDescent="0.2"/>
  <cols>
    <col min="2" max="2" width="2.5703125" customWidth="1"/>
  </cols>
  <sheetData>
    <row r="1" spans="1:39" x14ac:dyDescent="0.2">
      <c r="A1" t="s">
        <v>336</v>
      </c>
      <c r="E1" s="276" t="str">
        <f>_xlfn.CONCAT(Data!B2,", ",Data!B3," ",Data!B4)</f>
        <v xml:space="preserve">,  </v>
      </c>
      <c r="F1" s="276"/>
      <c r="G1" s="276"/>
      <c r="H1" s="276"/>
      <c r="I1" s="276"/>
      <c r="J1" s="276"/>
      <c r="K1" s="276"/>
      <c r="L1" s="276"/>
      <c r="M1" s="276"/>
      <c r="N1" s="276"/>
      <c r="O1" s="276"/>
      <c r="P1" s="276"/>
      <c r="Q1" s="276"/>
      <c r="R1" s="276"/>
      <c r="S1" s="276"/>
      <c r="T1" s="276"/>
      <c r="U1" s="276"/>
      <c r="V1" s="276"/>
      <c r="W1" s="276"/>
      <c r="X1" s="276"/>
      <c r="Z1" t="s">
        <v>337</v>
      </c>
      <c r="AD1" s="269">
        <f>Data!B14</f>
        <v>0</v>
      </c>
      <c r="AE1" s="267"/>
      <c r="AF1" s="267"/>
      <c r="AG1" s="267"/>
      <c r="AH1" s="267"/>
      <c r="AI1" s="267"/>
      <c r="AJ1" s="267"/>
      <c r="AK1" s="267"/>
    </row>
    <row r="2" spans="1:39" x14ac:dyDescent="0.2">
      <c r="A2" s="300" t="str">
        <f>IF(OR(Data!B917=TRUE,Data!B929=TRUE),"AT RISK FOR SKIN BREAKDOWN","")&amp;IF(Data!B917=TRUE," -Bedbound","")&amp;IF(Data!B929=TRUE," -Chairbound","")&amp;IF(Data!B1610="Yes","  **LATEX ALLERGY**","")&amp;IF(AND(Data!B1644="Yes",Data!B1645="Yes"),"**DNR ON FILE**","")</f>
        <v/>
      </c>
      <c r="B2" s="300"/>
      <c r="C2" s="300"/>
      <c r="D2" s="300"/>
      <c r="E2" s="300"/>
      <c r="F2" s="300"/>
      <c r="G2" s="300"/>
      <c r="H2" s="300"/>
      <c r="I2" s="300"/>
      <c r="J2" s="300"/>
      <c r="K2" s="300"/>
      <c r="L2" s="300"/>
      <c r="M2" s="300"/>
      <c r="N2" s="300"/>
      <c r="O2" s="300"/>
      <c r="P2" s="300"/>
      <c r="Q2" s="300"/>
      <c r="R2" s="300"/>
      <c r="S2" s="300"/>
      <c r="T2" s="300"/>
      <c r="U2" s="300"/>
      <c r="V2" s="300"/>
      <c r="W2" s="300"/>
      <c r="X2" s="300"/>
      <c r="Y2" s="300"/>
      <c r="Z2" s="300"/>
      <c r="AA2" s="300"/>
      <c r="AB2" s="300"/>
      <c r="AC2" s="300"/>
      <c r="AD2" s="300"/>
      <c r="AE2" s="300"/>
      <c r="AF2" s="300"/>
      <c r="AG2" s="300"/>
      <c r="AH2" s="300"/>
      <c r="AI2" s="300"/>
      <c r="AJ2" s="300"/>
      <c r="AK2" s="300"/>
      <c r="AL2" s="300"/>
    </row>
    <row r="3" spans="1:39" x14ac:dyDescent="0.2">
      <c r="A3" s="340" t="s">
        <v>338</v>
      </c>
      <c r="B3" s="340"/>
      <c r="C3" s="340"/>
      <c r="D3" s="340"/>
      <c r="E3" s="340"/>
      <c r="F3" s="340"/>
      <c r="G3" s="340"/>
      <c r="H3" s="340"/>
      <c r="I3" s="340"/>
      <c r="J3" s="340"/>
      <c r="K3" s="340"/>
      <c r="L3" s="340"/>
      <c r="M3" s="340"/>
      <c r="N3" s="340"/>
      <c r="O3" s="340"/>
      <c r="P3" s="340"/>
      <c r="Q3" s="340"/>
      <c r="R3" s="340"/>
      <c r="S3" s="340"/>
      <c r="T3" s="340"/>
      <c r="U3" s="340"/>
      <c r="V3" s="340"/>
      <c r="W3" s="340"/>
      <c r="X3" s="340"/>
      <c r="Y3" s="340"/>
      <c r="Z3" s="340"/>
      <c r="AA3" s="340"/>
      <c r="AB3" s="340"/>
      <c r="AC3" s="340"/>
      <c r="AD3" s="340"/>
      <c r="AE3" s="340"/>
      <c r="AF3" s="340"/>
      <c r="AG3" s="340"/>
      <c r="AH3" s="340"/>
      <c r="AI3" s="340"/>
      <c r="AJ3" s="340"/>
      <c r="AK3" s="340"/>
      <c r="AL3" s="340"/>
      <c r="AM3" s="8"/>
    </row>
    <row r="4" spans="1:39" x14ac:dyDescent="0.2">
      <c r="A4" t="s">
        <v>339</v>
      </c>
      <c r="P4" s="4"/>
      <c r="Q4" s="219" t="str">
        <f>IF(OR(Data!B53,Data!B65,Data!B77)=TRUE,"Yes","")</f>
        <v/>
      </c>
      <c r="R4" s="219"/>
      <c r="S4" s="219"/>
      <c r="T4" s="219"/>
      <c r="U4" s="219"/>
    </row>
    <row r="5" spans="1:39" x14ac:dyDescent="0.2">
      <c r="A5" t="s">
        <v>340</v>
      </c>
    </row>
    <row r="6" spans="1:39" ht="13.5" thickBot="1" x14ac:dyDescent="0.25"/>
    <row r="7" spans="1:39" x14ac:dyDescent="0.2">
      <c r="A7" s="530" t="s">
        <v>341</v>
      </c>
      <c r="B7" s="531"/>
      <c r="C7" s="531"/>
      <c r="D7" s="531"/>
      <c r="E7" s="531"/>
      <c r="F7" s="531"/>
      <c r="G7" s="531"/>
      <c r="H7" s="531"/>
      <c r="I7" s="531"/>
      <c r="J7" s="531"/>
      <c r="K7" s="531"/>
      <c r="L7" s="531"/>
      <c r="M7" s="531"/>
      <c r="N7" s="531"/>
      <c r="O7" s="531"/>
      <c r="P7" s="531"/>
      <c r="Q7" s="531"/>
      <c r="R7" s="531"/>
      <c r="S7" s="532"/>
      <c r="T7" s="530" t="s">
        <v>347</v>
      </c>
      <c r="U7" s="531"/>
      <c r="V7" s="531"/>
      <c r="W7" s="531"/>
      <c r="X7" s="531"/>
      <c r="Y7" s="531"/>
      <c r="Z7" s="531"/>
      <c r="AA7" s="531"/>
      <c r="AB7" s="531"/>
      <c r="AC7" s="531"/>
      <c r="AD7" s="531"/>
      <c r="AE7" s="531"/>
      <c r="AF7" s="531"/>
      <c r="AG7" s="531"/>
      <c r="AH7" s="531"/>
      <c r="AI7" s="531"/>
      <c r="AJ7" s="531"/>
      <c r="AK7" s="531"/>
      <c r="AL7" s="532"/>
    </row>
    <row r="8" spans="1:39" x14ac:dyDescent="0.2">
      <c r="A8" s="525" t="s">
        <v>342</v>
      </c>
      <c r="B8" s="299"/>
      <c r="C8" s="299"/>
      <c r="D8" s="299"/>
      <c r="E8" s="299"/>
      <c r="F8" s="293" t="str">
        <f>IF(OR(Data!B52,Data!B53)=TRUE,Data!B43,"N/A")</f>
        <v>N/A</v>
      </c>
      <c r="G8" s="293"/>
      <c r="H8" s="293"/>
      <c r="I8" s="293"/>
      <c r="J8" s="293"/>
      <c r="K8" s="293"/>
      <c r="L8" s="293"/>
      <c r="M8" s="293"/>
      <c r="N8" s="293"/>
      <c r="O8" s="293"/>
      <c r="P8" s="293"/>
      <c r="Q8" s="293"/>
      <c r="R8" s="293"/>
      <c r="S8" s="522"/>
      <c r="T8" s="525" t="s">
        <v>342</v>
      </c>
      <c r="U8" s="299"/>
      <c r="V8" s="299"/>
      <c r="W8" s="299"/>
      <c r="X8" s="299"/>
      <c r="Y8" s="293" t="str">
        <f>IF(OR(Data!B64,Data!B65)=TRUE,Data!B55,"N/A")</f>
        <v>N/A</v>
      </c>
      <c r="Z8" s="293"/>
      <c r="AA8" s="293"/>
      <c r="AB8" s="293"/>
      <c r="AC8" s="293"/>
      <c r="AD8" s="293"/>
      <c r="AE8" s="293"/>
      <c r="AF8" s="293"/>
      <c r="AG8" s="293"/>
      <c r="AH8" s="293"/>
      <c r="AI8" s="293"/>
      <c r="AJ8" s="293"/>
      <c r="AK8" s="293"/>
      <c r="AL8" s="522"/>
    </row>
    <row r="9" spans="1:39" x14ac:dyDescent="0.2">
      <c r="A9" s="525" t="s">
        <v>343</v>
      </c>
      <c r="B9" s="299"/>
      <c r="C9" s="299"/>
      <c r="D9" s="299"/>
      <c r="E9" s="299"/>
      <c r="F9" s="293" t="str">
        <f>IF(OR(Data!B52,Data!B53)=TRUE,Data!B44,"N/A")</f>
        <v>N/A</v>
      </c>
      <c r="G9" s="293"/>
      <c r="H9" s="293"/>
      <c r="I9" s="293"/>
      <c r="J9" s="293"/>
      <c r="K9" s="293"/>
      <c r="L9" s="293"/>
      <c r="M9" s="293"/>
      <c r="N9" s="293"/>
      <c r="O9" s="293"/>
      <c r="P9" s="293"/>
      <c r="Q9" s="293"/>
      <c r="R9" s="293"/>
      <c r="S9" s="522"/>
      <c r="T9" s="525" t="s">
        <v>343</v>
      </c>
      <c r="U9" s="299"/>
      <c r="V9" s="299"/>
      <c r="W9" s="299"/>
      <c r="X9" s="299"/>
      <c r="Y9" s="293" t="str">
        <f>IF(OR(Data!B64,Data!B65)=TRUE,Data!B56,"N/A")</f>
        <v>N/A</v>
      </c>
      <c r="Z9" s="293"/>
      <c r="AA9" s="293"/>
      <c r="AB9" s="293"/>
      <c r="AC9" s="293"/>
      <c r="AD9" s="293"/>
      <c r="AE9" s="293"/>
      <c r="AF9" s="293"/>
      <c r="AG9" s="293"/>
      <c r="AH9" s="293"/>
      <c r="AI9" s="293"/>
      <c r="AJ9" s="293"/>
      <c r="AK9" s="293"/>
      <c r="AL9" s="522"/>
    </row>
    <row r="10" spans="1:39" x14ac:dyDescent="0.2">
      <c r="A10" s="525" t="s">
        <v>348</v>
      </c>
      <c r="B10" s="299"/>
      <c r="C10" s="299"/>
      <c r="D10" s="299"/>
      <c r="E10" s="299"/>
      <c r="F10" s="523" t="str">
        <f>IF(OR(Data!B52,Data!B53)=TRUE,IF(Data!B45&lt;&gt;"","Home: "&amp;TEXT(Data!B45,"(###) ###-####")&amp;" ","No home phone.")&amp;IF(Data!B46&lt;&gt;"","Cell: "&amp;TEXT(Data!B46,"(###) ###-####")&amp;" "," No cell phone."),"N/A")</f>
        <v>N/A</v>
      </c>
      <c r="G10" s="523"/>
      <c r="H10" s="523"/>
      <c r="I10" s="523"/>
      <c r="J10" s="523"/>
      <c r="K10" s="523"/>
      <c r="L10" s="523"/>
      <c r="M10" s="523"/>
      <c r="N10" s="523"/>
      <c r="O10" s="523"/>
      <c r="P10" s="523"/>
      <c r="Q10" s="523"/>
      <c r="R10" s="523"/>
      <c r="S10" s="524"/>
      <c r="T10" s="525" t="s">
        <v>348</v>
      </c>
      <c r="U10" s="299"/>
      <c r="V10" s="299"/>
      <c r="W10" s="299"/>
      <c r="X10" s="299"/>
      <c r="Y10" s="523" t="str">
        <f>IF(OR(Data!B64,Data!B65)=TRUE,IF(Data!B55="","N/A",IF(Data!B57&lt;&gt;"","Home: "&amp;TEXT(Data!B57,"(###) ###-####")&amp;" ","No home phone.")&amp;IF(Data!B58&lt;&gt;"","Cell: "&amp;TEXT(Data!B58,"(###) ###-####")&amp;" "," No cell phone.")),"N/A")</f>
        <v>N/A</v>
      </c>
      <c r="Z10" s="523"/>
      <c r="AA10" s="523"/>
      <c r="AB10" s="523"/>
      <c r="AC10" s="523"/>
      <c r="AD10" s="523"/>
      <c r="AE10" s="523"/>
      <c r="AF10" s="523"/>
      <c r="AG10" s="523"/>
      <c r="AH10" s="523"/>
      <c r="AI10" s="523"/>
      <c r="AJ10" s="523"/>
      <c r="AK10" s="523"/>
      <c r="AL10" s="524"/>
    </row>
    <row r="11" spans="1:39" x14ac:dyDescent="0.2">
      <c r="A11" s="525" t="s">
        <v>344</v>
      </c>
      <c r="B11" s="299"/>
      <c r="C11" s="299"/>
      <c r="D11" s="299"/>
      <c r="E11" s="299"/>
      <c r="F11" s="293" t="str">
        <f>IF(OR(Data!B52,Data!B53)=TRUE,Data!B48,"N/A")</f>
        <v>N/A</v>
      </c>
      <c r="G11" s="293"/>
      <c r="H11" s="293"/>
      <c r="I11" s="293"/>
      <c r="J11" s="293"/>
      <c r="K11" s="293"/>
      <c r="L11" s="293"/>
      <c r="M11" s="293"/>
      <c r="N11" s="293"/>
      <c r="O11" s="293"/>
      <c r="P11" s="293"/>
      <c r="Q11" s="293"/>
      <c r="R11" s="293"/>
      <c r="S11" s="522"/>
      <c r="T11" s="525" t="s">
        <v>344</v>
      </c>
      <c r="U11" s="299"/>
      <c r="V11" s="299"/>
      <c r="W11" s="299"/>
      <c r="X11" s="299"/>
      <c r="Y11" s="293" t="str">
        <f>IF(OR(Data!B64,Data!B65)=TRUE,Data!B60,"N/A")</f>
        <v>N/A</v>
      </c>
      <c r="Z11" s="293"/>
      <c r="AA11" s="293"/>
      <c r="AB11" s="293"/>
      <c r="AC11" s="293"/>
      <c r="AD11" s="293"/>
      <c r="AE11" s="293"/>
      <c r="AF11" s="293"/>
      <c r="AG11" s="293"/>
      <c r="AH11" s="293"/>
      <c r="AI11" s="293"/>
      <c r="AJ11" s="293"/>
      <c r="AK11" s="293"/>
      <c r="AL11" s="522"/>
    </row>
    <row r="12" spans="1:39" x14ac:dyDescent="0.2">
      <c r="A12" s="525" t="s">
        <v>345</v>
      </c>
      <c r="B12" s="299"/>
      <c r="C12" s="299"/>
      <c r="D12" s="299"/>
      <c r="E12" s="299"/>
      <c r="F12" s="293" t="str">
        <f>IF(OR(Data!B52,Data!B53)=TRUE,IF(Data!B50=TRUE,"Yes","No"),"N/A")</f>
        <v>N/A</v>
      </c>
      <c r="G12" s="293"/>
      <c r="H12" s="293"/>
      <c r="I12" s="293"/>
      <c r="J12" s="293"/>
      <c r="K12" s="293"/>
      <c r="L12" s="293"/>
      <c r="M12" s="293"/>
      <c r="N12" s="293"/>
      <c r="O12" s="293"/>
      <c r="P12" s="293"/>
      <c r="Q12" s="293"/>
      <c r="R12" s="293"/>
      <c r="S12" s="522"/>
      <c r="T12" s="525" t="s">
        <v>345</v>
      </c>
      <c r="U12" s="299"/>
      <c r="V12" s="299"/>
      <c r="W12" s="299"/>
      <c r="X12" s="299"/>
      <c r="Y12" s="293" t="str">
        <f>IF(OR(Data!B64,Data!B65)=TRUE,IF(Data!B62=TRUE,"Yes","No"),"N/A")</f>
        <v>N/A</v>
      </c>
      <c r="Z12" s="293"/>
      <c r="AA12" s="293"/>
      <c r="AB12" s="293"/>
      <c r="AC12" s="293"/>
      <c r="AD12" s="293"/>
      <c r="AE12" s="293"/>
      <c r="AF12" s="293"/>
      <c r="AG12" s="293"/>
      <c r="AH12" s="293"/>
      <c r="AI12" s="293"/>
      <c r="AJ12" s="293"/>
      <c r="AK12" s="293"/>
      <c r="AL12" s="522"/>
    </row>
    <row r="13" spans="1:39" ht="13.5" thickBot="1" x14ac:dyDescent="0.25">
      <c r="A13" s="526" t="s">
        <v>346</v>
      </c>
      <c r="B13" s="527"/>
      <c r="C13" s="527"/>
      <c r="D13" s="527"/>
      <c r="E13" s="527"/>
      <c r="F13" s="528" t="str">
        <f>IF(OR(Data!B52,Data!B53)=TRUE,IF(Data!B49=TRUE,"Yes","No"),"N/A")</f>
        <v>N/A</v>
      </c>
      <c r="G13" s="528"/>
      <c r="H13" s="528"/>
      <c r="I13" s="528"/>
      <c r="J13" s="528"/>
      <c r="K13" s="528"/>
      <c r="L13" s="528"/>
      <c r="M13" s="528"/>
      <c r="N13" s="528"/>
      <c r="O13" s="528"/>
      <c r="P13" s="528"/>
      <c r="Q13" s="528"/>
      <c r="R13" s="528"/>
      <c r="S13" s="529"/>
      <c r="T13" s="526" t="s">
        <v>346</v>
      </c>
      <c r="U13" s="527"/>
      <c r="V13" s="527"/>
      <c r="W13" s="527"/>
      <c r="X13" s="527"/>
      <c r="Y13" s="528" t="str">
        <f>IF(OR(Data!B64,Data!B65)=TRUE,IF(Data!B61=TRUE,"Yes","No"),"N/A")</f>
        <v>N/A</v>
      </c>
      <c r="Z13" s="528"/>
      <c r="AA13" s="528"/>
      <c r="AB13" s="528"/>
      <c r="AC13" s="528"/>
      <c r="AD13" s="528"/>
      <c r="AE13" s="528"/>
      <c r="AF13" s="528"/>
      <c r="AG13" s="528"/>
      <c r="AH13" s="528"/>
      <c r="AI13" s="528"/>
      <c r="AJ13" s="528"/>
      <c r="AK13" s="528"/>
      <c r="AL13" s="529"/>
    </row>
    <row r="15" spans="1:39" x14ac:dyDescent="0.2">
      <c r="A15" t="s">
        <v>3368</v>
      </c>
    </row>
    <row r="16" spans="1:39" x14ac:dyDescent="0.2">
      <c r="B16">
        <v>1</v>
      </c>
      <c r="C16" t="s">
        <v>349</v>
      </c>
    </row>
    <row r="17" spans="1:39" x14ac:dyDescent="0.2">
      <c r="B17">
        <v>2</v>
      </c>
      <c r="C17" t="s">
        <v>350</v>
      </c>
    </row>
    <row r="18" spans="1:39" x14ac:dyDescent="0.2">
      <c r="B18">
        <v>3</v>
      </c>
      <c r="C18" t="s">
        <v>351</v>
      </c>
    </row>
    <row r="20" spans="1:39" x14ac:dyDescent="0.2">
      <c r="A20" s="340" t="s">
        <v>352</v>
      </c>
      <c r="B20" s="340"/>
      <c r="C20" s="340"/>
      <c r="D20" s="340"/>
      <c r="E20" s="340"/>
      <c r="F20" s="340"/>
      <c r="G20" s="340"/>
      <c r="H20" s="340"/>
      <c r="I20" s="340"/>
      <c r="J20" s="340"/>
      <c r="K20" s="340"/>
      <c r="L20" s="340"/>
      <c r="M20" s="340"/>
      <c r="N20" s="340"/>
      <c r="O20" s="340"/>
      <c r="P20" s="340"/>
      <c r="Q20" s="340"/>
      <c r="R20" s="340"/>
      <c r="S20" s="340"/>
      <c r="T20" s="340"/>
      <c r="U20" s="340"/>
      <c r="V20" s="340"/>
      <c r="W20" s="340"/>
      <c r="X20" s="340"/>
      <c r="Y20" s="340"/>
      <c r="Z20" s="340"/>
      <c r="AA20" s="340"/>
      <c r="AB20" s="340"/>
      <c r="AC20" s="340"/>
      <c r="AD20" s="340"/>
      <c r="AE20" s="340"/>
      <c r="AF20" s="340"/>
      <c r="AG20" s="340"/>
      <c r="AH20" s="340"/>
      <c r="AI20" s="340"/>
      <c r="AJ20" s="340"/>
      <c r="AK20" s="340"/>
      <c r="AL20" s="340"/>
      <c r="AM20" s="8"/>
    </row>
    <row r="21" spans="1:39" x14ac:dyDescent="0.2">
      <c r="A21" t="s">
        <v>356</v>
      </c>
    </row>
    <row r="22" spans="1:39" x14ac:dyDescent="0.2">
      <c r="B22">
        <v>1</v>
      </c>
      <c r="C22" s="217" t="s">
        <v>353</v>
      </c>
      <c r="D22" s="217"/>
      <c r="E22" s="217"/>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c r="AE22" s="217"/>
      <c r="AF22" s="217"/>
      <c r="AG22" s="217"/>
      <c r="AH22" s="217"/>
      <c r="AI22" s="217"/>
      <c r="AJ22" s="217"/>
      <c r="AK22" s="217"/>
      <c r="AL22" s="217"/>
    </row>
    <row r="23" spans="1:39" x14ac:dyDescent="0.2">
      <c r="C23" s="217"/>
      <c r="D23" s="217"/>
      <c r="E23" s="217"/>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c r="AE23" s="217"/>
      <c r="AF23" s="217"/>
      <c r="AG23" s="217"/>
      <c r="AH23" s="217"/>
      <c r="AI23" s="217"/>
      <c r="AJ23" s="217"/>
      <c r="AK23" s="217"/>
      <c r="AL23" s="217"/>
    </row>
    <row r="24" spans="1:39" x14ac:dyDescent="0.2">
      <c r="B24">
        <v>2</v>
      </c>
      <c r="C24" s="217" t="s">
        <v>354</v>
      </c>
      <c r="D24" s="217"/>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7"/>
      <c r="AI24" s="217"/>
      <c r="AJ24" s="217"/>
      <c r="AK24" s="217"/>
      <c r="AL24" s="217"/>
    </row>
    <row r="25" spans="1:39" x14ac:dyDescent="0.2">
      <c r="C25" s="217"/>
      <c r="D25" s="217"/>
      <c r="E25" s="217"/>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c r="AE25" s="217"/>
      <c r="AF25" s="217"/>
      <c r="AG25" s="217"/>
      <c r="AH25" s="217"/>
      <c r="AI25" s="217"/>
      <c r="AJ25" s="217"/>
      <c r="AK25" s="217"/>
      <c r="AL25" s="217"/>
    </row>
    <row r="26" spans="1:39" x14ac:dyDescent="0.2">
      <c r="B26">
        <v>3</v>
      </c>
      <c r="C26" t="s">
        <v>355</v>
      </c>
    </row>
    <row r="28" spans="1:39" x14ac:dyDescent="0.2">
      <c r="A28" t="s">
        <v>357</v>
      </c>
    </row>
    <row r="30" spans="1:39" ht="15" x14ac:dyDescent="0.2">
      <c r="B30" s="3" t="str">
        <f>IF(Data!B256=TRUE,"P","")</f>
        <v/>
      </c>
      <c r="C30" t="s">
        <v>358</v>
      </c>
    </row>
    <row r="31" spans="1:39" ht="15" x14ac:dyDescent="0.2">
      <c r="B31" s="3" t="str">
        <f>IF(Data!B257=TRUE,"P","")</f>
        <v/>
      </c>
      <c r="C31" t="s">
        <v>359</v>
      </c>
    </row>
    <row r="32" spans="1:39" ht="15" x14ac:dyDescent="0.2">
      <c r="B32" s="3" t="str">
        <f>IF(Data!B258=TRUE,"P","")</f>
        <v/>
      </c>
      <c r="C32" t="s">
        <v>360</v>
      </c>
    </row>
    <row r="33" spans="1:39" ht="15" x14ac:dyDescent="0.2">
      <c r="B33" s="3" t="str">
        <f>IF(Data!B259=TRUE,"P","")</f>
        <v/>
      </c>
      <c r="C33" t="s">
        <v>361</v>
      </c>
    </row>
    <row r="35" spans="1:39" x14ac:dyDescent="0.2">
      <c r="A35" s="340" t="s">
        <v>362</v>
      </c>
      <c r="B35" s="340"/>
      <c r="C35" s="340"/>
      <c r="D35" s="340"/>
      <c r="E35" s="340"/>
      <c r="F35" s="340"/>
      <c r="G35" s="340"/>
      <c r="H35" s="340"/>
      <c r="I35" s="340"/>
      <c r="J35" s="340"/>
      <c r="K35" s="340"/>
      <c r="L35" s="340"/>
      <c r="M35" s="340"/>
      <c r="N35" s="340"/>
      <c r="O35" s="340"/>
      <c r="P35" s="340"/>
      <c r="Q35" s="340"/>
      <c r="R35" s="340"/>
      <c r="S35" s="340"/>
      <c r="T35" s="340"/>
      <c r="U35" s="340"/>
      <c r="V35" s="340"/>
      <c r="W35" s="340"/>
      <c r="X35" s="340"/>
      <c r="Y35" s="340"/>
      <c r="Z35" s="340"/>
      <c r="AA35" s="340"/>
      <c r="AB35" s="340"/>
      <c r="AC35" s="340"/>
      <c r="AD35" s="340"/>
      <c r="AE35" s="340"/>
      <c r="AF35" s="340"/>
      <c r="AG35" s="340"/>
      <c r="AH35" s="340"/>
      <c r="AI35" s="340"/>
      <c r="AJ35" s="340"/>
      <c r="AK35" s="340"/>
      <c r="AL35" s="340"/>
      <c r="AM35" s="8"/>
    </row>
    <row r="36" spans="1:39" x14ac:dyDescent="0.2">
      <c r="A36" t="s">
        <v>363</v>
      </c>
    </row>
    <row r="37" spans="1:39" ht="15" x14ac:dyDescent="0.2">
      <c r="A37" s="3" t="str">
        <f>IF(Data!B262=TRUE,"P","")</f>
        <v/>
      </c>
      <c r="B37" t="s">
        <v>111</v>
      </c>
      <c r="F37" s="3" t="str">
        <f>IF(Data!B1644="Yes","P","")</f>
        <v/>
      </c>
      <c r="G37" t="s">
        <v>112</v>
      </c>
      <c r="I37" s="3" t="str">
        <f>IF(Data!B1645="Yes","P","")</f>
        <v/>
      </c>
      <c r="J37" t="s">
        <v>3232</v>
      </c>
      <c r="O37" s="3" t="str">
        <f>IF(Data!B265=TRUE,"P","")</f>
        <v/>
      </c>
      <c r="P37" t="s">
        <v>113</v>
      </c>
      <c r="W37" s="3" t="str">
        <f>IF(Data!B266=TRUE,"P","")</f>
        <v/>
      </c>
      <c r="X37" t="s">
        <v>364</v>
      </c>
    </row>
    <row r="38" spans="1:39" x14ac:dyDescent="0.2">
      <c r="A38" t="s">
        <v>365</v>
      </c>
      <c r="N38" s="233" t="str">
        <f>IF(Data!B267="","N/A",Data!B267)</f>
        <v>N/A</v>
      </c>
      <c r="O38" s="233"/>
      <c r="P38" s="233"/>
      <c r="Q38" s="233"/>
      <c r="R38" s="233"/>
      <c r="S38" s="233"/>
      <c r="T38" s="233"/>
      <c r="U38" s="233"/>
      <c r="V38" s="233"/>
      <c r="W38" s="233"/>
      <c r="X38" s="233"/>
      <c r="Y38" s="233"/>
      <c r="Z38" s="233"/>
      <c r="AA38" s="233"/>
      <c r="AB38" s="233"/>
      <c r="AC38" s="233"/>
      <c r="AD38" s="233"/>
      <c r="AE38" s="233"/>
      <c r="AF38" s="233"/>
    </row>
    <row r="39" spans="1:39" x14ac:dyDescent="0.2">
      <c r="A39" t="s">
        <v>3240</v>
      </c>
    </row>
    <row r="40" spans="1:39" ht="12.75" customHeight="1" x14ac:dyDescent="0.2">
      <c r="A40" s="217" t="s">
        <v>366</v>
      </c>
      <c r="B40" s="217"/>
      <c r="C40" s="217"/>
      <c r="D40" s="217"/>
      <c r="E40" s="217"/>
      <c r="F40" s="217"/>
      <c r="G40" s="217"/>
      <c r="H40" s="217"/>
      <c r="I40" s="217"/>
      <c r="J40" s="217"/>
      <c r="K40" s="217"/>
      <c r="L40" s="217"/>
      <c r="M40" s="217"/>
      <c r="N40" s="217"/>
      <c r="O40" s="217"/>
      <c r="P40" s="217"/>
      <c r="Q40" s="217"/>
      <c r="R40" s="217"/>
      <c r="S40" s="217"/>
      <c r="T40" s="217"/>
      <c r="U40" s="217"/>
      <c r="V40" s="217"/>
      <c r="W40" s="217"/>
      <c r="X40" s="217"/>
      <c r="Y40" s="217"/>
      <c r="Z40" s="217"/>
      <c r="AA40" s="217"/>
      <c r="AB40" s="217"/>
      <c r="AC40" s="217"/>
      <c r="AD40" s="217"/>
      <c r="AE40" s="217"/>
      <c r="AF40" s="217"/>
      <c r="AG40" s="217"/>
      <c r="AH40" s="217"/>
      <c r="AI40" s="217"/>
      <c r="AJ40" s="217"/>
      <c r="AK40" s="217"/>
      <c r="AL40" s="217"/>
      <c r="AM40" s="5"/>
    </row>
    <row r="41" spans="1:39" x14ac:dyDescent="0.2">
      <c r="A41" s="217"/>
      <c r="B41" s="217"/>
      <c r="C41" s="217"/>
      <c r="D41" s="217"/>
      <c r="E41" s="217"/>
      <c r="F41" s="217"/>
      <c r="G41" s="217"/>
      <c r="H41" s="217"/>
      <c r="I41" s="217"/>
      <c r="J41" s="217"/>
      <c r="K41" s="217"/>
      <c r="L41" s="217"/>
      <c r="M41" s="217"/>
      <c r="N41" s="217"/>
      <c r="O41" s="217"/>
      <c r="P41" s="217"/>
      <c r="Q41" s="217"/>
      <c r="R41" s="217"/>
      <c r="S41" s="217"/>
      <c r="T41" s="217"/>
      <c r="U41" s="217"/>
      <c r="V41" s="217"/>
      <c r="W41" s="217"/>
      <c r="X41" s="217"/>
      <c r="Y41" s="217"/>
      <c r="Z41" s="217"/>
      <c r="AA41" s="217"/>
      <c r="AB41" s="217"/>
      <c r="AC41" s="217"/>
      <c r="AD41" s="217"/>
      <c r="AE41" s="217"/>
      <c r="AF41" s="217"/>
      <c r="AG41" s="217"/>
      <c r="AH41" s="217"/>
      <c r="AI41" s="217"/>
      <c r="AJ41" s="217"/>
      <c r="AK41" s="217"/>
      <c r="AL41" s="217"/>
      <c r="AM41" s="5"/>
    </row>
    <row r="42" spans="1:39" x14ac:dyDescent="0.2">
      <c r="A42" s="217"/>
      <c r="B42" s="217"/>
      <c r="C42" s="217"/>
      <c r="D42" s="217"/>
      <c r="E42" s="217"/>
      <c r="F42" s="217"/>
      <c r="G42" s="217"/>
      <c r="H42" s="217"/>
      <c r="I42" s="217"/>
      <c r="J42" s="217"/>
      <c r="K42" s="217"/>
      <c r="L42" s="217"/>
      <c r="M42" s="217"/>
      <c r="N42" s="217"/>
      <c r="O42" s="217"/>
      <c r="P42" s="217"/>
      <c r="Q42" s="217"/>
      <c r="R42" s="217"/>
      <c r="S42" s="217"/>
      <c r="T42" s="217"/>
      <c r="U42" s="217"/>
      <c r="V42" s="217"/>
      <c r="W42" s="217"/>
      <c r="X42" s="217"/>
      <c r="Y42" s="217"/>
      <c r="Z42" s="217"/>
      <c r="AA42" s="217"/>
      <c r="AB42" s="217"/>
      <c r="AC42" s="217"/>
      <c r="AD42" s="217"/>
      <c r="AE42" s="217"/>
      <c r="AF42" s="217"/>
      <c r="AG42" s="217"/>
      <c r="AH42" s="217"/>
      <c r="AI42" s="217"/>
      <c r="AJ42" s="217"/>
      <c r="AK42" s="217"/>
      <c r="AL42" s="217"/>
      <c r="AM42" s="5"/>
    </row>
    <row r="43" spans="1:39" x14ac:dyDescent="0.2">
      <c r="A43" s="240"/>
      <c r="B43" s="240"/>
      <c r="C43" s="240"/>
      <c r="D43" s="240"/>
      <c r="E43" s="240"/>
      <c r="F43" s="240"/>
      <c r="G43" s="240"/>
      <c r="H43" s="240"/>
      <c r="I43" s="240"/>
      <c r="J43" s="240"/>
      <c r="K43" s="240"/>
      <c r="L43" s="240"/>
      <c r="M43" s="240"/>
      <c r="N43" s="240"/>
      <c r="O43" s="240"/>
      <c r="P43" s="240"/>
    </row>
    <row r="44" spans="1:39" x14ac:dyDescent="0.2">
      <c r="A44" s="240"/>
      <c r="B44" s="240"/>
      <c r="C44" s="240"/>
      <c r="D44" s="240"/>
      <c r="E44" s="240"/>
      <c r="F44" s="240"/>
      <c r="G44" s="240"/>
      <c r="H44" s="240"/>
      <c r="I44" s="240"/>
      <c r="J44" s="240"/>
      <c r="K44" s="240"/>
      <c r="L44" s="240"/>
      <c r="M44" s="240"/>
      <c r="N44" s="240"/>
      <c r="O44" s="240"/>
      <c r="P44" s="240"/>
      <c r="AJ44" t="s">
        <v>1162</v>
      </c>
    </row>
    <row r="45" spans="1:39" x14ac:dyDescent="0.2">
      <c r="A45" s="266"/>
      <c r="B45" s="266"/>
      <c r="C45" s="266"/>
      <c r="D45" s="266"/>
      <c r="E45" s="266"/>
      <c r="F45" s="266"/>
      <c r="G45" s="266"/>
      <c r="H45" s="266"/>
      <c r="I45" s="266"/>
      <c r="J45" s="266"/>
      <c r="K45" s="266"/>
      <c r="L45" s="266"/>
      <c r="M45" s="266"/>
      <c r="N45" s="266"/>
      <c r="O45" s="266"/>
      <c r="P45" s="266"/>
      <c r="R45" s="269">
        <f>Data!B34</f>
        <v>0</v>
      </c>
      <c r="S45" s="267"/>
      <c r="T45" s="267"/>
      <c r="U45" s="267"/>
      <c r="V45" s="267"/>
      <c r="W45" s="267"/>
      <c r="X45" s="267"/>
      <c r="Y45" s="267"/>
    </row>
    <row r="46" spans="1:39" x14ac:dyDescent="0.2">
      <c r="A46" t="s">
        <v>367</v>
      </c>
      <c r="R46" t="s">
        <v>368</v>
      </c>
    </row>
    <row r="47" spans="1:39" x14ac:dyDescent="0.2">
      <c r="A47" s="240"/>
      <c r="B47" s="240"/>
      <c r="C47" s="240"/>
      <c r="D47" s="240"/>
      <c r="E47" s="240"/>
      <c r="F47" s="240"/>
      <c r="G47" s="240"/>
      <c r="H47" s="240"/>
      <c r="I47" s="240"/>
      <c r="J47" s="240"/>
      <c r="K47" s="240"/>
      <c r="L47" s="240"/>
      <c r="M47" s="240"/>
      <c r="N47" s="240"/>
      <c r="O47" s="240"/>
      <c r="P47" s="240"/>
    </row>
    <row r="48" spans="1:39" x14ac:dyDescent="0.2">
      <c r="A48" s="240"/>
      <c r="B48" s="240"/>
      <c r="C48" s="240"/>
      <c r="D48" s="240"/>
      <c r="E48" s="240"/>
      <c r="F48" s="240"/>
      <c r="G48" s="240"/>
      <c r="H48" s="240"/>
      <c r="I48" s="240"/>
      <c r="J48" s="240"/>
      <c r="K48" s="240"/>
      <c r="L48" s="240"/>
      <c r="M48" s="240"/>
      <c r="N48" s="240"/>
      <c r="O48" s="240"/>
      <c r="P48" s="240"/>
    </row>
    <row r="49" spans="1:31" x14ac:dyDescent="0.2">
      <c r="A49" s="266"/>
      <c r="B49" s="266"/>
      <c r="C49" s="266"/>
      <c r="D49" s="266"/>
      <c r="E49" s="266"/>
      <c r="F49" s="266"/>
      <c r="G49" s="266"/>
      <c r="H49" s="266"/>
      <c r="I49" s="266"/>
      <c r="J49" s="266"/>
      <c r="K49" s="266"/>
      <c r="L49" s="266"/>
      <c r="M49" s="266"/>
      <c r="N49" s="266"/>
      <c r="O49" s="266"/>
      <c r="P49" s="266"/>
      <c r="R49" s="267">
        <f>Data!B175</f>
        <v>0</v>
      </c>
      <c r="S49" s="267"/>
      <c r="T49" s="267"/>
      <c r="U49" s="267"/>
      <c r="V49" s="267"/>
      <c r="W49" s="267"/>
      <c r="X49" s="267"/>
      <c r="Y49" s="267"/>
      <c r="Z49" s="267"/>
      <c r="AA49" s="267"/>
      <c r="AB49" s="267"/>
      <c r="AC49" s="267"/>
      <c r="AD49" s="267"/>
      <c r="AE49" s="267"/>
    </row>
    <row r="50" spans="1:31" x14ac:dyDescent="0.2">
      <c r="A50" t="s">
        <v>370</v>
      </c>
      <c r="R50" t="s">
        <v>369</v>
      </c>
    </row>
  </sheetData>
  <mergeCells count="41">
    <mergeCell ref="A2:AL2"/>
    <mergeCell ref="F11:S11"/>
    <mergeCell ref="F12:S12"/>
    <mergeCell ref="F13:S13"/>
    <mergeCell ref="E1:X1"/>
    <mergeCell ref="AD1:AK1"/>
    <mergeCell ref="A8:E8"/>
    <mergeCell ref="A7:S7"/>
    <mergeCell ref="Q4:U4"/>
    <mergeCell ref="T7:AL7"/>
    <mergeCell ref="A3:AL3"/>
    <mergeCell ref="A9:E9"/>
    <mergeCell ref="A11:E11"/>
    <mergeCell ref="A12:E12"/>
    <mergeCell ref="A13:E13"/>
    <mergeCell ref="A10:E10"/>
    <mergeCell ref="Y11:AL11"/>
    <mergeCell ref="T12:X12"/>
    <mergeCell ref="Y12:AL12"/>
    <mergeCell ref="T13:X13"/>
    <mergeCell ref="Y13:AL13"/>
    <mergeCell ref="T11:X11"/>
    <mergeCell ref="F8:S8"/>
    <mergeCell ref="F9:S9"/>
    <mergeCell ref="F10:S10"/>
    <mergeCell ref="T8:X8"/>
    <mergeCell ref="Y8:AL8"/>
    <mergeCell ref="T9:X9"/>
    <mergeCell ref="Y9:AL9"/>
    <mergeCell ref="T10:X10"/>
    <mergeCell ref="Y10:AL10"/>
    <mergeCell ref="A20:AL20"/>
    <mergeCell ref="A35:AL35"/>
    <mergeCell ref="R45:Y45"/>
    <mergeCell ref="R49:AE49"/>
    <mergeCell ref="A43:P45"/>
    <mergeCell ref="A47:P49"/>
    <mergeCell ref="A40:AL42"/>
    <mergeCell ref="C22:AL23"/>
    <mergeCell ref="C24:AL25"/>
    <mergeCell ref="N38:AF38"/>
  </mergeCells>
  <pageMargins left="0.25" right="0.25" top="0.75" bottom="0.75" header="0.3" footer="0.3"/>
  <pageSetup orientation="portrait" r:id="rId1"/>
  <headerFooter>
    <oddHeader>&amp;L&amp;G&amp;RDesignation of Client Representative
Advance Directives</oddHeader>
    <oddFooter>&amp;LDS&amp;C3088 Mercer University Drive Suite 100 Atlanta, GA 30341
678-310-6305 Fax 404-935-6110&amp;RM</oddFooter>
  </headerFooter>
  <legacyDrawingHF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4">
    <tabColor theme="4" tint="-0.249977111117893"/>
  </sheetPr>
  <dimension ref="A2:AM46"/>
  <sheetViews>
    <sheetView showZeros="0" view="pageLayout" topLeftCell="A16" zoomScaleNormal="100" workbookViewId="0">
      <selection activeCell="R45" sqref="R45:AE45"/>
    </sheetView>
  </sheetViews>
  <sheetFormatPr defaultColWidth="2.7109375" defaultRowHeight="14.25" customHeight="1" x14ac:dyDescent="0.2"/>
  <sheetData>
    <row r="2" spans="1:39" ht="14.25" customHeight="1" x14ac:dyDescent="0.2">
      <c r="A2" s="12" t="s">
        <v>336</v>
      </c>
      <c r="B2" s="12"/>
      <c r="C2" s="12"/>
      <c r="D2" s="12"/>
      <c r="F2" s="27"/>
      <c r="G2" s="27"/>
      <c r="H2" s="27"/>
      <c r="I2" s="518" t="str">
        <f>_xlfn.CONCAT(Data!B2,", ",Data!B3," ",Data!B4)</f>
        <v xml:space="preserve">,  </v>
      </c>
      <c r="J2" s="518"/>
      <c r="K2" s="518"/>
      <c r="L2" s="518"/>
      <c r="M2" s="518"/>
      <c r="N2" s="518"/>
      <c r="O2" s="518"/>
      <c r="P2" s="518"/>
      <c r="Q2" s="518"/>
      <c r="R2" s="518"/>
      <c r="S2" s="518"/>
      <c r="T2" s="518"/>
      <c r="U2" s="518"/>
      <c r="V2" s="518"/>
      <c r="W2" s="518"/>
      <c r="X2" s="12" t="s">
        <v>371</v>
      </c>
      <c r="Y2" s="12"/>
      <c r="Z2" s="517">
        <f>Data!B14</f>
        <v>0</v>
      </c>
      <c r="AA2" s="518"/>
      <c r="AB2" s="518"/>
      <c r="AC2" s="518"/>
      <c r="AD2" s="518"/>
      <c r="AE2" s="518"/>
      <c r="AF2" s="12"/>
      <c r="AG2" s="12"/>
      <c r="AH2" s="12"/>
      <c r="AI2" s="12"/>
      <c r="AJ2" s="12"/>
      <c r="AK2" s="12"/>
      <c r="AL2" s="12"/>
      <c r="AM2" s="12"/>
    </row>
    <row r="3" spans="1:39" ht="14.25" customHeight="1" x14ac:dyDescent="0.2">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row>
    <row r="4" spans="1:39" ht="14.25" customHeight="1" x14ac:dyDescent="0.2">
      <c r="A4" s="485" t="s">
        <v>690</v>
      </c>
      <c r="B4" s="485"/>
      <c r="C4" s="485"/>
      <c r="D4" s="485"/>
      <c r="E4" s="485"/>
      <c r="F4" s="485"/>
      <c r="G4" s="485"/>
      <c r="H4" s="485"/>
      <c r="I4" s="485"/>
      <c r="J4" s="485"/>
      <c r="K4" s="485"/>
      <c r="L4" s="485"/>
      <c r="M4" s="485"/>
      <c r="N4" s="485"/>
      <c r="O4" s="485"/>
      <c r="P4" s="485"/>
      <c r="Q4" s="485"/>
      <c r="R4" s="485"/>
      <c r="S4" s="485"/>
      <c r="T4" s="485"/>
      <c r="U4" s="485"/>
      <c r="V4" s="485"/>
      <c r="W4" s="485"/>
      <c r="X4" s="485"/>
      <c r="Y4" s="485"/>
      <c r="Z4" s="485"/>
      <c r="AA4" s="485"/>
      <c r="AB4" s="485"/>
      <c r="AC4" s="485"/>
      <c r="AD4" s="485"/>
      <c r="AE4" s="485"/>
      <c r="AF4" s="485"/>
      <c r="AG4" s="485"/>
      <c r="AH4" s="485"/>
      <c r="AI4" s="485"/>
      <c r="AJ4" s="485"/>
      <c r="AK4" s="26"/>
      <c r="AL4" s="26"/>
      <c r="AM4" s="26"/>
    </row>
    <row r="5" spans="1:39" ht="14.25" customHeight="1" x14ac:dyDescent="0.2">
      <c r="A5" s="12"/>
      <c r="B5" s="12">
        <v>1</v>
      </c>
      <c r="C5" s="12" t="s">
        <v>395</v>
      </c>
      <c r="D5" s="12" t="s">
        <v>691</v>
      </c>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row>
    <row r="6" spans="1:39" ht="14.25" customHeight="1" x14ac:dyDescent="0.2">
      <c r="A6" s="12"/>
      <c r="B6" s="12">
        <v>2</v>
      </c>
      <c r="C6" s="12" t="s">
        <v>395</v>
      </c>
      <c r="D6" s="12" t="s">
        <v>692</v>
      </c>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row>
    <row r="7" spans="1:39" ht="14.25" customHeight="1" x14ac:dyDescent="0.2">
      <c r="A7" s="12"/>
      <c r="B7" s="12">
        <v>3</v>
      </c>
      <c r="C7" s="12" t="s">
        <v>395</v>
      </c>
      <c r="D7" s="485" t="s">
        <v>693</v>
      </c>
      <c r="E7" s="485"/>
      <c r="F7" s="485"/>
      <c r="G7" s="485"/>
      <c r="H7" s="485"/>
      <c r="I7" s="485"/>
      <c r="J7" s="485"/>
      <c r="K7" s="485"/>
      <c r="L7" s="485"/>
      <c r="M7" s="485"/>
      <c r="N7" s="485"/>
      <c r="O7" s="485"/>
      <c r="P7" s="485"/>
      <c r="Q7" s="485"/>
      <c r="R7" s="485"/>
      <c r="S7" s="485"/>
      <c r="T7" s="485"/>
      <c r="U7" s="485"/>
      <c r="V7" s="485"/>
      <c r="W7" s="485"/>
      <c r="X7" s="485"/>
      <c r="Y7" s="485"/>
      <c r="Z7" s="485"/>
      <c r="AA7" s="485"/>
      <c r="AB7" s="485"/>
      <c r="AC7" s="485"/>
      <c r="AD7" s="485"/>
      <c r="AE7" s="485"/>
      <c r="AF7" s="485"/>
      <c r="AG7" s="485"/>
      <c r="AH7" s="485"/>
      <c r="AI7" s="485"/>
      <c r="AJ7" s="485"/>
      <c r="AK7" s="485"/>
      <c r="AL7" s="485"/>
      <c r="AM7" s="26"/>
    </row>
    <row r="8" spans="1:39" ht="14.25" customHeight="1" x14ac:dyDescent="0.2">
      <c r="A8" s="12"/>
      <c r="B8" s="12"/>
      <c r="C8" s="12"/>
      <c r="D8" s="485"/>
      <c r="E8" s="485"/>
      <c r="F8" s="485"/>
      <c r="G8" s="485"/>
      <c r="H8" s="485"/>
      <c r="I8" s="485"/>
      <c r="J8" s="485"/>
      <c r="K8" s="485"/>
      <c r="L8" s="485"/>
      <c r="M8" s="485"/>
      <c r="N8" s="485"/>
      <c r="O8" s="485"/>
      <c r="P8" s="485"/>
      <c r="Q8" s="485"/>
      <c r="R8" s="485"/>
      <c r="S8" s="485"/>
      <c r="T8" s="485"/>
      <c r="U8" s="485"/>
      <c r="V8" s="485"/>
      <c r="W8" s="485"/>
      <c r="X8" s="485"/>
      <c r="Y8" s="485"/>
      <c r="Z8" s="485"/>
      <c r="AA8" s="485"/>
      <c r="AB8" s="485"/>
      <c r="AC8" s="485"/>
      <c r="AD8" s="485"/>
      <c r="AE8" s="485"/>
      <c r="AF8" s="485"/>
      <c r="AG8" s="485"/>
      <c r="AH8" s="485"/>
      <c r="AI8" s="485"/>
      <c r="AJ8" s="485"/>
      <c r="AK8" s="485"/>
      <c r="AL8" s="485"/>
      <c r="AM8" s="26"/>
    </row>
    <row r="9" spans="1:39" ht="14.25" customHeight="1" x14ac:dyDescent="0.2">
      <c r="A9" s="12"/>
      <c r="B9" s="12"/>
      <c r="C9" s="12"/>
      <c r="D9" s="485"/>
      <c r="E9" s="485"/>
      <c r="F9" s="485"/>
      <c r="G9" s="485"/>
      <c r="H9" s="485"/>
      <c r="I9" s="485"/>
      <c r="J9" s="485"/>
      <c r="K9" s="485"/>
      <c r="L9" s="485"/>
      <c r="M9" s="485"/>
      <c r="N9" s="485"/>
      <c r="O9" s="485"/>
      <c r="P9" s="485"/>
      <c r="Q9" s="485"/>
      <c r="R9" s="485"/>
      <c r="S9" s="485"/>
      <c r="T9" s="485"/>
      <c r="U9" s="485"/>
      <c r="V9" s="485"/>
      <c r="W9" s="485"/>
      <c r="X9" s="485"/>
      <c r="Y9" s="485"/>
      <c r="Z9" s="485"/>
      <c r="AA9" s="485"/>
      <c r="AB9" s="485"/>
      <c r="AC9" s="485"/>
      <c r="AD9" s="485"/>
      <c r="AE9" s="485"/>
      <c r="AF9" s="485"/>
      <c r="AG9" s="485"/>
      <c r="AH9" s="485"/>
      <c r="AI9" s="485"/>
      <c r="AJ9" s="485"/>
      <c r="AK9" s="485"/>
      <c r="AL9" s="485"/>
      <c r="AM9" s="26"/>
    </row>
    <row r="10" spans="1:39" ht="14.25" customHeight="1" x14ac:dyDescent="0.2">
      <c r="A10" s="12"/>
      <c r="B10" s="12"/>
      <c r="C10" s="12"/>
      <c r="D10" s="12" t="s">
        <v>694</v>
      </c>
      <c r="E10" s="12" t="s">
        <v>395</v>
      </c>
      <c r="F10" s="12" t="s">
        <v>695</v>
      </c>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row>
    <row r="11" spans="1:39" ht="14.25" customHeight="1" x14ac:dyDescent="0.2">
      <c r="A11" s="12"/>
      <c r="B11" s="12"/>
      <c r="C11" s="12"/>
      <c r="D11" s="12" t="s">
        <v>696</v>
      </c>
      <c r="E11" s="12" t="s">
        <v>395</v>
      </c>
      <c r="F11" s="12" t="s">
        <v>697</v>
      </c>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row>
    <row r="12" spans="1:39" ht="14.25" customHeight="1" x14ac:dyDescent="0.2">
      <c r="A12" s="12"/>
      <c r="B12" s="12"/>
      <c r="C12" s="12"/>
      <c r="D12" s="12" t="s">
        <v>698</v>
      </c>
      <c r="E12" s="12" t="s">
        <v>395</v>
      </c>
      <c r="F12" s="12" t="s">
        <v>699</v>
      </c>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row>
    <row r="13" spans="1:39" ht="14.25" customHeight="1" x14ac:dyDescent="0.2">
      <c r="A13" s="12"/>
      <c r="B13" s="12"/>
      <c r="C13" s="12"/>
      <c r="D13" s="12" t="s">
        <v>700</v>
      </c>
      <c r="E13" s="12" t="s">
        <v>395</v>
      </c>
      <c r="F13" s="12" t="s">
        <v>701</v>
      </c>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row>
    <row r="14" spans="1:39" ht="14.25" customHeight="1" x14ac:dyDescent="0.2">
      <c r="A14" s="12"/>
      <c r="B14" s="12"/>
      <c r="C14" s="12"/>
      <c r="D14" s="12" t="s">
        <v>702</v>
      </c>
      <c r="E14" s="12" t="s">
        <v>395</v>
      </c>
      <c r="F14" s="12" t="s">
        <v>235</v>
      </c>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row>
    <row r="15" spans="1:39" ht="14.25" customHeight="1" x14ac:dyDescent="0.2">
      <c r="A15" s="12"/>
      <c r="B15" s="12"/>
      <c r="C15" s="12"/>
      <c r="D15" s="12" t="s">
        <v>703</v>
      </c>
      <c r="E15" s="12" t="s">
        <v>395</v>
      </c>
      <c r="F15" s="12" t="s">
        <v>704</v>
      </c>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row>
    <row r="16" spans="1:39" ht="14.25" customHeight="1" x14ac:dyDescent="0.2">
      <c r="A16" s="12"/>
      <c r="B16" s="12">
        <v>4</v>
      </c>
      <c r="C16" s="12" t="s">
        <v>395</v>
      </c>
      <c r="D16" s="485" t="s">
        <v>705</v>
      </c>
      <c r="E16" s="485"/>
      <c r="F16" s="485"/>
      <c r="G16" s="485"/>
      <c r="H16" s="485"/>
      <c r="I16" s="485"/>
      <c r="J16" s="485"/>
      <c r="K16" s="485"/>
      <c r="L16" s="485"/>
      <c r="M16" s="485"/>
      <c r="N16" s="485"/>
      <c r="O16" s="485"/>
      <c r="P16" s="485"/>
      <c r="Q16" s="485"/>
      <c r="R16" s="485"/>
      <c r="S16" s="485"/>
      <c r="T16" s="485"/>
      <c r="U16" s="485"/>
      <c r="V16" s="485"/>
      <c r="W16" s="485"/>
      <c r="X16" s="485"/>
      <c r="Y16" s="485"/>
      <c r="Z16" s="485"/>
      <c r="AA16" s="485"/>
      <c r="AB16" s="485"/>
      <c r="AC16" s="485"/>
      <c r="AD16" s="485"/>
      <c r="AE16" s="485"/>
      <c r="AF16" s="485"/>
      <c r="AG16" s="485"/>
      <c r="AH16" s="485"/>
      <c r="AI16" s="485"/>
      <c r="AJ16" s="485"/>
      <c r="AK16" s="485"/>
      <c r="AL16" s="26"/>
      <c r="AM16" s="26"/>
    </row>
    <row r="17" spans="1:39" ht="14.25" customHeight="1" x14ac:dyDescent="0.2">
      <c r="A17" s="12"/>
      <c r="B17" s="12"/>
      <c r="C17" s="12"/>
      <c r="D17" s="485"/>
      <c r="E17" s="485"/>
      <c r="F17" s="485"/>
      <c r="G17" s="485"/>
      <c r="H17" s="485"/>
      <c r="I17" s="485"/>
      <c r="J17" s="485"/>
      <c r="K17" s="485"/>
      <c r="L17" s="485"/>
      <c r="M17" s="485"/>
      <c r="N17" s="485"/>
      <c r="O17" s="485"/>
      <c r="P17" s="485"/>
      <c r="Q17" s="485"/>
      <c r="R17" s="485"/>
      <c r="S17" s="485"/>
      <c r="T17" s="485"/>
      <c r="U17" s="485"/>
      <c r="V17" s="485"/>
      <c r="W17" s="485"/>
      <c r="X17" s="485"/>
      <c r="Y17" s="485"/>
      <c r="Z17" s="485"/>
      <c r="AA17" s="485"/>
      <c r="AB17" s="485"/>
      <c r="AC17" s="485"/>
      <c r="AD17" s="485"/>
      <c r="AE17" s="485"/>
      <c r="AF17" s="485"/>
      <c r="AG17" s="485"/>
      <c r="AH17" s="485"/>
      <c r="AI17" s="485"/>
      <c r="AJ17" s="485"/>
      <c r="AK17" s="485"/>
      <c r="AL17" s="26"/>
      <c r="AM17" s="26"/>
    </row>
    <row r="18" spans="1:39" ht="14.25" customHeight="1" x14ac:dyDescent="0.2">
      <c r="A18" s="12"/>
      <c r="B18" s="12">
        <v>5</v>
      </c>
      <c r="C18" s="12" t="s">
        <v>395</v>
      </c>
      <c r="D18" s="485" t="s">
        <v>706</v>
      </c>
      <c r="E18" s="485"/>
      <c r="F18" s="485"/>
      <c r="G18" s="485"/>
      <c r="H18" s="485"/>
      <c r="I18" s="485"/>
      <c r="J18" s="485"/>
      <c r="K18" s="485"/>
      <c r="L18" s="485"/>
      <c r="M18" s="485"/>
      <c r="N18" s="485"/>
      <c r="O18" s="485"/>
      <c r="P18" s="485"/>
      <c r="Q18" s="485"/>
      <c r="R18" s="485"/>
      <c r="S18" s="485"/>
      <c r="T18" s="485"/>
      <c r="U18" s="485"/>
      <c r="V18" s="485"/>
      <c r="W18" s="485"/>
      <c r="X18" s="485"/>
      <c r="Y18" s="485"/>
      <c r="Z18" s="485"/>
      <c r="AA18" s="485"/>
      <c r="AB18" s="485"/>
      <c r="AC18" s="485"/>
      <c r="AD18" s="485"/>
      <c r="AE18" s="485"/>
      <c r="AF18" s="485"/>
      <c r="AG18" s="485"/>
      <c r="AH18" s="485"/>
      <c r="AI18" s="485"/>
      <c r="AJ18" s="485"/>
      <c r="AK18" s="485"/>
      <c r="AL18" s="26"/>
      <c r="AM18" s="26"/>
    </row>
    <row r="19" spans="1:39" ht="14.25" customHeight="1" x14ac:dyDescent="0.2">
      <c r="A19" s="12"/>
      <c r="B19" s="12"/>
      <c r="C19" s="12"/>
      <c r="D19" s="485"/>
      <c r="E19" s="485"/>
      <c r="F19" s="485"/>
      <c r="G19" s="485"/>
      <c r="H19" s="485"/>
      <c r="I19" s="485"/>
      <c r="J19" s="485"/>
      <c r="K19" s="485"/>
      <c r="L19" s="485"/>
      <c r="M19" s="485"/>
      <c r="N19" s="485"/>
      <c r="O19" s="485"/>
      <c r="P19" s="485"/>
      <c r="Q19" s="485"/>
      <c r="R19" s="485"/>
      <c r="S19" s="485"/>
      <c r="T19" s="485"/>
      <c r="U19" s="485"/>
      <c r="V19" s="485"/>
      <c r="W19" s="485"/>
      <c r="X19" s="485"/>
      <c r="Y19" s="485"/>
      <c r="Z19" s="485"/>
      <c r="AA19" s="485"/>
      <c r="AB19" s="485"/>
      <c r="AC19" s="485"/>
      <c r="AD19" s="485"/>
      <c r="AE19" s="485"/>
      <c r="AF19" s="485"/>
      <c r="AG19" s="485"/>
      <c r="AH19" s="485"/>
      <c r="AI19" s="485"/>
      <c r="AJ19" s="485"/>
      <c r="AK19" s="485"/>
      <c r="AL19" s="26"/>
      <c r="AM19" s="26"/>
    </row>
    <row r="20" spans="1:39" ht="14.25" customHeight="1" x14ac:dyDescent="0.2">
      <c r="A20" s="12"/>
      <c r="B20" s="12">
        <v>6</v>
      </c>
      <c r="C20" s="12" t="s">
        <v>395</v>
      </c>
      <c r="D20" s="485" t="s">
        <v>707</v>
      </c>
      <c r="E20" s="485"/>
      <c r="F20" s="485"/>
      <c r="G20" s="485"/>
      <c r="H20" s="485"/>
      <c r="I20" s="485"/>
      <c r="J20" s="485"/>
      <c r="K20" s="485"/>
      <c r="L20" s="485"/>
      <c r="M20" s="485"/>
      <c r="N20" s="485"/>
      <c r="O20" s="485"/>
      <c r="P20" s="485"/>
      <c r="Q20" s="485"/>
      <c r="R20" s="485"/>
      <c r="S20" s="485"/>
      <c r="T20" s="485"/>
      <c r="U20" s="485"/>
      <c r="V20" s="485"/>
      <c r="W20" s="485"/>
      <c r="X20" s="485"/>
      <c r="Y20" s="485"/>
      <c r="Z20" s="485"/>
      <c r="AA20" s="485"/>
      <c r="AB20" s="485"/>
      <c r="AC20" s="485"/>
      <c r="AD20" s="485"/>
      <c r="AE20" s="485"/>
      <c r="AF20" s="485"/>
      <c r="AG20" s="485"/>
      <c r="AH20" s="485"/>
      <c r="AI20" s="485"/>
      <c r="AJ20" s="485"/>
      <c r="AK20" s="485"/>
      <c r="AL20" s="26"/>
      <c r="AM20" s="26"/>
    </row>
    <row r="21" spans="1:39" ht="14.25" customHeight="1" x14ac:dyDescent="0.2">
      <c r="A21" s="12"/>
      <c r="B21" s="12"/>
      <c r="C21" s="12"/>
      <c r="D21" s="485"/>
      <c r="E21" s="485"/>
      <c r="F21" s="485"/>
      <c r="G21" s="485"/>
      <c r="H21" s="485"/>
      <c r="I21" s="485"/>
      <c r="J21" s="485"/>
      <c r="K21" s="485"/>
      <c r="L21" s="485"/>
      <c r="M21" s="485"/>
      <c r="N21" s="485"/>
      <c r="O21" s="485"/>
      <c r="P21" s="485"/>
      <c r="Q21" s="485"/>
      <c r="R21" s="485"/>
      <c r="S21" s="485"/>
      <c r="T21" s="485"/>
      <c r="U21" s="485"/>
      <c r="V21" s="485"/>
      <c r="W21" s="485"/>
      <c r="X21" s="485"/>
      <c r="Y21" s="485"/>
      <c r="Z21" s="485"/>
      <c r="AA21" s="485"/>
      <c r="AB21" s="485"/>
      <c r="AC21" s="485"/>
      <c r="AD21" s="485"/>
      <c r="AE21" s="485"/>
      <c r="AF21" s="485"/>
      <c r="AG21" s="485"/>
      <c r="AH21" s="485"/>
      <c r="AI21" s="485"/>
      <c r="AJ21" s="485"/>
      <c r="AK21" s="485"/>
      <c r="AL21" s="26"/>
      <c r="AM21" s="26"/>
    </row>
    <row r="22" spans="1:39" ht="14.25" customHeight="1" x14ac:dyDescent="0.2">
      <c r="A22" s="12"/>
      <c r="B22" s="12"/>
      <c r="C22" s="12"/>
      <c r="D22" s="485"/>
      <c r="E22" s="485"/>
      <c r="F22" s="485"/>
      <c r="G22" s="485"/>
      <c r="H22" s="485"/>
      <c r="I22" s="485"/>
      <c r="J22" s="485"/>
      <c r="K22" s="485"/>
      <c r="L22" s="485"/>
      <c r="M22" s="485"/>
      <c r="N22" s="485"/>
      <c r="O22" s="485"/>
      <c r="P22" s="485"/>
      <c r="Q22" s="485"/>
      <c r="R22" s="485"/>
      <c r="S22" s="485"/>
      <c r="T22" s="485"/>
      <c r="U22" s="485"/>
      <c r="V22" s="485"/>
      <c r="W22" s="485"/>
      <c r="X22" s="485"/>
      <c r="Y22" s="485"/>
      <c r="Z22" s="485"/>
      <c r="AA22" s="485"/>
      <c r="AB22" s="485"/>
      <c r="AC22" s="485"/>
      <c r="AD22" s="485"/>
      <c r="AE22" s="485"/>
      <c r="AF22" s="485"/>
      <c r="AG22" s="485"/>
      <c r="AH22" s="485"/>
      <c r="AI22" s="485"/>
      <c r="AJ22" s="485"/>
      <c r="AK22" s="485"/>
      <c r="AL22" s="26"/>
      <c r="AM22" s="26"/>
    </row>
    <row r="23" spans="1:39" ht="14.25" customHeight="1" x14ac:dyDescent="0.2">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row>
    <row r="24" spans="1:39" ht="14.25" customHeight="1" x14ac:dyDescent="0.2">
      <c r="A24" s="485" t="s">
        <v>708</v>
      </c>
      <c r="B24" s="485"/>
      <c r="C24" s="485"/>
      <c r="D24" s="485"/>
      <c r="E24" s="485"/>
      <c r="F24" s="485"/>
      <c r="G24" s="485"/>
      <c r="H24" s="485"/>
      <c r="I24" s="485"/>
      <c r="J24" s="485"/>
      <c r="K24" s="485"/>
      <c r="L24" s="485"/>
      <c r="M24" s="485"/>
      <c r="N24" s="485"/>
      <c r="O24" s="485"/>
      <c r="P24" s="485"/>
      <c r="Q24" s="485"/>
      <c r="R24" s="485"/>
      <c r="S24" s="485"/>
      <c r="T24" s="485"/>
      <c r="U24" s="485"/>
      <c r="V24" s="485"/>
      <c r="W24" s="485"/>
      <c r="X24" s="485"/>
      <c r="Y24" s="485"/>
      <c r="Z24" s="485"/>
      <c r="AA24" s="485"/>
      <c r="AB24" s="485"/>
      <c r="AC24" s="485"/>
      <c r="AD24" s="485"/>
      <c r="AE24" s="485"/>
      <c r="AF24" s="485"/>
      <c r="AG24" s="485"/>
      <c r="AH24" s="485"/>
      <c r="AI24" s="485"/>
      <c r="AJ24" s="485"/>
      <c r="AK24" s="485"/>
      <c r="AL24" s="12"/>
      <c r="AM24" s="12"/>
    </row>
    <row r="25" spans="1:39" ht="14.25" customHeight="1" x14ac:dyDescent="0.2">
      <c r="A25" s="485"/>
      <c r="B25" s="485"/>
      <c r="C25" s="485"/>
      <c r="D25" s="485"/>
      <c r="E25" s="485"/>
      <c r="F25" s="485"/>
      <c r="G25" s="485"/>
      <c r="H25" s="485"/>
      <c r="I25" s="485"/>
      <c r="J25" s="485"/>
      <c r="K25" s="485"/>
      <c r="L25" s="485"/>
      <c r="M25" s="485"/>
      <c r="N25" s="485"/>
      <c r="O25" s="485"/>
      <c r="P25" s="485"/>
      <c r="Q25" s="485"/>
      <c r="R25" s="485"/>
      <c r="S25" s="485"/>
      <c r="T25" s="485"/>
      <c r="U25" s="485"/>
      <c r="V25" s="485"/>
      <c r="W25" s="485"/>
      <c r="X25" s="485"/>
      <c r="Y25" s="485"/>
      <c r="Z25" s="485"/>
      <c r="AA25" s="485"/>
      <c r="AB25" s="485"/>
      <c r="AC25" s="485"/>
      <c r="AD25" s="485"/>
      <c r="AE25" s="485"/>
      <c r="AF25" s="485"/>
      <c r="AG25" s="485"/>
      <c r="AH25" s="485"/>
      <c r="AI25" s="485"/>
      <c r="AJ25" s="485"/>
      <c r="AK25" s="485"/>
      <c r="AL25" s="12"/>
      <c r="AM25" s="12"/>
    </row>
    <row r="26" spans="1:39" ht="14.25" customHeight="1" x14ac:dyDescent="0.2">
      <c r="A26" s="485"/>
      <c r="B26" s="485"/>
      <c r="C26" s="485"/>
      <c r="D26" s="485"/>
      <c r="E26" s="485"/>
      <c r="F26" s="485"/>
      <c r="G26" s="485"/>
      <c r="H26" s="485"/>
      <c r="I26" s="485"/>
      <c r="J26" s="485"/>
      <c r="K26" s="485"/>
      <c r="L26" s="485"/>
      <c r="M26" s="485"/>
      <c r="N26" s="485"/>
      <c r="O26" s="485"/>
      <c r="P26" s="485"/>
      <c r="Q26" s="485"/>
      <c r="R26" s="485"/>
      <c r="S26" s="485"/>
      <c r="T26" s="485"/>
      <c r="U26" s="485"/>
      <c r="V26" s="485"/>
      <c r="W26" s="485"/>
      <c r="X26" s="485"/>
      <c r="Y26" s="485"/>
      <c r="Z26" s="485"/>
      <c r="AA26" s="485"/>
      <c r="AB26" s="485"/>
      <c r="AC26" s="485"/>
      <c r="AD26" s="485"/>
      <c r="AE26" s="485"/>
      <c r="AF26" s="485"/>
      <c r="AG26" s="485"/>
      <c r="AH26" s="485"/>
      <c r="AI26" s="485"/>
      <c r="AJ26" s="485"/>
      <c r="AK26" s="485"/>
      <c r="AL26" s="12"/>
      <c r="AM26" s="12"/>
    </row>
    <row r="27" spans="1:39" ht="14.25" customHeight="1" x14ac:dyDescent="0.2">
      <c r="A27" s="485"/>
      <c r="B27" s="485"/>
      <c r="C27" s="485"/>
      <c r="D27" s="485"/>
      <c r="E27" s="485"/>
      <c r="F27" s="485"/>
      <c r="G27" s="485"/>
      <c r="H27" s="485"/>
      <c r="I27" s="485"/>
      <c r="J27" s="485"/>
      <c r="K27" s="485"/>
      <c r="L27" s="485"/>
      <c r="M27" s="485"/>
      <c r="N27" s="485"/>
      <c r="O27" s="485"/>
      <c r="P27" s="485"/>
      <c r="Q27" s="485"/>
      <c r="R27" s="485"/>
      <c r="S27" s="485"/>
      <c r="T27" s="485"/>
      <c r="U27" s="485"/>
      <c r="V27" s="485"/>
      <c r="W27" s="485"/>
      <c r="X27" s="485"/>
      <c r="Y27" s="485"/>
      <c r="Z27" s="485"/>
      <c r="AA27" s="485"/>
      <c r="AB27" s="485"/>
      <c r="AC27" s="485"/>
      <c r="AD27" s="485"/>
      <c r="AE27" s="485"/>
      <c r="AF27" s="485"/>
      <c r="AG27" s="485"/>
      <c r="AH27" s="485"/>
      <c r="AI27" s="485"/>
      <c r="AJ27" s="485"/>
      <c r="AK27" s="485"/>
      <c r="AL27" s="12"/>
      <c r="AM27" s="12"/>
    </row>
    <row r="28" spans="1:39" ht="14.25" customHeight="1" x14ac:dyDescent="0.2">
      <c r="A28" s="485"/>
      <c r="B28" s="485"/>
      <c r="C28" s="485"/>
      <c r="D28" s="485"/>
      <c r="E28" s="485"/>
      <c r="F28" s="485"/>
      <c r="G28" s="485"/>
      <c r="H28" s="485"/>
      <c r="I28" s="485"/>
      <c r="J28" s="485"/>
      <c r="K28" s="485"/>
      <c r="L28" s="485"/>
      <c r="M28" s="485"/>
      <c r="N28" s="485"/>
      <c r="O28" s="485"/>
      <c r="P28" s="485"/>
      <c r="Q28" s="485"/>
      <c r="R28" s="485"/>
      <c r="S28" s="485"/>
      <c r="T28" s="485"/>
      <c r="U28" s="485"/>
      <c r="V28" s="485"/>
      <c r="W28" s="485"/>
      <c r="X28" s="485"/>
      <c r="Y28" s="485"/>
      <c r="Z28" s="485"/>
      <c r="AA28" s="485"/>
      <c r="AB28" s="485"/>
      <c r="AC28" s="485"/>
      <c r="AD28" s="485"/>
      <c r="AE28" s="485"/>
      <c r="AF28" s="485"/>
      <c r="AG28" s="485"/>
      <c r="AH28" s="485"/>
      <c r="AI28" s="485"/>
      <c r="AJ28" s="485"/>
      <c r="AK28" s="485"/>
      <c r="AL28" s="12"/>
      <c r="AM28" s="12"/>
    </row>
    <row r="29" spans="1:39" ht="14.25" customHeight="1" x14ac:dyDescent="0.2">
      <c r="A29" s="26"/>
      <c r="B29" s="26"/>
      <c r="C29" s="26"/>
      <c r="D29" s="26"/>
      <c r="E29" s="26"/>
      <c r="F29" s="26"/>
      <c r="G29" s="26"/>
      <c r="H29" s="26"/>
      <c r="I29" s="26"/>
      <c r="J29" s="26"/>
      <c r="K29" s="26"/>
      <c r="L29" s="26"/>
      <c r="M29" s="26"/>
      <c r="N29" s="26"/>
      <c r="O29" s="26"/>
      <c r="P29" s="26"/>
      <c r="Q29" s="26"/>
      <c r="R29" s="26"/>
      <c r="S29" s="26"/>
      <c r="T29" s="26"/>
      <c r="U29" s="26"/>
      <c r="V29" s="26"/>
      <c r="W29" s="26"/>
      <c r="X29" s="26"/>
      <c r="Y29" s="26"/>
      <c r="Z29" s="26"/>
      <c r="AA29" s="26"/>
      <c r="AB29" s="26"/>
      <c r="AC29" s="26"/>
      <c r="AD29" s="26"/>
      <c r="AE29" s="26"/>
      <c r="AF29" s="26"/>
      <c r="AG29" s="26"/>
      <c r="AH29" s="26"/>
      <c r="AI29" s="26"/>
      <c r="AJ29" s="26"/>
      <c r="AK29" s="26"/>
      <c r="AL29" s="12"/>
      <c r="AM29" s="12"/>
    </row>
    <row r="30" spans="1:39" ht="14.25" customHeight="1" x14ac:dyDescent="0.2">
      <c r="A30" s="485" t="s">
        <v>709</v>
      </c>
      <c r="B30" s="485"/>
      <c r="C30" s="485"/>
      <c r="D30" s="485"/>
      <c r="E30" s="485"/>
      <c r="F30" s="485"/>
      <c r="G30" s="485"/>
      <c r="H30" s="485"/>
      <c r="I30" s="485"/>
      <c r="J30" s="485"/>
      <c r="K30" s="485"/>
      <c r="L30" s="485"/>
      <c r="M30" s="485"/>
      <c r="N30" s="485"/>
      <c r="O30" s="485"/>
      <c r="P30" s="485"/>
      <c r="Q30" s="485"/>
      <c r="R30" s="485"/>
      <c r="S30" s="485"/>
      <c r="T30" s="485"/>
      <c r="U30" s="485"/>
      <c r="V30" s="485"/>
      <c r="W30" s="485"/>
      <c r="X30" s="485"/>
      <c r="Y30" s="485"/>
      <c r="Z30" s="485"/>
      <c r="AA30" s="485"/>
      <c r="AB30" s="485"/>
      <c r="AC30" s="485"/>
      <c r="AD30" s="485"/>
      <c r="AE30" s="485"/>
      <c r="AF30" s="485"/>
      <c r="AG30" s="485"/>
      <c r="AH30" s="485"/>
      <c r="AI30" s="485"/>
      <c r="AJ30" s="485"/>
      <c r="AK30" s="485"/>
      <c r="AL30" s="26"/>
      <c r="AM30" s="26"/>
    </row>
    <row r="31" spans="1:39" ht="14.25" customHeight="1" x14ac:dyDescent="0.2">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row>
    <row r="32" spans="1:39" ht="14.25" customHeight="1" x14ac:dyDescent="0.2">
      <c r="A32" s="12" t="s">
        <v>710</v>
      </c>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row>
    <row r="33" spans="1:39" ht="14.25" customHeight="1" x14ac:dyDescent="0.2">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row>
    <row r="34" spans="1:39" ht="14.25" customHeight="1" x14ac:dyDescent="0.2">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row>
    <row r="35" spans="1:39" ht="14.25" customHeight="1" x14ac:dyDescent="0.2">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row>
    <row r="39" spans="1:39" ht="14.25" customHeight="1" x14ac:dyDescent="0.2">
      <c r="A39" s="533"/>
      <c r="B39" s="533"/>
      <c r="C39" s="533"/>
      <c r="D39" s="533"/>
      <c r="E39" s="533"/>
      <c r="F39" s="533"/>
      <c r="G39" s="533"/>
      <c r="H39" s="533"/>
      <c r="I39" s="533"/>
      <c r="J39" s="533"/>
      <c r="K39" s="533"/>
      <c r="L39" s="533"/>
      <c r="M39" s="533"/>
      <c r="N39" s="533"/>
      <c r="O39" s="533"/>
      <c r="P39" s="533"/>
      <c r="Q39" s="12"/>
      <c r="R39" s="12"/>
      <c r="S39" s="12"/>
      <c r="T39" s="12"/>
      <c r="U39" s="12"/>
      <c r="V39" s="12"/>
      <c r="W39" s="12"/>
      <c r="X39" s="12"/>
      <c r="Y39" s="12"/>
      <c r="Z39" s="12"/>
      <c r="AA39" s="12"/>
      <c r="AB39" s="12"/>
      <c r="AC39" s="12"/>
      <c r="AD39" s="12"/>
      <c r="AE39" s="12"/>
    </row>
    <row r="40" spans="1:39" ht="14.25" customHeight="1" x14ac:dyDescent="0.2">
      <c r="A40" s="533"/>
      <c r="B40" s="533"/>
      <c r="C40" s="533"/>
      <c r="D40" s="533"/>
      <c r="E40" s="533"/>
      <c r="F40" s="533"/>
      <c r="G40" s="533"/>
      <c r="H40" s="533"/>
      <c r="I40" s="533"/>
      <c r="J40" s="533"/>
      <c r="K40" s="533"/>
      <c r="L40" s="533"/>
      <c r="M40" s="533"/>
      <c r="N40" s="533"/>
      <c r="O40" s="533"/>
      <c r="P40" s="533"/>
      <c r="Q40" s="12"/>
      <c r="R40" s="12"/>
      <c r="S40" s="12"/>
      <c r="T40" s="12"/>
      <c r="U40" s="12"/>
      <c r="V40" s="12"/>
      <c r="W40" s="12"/>
      <c r="X40" s="12"/>
      <c r="Y40" s="12"/>
      <c r="Z40" s="12"/>
      <c r="AA40" s="12"/>
      <c r="AB40" s="12"/>
      <c r="AC40" s="12"/>
      <c r="AD40" s="12"/>
      <c r="AE40" s="12"/>
    </row>
    <row r="41" spans="1:39" ht="14.25" customHeight="1" x14ac:dyDescent="0.2">
      <c r="A41" s="534"/>
      <c r="B41" s="534"/>
      <c r="C41" s="534"/>
      <c r="D41" s="534"/>
      <c r="E41" s="534"/>
      <c r="F41" s="534"/>
      <c r="G41" s="534"/>
      <c r="H41" s="534"/>
      <c r="I41" s="534"/>
      <c r="J41" s="534"/>
      <c r="K41" s="534"/>
      <c r="L41" s="534"/>
      <c r="M41" s="534"/>
      <c r="N41" s="534"/>
      <c r="O41" s="534"/>
      <c r="P41" s="534"/>
      <c r="Q41" s="12"/>
      <c r="R41" s="466">
        <f>Data!B34</f>
        <v>0</v>
      </c>
      <c r="S41" s="467"/>
      <c r="T41" s="467"/>
      <c r="U41" s="467"/>
      <c r="V41" s="467"/>
      <c r="W41" s="467"/>
      <c r="X41" s="467"/>
      <c r="Y41" s="467"/>
      <c r="Z41" s="12"/>
      <c r="AA41" s="12"/>
      <c r="AB41" s="12"/>
      <c r="AC41" s="12"/>
      <c r="AD41" s="12"/>
      <c r="AE41" s="12"/>
    </row>
    <row r="42" spans="1:39" ht="14.25" customHeight="1" x14ac:dyDescent="0.2">
      <c r="A42" s="12" t="s">
        <v>367</v>
      </c>
      <c r="B42" s="12"/>
      <c r="C42" s="12"/>
      <c r="D42" s="12"/>
      <c r="E42" s="12"/>
      <c r="F42" s="12"/>
      <c r="G42" s="12"/>
      <c r="H42" s="12"/>
      <c r="I42" s="12"/>
      <c r="J42" s="12"/>
      <c r="K42" s="12"/>
      <c r="L42" s="12"/>
      <c r="M42" s="12"/>
      <c r="N42" s="12"/>
      <c r="O42" s="12"/>
      <c r="P42" s="12"/>
      <c r="Q42" s="12"/>
      <c r="R42" s="12" t="s">
        <v>368</v>
      </c>
      <c r="S42" s="12"/>
      <c r="T42" s="12"/>
      <c r="U42" s="12"/>
      <c r="V42" s="12"/>
      <c r="W42" s="12"/>
      <c r="X42" s="12"/>
      <c r="Y42" s="12"/>
      <c r="Z42" s="12"/>
      <c r="AA42" s="12"/>
      <c r="AB42" s="12"/>
      <c r="AC42" s="12"/>
      <c r="AD42" s="12"/>
      <c r="AE42" s="12"/>
    </row>
    <row r="43" spans="1:39" ht="14.25" customHeight="1" x14ac:dyDescent="0.2">
      <c r="A43" s="533"/>
      <c r="B43" s="533"/>
      <c r="C43" s="533"/>
      <c r="D43" s="533"/>
      <c r="E43" s="533"/>
      <c r="F43" s="533"/>
      <c r="G43" s="533"/>
      <c r="H43" s="533"/>
      <c r="I43" s="533"/>
      <c r="J43" s="533"/>
      <c r="K43" s="533"/>
      <c r="L43" s="533"/>
      <c r="M43" s="533"/>
      <c r="N43" s="533"/>
      <c r="O43" s="533"/>
      <c r="P43" s="533"/>
      <c r="Q43" s="12"/>
      <c r="R43" s="12"/>
      <c r="S43" s="12"/>
      <c r="T43" s="12"/>
      <c r="U43" s="12"/>
      <c r="V43" s="12"/>
      <c r="W43" s="12"/>
      <c r="X43" s="12"/>
      <c r="Y43" s="12"/>
      <c r="Z43" s="12"/>
      <c r="AA43" s="12"/>
      <c r="AB43" s="12"/>
      <c r="AC43" s="12"/>
      <c r="AD43" s="12"/>
      <c r="AE43" s="12"/>
    </row>
    <row r="44" spans="1:39" ht="14.25" customHeight="1" x14ac:dyDescent="0.2">
      <c r="A44" s="533"/>
      <c r="B44" s="533"/>
      <c r="C44" s="533"/>
      <c r="D44" s="533"/>
      <c r="E44" s="533"/>
      <c r="F44" s="533"/>
      <c r="G44" s="533"/>
      <c r="H44" s="533"/>
      <c r="I44" s="533"/>
      <c r="J44" s="533"/>
      <c r="K44" s="533"/>
      <c r="L44" s="533"/>
      <c r="M44" s="533"/>
      <c r="N44" s="533"/>
      <c r="O44" s="533"/>
      <c r="P44" s="533"/>
      <c r="Q44" s="12"/>
      <c r="R44" s="12"/>
      <c r="S44" s="12"/>
      <c r="T44" s="12"/>
      <c r="U44" s="12"/>
      <c r="V44" s="12"/>
      <c r="W44" s="12"/>
      <c r="X44" s="12"/>
      <c r="Y44" s="12"/>
      <c r="Z44" s="12"/>
      <c r="AA44" s="12"/>
      <c r="AB44" s="12"/>
      <c r="AC44" s="12"/>
      <c r="AD44" s="12"/>
      <c r="AE44" s="12"/>
    </row>
    <row r="45" spans="1:39" ht="14.25" customHeight="1" x14ac:dyDescent="0.2">
      <c r="A45" s="534"/>
      <c r="B45" s="534"/>
      <c r="C45" s="534"/>
      <c r="D45" s="534"/>
      <c r="E45" s="534"/>
      <c r="F45" s="534"/>
      <c r="G45" s="534"/>
      <c r="H45" s="534"/>
      <c r="I45" s="534"/>
      <c r="J45" s="534"/>
      <c r="K45" s="534"/>
      <c r="L45" s="534"/>
      <c r="M45" s="534"/>
      <c r="N45" s="534"/>
      <c r="O45" s="534"/>
      <c r="P45" s="534"/>
      <c r="Q45" s="12"/>
      <c r="R45" s="467">
        <f>Data!B175</f>
        <v>0</v>
      </c>
      <c r="S45" s="467"/>
      <c r="T45" s="467"/>
      <c r="U45" s="467"/>
      <c r="V45" s="467"/>
      <c r="W45" s="467"/>
      <c r="X45" s="467"/>
      <c r="Y45" s="467"/>
      <c r="Z45" s="467"/>
      <c r="AA45" s="467"/>
      <c r="AB45" s="467"/>
      <c r="AC45" s="467"/>
      <c r="AD45" s="467"/>
      <c r="AE45" s="467"/>
    </row>
    <row r="46" spans="1:39" ht="14.25" customHeight="1" x14ac:dyDescent="0.2">
      <c r="A46" s="12" t="s">
        <v>370</v>
      </c>
      <c r="B46" s="12"/>
      <c r="C46" s="12"/>
      <c r="D46" s="12"/>
      <c r="E46" s="12"/>
      <c r="F46" s="12"/>
      <c r="G46" s="12"/>
      <c r="H46" s="12"/>
      <c r="I46" s="12"/>
      <c r="J46" s="12"/>
      <c r="K46" s="12"/>
      <c r="L46" s="12"/>
      <c r="M46" s="12"/>
      <c r="N46" s="12"/>
      <c r="O46" s="12"/>
      <c r="P46" s="12"/>
      <c r="Q46" s="12"/>
      <c r="R46" s="12" t="s">
        <v>369</v>
      </c>
      <c r="S46" s="12"/>
      <c r="T46" s="12"/>
      <c r="U46" s="12"/>
      <c r="V46" s="12"/>
      <c r="W46" s="12"/>
      <c r="X46" s="12"/>
      <c r="Y46" s="12"/>
      <c r="Z46" s="12"/>
      <c r="AA46" s="12"/>
      <c r="AB46" s="12"/>
      <c r="AC46" s="12"/>
      <c r="AD46" s="12"/>
      <c r="AE46" s="12"/>
    </row>
  </sheetData>
  <mergeCells count="13">
    <mergeCell ref="A43:P45"/>
    <mergeCell ref="R45:AE45"/>
    <mergeCell ref="I2:W2"/>
    <mergeCell ref="A24:AK28"/>
    <mergeCell ref="D7:AL9"/>
    <mergeCell ref="A39:P41"/>
    <mergeCell ref="R41:Y41"/>
    <mergeCell ref="Z2:AE2"/>
    <mergeCell ref="D16:AK17"/>
    <mergeCell ref="D18:AK19"/>
    <mergeCell ref="D20:AK22"/>
    <mergeCell ref="A4:AJ4"/>
    <mergeCell ref="A30:AK30"/>
  </mergeCells>
  <pageMargins left="0.25" right="0.25" top="0.75" bottom="0.75" header="0.3" footer="0.3"/>
  <pageSetup orientation="portrait" r:id="rId1"/>
  <headerFooter>
    <oddHeader>&amp;L&amp;G&amp;R&amp;11Medicaid Waiver Program Transportation Policy</oddHeader>
    <oddFooter>&amp;LDS&amp;C3088 Mercer University Drive Suite 100 Atlanta, GA 30341
678-310-6305 Fax 404-935-6110&amp;RM</oddFooter>
  </headerFooter>
  <legacyDrawingHF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8">
    <tabColor theme="4" tint="-0.249977111117893"/>
  </sheetPr>
  <dimension ref="A2:AL50"/>
  <sheetViews>
    <sheetView showZeros="0" view="pageLayout" topLeftCell="A16" zoomScaleNormal="100" workbookViewId="0">
      <selection activeCell="R49" sqref="R49:AE49"/>
    </sheetView>
  </sheetViews>
  <sheetFormatPr defaultColWidth="2.7109375" defaultRowHeight="12.75" x14ac:dyDescent="0.2"/>
  <sheetData>
    <row r="2" spans="1:38" x14ac:dyDescent="0.2">
      <c r="A2" t="s">
        <v>336</v>
      </c>
      <c r="F2" s="267" t="str">
        <f>_xlfn.CONCAT(Data!B2,", ",Data!B3," ",Data!B4)</f>
        <v xml:space="preserve">,  </v>
      </c>
      <c r="G2" s="267"/>
      <c r="H2" s="267"/>
      <c r="I2" s="267"/>
      <c r="J2" s="267"/>
      <c r="K2" s="267"/>
      <c r="L2" s="267"/>
      <c r="M2" s="267"/>
      <c r="N2" s="267"/>
      <c r="O2" s="267"/>
      <c r="P2" s="267"/>
      <c r="Q2" s="267"/>
      <c r="R2" s="267"/>
      <c r="S2" s="267"/>
      <c r="T2" s="267"/>
      <c r="U2" s="267"/>
      <c r="X2" t="s">
        <v>371</v>
      </c>
      <c r="Z2" s="269">
        <f>Data!B14</f>
        <v>0</v>
      </c>
      <c r="AA2" s="267"/>
      <c r="AB2" s="267"/>
      <c r="AC2" s="267"/>
      <c r="AD2" s="267"/>
      <c r="AE2" s="267"/>
    </row>
    <row r="4" spans="1:38" x14ac:dyDescent="0.2">
      <c r="A4" t="s">
        <v>618</v>
      </c>
      <c r="O4" s="219">
        <f>Data!B181</f>
        <v>0</v>
      </c>
      <c r="P4" s="219"/>
      <c r="Q4" s="219"/>
      <c r="R4" s="219"/>
    </row>
    <row r="7" spans="1:38" ht="15" customHeight="1" x14ac:dyDescent="0.2">
      <c r="A7" s="217" t="s">
        <v>619</v>
      </c>
      <c r="B7" s="217"/>
      <c r="C7" s="217"/>
      <c r="D7" s="217"/>
      <c r="E7" s="217"/>
      <c r="F7" s="217"/>
      <c r="G7" s="217"/>
      <c r="H7" s="217"/>
      <c r="I7" s="217"/>
      <c r="J7" s="217"/>
      <c r="K7" s="217"/>
      <c r="L7" s="217"/>
      <c r="M7" s="217"/>
      <c r="N7" s="217"/>
      <c r="O7" s="217"/>
      <c r="P7" s="217"/>
      <c r="Q7" s="217"/>
      <c r="R7" s="217"/>
      <c r="S7" s="217"/>
      <c r="T7" s="217"/>
      <c r="U7" s="217"/>
      <c r="V7" s="217"/>
      <c r="W7" s="217"/>
      <c r="X7" s="217"/>
      <c r="Y7" s="217"/>
      <c r="Z7" s="217"/>
      <c r="AA7" s="217"/>
      <c r="AB7" s="217"/>
      <c r="AC7" s="217"/>
      <c r="AD7" s="217"/>
      <c r="AE7" s="217"/>
      <c r="AF7" s="217"/>
      <c r="AG7" s="217"/>
      <c r="AH7" s="217"/>
      <c r="AI7" s="217"/>
      <c r="AJ7" s="217"/>
      <c r="AK7" s="217"/>
      <c r="AL7" s="217"/>
    </row>
    <row r="8" spans="1:38" ht="15" customHeight="1" x14ac:dyDescent="0.2">
      <c r="A8" s="217"/>
      <c r="B8" s="217"/>
      <c r="C8" s="217"/>
      <c r="D8" s="217"/>
      <c r="E8" s="217"/>
      <c r="F8" s="217"/>
      <c r="G8" s="217"/>
      <c r="H8" s="217"/>
      <c r="I8" s="217"/>
      <c r="J8" s="217"/>
      <c r="K8" s="217"/>
      <c r="L8" s="217"/>
      <c r="M8" s="217"/>
      <c r="N8" s="217"/>
      <c r="O8" s="217"/>
      <c r="P8" s="217"/>
      <c r="Q8" s="217"/>
      <c r="R8" s="217"/>
      <c r="S8" s="217"/>
      <c r="T8" s="217"/>
      <c r="U8" s="217"/>
      <c r="V8" s="217"/>
      <c r="W8" s="217"/>
      <c r="X8" s="217"/>
      <c r="Y8" s="217"/>
      <c r="Z8" s="217"/>
      <c r="AA8" s="217"/>
      <c r="AB8" s="217"/>
      <c r="AC8" s="217"/>
      <c r="AD8" s="217"/>
      <c r="AE8" s="217"/>
      <c r="AF8" s="217"/>
      <c r="AG8" s="217"/>
      <c r="AH8" s="217"/>
      <c r="AI8" s="217"/>
      <c r="AJ8" s="217"/>
      <c r="AK8" s="217"/>
      <c r="AL8" s="217"/>
    </row>
    <row r="10" spans="1:38" x14ac:dyDescent="0.2">
      <c r="A10" t="s">
        <v>81</v>
      </c>
      <c r="E10" s="219" t="str">
        <f>IF(Data!B182="","N/A",Data!B182)</f>
        <v>N/A</v>
      </c>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row>
    <row r="11" spans="1:38" x14ac:dyDescent="0.2">
      <c r="A11" t="s">
        <v>82</v>
      </c>
      <c r="E11" s="219" t="str">
        <f>IF(Data!B183="","N/A",Data!B183)</f>
        <v>N/A</v>
      </c>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row>
    <row r="12" spans="1:38" x14ac:dyDescent="0.2">
      <c r="A12" t="s">
        <v>83</v>
      </c>
      <c r="E12" s="219" t="str">
        <f>IF(Data!B184="","N/A",Data!B184)</f>
        <v>N/A</v>
      </c>
      <c r="F12" s="219"/>
      <c r="G12" s="219"/>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19"/>
      <c r="AH12" s="219"/>
      <c r="AI12" s="219"/>
      <c r="AJ12" s="219"/>
      <c r="AK12" s="219"/>
      <c r="AL12" s="219"/>
    </row>
    <row r="14" spans="1:38" x14ac:dyDescent="0.2">
      <c r="A14" s="217" t="s">
        <v>3369</v>
      </c>
      <c r="B14" s="217"/>
      <c r="C14" s="217"/>
      <c r="D14" s="217"/>
      <c r="E14" s="217"/>
      <c r="F14" s="217"/>
      <c r="G14" s="217"/>
      <c r="H14" s="217"/>
      <c r="I14" s="217"/>
      <c r="J14" s="217"/>
      <c r="K14" s="217"/>
      <c r="L14" s="217"/>
      <c r="M14" s="217"/>
      <c r="N14" s="217"/>
      <c r="O14" s="217"/>
      <c r="P14" s="217"/>
      <c r="Q14" s="217"/>
      <c r="R14" s="217"/>
      <c r="S14" s="217"/>
      <c r="T14" s="217"/>
      <c r="U14" s="217"/>
      <c r="V14" s="217"/>
      <c r="W14" s="217"/>
      <c r="X14" s="217"/>
      <c r="Y14" s="217"/>
      <c r="Z14" s="217"/>
      <c r="AA14" s="217"/>
      <c r="AB14" s="217"/>
      <c r="AC14" s="217"/>
      <c r="AD14" s="217"/>
      <c r="AE14" s="217"/>
      <c r="AF14" s="217"/>
      <c r="AG14" s="217"/>
      <c r="AH14" s="217"/>
      <c r="AI14" s="217"/>
      <c r="AJ14" s="217"/>
      <c r="AK14" s="217"/>
    </row>
    <row r="15" spans="1:38" x14ac:dyDescent="0.2">
      <c r="A15" s="217"/>
      <c r="B15" s="217"/>
      <c r="C15" s="217"/>
      <c r="D15" s="217"/>
      <c r="E15" s="217"/>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c r="AE15" s="217"/>
      <c r="AF15" s="217"/>
      <c r="AG15" s="217"/>
      <c r="AH15" s="217"/>
      <c r="AI15" s="217"/>
      <c r="AJ15" s="217"/>
      <c r="AK15" s="217"/>
    </row>
    <row r="16" spans="1:38" x14ac:dyDescent="0.2">
      <c r="A16" s="217"/>
      <c r="B16" s="217"/>
      <c r="C16" s="217"/>
      <c r="D16" s="217"/>
      <c r="E16" s="217"/>
      <c r="F16" s="217"/>
      <c r="G16" s="217"/>
      <c r="H16" s="217"/>
      <c r="I16" s="217"/>
      <c r="J16" s="217"/>
      <c r="K16" s="217"/>
      <c r="L16" s="217"/>
      <c r="M16" s="217"/>
      <c r="N16" s="217"/>
      <c r="O16" s="217"/>
      <c r="P16" s="217"/>
      <c r="Q16" s="217"/>
      <c r="R16" s="217"/>
      <c r="S16" s="217"/>
      <c r="T16" s="217"/>
      <c r="U16" s="217"/>
      <c r="V16" s="217"/>
      <c r="W16" s="217"/>
      <c r="X16" s="217"/>
      <c r="Y16" s="217"/>
      <c r="Z16" s="217"/>
      <c r="AA16" s="217"/>
      <c r="AB16" s="217"/>
      <c r="AC16" s="217"/>
      <c r="AD16" s="217"/>
      <c r="AE16" s="217"/>
      <c r="AF16" s="217"/>
      <c r="AG16" s="217"/>
      <c r="AH16" s="217"/>
      <c r="AI16" s="217"/>
      <c r="AJ16" s="217"/>
      <c r="AK16" s="217"/>
    </row>
    <row r="17" spans="1:37" x14ac:dyDescent="0.2">
      <c r="A17" s="217"/>
      <c r="B17" s="217"/>
      <c r="C17" s="217"/>
      <c r="D17" s="217"/>
      <c r="E17" s="217"/>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c r="AE17" s="217"/>
      <c r="AF17" s="217"/>
      <c r="AG17" s="217"/>
      <c r="AH17" s="217"/>
      <c r="AI17" s="217"/>
      <c r="AJ17" s="217"/>
      <c r="AK17" s="217"/>
    </row>
    <row r="18" spans="1:37" x14ac:dyDescent="0.2">
      <c r="A18" s="217"/>
      <c r="B18" s="217"/>
      <c r="C18" s="217"/>
      <c r="D18" s="217"/>
      <c r="E18" s="217"/>
      <c r="F18" s="217"/>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c r="AE18" s="217"/>
      <c r="AF18" s="217"/>
      <c r="AG18" s="217"/>
      <c r="AH18" s="217"/>
      <c r="AI18" s="217"/>
      <c r="AJ18" s="217"/>
      <c r="AK18" s="217"/>
    </row>
    <row r="19" spans="1:37" x14ac:dyDescent="0.2">
      <c r="A19" s="217"/>
      <c r="B19" s="217"/>
      <c r="C19" s="217"/>
      <c r="D19" s="217"/>
      <c r="E19" s="217"/>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7"/>
      <c r="AI19" s="217"/>
      <c r="AJ19" s="217"/>
      <c r="AK19" s="217"/>
    </row>
    <row r="21" spans="1:37" x14ac:dyDescent="0.2">
      <c r="A21" s="217" t="s">
        <v>3370</v>
      </c>
      <c r="B21" s="217"/>
      <c r="C21" s="217"/>
      <c r="D21" s="217"/>
      <c r="E21" s="217"/>
      <c r="F21" s="217"/>
      <c r="G21" s="217"/>
      <c r="H21" s="217"/>
      <c r="I21" s="217"/>
      <c r="J21" s="217"/>
      <c r="K21" s="217"/>
      <c r="L21" s="217"/>
      <c r="M21" s="217"/>
      <c r="N21" s="217"/>
      <c r="O21" s="217"/>
      <c r="P21" s="217"/>
      <c r="Q21" s="217"/>
      <c r="R21" s="217"/>
      <c r="S21" s="217"/>
      <c r="T21" s="217"/>
      <c r="U21" s="217"/>
      <c r="V21" s="217"/>
      <c r="W21" s="217"/>
      <c r="X21" s="217"/>
      <c r="Y21" s="217"/>
      <c r="Z21" s="217"/>
      <c r="AA21" s="217"/>
      <c r="AB21" s="217"/>
      <c r="AC21" s="217"/>
      <c r="AD21" s="217"/>
      <c r="AE21" s="217"/>
      <c r="AF21" s="217"/>
      <c r="AG21" s="217"/>
      <c r="AH21" s="217"/>
      <c r="AI21" s="217"/>
      <c r="AJ21" s="217"/>
      <c r="AK21" s="217"/>
    </row>
    <row r="22" spans="1:37" x14ac:dyDescent="0.2">
      <c r="A22" s="217"/>
      <c r="B22" s="217"/>
      <c r="C22" s="217"/>
      <c r="D22" s="217"/>
      <c r="E22" s="217"/>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c r="AE22" s="217"/>
      <c r="AF22" s="217"/>
      <c r="AG22" s="217"/>
      <c r="AH22" s="217"/>
      <c r="AI22" s="217"/>
      <c r="AJ22" s="217"/>
      <c r="AK22" s="217"/>
    </row>
    <row r="23" spans="1:37" x14ac:dyDescent="0.2">
      <c r="A23" s="217"/>
      <c r="B23" s="217"/>
      <c r="C23" s="217"/>
      <c r="D23" s="217"/>
      <c r="E23" s="217"/>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c r="AE23" s="217"/>
      <c r="AF23" s="217"/>
      <c r="AG23" s="217"/>
      <c r="AH23" s="217"/>
      <c r="AI23" s="217"/>
      <c r="AJ23" s="217"/>
      <c r="AK23" s="217"/>
    </row>
    <row r="24" spans="1:37" x14ac:dyDescent="0.2">
      <c r="A24" s="217"/>
      <c r="B24" s="217"/>
      <c r="C24" s="217"/>
      <c r="D24" s="217"/>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7"/>
      <c r="AI24" s="217"/>
      <c r="AJ24" s="217"/>
      <c r="AK24" s="217"/>
    </row>
    <row r="25" spans="1:37" x14ac:dyDescent="0.2">
      <c r="A25" s="217"/>
      <c r="B25" s="217"/>
      <c r="C25" s="217"/>
      <c r="D25" s="217"/>
      <c r="E25" s="217"/>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c r="AE25" s="217"/>
      <c r="AF25" s="217"/>
      <c r="AG25" s="217"/>
      <c r="AH25" s="217"/>
      <c r="AI25" s="217"/>
      <c r="AJ25" s="217"/>
      <c r="AK25" s="217"/>
    </row>
    <row r="26" spans="1:37" x14ac:dyDescent="0.2">
      <c r="A26" s="217"/>
      <c r="B26" s="217"/>
      <c r="C26" s="217"/>
      <c r="D26" s="217"/>
      <c r="E26" s="217"/>
      <c r="F26" s="217"/>
      <c r="G26" s="217"/>
      <c r="H26" s="217"/>
      <c r="I26" s="217"/>
      <c r="J26" s="217"/>
      <c r="K26" s="217"/>
      <c r="L26" s="217"/>
      <c r="M26" s="217"/>
      <c r="N26" s="217"/>
      <c r="O26" s="217"/>
      <c r="P26" s="217"/>
      <c r="Q26" s="217"/>
      <c r="R26" s="217"/>
      <c r="S26" s="217"/>
      <c r="T26" s="217"/>
      <c r="U26" s="217"/>
      <c r="V26" s="217"/>
      <c r="W26" s="217"/>
      <c r="X26" s="217"/>
      <c r="Y26" s="217"/>
      <c r="Z26" s="217"/>
      <c r="AA26" s="217"/>
      <c r="AB26" s="217"/>
      <c r="AC26" s="217"/>
      <c r="AD26" s="217"/>
      <c r="AE26" s="217"/>
      <c r="AF26" s="217"/>
      <c r="AG26" s="217"/>
      <c r="AH26" s="217"/>
      <c r="AI26" s="217"/>
      <c r="AJ26" s="217"/>
      <c r="AK26" s="217"/>
    </row>
    <row r="43" spans="1:25" x14ac:dyDescent="0.2">
      <c r="A43" s="217"/>
      <c r="B43" s="217"/>
      <c r="C43" s="217"/>
      <c r="D43" s="217"/>
      <c r="E43" s="217"/>
      <c r="F43" s="217"/>
      <c r="G43" s="217"/>
      <c r="H43" s="217"/>
      <c r="I43" s="217"/>
      <c r="J43" s="217"/>
      <c r="K43" s="217"/>
      <c r="L43" s="217"/>
      <c r="M43" s="217"/>
      <c r="N43" s="217"/>
      <c r="O43" s="217"/>
      <c r="P43" s="217"/>
    </row>
    <row r="44" spans="1:25" x14ac:dyDescent="0.2">
      <c r="A44" s="217"/>
      <c r="B44" s="217"/>
      <c r="C44" s="217"/>
      <c r="D44" s="217"/>
      <c r="E44" s="217"/>
      <c r="F44" s="217"/>
      <c r="G44" s="217"/>
      <c r="H44" s="217"/>
      <c r="I44" s="217"/>
      <c r="J44" s="217"/>
      <c r="K44" s="217"/>
      <c r="L44" s="217"/>
      <c r="M44" s="217"/>
      <c r="N44" s="217"/>
      <c r="O44" s="217"/>
      <c r="P44" s="217"/>
    </row>
    <row r="45" spans="1:25" x14ac:dyDescent="0.2">
      <c r="A45" s="535"/>
      <c r="B45" s="535"/>
      <c r="C45" s="535"/>
      <c r="D45" s="535"/>
      <c r="E45" s="535"/>
      <c r="F45" s="535"/>
      <c r="G45" s="535"/>
      <c r="H45" s="535"/>
      <c r="I45" s="535"/>
      <c r="J45" s="535"/>
      <c r="K45" s="535"/>
      <c r="L45" s="535"/>
      <c r="M45" s="535"/>
      <c r="N45" s="535"/>
      <c r="O45" s="535"/>
      <c r="P45" s="535"/>
      <c r="R45" s="269">
        <f>Data!B34</f>
        <v>0</v>
      </c>
      <c r="S45" s="267"/>
      <c r="T45" s="267"/>
      <c r="U45" s="267"/>
      <c r="V45" s="267"/>
      <c r="W45" s="267"/>
      <c r="X45" s="267"/>
      <c r="Y45" s="267"/>
    </row>
    <row r="46" spans="1:25" x14ac:dyDescent="0.2">
      <c r="A46" t="s">
        <v>367</v>
      </c>
      <c r="R46" t="s">
        <v>368</v>
      </c>
    </row>
    <row r="47" spans="1:25" x14ac:dyDescent="0.2">
      <c r="A47" s="240"/>
      <c r="B47" s="240"/>
      <c r="C47" s="240"/>
      <c r="D47" s="240"/>
      <c r="E47" s="240"/>
      <c r="F47" s="240"/>
      <c r="G47" s="240"/>
      <c r="H47" s="240"/>
      <c r="I47" s="240"/>
      <c r="J47" s="240"/>
      <c r="K47" s="240"/>
      <c r="L47" s="240"/>
      <c r="M47" s="240"/>
      <c r="N47" s="240"/>
      <c r="O47" s="240"/>
      <c r="P47" s="240"/>
    </row>
    <row r="48" spans="1:25" x14ac:dyDescent="0.2">
      <c r="A48" s="240"/>
      <c r="B48" s="240"/>
      <c r="C48" s="240"/>
      <c r="D48" s="240"/>
      <c r="E48" s="240"/>
      <c r="F48" s="240"/>
      <c r="G48" s="240"/>
      <c r="H48" s="240"/>
      <c r="I48" s="240"/>
      <c r="J48" s="240"/>
      <c r="K48" s="240"/>
      <c r="L48" s="240"/>
      <c r="M48" s="240"/>
      <c r="N48" s="240"/>
      <c r="O48" s="240"/>
      <c r="P48" s="240"/>
    </row>
    <row r="49" spans="1:31" x14ac:dyDescent="0.2">
      <c r="A49" s="266"/>
      <c r="B49" s="266"/>
      <c r="C49" s="266"/>
      <c r="D49" s="266"/>
      <c r="E49" s="266"/>
      <c r="F49" s="266"/>
      <c r="G49" s="266"/>
      <c r="H49" s="266"/>
      <c r="I49" s="266"/>
      <c r="J49" s="266"/>
      <c r="K49" s="266"/>
      <c r="L49" s="266"/>
      <c r="M49" s="266"/>
      <c r="N49" s="266"/>
      <c r="O49" s="266"/>
      <c r="P49" s="266"/>
      <c r="R49" s="267">
        <f>Data!B175</f>
        <v>0</v>
      </c>
      <c r="S49" s="267"/>
      <c r="T49" s="267"/>
      <c r="U49" s="267"/>
      <c r="V49" s="267"/>
      <c r="W49" s="267"/>
      <c r="X49" s="267"/>
      <c r="Y49" s="267"/>
      <c r="Z49" s="267"/>
      <c r="AA49" s="267"/>
      <c r="AB49" s="267"/>
      <c r="AC49" s="267"/>
      <c r="AD49" s="267"/>
      <c r="AE49" s="267"/>
    </row>
    <row r="50" spans="1:31" x14ac:dyDescent="0.2">
      <c r="A50" t="s">
        <v>370</v>
      </c>
      <c r="R50" t="s">
        <v>369</v>
      </c>
    </row>
  </sheetData>
  <mergeCells count="13">
    <mergeCell ref="A43:P45"/>
    <mergeCell ref="R45:Y45"/>
    <mergeCell ref="A47:P49"/>
    <mergeCell ref="R49:AE49"/>
    <mergeCell ref="A14:AK19"/>
    <mergeCell ref="A21:AK26"/>
    <mergeCell ref="E11:AL11"/>
    <mergeCell ref="E12:AL12"/>
    <mergeCell ref="A7:AL8"/>
    <mergeCell ref="F2:U2"/>
    <mergeCell ref="Z2:AE2"/>
    <mergeCell ref="O4:R4"/>
    <mergeCell ref="E10:AL10"/>
  </mergeCells>
  <pageMargins left="0.25" right="0.25" top="0.75" bottom="0.75" header="0.3" footer="0.3"/>
  <pageSetup orientation="portrait" r:id="rId1"/>
  <headerFooter>
    <oddHeader>&amp;L&amp;G&amp;RClient's Choice to Rebroker</oddHeader>
    <oddFooter>&amp;LDS&amp;C3088 Mercer University Drive Suite 100 Atlanta, GA 30341
678-310-6305 Fax 404-935-6110&amp;RPP.M</oddFooter>
  </headerFooter>
  <legacyDrawingHF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6">
    <tabColor theme="4" tint="-0.249977111117893"/>
  </sheetPr>
  <dimension ref="A2:AM45"/>
  <sheetViews>
    <sheetView showZeros="0" view="pageLayout" topLeftCell="A22" zoomScaleNormal="100" workbookViewId="0">
      <selection activeCell="A26" sqref="A26:AL26"/>
    </sheetView>
  </sheetViews>
  <sheetFormatPr defaultColWidth="2.7109375" defaultRowHeight="14.25" x14ac:dyDescent="0.2"/>
  <cols>
    <col min="1" max="16384" width="2.7109375" style="12"/>
  </cols>
  <sheetData>
    <row r="2" spans="1:39" x14ac:dyDescent="0.2">
      <c r="A2" s="12" t="s">
        <v>336</v>
      </c>
      <c r="F2" s="462" t="str">
        <f>_xlfn.CONCAT(Data!B2,", ",Data!B3," ",Data!B4)</f>
        <v xml:space="preserve">,  </v>
      </c>
      <c r="G2" s="462"/>
      <c r="H2" s="462"/>
      <c r="I2" s="462"/>
      <c r="J2" s="462"/>
      <c r="K2" s="462"/>
      <c r="L2" s="462"/>
      <c r="M2" s="462"/>
      <c r="N2" s="462"/>
      <c r="O2" s="462"/>
      <c r="P2" s="462"/>
      <c r="Q2" s="462"/>
      <c r="R2" s="462"/>
      <c r="S2" s="462"/>
      <c r="T2" s="462"/>
      <c r="U2" s="462"/>
      <c r="V2" s="462"/>
      <c r="X2" s="12" t="s">
        <v>371</v>
      </c>
      <c r="AA2" s="517">
        <f>Data!B14</f>
        <v>0</v>
      </c>
      <c r="AB2" s="518"/>
      <c r="AC2" s="518"/>
      <c r="AD2" s="518"/>
      <c r="AE2" s="518"/>
      <c r="AF2" s="518"/>
      <c r="AG2" s="518"/>
    </row>
    <row r="4" spans="1:39" x14ac:dyDescent="0.2">
      <c r="A4" s="536" t="str">
        <f>"Funds Waiver"&amp;" - Client "&amp;IF(Data!B281="Yes","ACCEPTS the conditions of this waiver.","DECLINES the conditions of this waiver.")</f>
        <v>Funds Waiver - Client DECLINES the conditions of this waiver.</v>
      </c>
      <c r="B4" s="536"/>
      <c r="C4" s="536"/>
      <c r="D4" s="536"/>
      <c r="E4" s="536"/>
      <c r="F4" s="536"/>
      <c r="G4" s="536"/>
      <c r="H4" s="536"/>
      <c r="I4" s="536"/>
      <c r="J4" s="536"/>
      <c r="K4" s="536"/>
      <c r="L4" s="536"/>
      <c r="M4" s="536"/>
      <c r="N4" s="536"/>
      <c r="O4" s="536"/>
      <c r="P4" s="536"/>
      <c r="Q4" s="536"/>
      <c r="R4" s="536"/>
      <c r="S4" s="536"/>
      <c r="T4" s="536"/>
      <c r="U4" s="536"/>
      <c r="V4" s="536"/>
      <c r="W4" s="536"/>
      <c r="X4" s="536"/>
      <c r="Y4" s="536"/>
      <c r="Z4" s="536"/>
      <c r="AA4" s="536"/>
      <c r="AB4" s="536"/>
      <c r="AC4" s="536"/>
      <c r="AD4" s="536"/>
      <c r="AE4" s="536"/>
      <c r="AF4" s="536"/>
      <c r="AG4" s="536"/>
      <c r="AH4" s="536"/>
      <c r="AI4" s="536"/>
      <c r="AJ4" s="536"/>
      <c r="AK4" s="536"/>
      <c r="AL4" s="536"/>
      <c r="AM4" s="96"/>
    </row>
    <row r="5" spans="1:39" ht="14.25" customHeight="1" x14ac:dyDescent="0.2">
      <c r="A5" s="260" t="s">
        <v>722</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c r="AE5" s="260"/>
      <c r="AF5" s="260"/>
      <c r="AG5" s="260"/>
      <c r="AH5" s="260"/>
      <c r="AI5" s="260"/>
      <c r="AJ5" s="260"/>
      <c r="AK5" s="260"/>
      <c r="AL5" s="260"/>
      <c r="AM5" s="5"/>
    </row>
    <row r="6" spans="1:39" x14ac:dyDescent="0.2">
      <c r="A6" s="260"/>
      <c r="B6" s="260"/>
      <c r="C6" s="260"/>
      <c r="D6" s="260"/>
      <c r="E6" s="260"/>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c r="AE6" s="260"/>
      <c r="AF6" s="260"/>
      <c r="AG6" s="260"/>
      <c r="AH6" s="260"/>
      <c r="AI6" s="260"/>
      <c r="AJ6" s="260"/>
      <c r="AK6" s="260"/>
      <c r="AL6" s="260"/>
      <c r="AM6" s="5"/>
    </row>
    <row r="7" spans="1:39" x14ac:dyDescent="0.2">
      <c r="A7" s="260"/>
      <c r="B7" s="260"/>
      <c r="C7" s="260"/>
      <c r="D7" s="260"/>
      <c r="E7" s="260"/>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c r="AE7" s="260"/>
      <c r="AF7" s="260"/>
      <c r="AG7" s="260"/>
      <c r="AH7" s="260"/>
      <c r="AI7" s="260"/>
      <c r="AJ7" s="260"/>
      <c r="AK7" s="260"/>
      <c r="AL7" s="260"/>
      <c r="AM7" s="5"/>
    </row>
    <row r="8" spans="1:39" x14ac:dyDescent="0.2">
      <c r="A8" s="260"/>
      <c r="B8" s="260"/>
      <c r="C8" s="260"/>
      <c r="D8" s="260"/>
      <c r="E8" s="260"/>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c r="AE8" s="260"/>
      <c r="AF8" s="260"/>
      <c r="AG8" s="260"/>
      <c r="AH8" s="260"/>
      <c r="AI8" s="260"/>
      <c r="AJ8" s="260"/>
      <c r="AK8" s="260"/>
      <c r="AL8" s="260"/>
      <c r="AM8" s="5"/>
    </row>
    <row r="9" spans="1:39" x14ac:dyDescent="0.2">
      <c r="A9" s="260"/>
      <c r="B9" s="260"/>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60"/>
      <c r="AM9" s="5"/>
    </row>
    <row r="10" spans="1:39" x14ac:dyDescent="0.2">
      <c r="A10" s="260"/>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c r="AE10" s="260"/>
      <c r="AF10" s="260"/>
      <c r="AG10" s="260"/>
      <c r="AH10" s="260"/>
      <c r="AI10" s="260"/>
      <c r="AJ10" s="260"/>
      <c r="AK10" s="260"/>
      <c r="AL10" s="260"/>
      <c r="AM10" s="5"/>
    </row>
    <row r="12" spans="1:39" x14ac:dyDescent="0.2">
      <c r="A12" s="536" t="str">
        <f>"Vehicle Waiver"&amp;" - Client "&amp;IF(Data!B278="Yes","ACCEPTS the conditions of this waiver.","DECLINES the conditions of this waiver.")</f>
        <v>Vehicle Waiver - Client DECLINES the conditions of this waiver.</v>
      </c>
      <c r="B12" s="536"/>
      <c r="C12" s="536"/>
      <c r="D12" s="536"/>
      <c r="E12" s="536"/>
      <c r="F12" s="536"/>
      <c r="G12" s="536"/>
      <c r="H12" s="536"/>
      <c r="I12" s="536"/>
      <c r="J12" s="536"/>
      <c r="K12" s="536"/>
      <c r="L12" s="536"/>
      <c r="M12" s="536"/>
      <c r="N12" s="536"/>
      <c r="O12" s="536"/>
      <c r="P12" s="536"/>
      <c r="Q12" s="536"/>
      <c r="R12" s="536"/>
      <c r="S12" s="536"/>
      <c r="T12" s="536"/>
      <c r="U12" s="536"/>
      <c r="V12" s="536"/>
      <c r="W12" s="536"/>
      <c r="X12" s="536"/>
      <c r="Y12" s="536"/>
      <c r="Z12" s="536"/>
      <c r="AA12" s="536"/>
      <c r="AB12" s="536"/>
      <c r="AC12" s="536"/>
      <c r="AD12" s="536"/>
      <c r="AE12" s="536"/>
      <c r="AF12" s="536"/>
      <c r="AG12" s="536"/>
      <c r="AH12" s="536"/>
      <c r="AI12" s="536"/>
      <c r="AJ12" s="536"/>
      <c r="AK12" s="536"/>
      <c r="AL12" s="536"/>
      <c r="AM12" s="96"/>
    </row>
    <row r="13" spans="1:39" ht="14.25" customHeight="1" x14ac:dyDescent="0.2">
      <c r="A13" s="260" t="s">
        <v>723</v>
      </c>
      <c r="B13" s="260"/>
      <c r="C13" s="260"/>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c r="AE13" s="260"/>
      <c r="AF13" s="260"/>
      <c r="AG13" s="260"/>
      <c r="AH13" s="260"/>
      <c r="AI13" s="260"/>
      <c r="AJ13" s="260"/>
      <c r="AK13" s="260"/>
      <c r="AL13" s="260"/>
      <c r="AM13" s="5"/>
    </row>
    <row r="14" spans="1:39" x14ac:dyDescent="0.2">
      <c r="A14" s="260"/>
      <c r="B14" s="260"/>
      <c r="C14" s="260"/>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c r="AE14" s="260"/>
      <c r="AF14" s="260"/>
      <c r="AG14" s="260"/>
      <c r="AH14" s="260"/>
      <c r="AI14" s="260"/>
      <c r="AJ14" s="260"/>
      <c r="AK14" s="260"/>
      <c r="AL14" s="260"/>
      <c r="AM14" s="5"/>
    </row>
    <row r="15" spans="1:39" x14ac:dyDescent="0.2">
      <c r="A15" s="260"/>
      <c r="B15" s="260"/>
      <c r="C15" s="260"/>
      <c r="D15" s="260"/>
      <c r="E15" s="260"/>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c r="AE15" s="260"/>
      <c r="AF15" s="260"/>
      <c r="AG15" s="260"/>
      <c r="AH15" s="260"/>
      <c r="AI15" s="260"/>
      <c r="AJ15" s="260"/>
      <c r="AK15" s="260"/>
      <c r="AL15" s="260"/>
      <c r="AM15" s="5"/>
    </row>
    <row r="16" spans="1:39" x14ac:dyDescent="0.2">
      <c r="A16" s="260"/>
      <c r="B16" s="260"/>
      <c r="C16" s="260"/>
      <c r="D16" s="260"/>
      <c r="E16" s="260"/>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c r="AE16" s="260"/>
      <c r="AF16" s="260"/>
      <c r="AG16" s="260"/>
      <c r="AH16" s="260"/>
      <c r="AI16" s="260"/>
      <c r="AJ16" s="260"/>
      <c r="AK16" s="260"/>
      <c r="AL16" s="260"/>
      <c r="AM16" s="5"/>
    </row>
    <row r="17" spans="1:39" x14ac:dyDescent="0.2">
      <c r="A17" s="260"/>
      <c r="B17" s="260"/>
      <c r="C17" s="260"/>
      <c r="D17" s="260"/>
      <c r="E17" s="260"/>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c r="AE17" s="260"/>
      <c r="AF17" s="260"/>
      <c r="AG17" s="260"/>
      <c r="AH17" s="260"/>
      <c r="AI17" s="260"/>
      <c r="AJ17" s="260"/>
      <c r="AK17" s="260"/>
      <c r="AL17" s="260"/>
      <c r="AM17" s="5"/>
    </row>
    <row r="19" spans="1:39" x14ac:dyDescent="0.2">
      <c r="A19" s="536" t="str">
        <f>"Mileage Fee Waiver"&amp;" - Client "&amp;IF(Data!B280="Yes","ACCEPTS the conditions of this waiver.","DECLINES the conditions of this waiver.")</f>
        <v>Mileage Fee Waiver - Client DECLINES the conditions of this waiver.</v>
      </c>
      <c r="B19" s="536"/>
      <c r="C19" s="536"/>
      <c r="D19" s="536"/>
      <c r="E19" s="536"/>
      <c r="F19" s="536"/>
      <c r="G19" s="536"/>
      <c r="H19" s="536"/>
      <c r="I19" s="536"/>
      <c r="J19" s="536"/>
      <c r="K19" s="536"/>
      <c r="L19" s="536"/>
      <c r="M19" s="536"/>
      <c r="N19" s="536"/>
      <c r="O19" s="536"/>
      <c r="P19" s="536"/>
      <c r="Q19" s="536"/>
      <c r="R19" s="536"/>
      <c r="S19" s="536"/>
      <c r="T19" s="536"/>
      <c r="U19" s="536"/>
      <c r="V19" s="536"/>
      <c r="W19" s="536"/>
      <c r="X19" s="536"/>
      <c r="Y19" s="536"/>
      <c r="Z19" s="536"/>
      <c r="AA19" s="536"/>
      <c r="AB19" s="536"/>
      <c r="AC19" s="536"/>
      <c r="AD19" s="536"/>
      <c r="AE19" s="536"/>
      <c r="AF19" s="536"/>
      <c r="AG19" s="536"/>
      <c r="AH19" s="536"/>
      <c r="AI19" s="536"/>
      <c r="AJ19" s="536"/>
      <c r="AK19" s="536"/>
      <c r="AL19" s="536"/>
      <c r="AM19" s="96"/>
    </row>
    <row r="20" spans="1:39" ht="14.25" customHeight="1" x14ac:dyDescent="0.2">
      <c r="A20" s="260" t="s">
        <v>724</v>
      </c>
      <c r="B20" s="260"/>
      <c r="C20" s="260"/>
      <c r="D20" s="260"/>
      <c r="E20" s="260"/>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c r="AE20" s="260"/>
      <c r="AF20" s="260"/>
      <c r="AG20" s="260"/>
      <c r="AH20" s="260"/>
      <c r="AI20" s="260"/>
      <c r="AJ20" s="260"/>
      <c r="AK20" s="260"/>
      <c r="AL20" s="260"/>
      <c r="AM20" s="5"/>
    </row>
    <row r="21" spans="1:39" x14ac:dyDescent="0.2">
      <c r="A21" s="260"/>
      <c r="B21" s="260"/>
      <c r="C21" s="260"/>
      <c r="D21" s="260"/>
      <c r="E21" s="260"/>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c r="AE21" s="260"/>
      <c r="AF21" s="260"/>
      <c r="AG21" s="260"/>
      <c r="AH21" s="260"/>
      <c r="AI21" s="260"/>
      <c r="AJ21" s="260"/>
      <c r="AK21" s="260"/>
      <c r="AL21" s="260"/>
      <c r="AM21" s="5"/>
    </row>
    <row r="22" spans="1:39" x14ac:dyDescent="0.2">
      <c r="A22" s="260"/>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c r="AE22" s="260"/>
      <c r="AF22" s="260"/>
      <c r="AG22" s="260"/>
      <c r="AH22" s="260"/>
      <c r="AI22" s="260"/>
      <c r="AJ22" s="260"/>
      <c r="AK22" s="260"/>
      <c r="AL22" s="260"/>
      <c r="AM22" s="5"/>
    </row>
    <row r="23" spans="1:39" x14ac:dyDescent="0.2">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c r="AE23" s="260"/>
      <c r="AF23" s="260"/>
      <c r="AG23" s="260"/>
      <c r="AH23" s="260"/>
      <c r="AI23" s="260"/>
      <c r="AJ23" s="260"/>
      <c r="AK23" s="260"/>
      <c r="AL23" s="260"/>
      <c r="AM23" s="5"/>
    </row>
    <row r="24" spans="1:39" x14ac:dyDescent="0.2">
      <c r="A24" s="260"/>
      <c r="B24" s="260"/>
      <c r="C24" s="260"/>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c r="AE24" s="260"/>
      <c r="AF24" s="260"/>
      <c r="AG24" s="260"/>
      <c r="AH24" s="260"/>
      <c r="AI24" s="260"/>
      <c r="AJ24" s="260"/>
      <c r="AK24" s="260"/>
      <c r="AL24" s="260"/>
      <c r="AM24" s="5"/>
    </row>
    <row r="26" spans="1:39" x14ac:dyDescent="0.2">
      <c r="A26" s="536" t="str">
        <f>"Hoyer Lift Waiver"&amp;" - Client "&amp;IF(Data!B146=TRUE,"ACCEPTS the conditions of this waiver.","DECLINES the conditions of this waiver.")</f>
        <v>Hoyer Lift Waiver - Client DECLINES the conditions of this waiver.</v>
      </c>
      <c r="B26" s="536"/>
      <c r="C26" s="536"/>
      <c r="D26" s="536"/>
      <c r="E26" s="536"/>
      <c r="F26" s="536"/>
      <c r="G26" s="536"/>
      <c r="H26" s="536"/>
      <c r="I26" s="536"/>
      <c r="J26" s="536"/>
      <c r="K26" s="536"/>
      <c r="L26" s="536"/>
      <c r="M26" s="536"/>
      <c r="N26" s="536"/>
      <c r="O26" s="536"/>
      <c r="P26" s="536"/>
      <c r="Q26" s="536"/>
      <c r="R26" s="536"/>
      <c r="S26" s="536"/>
      <c r="T26" s="536"/>
      <c r="U26" s="536"/>
      <c r="V26" s="536"/>
      <c r="W26" s="536"/>
      <c r="X26" s="536"/>
      <c r="Y26" s="536"/>
      <c r="Z26" s="536"/>
      <c r="AA26" s="536"/>
      <c r="AB26" s="536"/>
      <c r="AC26" s="536"/>
      <c r="AD26" s="536"/>
      <c r="AE26" s="536"/>
      <c r="AF26" s="536"/>
      <c r="AG26" s="536"/>
      <c r="AH26" s="536"/>
      <c r="AI26" s="536"/>
      <c r="AJ26" s="536"/>
      <c r="AK26" s="536"/>
      <c r="AL26" s="536"/>
      <c r="AM26" s="96"/>
    </row>
    <row r="27" spans="1:39" ht="14.25" customHeight="1" x14ac:dyDescent="0.2">
      <c r="A27" s="260" t="s">
        <v>725</v>
      </c>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
      <c r="AM27" s="26"/>
    </row>
    <row r="28" spans="1:39" x14ac:dyDescent="0.2">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c r="AE28" s="260"/>
      <c r="AF28" s="260"/>
      <c r="AG28" s="260"/>
      <c r="AH28" s="260"/>
      <c r="AI28" s="260"/>
      <c r="AJ28" s="260"/>
      <c r="AK28" s="260"/>
      <c r="AL28" s="26"/>
      <c r="AM28" s="26"/>
    </row>
    <row r="29" spans="1:39" x14ac:dyDescent="0.2">
      <c r="A29" s="260"/>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c r="AE29" s="260"/>
      <c r="AF29" s="260"/>
      <c r="AG29" s="260"/>
      <c r="AH29" s="260"/>
      <c r="AI29" s="260"/>
      <c r="AJ29" s="260"/>
      <c r="AK29" s="260"/>
      <c r="AL29" s="26"/>
      <c r="AM29" s="26"/>
    </row>
    <row r="30" spans="1:39" x14ac:dyDescent="0.2">
      <c r="A30" s="260"/>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c r="AE30" s="260"/>
      <c r="AF30" s="260"/>
      <c r="AG30" s="260"/>
      <c r="AH30" s="260"/>
      <c r="AI30" s="260"/>
      <c r="AJ30" s="260"/>
      <c r="AK30" s="260"/>
      <c r="AL30" s="26"/>
      <c r="AM30" s="26"/>
    </row>
    <row r="31" spans="1:39" x14ac:dyDescent="0.2">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c r="AE31" s="260"/>
      <c r="AF31" s="260"/>
      <c r="AG31" s="260"/>
      <c r="AH31" s="260"/>
      <c r="AI31" s="260"/>
      <c r="AJ31" s="260"/>
      <c r="AK31" s="260"/>
      <c r="AL31" s="26"/>
      <c r="AM31" s="26"/>
    </row>
    <row r="32" spans="1:39" x14ac:dyDescent="0.2">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c r="AE32" s="260"/>
      <c r="AF32" s="260"/>
      <c r="AG32" s="260"/>
      <c r="AH32" s="260"/>
      <c r="AI32" s="260"/>
      <c r="AJ32" s="260"/>
      <c r="AK32" s="260"/>
    </row>
    <row r="33" spans="1:37" x14ac:dyDescent="0.2">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c r="AE33" s="260"/>
      <c r="AF33" s="260"/>
      <c r="AG33" s="260"/>
      <c r="AH33" s="260"/>
      <c r="AI33" s="260"/>
      <c r="AJ33" s="260"/>
      <c r="AK33" s="260"/>
    </row>
    <row r="38" spans="1:37" x14ac:dyDescent="0.2">
      <c r="A38" s="240"/>
      <c r="B38" s="240"/>
      <c r="C38" s="240"/>
      <c r="D38" s="240"/>
      <c r="E38" s="240"/>
      <c r="F38" s="240"/>
      <c r="G38" s="240"/>
      <c r="H38" s="240"/>
      <c r="I38" s="240"/>
      <c r="J38" s="240"/>
      <c r="K38" s="240"/>
      <c r="L38" s="240"/>
      <c r="M38" s="240"/>
      <c r="N38" s="240"/>
      <c r="O38" s="240"/>
      <c r="P38" s="240"/>
      <c r="Q38"/>
      <c r="R38"/>
      <c r="S38"/>
      <c r="T38"/>
      <c r="U38"/>
      <c r="V38"/>
      <c r="W38"/>
      <c r="X38"/>
      <c r="Y38"/>
      <c r="Z38"/>
      <c r="AA38"/>
      <c r="AB38"/>
      <c r="AC38"/>
      <c r="AD38"/>
      <c r="AE38"/>
    </row>
    <row r="39" spans="1:37" x14ac:dyDescent="0.2">
      <c r="A39" s="240"/>
      <c r="B39" s="240"/>
      <c r="C39" s="240"/>
      <c r="D39" s="240"/>
      <c r="E39" s="240"/>
      <c r="F39" s="240"/>
      <c r="G39" s="240"/>
      <c r="H39" s="240"/>
      <c r="I39" s="240"/>
      <c r="J39" s="240"/>
      <c r="K39" s="240"/>
      <c r="L39" s="240"/>
      <c r="M39" s="240"/>
      <c r="N39" s="240"/>
      <c r="O39" s="240"/>
      <c r="P39" s="240"/>
      <c r="Q39"/>
      <c r="R39"/>
      <c r="S39"/>
      <c r="T39"/>
      <c r="U39"/>
      <c r="V39"/>
      <c r="W39"/>
      <c r="X39"/>
      <c r="Y39"/>
      <c r="Z39"/>
      <c r="AA39"/>
      <c r="AB39"/>
      <c r="AC39"/>
      <c r="AD39"/>
      <c r="AE39"/>
    </row>
    <row r="40" spans="1:37" x14ac:dyDescent="0.2">
      <c r="A40" s="266"/>
      <c r="B40" s="266"/>
      <c r="C40" s="266"/>
      <c r="D40" s="266"/>
      <c r="E40" s="266"/>
      <c r="F40" s="266"/>
      <c r="G40" s="266"/>
      <c r="H40" s="266"/>
      <c r="I40" s="266"/>
      <c r="J40" s="266"/>
      <c r="K40" s="266"/>
      <c r="L40" s="266"/>
      <c r="M40" s="266"/>
      <c r="N40" s="266"/>
      <c r="O40" s="266"/>
      <c r="P40" s="266"/>
      <c r="Q40"/>
      <c r="R40" s="269">
        <f>Data!B34</f>
        <v>0</v>
      </c>
      <c r="S40" s="267"/>
      <c r="T40" s="267"/>
      <c r="U40" s="267"/>
      <c r="V40" s="267"/>
      <c r="W40" s="267"/>
      <c r="X40" s="267"/>
      <c r="Y40" s="267"/>
      <c r="Z40"/>
      <c r="AA40"/>
      <c r="AB40"/>
      <c r="AC40"/>
      <c r="AD40"/>
      <c r="AE40"/>
    </row>
    <row r="41" spans="1:37" x14ac:dyDescent="0.2">
      <c r="A41" t="s">
        <v>367</v>
      </c>
      <c r="B41"/>
      <c r="C41"/>
      <c r="D41"/>
      <c r="E41"/>
      <c r="F41"/>
      <c r="G41"/>
      <c r="H41"/>
      <c r="I41"/>
      <c r="J41"/>
      <c r="K41"/>
      <c r="L41"/>
      <c r="M41"/>
      <c r="N41"/>
      <c r="O41"/>
      <c r="P41"/>
      <c r="Q41"/>
      <c r="R41" t="s">
        <v>368</v>
      </c>
      <c r="S41"/>
      <c r="T41"/>
      <c r="U41"/>
      <c r="V41"/>
      <c r="W41"/>
      <c r="X41"/>
      <c r="Y41"/>
      <c r="Z41"/>
      <c r="AA41"/>
      <c r="AB41"/>
      <c r="AC41"/>
      <c r="AD41"/>
      <c r="AE41"/>
    </row>
    <row r="42" spans="1:37" x14ac:dyDescent="0.2">
      <c r="A42" s="240"/>
      <c r="B42" s="240"/>
      <c r="C42" s="240"/>
      <c r="D42" s="240"/>
      <c r="E42" s="240"/>
      <c r="F42" s="240"/>
      <c r="G42" s="240"/>
      <c r="H42" s="240"/>
      <c r="I42" s="240"/>
      <c r="J42" s="240"/>
      <c r="K42" s="240"/>
      <c r="L42" s="240"/>
      <c r="M42" s="240"/>
      <c r="N42" s="240"/>
      <c r="O42" s="240"/>
      <c r="P42" s="240"/>
      <c r="Q42"/>
      <c r="R42"/>
      <c r="S42"/>
      <c r="T42"/>
      <c r="U42"/>
      <c r="V42"/>
      <c r="W42"/>
      <c r="X42"/>
      <c r="Y42"/>
      <c r="Z42"/>
      <c r="AA42"/>
      <c r="AB42"/>
      <c r="AC42"/>
      <c r="AD42"/>
      <c r="AE42"/>
    </row>
    <row r="43" spans="1:37" x14ac:dyDescent="0.2">
      <c r="A43" s="240"/>
      <c r="B43" s="240"/>
      <c r="C43" s="240"/>
      <c r="D43" s="240"/>
      <c r="E43" s="240"/>
      <c r="F43" s="240"/>
      <c r="G43" s="240"/>
      <c r="H43" s="240"/>
      <c r="I43" s="240"/>
      <c r="J43" s="240"/>
      <c r="K43" s="240"/>
      <c r="L43" s="240"/>
      <c r="M43" s="240"/>
      <c r="N43" s="240"/>
      <c r="O43" s="240"/>
      <c r="P43" s="240"/>
      <c r="Q43"/>
      <c r="R43"/>
      <c r="S43"/>
      <c r="T43"/>
      <c r="U43"/>
      <c r="V43"/>
      <c r="W43"/>
      <c r="X43"/>
      <c r="Y43"/>
      <c r="Z43"/>
      <c r="AA43"/>
      <c r="AB43"/>
      <c r="AC43"/>
      <c r="AD43"/>
      <c r="AE43"/>
    </row>
    <row r="44" spans="1:37" x14ac:dyDescent="0.2">
      <c r="A44" s="266"/>
      <c r="B44" s="266"/>
      <c r="C44" s="266"/>
      <c r="D44" s="266"/>
      <c r="E44" s="266"/>
      <c r="F44" s="266"/>
      <c r="G44" s="266"/>
      <c r="H44" s="266"/>
      <c r="I44" s="266"/>
      <c r="J44" s="266"/>
      <c r="K44" s="266"/>
      <c r="L44" s="266"/>
      <c r="M44" s="266"/>
      <c r="N44" s="266"/>
      <c r="O44" s="266"/>
      <c r="P44" s="266"/>
      <c r="Q44"/>
      <c r="R44" s="267">
        <f>Data!B175</f>
        <v>0</v>
      </c>
      <c r="S44" s="267"/>
      <c r="T44" s="267"/>
      <c r="U44" s="267"/>
      <c r="V44" s="267"/>
      <c r="W44" s="267"/>
      <c r="X44" s="267"/>
      <c r="Y44" s="267"/>
      <c r="Z44" s="267"/>
      <c r="AA44" s="267"/>
      <c r="AB44" s="267"/>
      <c r="AC44" s="267"/>
      <c r="AD44" s="267"/>
      <c r="AE44" s="267"/>
    </row>
    <row r="45" spans="1:37" x14ac:dyDescent="0.2">
      <c r="A45" t="s">
        <v>2881</v>
      </c>
      <c r="B45"/>
      <c r="C45"/>
      <c r="D45"/>
      <c r="E45"/>
      <c r="F45"/>
      <c r="G45"/>
      <c r="H45"/>
      <c r="I45"/>
      <c r="J45"/>
      <c r="K45"/>
      <c r="L45"/>
      <c r="M45"/>
      <c r="N45"/>
      <c r="O45"/>
      <c r="P45"/>
      <c r="Q45"/>
      <c r="R45" t="s">
        <v>1465</v>
      </c>
      <c r="S45"/>
      <c r="T45"/>
      <c r="U45"/>
      <c r="V45"/>
      <c r="W45"/>
      <c r="X45"/>
      <c r="Y45"/>
      <c r="Z45"/>
      <c r="AA45"/>
      <c r="AB45"/>
      <c r="AC45"/>
      <c r="AD45"/>
      <c r="AE45"/>
    </row>
  </sheetData>
  <mergeCells count="14">
    <mergeCell ref="A38:P40"/>
    <mergeCell ref="R40:Y40"/>
    <mergeCell ref="A42:P44"/>
    <mergeCell ref="R44:AE44"/>
    <mergeCell ref="A19:AL19"/>
    <mergeCell ref="A26:AL26"/>
    <mergeCell ref="A20:AL24"/>
    <mergeCell ref="A13:AL17"/>
    <mergeCell ref="A27:AK33"/>
    <mergeCell ref="F2:V2"/>
    <mergeCell ref="AA2:AG2"/>
    <mergeCell ref="A4:AL4"/>
    <mergeCell ref="A12:AL12"/>
    <mergeCell ref="A5:AL10"/>
  </mergeCells>
  <pageMargins left="0.25" right="0.25" top="0.75" bottom="0.75" header="0.3" footer="0.3"/>
  <pageSetup orientation="portrait" r:id="rId1"/>
  <headerFooter>
    <oddHeader>&amp;L&amp;G&amp;R&amp;11Service Waivers</oddHeader>
    <oddFooter>&amp;LDS&amp;C3088 Mercer University Drive Suite 100 Atlanta, GA 30341
678-310-6305 Fax 404-935-6110&amp;RPP</oddFooter>
  </headerFooter>
  <legacyDrawingHF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5">
    <tabColor theme="4" tint="-0.249977111117893"/>
  </sheetPr>
  <dimension ref="A2:AL87"/>
  <sheetViews>
    <sheetView showZeros="0" view="pageLayout" topLeftCell="A16" zoomScaleNormal="100" workbookViewId="0">
      <selection activeCell="R42" sqref="R42:Y42"/>
    </sheetView>
  </sheetViews>
  <sheetFormatPr defaultColWidth="2.7109375" defaultRowHeight="12.75" x14ac:dyDescent="0.2"/>
  <sheetData>
    <row r="2" spans="1:38" ht="14.25" x14ac:dyDescent="0.2">
      <c r="A2" s="12" t="s">
        <v>336</v>
      </c>
      <c r="B2" s="12"/>
      <c r="C2" s="12"/>
      <c r="D2" s="12"/>
      <c r="F2" s="27"/>
      <c r="G2" s="27"/>
      <c r="H2" s="27"/>
      <c r="I2" s="518" t="str">
        <f>_xlfn.CONCAT(Data!B2,", ",Data!B3," ",Data!B4)</f>
        <v xml:space="preserve">,  </v>
      </c>
      <c r="J2" s="518"/>
      <c r="K2" s="518"/>
      <c r="L2" s="518"/>
      <c r="M2" s="518"/>
      <c r="N2" s="518"/>
      <c r="O2" s="518"/>
      <c r="P2" s="518"/>
      <c r="Q2" s="518"/>
      <c r="R2" s="518"/>
      <c r="S2" s="518"/>
      <c r="T2" s="518"/>
      <c r="U2" s="518"/>
      <c r="V2" s="518"/>
      <c r="W2" s="518"/>
      <c r="X2" s="12" t="s">
        <v>371</v>
      </c>
      <c r="Y2" s="12"/>
      <c r="Z2" s="517">
        <f>Data!B14</f>
        <v>0</v>
      </c>
      <c r="AA2" s="518"/>
      <c r="AB2" s="518"/>
      <c r="AC2" s="518"/>
      <c r="AD2" s="518"/>
      <c r="AE2" s="518"/>
    </row>
    <row r="4" spans="1:38" x14ac:dyDescent="0.2">
      <c r="A4" s="482" t="s">
        <v>3371</v>
      </c>
      <c r="B4" s="482"/>
      <c r="C4" s="482"/>
      <c r="D4" s="482"/>
      <c r="E4" s="482"/>
      <c r="F4" s="482"/>
      <c r="G4" s="482"/>
      <c r="H4" s="482"/>
      <c r="I4" s="482"/>
      <c r="J4" s="482"/>
      <c r="K4" s="482"/>
      <c r="L4" s="482"/>
      <c r="M4" s="482"/>
      <c r="N4" s="482"/>
      <c r="O4" s="482"/>
      <c r="P4" s="482"/>
      <c r="Q4" s="482"/>
      <c r="R4" s="482"/>
      <c r="S4" s="482"/>
      <c r="T4" s="482"/>
      <c r="U4" s="482"/>
      <c r="V4" s="482"/>
      <c r="W4" s="482"/>
      <c r="X4" s="482"/>
      <c r="Y4" s="482"/>
      <c r="Z4" s="482"/>
      <c r="AA4" s="482"/>
      <c r="AB4" s="482"/>
      <c r="AC4" s="482"/>
      <c r="AD4" s="482"/>
      <c r="AE4" s="482"/>
      <c r="AF4" s="482"/>
      <c r="AG4" s="482"/>
      <c r="AH4" s="482"/>
      <c r="AI4" s="482"/>
      <c r="AJ4" s="482"/>
      <c r="AK4" s="482"/>
      <c r="AL4" s="482"/>
    </row>
    <row r="5" spans="1:38" x14ac:dyDescent="0.2">
      <c r="A5" s="482"/>
      <c r="B5" s="482"/>
      <c r="C5" s="482"/>
      <c r="D5" s="482"/>
      <c r="E5" s="482"/>
      <c r="F5" s="482"/>
      <c r="G5" s="482"/>
      <c r="H5" s="482"/>
      <c r="I5" s="482"/>
      <c r="J5" s="482"/>
      <c r="K5" s="482"/>
      <c r="L5" s="482"/>
      <c r="M5" s="482"/>
      <c r="N5" s="482"/>
      <c r="O5" s="482"/>
      <c r="P5" s="482"/>
      <c r="Q5" s="482"/>
      <c r="R5" s="482"/>
      <c r="S5" s="482"/>
      <c r="T5" s="482"/>
      <c r="U5" s="482"/>
      <c r="V5" s="482"/>
      <c r="W5" s="482"/>
      <c r="X5" s="482"/>
      <c r="Y5" s="482"/>
      <c r="Z5" s="482"/>
      <c r="AA5" s="482"/>
      <c r="AB5" s="482"/>
      <c r="AC5" s="482"/>
      <c r="AD5" s="482"/>
      <c r="AE5" s="482"/>
      <c r="AF5" s="482"/>
      <c r="AG5" s="482"/>
      <c r="AH5" s="482"/>
      <c r="AI5" s="482"/>
      <c r="AJ5" s="482"/>
      <c r="AK5" s="482"/>
      <c r="AL5" s="482"/>
    </row>
    <row r="6" spans="1:38" x14ac:dyDescent="0.2">
      <c r="A6" s="482"/>
      <c r="B6" s="482"/>
      <c r="C6" s="482"/>
      <c r="D6" s="482"/>
      <c r="E6" s="482"/>
      <c r="F6" s="482"/>
      <c r="G6" s="482"/>
      <c r="H6" s="482"/>
      <c r="I6" s="482"/>
      <c r="J6" s="482"/>
      <c r="K6" s="482"/>
      <c r="L6" s="482"/>
      <c r="M6" s="482"/>
      <c r="N6" s="482"/>
      <c r="O6" s="482"/>
      <c r="P6" s="482"/>
      <c r="Q6" s="482"/>
      <c r="R6" s="482"/>
      <c r="S6" s="482"/>
      <c r="T6" s="482"/>
      <c r="U6" s="482"/>
      <c r="V6" s="482"/>
      <c r="W6" s="482"/>
      <c r="X6" s="482"/>
      <c r="Y6" s="482"/>
      <c r="Z6" s="482"/>
      <c r="AA6" s="482"/>
      <c r="AB6" s="482"/>
      <c r="AC6" s="482"/>
      <c r="AD6" s="482"/>
      <c r="AE6" s="482"/>
      <c r="AF6" s="482"/>
      <c r="AG6" s="482"/>
      <c r="AH6" s="482"/>
      <c r="AI6" s="482"/>
      <c r="AJ6" s="482"/>
      <c r="AK6" s="482"/>
      <c r="AL6" s="482"/>
    </row>
    <row r="7" spans="1:38" x14ac:dyDescent="0.2">
      <c r="A7" s="482"/>
      <c r="B7" s="482"/>
      <c r="C7" s="482"/>
      <c r="D7" s="482"/>
      <c r="E7" s="482"/>
      <c r="F7" s="482"/>
      <c r="G7" s="482"/>
      <c r="H7" s="482"/>
      <c r="I7" s="482"/>
      <c r="J7" s="482"/>
      <c r="K7" s="482"/>
      <c r="L7" s="482"/>
      <c r="M7" s="482"/>
      <c r="N7" s="482"/>
      <c r="O7" s="482"/>
      <c r="P7" s="482"/>
      <c r="Q7" s="482"/>
      <c r="R7" s="482"/>
      <c r="S7" s="482"/>
      <c r="T7" s="482"/>
      <c r="U7" s="482"/>
      <c r="V7" s="482"/>
      <c r="W7" s="482"/>
      <c r="X7" s="482"/>
      <c r="Y7" s="482"/>
      <c r="Z7" s="482"/>
      <c r="AA7" s="482"/>
      <c r="AB7" s="482"/>
      <c r="AC7" s="482"/>
      <c r="AD7" s="482"/>
      <c r="AE7" s="482"/>
      <c r="AF7" s="482"/>
      <c r="AG7" s="482"/>
      <c r="AH7" s="482"/>
      <c r="AI7" s="482"/>
      <c r="AJ7" s="482"/>
      <c r="AK7" s="482"/>
      <c r="AL7" s="482"/>
    </row>
    <row r="8" spans="1:38" x14ac:dyDescent="0.2">
      <c r="A8" s="482"/>
      <c r="B8" s="482"/>
      <c r="C8" s="482"/>
      <c r="D8" s="482"/>
      <c r="E8" s="482"/>
      <c r="F8" s="482"/>
      <c r="G8" s="482"/>
      <c r="H8" s="482"/>
      <c r="I8" s="482"/>
      <c r="J8" s="482"/>
      <c r="K8" s="482"/>
      <c r="L8" s="482"/>
      <c r="M8" s="482"/>
      <c r="N8" s="482"/>
      <c r="O8" s="482"/>
      <c r="P8" s="482"/>
      <c r="Q8" s="482"/>
      <c r="R8" s="482"/>
      <c r="S8" s="482"/>
      <c r="T8" s="482"/>
      <c r="U8" s="482"/>
      <c r="V8" s="482"/>
      <c r="W8" s="482"/>
      <c r="X8" s="482"/>
      <c r="Y8" s="482"/>
      <c r="Z8" s="482"/>
      <c r="AA8" s="482"/>
      <c r="AB8" s="482"/>
      <c r="AC8" s="482"/>
      <c r="AD8" s="482"/>
      <c r="AE8" s="482"/>
      <c r="AF8" s="482"/>
      <c r="AG8" s="482"/>
      <c r="AH8" s="482"/>
      <c r="AI8" s="482"/>
      <c r="AJ8" s="482"/>
      <c r="AK8" s="482"/>
      <c r="AL8" s="482"/>
    </row>
    <row r="9" spans="1:38" x14ac:dyDescent="0.2">
      <c r="A9" s="482"/>
      <c r="B9" s="482"/>
      <c r="C9" s="482"/>
      <c r="D9" s="482"/>
      <c r="E9" s="482"/>
      <c r="F9" s="482"/>
      <c r="G9" s="482"/>
      <c r="H9" s="482"/>
      <c r="I9" s="482"/>
      <c r="J9" s="482"/>
      <c r="K9" s="482"/>
      <c r="L9" s="482"/>
      <c r="M9" s="482"/>
      <c r="N9" s="482"/>
      <c r="O9" s="482"/>
      <c r="P9" s="482"/>
      <c r="Q9" s="482"/>
      <c r="R9" s="482"/>
      <c r="S9" s="482"/>
      <c r="T9" s="482"/>
      <c r="U9" s="482"/>
      <c r="V9" s="482"/>
      <c r="W9" s="482"/>
      <c r="X9" s="482"/>
      <c r="Y9" s="482"/>
      <c r="Z9" s="482"/>
      <c r="AA9" s="482"/>
      <c r="AB9" s="482"/>
      <c r="AC9" s="482"/>
      <c r="AD9" s="482"/>
      <c r="AE9" s="482"/>
      <c r="AF9" s="482"/>
      <c r="AG9" s="482"/>
      <c r="AH9" s="482"/>
      <c r="AI9" s="482"/>
      <c r="AJ9" s="482"/>
      <c r="AK9" s="482"/>
      <c r="AL9" s="482"/>
    </row>
    <row r="10" spans="1:38" x14ac:dyDescent="0.2">
      <c r="A10" s="482"/>
      <c r="B10" s="482"/>
      <c r="C10" s="482"/>
      <c r="D10" s="482"/>
      <c r="E10" s="482"/>
      <c r="F10" s="482"/>
      <c r="G10" s="482"/>
      <c r="H10" s="482"/>
      <c r="I10" s="482"/>
      <c r="J10" s="482"/>
      <c r="K10" s="482"/>
      <c r="L10" s="482"/>
      <c r="M10" s="482"/>
      <c r="N10" s="482"/>
      <c r="O10" s="482"/>
      <c r="P10" s="482"/>
      <c r="Q10" s="482"/>
      <c r="R10" s="482"/>
      <c r="S10" s="482"/>
      <c r="T10" s="482"/>
      <c r="U10" s="482"/>
      <c r="V10" s="482"/>
      <c r="W10" s="482"/>
      <c r="X10" s="482"/>
      <c r="Y10" s="482"/>
      <c r="Z10" s="482"/>
      <c r="AA10" s="482"/>
      <c r="AB10" s="482"/>
      <c r="AC10" s="482"/>
      <c r="AD10" s="482"/>
      <c r="AE10" s="482"/>
      <c r="AF10" s="482"/>
      <c r="AG10" s="482"/>
      <c r="AH10" s="482"/>
      <c r="AI10" s="482"/>
      <c r="AJ10" s="482"/>
      <c r="AK10" s="482"/>
      <c r="AL10" s="482"/>
    </row>
    <row r="11" spans="1:38" x14ac:dyDescent="0.2">
      <c r="A11" s="482"/>
      <c r="B11" s="482"/>
      <c r="C11" s="482"/>
      <c r="D11" s="482"/>
      <c r="E11" s="482"/>
      <c r="F11" s="482"/>
      <c r="G11" s="482"/>
      <c r="H11" s="482"/>
      <c r="I11" s="482"/>
      <c r="J11" s="482"/>
      <c r="K11" s="482"/>
      <c r="L11" s="482"/>
      <c r="M11" s="482"/>
      <c r="N11" s="482"/>
      <c r="O11" s="482"/>
      <c r="P11" s="482"/>
      <c r="Q11" s="482"/>
      <c r="R11" s="482"/>
      <c r="S11" s="482"/>
      <c r="T11" s="482"/>
      <c r="U11" s="482"/>
      <c r="V11" s="482"/>
      <c r="W11" s="482"/>
      <c r="X11" s="482"/>
      <c r="Y11" s="482"/>
      <c r="Z11" s="482"/>
      <c r="AA11" s="482"/>
      <c r="AB11" s="482"/>
      <c r="AC11" s="482"/>
      <c r="AD11" s="482"/>
      <c r="AE11" s="482"/>
      <c r="AF11" s="482"/>
      <c r="AG11" s="482"/>
      <c r="AH11" s="482"/>
      <c r="AI11" s="482"/>
      <c r="AJ11" s="482"/>
      <c r="AK11" s="482"/>
      <c r="AL11" s="482"/>
    </row>
    <row r="12" spans="1:38" ht="14.25" x14ac:dyDescent="0.2">
      <c r="A12" s="12" t="s">
        <v>716</v>
      </c>
      <c r="B12" s="12"/>
      <c r="C12" s="12"/>
      <c r="D12" s="12"/>
      <c r="E12" s="12"/>
      <c r="F12" s="12"/>
      <c r="G12" s="12"/>
      <c r="H12" s="12"/>
      <c r="I12" s="12"/>
      <c r="J12" s="12" t="s">
        <v>718</v>
      </c>
      <c r="K12" s="12"/>
      <c r="L12" s="12"/>
      <c r="M12" s="12"/>
      <c r="N12" s="12"/>
      <c r="O12" s="12"/>
      <c r="P12" s="12"/>
      <c r="Q12" s="12"/>
      <c r="R12" s="12"/>
      <c r="S12" s="12"/>
      <c r="T12" s="12"/>
      <c r="U12" s="12"/>
      <c r="V12" s="12"/>
    </row>
    <row r="13" spans="1:38" ht="14.25" x14ac:dyDescent="0.2">
      <c r="A13" s="537" t="s">
        <v>711</v>
      </c>
      <c r="B13" s="537"/>
      <c r="C13" s="537"/>
      <c r="D13" s="537"/>
      <c r="E13" s="537"/>
      <c r="F13" s="537"/>
      <c r="G13" s="537"/>
      <c r="H13" s="537"/>
      <c r="I13" s="537"/>
      <c r="J13" s="537"/>
      <c r="K13" s="537"/>
      <c r="L13" s="537"/>
      <c r="M13" s="537"/>
      <c r="N13" s="537"/>
      <c r="O13" s="537"/>
      <c r="P13" s="537"/>
      <c r="Q13" s="537"/>
      <c r="R13" s="537"/>
      <c r="S13" s="537"/>
      <c r="T13" s="537"/>
      <c r="U13" s="537"/>
      <c r="V13" s="537"/>
      <c r="W13" s="537"/>
      <c r="X13" s="537"/>
      <c r="Y13" s="537"/>
      <c r="Z13" s="537"/>
      <c r="AA13" s="537"/>
      <c r="AB13" s="537"/>
      <c r="AC13" s="537"/>
      <c r="AD13" s="537"/>
      <c r="AE13" s="537"/>
      <c r="AF13" s="537"/>
      <c r="AG13" s="537"/>
      <c r="AH13" s="537"/>
      <c r="AI13" s="537"/>
      <c r="AJ13" s="537"/>
      <c r="AK13" s="537"/>
    </row>
    <row r="14" spans="1:38" ht="14.25" x14ac:dyDescent="0.2">
      <c r="A14" s="12" t="s">
        <v>712</v>
      </c>
      <c r="B14" s="12"/>
      <c r="C14" s="12"/>
      <c r="D14" s="12"/>
      <c r="E14" s="12"/>
      <c r="F14" s="12"/>
      <c r="G14" s="462">
        <f>Data!B43</f>
        <v>0</v>
      </c>
      <c r="H14" s="462"/>
      <c r="I14" s="462"/>
      <c r="J14" s="462"/>
      <c r="K14" s="462"/>
      <c r="L14" s="462"/>
      <c r="M14" s="462"/>
      <c r="N14" s="462"/>
      <c r="O14" s="462"/>
      <c r="P14" s="462"/>
      <c r="Q14" s="462"/>
      <c r="R14" s="462"/>
      <c r="S14" s="12"/>
      <c r="T14" s="12" t="s">
        <v>344</v>
      </c>
      <c r="U14" s="12"/>
      <c r="V14" s="12"/>
      <c r="W14" s="462">
        <f>Data!B48</f>
        <v>0</v>
      </c>
      <c r="X14" s="462"/>
      <c r="Y14" s="462"/>
      <c r="Z14" s="462"/>
      <c r="AA14" s="462"/>
      <c r="AB14" s="462"/>
      <c r="AC14" s="462"/>
      <c r="AD14" s="462"/>
      <c r="AE14" s="12"/>
      <c r="AF14" s="28" t="str">
        <f>IF(Data!B49=TRUE,"P","")</f>
        <v/>
      </c>
      <c r="AG14" s="12" t="s">
        <v>51</v>
      </c>
      <c r="AH14" s="12"/>
      <c r="AI14" s="12"/>
      <c r="AJ14" s="12"/>
      <c r="AK14" s="12"/>
    </row>
    <row r="15" spans="1:38" ht="14.25" x14ac:dyDescent="0.2">
      <c r="A15" s="12" t="s">
        <v>669</v>
      </c>
      <c r="B15" s="12"/>
      <c r="C15" s="12"/>
      <c r="D15" s="12"/>
      <c r="E15" s="12"/>
      <c r="F15" s="538">
        <f>Data!B45</f>
        <v>0</v>
      </c>
      <c r="G15" s="538"/>
      <c r="H15" s="538"/>
      <c r="I15" s="538"/>
      <c r="J15" s="538"/>
      <c r="K15" s="538"/>
      <c r="L15" s="538"/>
      <c r="M15" s="538"/>
      <c r="N15" s="12" t="s">
        <v>670</v>
      </c>
      <c r="O15" s="12"/>
      <c r="P15" s="12"/>
      <c r="Q15" s="12"/>
      <c r="R15" s="12"/>
      <c r="S15" s="538">
        <f>Data!B46</f>
        <v>0</v>
      </c>
      <c r="T15" s="538"/>
      <c r="U15" s="538"/>
      <c r="V15" s="538"/>
      <c r="W15" s="538"/>
      <c r="X15" s="538"/>
      <c r="Y15" s="538"/>
      <c r="Z15" s="538"/>
      <c r="AA15" s="12"/>
      <c r="AB15" s="12"/>
      <c r="AC15" s="12"/>
      <c r="AD15" s="12"/>
      <c r="AE15" s="12"/>
      <c r="AF15" s="28" t="str">
        <f>IF(Data!B50=TRUE,"P","")</f>
        <v/>
      </c>
      <c r="AG15" s="12" t="s">
        <v>713</v>
      </c>
      <c r="AH15" s="12"/>
      <c r="AI15" s="12"/>
      <c r="AJ15" s="12"/>
      <c r="AK15" s="12"/>
    </row>
    <row r="16" spans="1:38" ht="14.25" x14ac:dyDescent="0.2">
      <c r="A16" s="12" t="s">
        <v>343</v>
      </c>
      <c r="B16" s="12"/>
      <c r="C16" s="12"/>
      <c r="D16" s="462">
        <f>Data!B44</f>
        <v>0</v>
      </c>
      <c r="E16" s="462"/>
      <c r="F16" s="462"/>
      <c r="G16" s="462"/>
      <c r="H16" s="462"/>
      <c r="I16" s="462"/>
      <c r="J16" s="462"/>
      <c r="K16" s="462"/>
      <c r="L16" s="462"/>
      <c r="M16" s="462"/>
      <c r="N16" s="462"/>
      <c r="O16" s="462"/>
      <c r="P16" s="462"/>
      <c r="Q16" s="462"/>
      <c r="R16" s="462"/>
      <c r="S16" s="462"/>
      <c r="T16" s="462"/>
      <c r="U16" s="462"/>
      <c r="V16" s="462"/>
      <c r="W16" s="462"/>
      <c r="X16" s="462"/>
      <c r="Y16" s="462"/>
      <c r="Z16" s="462"/>
      <c r="AA16" s="462"/>
      <c r="AB16" s="462"/>
      <c r="AC16" s="462"/>
      <c r="AD16" s="462"/>
      <c r="AE16" s="462"/>
      <c r="AF16" s="28" t="str">
        <f>IF(Data!B52=TRUE,"P","")</f>
        <v/>
      </c>
      <c r="AG16" s="12" t="s">
        <v>714</v>
      </c>
      <c r="AH16" s="12"/>
      <c r="AI16" s="12"/>
      <c r="AJ16" s="12"/>
      <c r="AK16" s="12"/>
    </row>
    <row r="17" spans="1:37" ht="14.25" x14ac:dyDescent="0.2">
      <c r="A17" s="12" t="s">
        <v>715</v>
      </c>
      <c r="B17" s="12"/>
      <c r="C17" s="12"/>
      <c r="D17" s="462">
        <f>Data!B47</f>
        <v>0</v>
      </c>
      <c r="E17" s="462"/>
      <c r="F17" s="462"/>
      <c r="G17" s="462"/>
      <c r="H17" s="462"/>
      <c r="I17" s="462"/>
      <c r="J17" s="462"/>
      <c r="K17" s="462"/>
      <c r="L17" s="462"/>
      <c r="M17" s="462"/>
      <c r="N17" s="462"/>
      <c r="O17" s="462"/>
      <c r="P17" s="462"/>
      <c r="Q17" s="462"/>
      <c r="R17" s="462"/>
      <c r="S17" s="462"/>
      <c r="T17" s="462"/>
      <c r="U17" s="462"/>
      <c r="V17" s="462"/>
      <c r="W17" s="462"/>
      <c r="X17" s="462"/>
      <c r="Y17" s="462"/>
      <c r="Z17" s="462"/>
      <c r="AA17" s="462"/>
      <c r="AB17" s="462"/>
      <c r="AC17" s="462"/>
      <c r="AD17" s="462"/>
      <c r="AE17" s="462"/>
      <c r="AF17" s="28" t="str">
        <f>IF(Data!B53=TRUE,"P","")</f>
        <v/>
      </c>
      <c r="AG17" s="12" t="s">
        <v>717</v>
      </c>
      <c r="AH17" s="12"/>
      <c r="AI17" s="12"/>
      <c r="AJ17" s="12"/>
      <c r="AK17" s="12"/>
    </row>
    <row r="18" spans="1:37" ht="14.25" x14ac:dyDescent="0.2">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row>
    <row r="19" spans="1:37" ht="14.25" x14ac:dyDescent="0.2">
      <c r="A19" s="12" t="s">
        <v>719</v>
      </c>
      <c r="B19" s="12"/>
      <c r="C19" s="12"/>
      <c r="D19" s="12"/>
      <c r="E19" s="12"/>
      <c r="F19" s="12"/>
      <c r="G19" s="462">
        <f>Data!B55</f>
        <v>0</v>
      </c>
      <c r="H19" s="462"/>
      <c r="I19" s="462"/>
      <c r="J19" s="462"/>
      <c r="K19" s="462"/>
      <c r="L19" s="462"/>
      <c r="M19" s="462"/>
      <c r="N19" s="462"/>
      <c r="O19" s="462"/>
      <c r="P19" s="462"/>
      <c r="Q19" s="462"/>
      <c r="R19" s="462"/>
      <c r="S19" s="12"/>
      <c r="T19" s="12" t="s">
        <v>344</v>
      </c>
      <c r="U19" s="12"/>
      <c r="V19" s="12"/>
      <c r="W19" s="462">
        <f>Data!B60</f>
        <v>0</v>
      </c>
      <c r="X19" s="462"/>
      <c r="Y19" s="462"/>
      <c r="Z19" s="462"/>
      <c r="AA19" s="462"/>
      <c r="AB19" s="462"/>
      <c r="AC19" s="462"/>
      <c r="AD19" s="462"/>
      <c r="AE19" s="12"/>
      <c r="AF19" s="28" t="str">
        <f>IF(Data!B61=TRUE,"P","")</f>
        <v/>
      </c>
      <c r="AG19" s="12" t="s">
        <v>51</v>
      </c>
      <c r="AH19" s="12"/>
      <c r="AI19" s="12"/>
      <c r="AJ19" s="12"/>
      <c r="AK19" s="12"/>
    </row>
    <row r="20" spans="1:37" ht="14.25" x14ac:dyDescent="0.2">
      <c r="A20" s="12" t="s">
        <v>669</v>
      </c>
      <c r="B20" s="12"/>
      <c r="C20" s="12"/>
      <c r="D20" s="12"/>
      <c r="E20" s="12"/>
      <c r="F20" s="538">
        <f>Data!B57</f>
        <v>0</v>
      </c>
      <c r="G20" s="538"/>
      <c r="H20" s="538"/>
      <c r="I20" s="538"/>
      <c r="J20" s="538"/>
      <c r="K20" s="538"/>
      <c r="L20" s="538"/>
      <c r="M20" s="538"/>
      <c r="N20" s="12" t="s">
        <v>670</v>
      </c>
      <c r="O20" s="12"/>
      <c r="P20" s="12"/>
      <c r="Q20" s="12"/>
      <c r="R20" s="12"/>
      <c r="S20" s="538">
        <f>Data!B58</f>
        <v>0</v>
      </c>
      <c r="T20" s="538"/>
      <c r="U20" s="538"/>
      <c r="V20" s="538"/>
      <c r="W20" s="538"/>
      <c r="X20" s="538"/>
      <c r="Y20" s="538"/>
      <c r="Z20" s="538"/>
      <c r="AA20" s="12"/>
      <c r="AB20" s="12"/>
      <c r="AC20" s="12"/>
      <c r="AD20" s="12"/>
      <c r="AE20" s="12"/>
      <c r="AF20" s="28" t="str">
        <f>IF(Data!B62=TRUE,"P","")</f>
        <v/>
      </c>
      <c r="AG20" s="12" t="s">
        <v>713</v>
      </c>
      <c r="AH20" s="12"/>
      <c r="AI20" s="12"/>
      <c r="AJ20" s="12"/>
      <c r="AK20" s="12"/>
    </row>
    <row r="21" spans="1:37" ht="14.25" x14ac:dyDescent="0.2">
      <c r="A21" s="12" t="s">
        <v>343</v>
      </c>
      <c r="B21" s="12"/>
      <c r="C21" s="12"/>
      <c r="D21" s="462">
        <f>Data!B56</f>
        <v>0</v>
      </c>
      <c r="E21" s="462"/>
      <c r="F21" s="462"/>
      <c r="G21" s="462"/>
      <c r="H21" s="462"/>
      <c r="I21" s="462"/>
      <c r="J21" s="462"/>
      <c r="K21" s="462"/>
      <c r="L21" s="462"/>
      <c r="M21" s="462"/>
      <c r="N21" s="462"/>
      <c r="O21" s="462"/>
      <c r="P21" s="462"/>
      <c r="Q21" s="462"/>
      <c r="R21" s="462"/>
      <c r="S21" s="462"/>
      <c r="T21" s="462"/>
      <c r="U21" s="462"/>
      <c r="V21" s="462"/>
      <c r="W21" s="462"/>
      <c r="X21" s="462"/>
      <c r="Y21" s="462"/>
      <c r="Z21" s="462"/>
      <c r="AA21" s="462"/>
      <c r="AB21" s="462"/>
      <c r="AC21" s="462"/>
      <c r="AD21" s="462"/>
      <c r="AE21" s="462"/>
      <c r="AF21" s="28" t="str">
        <f>IF(Data!B64=TRUE,"P","")</f>
        <v/>
      </c>
      <c r="AG21" s="12" t="s">
        <v>714</v>
      </c>
      <c r="AH21" s="12"/>
      <c r="AI21" s="12"/>
      <c r="AJ21" s="12"/>
      <c r="AK21" s="12"/>
    </row>
    <row r="22" spans="1:37" ht="14.25" x14ac:dyDescent="0.2">
      <c r="A22" s="12" t="s">
        <v>715</v>
      </c>
      <c r="B22" s="12"/>
      <c r="C22" s="12"/>
      <c r="D22" s="462">
        <f>Data!B59</f>
        <v>0</v>
      </c>
      <c r="E22" s="462"/>
      <c r="F22" s="462"/>
      <c r="G22" s="462"/>
      <c r="H22" s="462"/>
      <c r="I22" s="462"/>
      <c r="J22" s="462"/>
      <c r="K22" s="462"/>
      <c r="L22" s="462"/>
      <c r="M22" s="462"/>
      <c r="N22" s="462"/>
      <c r="O22" s="462"/>
      <c r="P22" s="462"/>
      <c r="Q22" s="462"/>
      <c r="R22" s="462"/>
      <c r="S22" s="462"/>
      <c r="T22" s="462"/>
      <c r="U22" s="462"/>
      <c r="V22" s="462"/>
      <c r="W22" s="462"/>
      <c r="X22" s="462"/>
      <c r="Y22" s="462"/>
      <c r="Z22" s="462"/>
      <c r="AA22" s="462"/>
      <c r="AB22" s="462"/>
      <c r="AC22" s="462"/>
      <c r="AD22" s="462"/>
      <c r="AE22" s="462"/>
      <c r="AF22" s="28" t="str">
        <f>IF(Data!B65=TRUE,"P","")</f>
        <v/>
      </c>
      <c r="AG22" s="12" t="s">
        <v>717</v>
      </c>
      <c r="AH22" s="12"/>
      <c r="AI22" s="12"/>
      <c r="AJ22" s="12"/>
      <c r="AK22" s="12"/>
    </row>
    <row r="23" spans="1:37" ht="14.25" x14ac:dyDescent="0.2">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row>
    <row r="24" spans="1:37" ht="14.25" x14ac:dyDescent="0.2">
      <c r="A24" s="12" t="s">
        <v>720</v>
      </c>
      <c r="B24" s="12"/>
      <c r="C24" s="12"/>
      <c r="D24" s="12"/>
      <c r="E24" s="12"/>
      <c r="F24" s="12"/>
      <c r="G24" s="462">
        <f>Data!B67</f>
        <v>0</v>
      </c>
      <c r="H24" s="462"/>
      <c r="I24" s="462"/>
      <c r="J24" s="462"/>
      <c r="K24" s="462"/>
      <c r="L24" s="462"/>
      <c r="M24" s="462"/>
      <c r="N24" s="462"/>
      <c r="O24" s="462"/>
      <c r="P24" s="462"/>
      <c r="Q24" s="462"/>
      <c r="R24" s="462"/>
      <c r="S24" s="12"/>
      <c r="T24" s="12" t="s">
        <v>344</v>
      </c>
      <c r="U24" s="12"/>
      <c r="V24" s="12"/>
      <c r="W24" s="462">
        <f>Data!B72</f>
        <v>0</v>
      </c>
      <c r="X24" s="462"/>
      <c r="Y24" s="462"/>
      <c r="Z24" s="462"/>
      <c r="AA24" s="462"/>
      <c r="AB24" s="462"/>
      <c r="AC24" s="462"/>
      <c r="AD24" s="462"/>
      <c r="AE24" s="12"/>
      <c r="AF24" s="28" t="str">
        <f>IF(Data!B73=TRUE,"P","")</f>
        <v/>
      </c>
      <c r="AG24" s="12" t="s">
        <v>51</v>
      </c>
      <c r="AH24" s="12"/>
      <c r="AI24" s="12"/>
      <c r="AJ24" s="12"/>
      <c r="AK24" s="12"/>
    </row>
    <row r="25" spans="1:37" ht="14.25" x14ac:dyDescent="0.2">
      <c r="A25" s="12" t="s">
        <v>669</v>
      </c>
      <c r="B25" s="12"/>
      <c r="C25" s="12"/>
      <c r="D25" s="12"/>
      <c r="E25" s="12"/>
      <c r="F25" s="538">
        <f>Data!B69</f>
        <v>0</v>
      </c>
      <c r="G25" s="538"/>
      <c r="H25" s="538"/>
      <c r="I25" s="538"/>
      <c r="J25" s="538"/>
      <c r="K25" s="538"/>
      <c r="L25" s="538"/>
      <c r="M25" s="538"/>
      <c r="N25" s="12" t="s">
        <v>670</v>
      </c>
      <c r="O25" s="12"/>
      <c r="P25" s="12"/>
      <c r="Q25" s="12"/>
      <c r="R25" s="12"/>
      <c r="S25" s="538">
        <f>Data!B70</f>
        <v>0</v>
      </c>
      <c r="T25" s="538"/>
      <c r="U25" s="538"/>
      <c r="V25" s="538"/>
      <c r="W25" s="538"/>
      <c r="X25" s="538"/>
      <c r="Y25" s="538"/>
      <c r="Z25" s="538"/>
      <c r="AA25" s="12"/>
      <c r="AB25" s="12"/>
      <c r="AC25" s="12"/>
      <c r="AD25" s="12"/>
      <c r="AE25" s="12"/>
      <c r="AF25" s="28" t="str">
        <f>IF(Data!B74=TRUE,"P","")</f>
        <v/>
      </c>
      <c r="AG25" s="12" t="s">
        <v>713</v>
      </c>
      <c r="AH25" s="12"/>
      <c r="AI25" s="12"/>
      <c r="AJ25" s="12"/>
      <c r="AK25" s="12"/>
    </row>
    <row r="26" spans="1:37" ht="14.25" x14ac:dyDescent="0.2">
      <c r="A26" s="12" t="s">
        <v>343</v>
      </c>
      <c r="B26" s="12"/>
      <c r="C26" s="12"/>
      <c r="D26" s="462">
        <f>Data!B68</f>
        <v>0</v>
      </c>
      <c r="E26" s="462"/>
      <c r="F26" s="462"/>
      <c r="G26" s="462"/>
      <c r="H26" s="462"/>
      <c r="I26" s="462"/>
      <c r="J26" s="462"/>
      <c r="K26" s="462"/>
      <c r="L26" s="462"/>
      <c r="M26" s="462"/>
      <c r="N26" s="462"/>
      <c r="O26" s="462"/>
      <c r="P26" s="462"/>
      <c r="Q26" s="462"/>
      <c r="R26" s="462"/>
      <c r="S26" s="462"/>
      <c r="T26" s="462"/>
      <c r="U26" s="462"/>
      <c r="V26" s="462"/>
      <c r="W26" s="462"/>
      <c r="X26" s="462"/>
      <c r="Y26" s="462"/>
      <c r="Z26" s="462"/>
      <c r="AA26" s="462"/>
      <c r="AB26" s="462"/>
      <c r="AC26" s="462"/>
      <c r="AD26" s="462"/>
      <c r="AE26" s="462"/>
      <c r="AF26" s="28" t="str">
        <f>IF(Data!B76=TRUE,"P","")</f>
        <v/>
      </c>
      <c r="AG26" s="12" t="s">
        <v>714</v>
      </c>
      <c r="AH26" s="12"/>
      <c r="AI26" s="12"/>
      <c r="AJ26" s="12"/>
      <c r="AK26" s="12"/>
    </row>
    <row r="27" spans="1:37" ht="14.25" x14ac:dyDescent="0.2">
      <c r="A27" s="12" t="s">
        <v>715</v>
      </c>
      <c r="B27" s="12"/>
      <c r="C27" s="12"/>
      <c r="D27" s="462">
        <f>Data!B71</f>
        <v>0</v>
      </c>
      <c r="E27" s="462"/>
      <c r="F27" s="462"/>
      <c r="G27" s="462"/>
      <c r="H27" s="462"/>
      <c r="I27" s="462"/>
      <c r="J27" s="462"/>
      <c r="K27" s="462"/>
      <c r="L27" s="462"/>
      <c r="M27" s="462"/>
      <c r="N27" s="462"/>
      <c r="O27" s="462"/>
      <c r="P27" s="462"/>
      <c r="Q27" s="462"/>
      <c r="R27" s="462"/>
      <c r="S27" s="462"/>
      <c r="T27" s="462"/>
      <c r="U27" s="462"/>
      <c r="V27" s="462"/>
      <c r="W27" s="462"/>
      <c r="X27" s="462"/>
      <c r="Y27" s="462"/>
      <c r="Z27" s="462"/>
      <c r="AA27" s="462"/>
      <c r="AB27" s="462"/>
      <c r="AC27" s="462"/>
      <c r="AD27" s="462"/>
      <c r="AE27" s="462"/>
      <c r="AF27" s="28" t="str">
        <f>IF(Data!B77=TRUE,"P","")</f>
        <v/>
      </c>
      <c r="AG27" s="12" t="s">
        <v>717</v>
      </c>
      <c r="AH27" s="12"/>
      <c r="AI27" s="12"/>
      <c r="AJ27" s="12"/>
      <c r="AK27" s="12"/>
    </row>
    <row r="28" spans="1:37" ht="14.25" x14ac:dyDescent="0.2">
      <c r="A28" s="12"/>
      <c r="B28" s="12"/>
      <c r="C28" s="12"/>
      <c r="D28" s="12"/>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2"/>
      <c r="AK28" s="12"/>
    </row>
    <row r="29" spans="1:37" ht="14.25" x14ac:dyDescent="0.2">
      <c r="A29" s="12" t="s">
        <v>673</v>
      </c>
      <c r="B29" s="12"/>
      <c r="C29" s="12"/>
      <c r="D29" s="12"/>
      <c r="E29" s="12"/>
      <c r="F29" s="12"/>
      <c r="G29" s="12"/>
      <c r="H29" s="518">
        <f>Data!B87</f>
        <v>0</v>
      </c>
      <c r="I29" s="518"/>
      <c r="J29" s="518"/>
      <c r="K29" s="518"/>
      <c r="L29" s="518"/>
      <c r="M29" s="518"/>
      <c r="N29" s="518"/>
      <c r="O29" s="518"/>
      <c r="P29" s="518"/>
      <c r="Q29" s="518"/>
      <c r="R29" s="518"/>
      <c r="S29" s="518"/>
      <c r="T29" s="12"/>
      <c r="U29" s="12"/>
      <c r="V29" s="12"/>
      <c r="W29" s="12"/>
      <c r="X29" s="12" t="s">
        <v>348</v>
      </c>
      <c r="Y29" s="12"/>
      <c r="Z29" s="12"/>
      <c r="AA29" s="539">
        <f>Data!B93</f>
        <v>0</v>
      </c>
      <c r="AB29" s="539"/>
      <c r="AC29" s="539"/>
      <c r="AD29" s="539"/>
      <c r="AE29" s="539"/>
      <c r="AF29" s="539"/>
      <c r="AG29" s="539"/>
      <c r="AH29" s="539"/>
      <c r="AI29" s="539"/>
      <c r="AJ29" s="12"/>
      <c r="AK29" s="12"/>
    </row>
    <row r="30" spans="1:37" ht="14.25" x14ac:dyDescent="0.2">
      <c r="A30" s="12" t="s">
        <v>343</v>
      </c>
      <c r="B30" s="12"/>
      <c r="C30" s="12"/>
      <c r="D30" s="12"/>
      <c r="E30" s="518" t="str">
        <f>Data!B88&amp;" "&amp;Data!B89</f>
        <v xml:space="preserve"> </v>
      </c>
      <c r="F30" s="518"/>
      <c r="G30" s="518"/>
      <c r="H30" s="518"/>
      <c r="I30" s="518"/>
      <c r="J30" s="518"/>
      <c r="K30" s="518"/>
      <c r="L30" s="518"/>
      <c r="M30" s="518"/>
      <c r="N30" s="518"/>
      <c r="O30" s="518"/>
      <c r="P30" s="518"/>
      <c r="Q30" s="518"/>
      <c r="R30" s="518"/>
      <c r="S30" s="518"/>
      <c r="T30" s="518"/>
      <c r="U30" s="518"/>
      <c r="V30" s="518"/>
      <c r="W30" s="12"/>
      <c r="X30" s="12" t="s">
        <v>675</v>
      </c>
      <c r="Y30" s="12"/>
      <c r="Z30" s="12"/>
      <c r="AA30" s="539">
        <f>Data!B94</f>
        <v>0</v>
      </c>
      <c r="AB30" s="539"/>
      <c r="AC30" s="539"/>
      <c r="AD30" s="539"/>
      <c r="AE30" s="539"/>
      <c r="AF30" s="539"/>
      <c r="AG30" s="539"/>
      <c r="AH30" s="539"/>
      <c r="AI30" s="539"/>
      <c r="AJ30" s="539"/>
      <c r="AK30" s="12"/>
    </row>
    <row r="31" spans="1:37" ht="14.25" x14ac:dyDescent="0.2">
      <c r="A31" s="12" t="s">
        <v>1088</v>
      </c>
      <c r="B31" s="12"/>
      <c r="C31" s="12"/>
      <c r="D31" s="12"/>
      <c r="E31" s="12"/>
      <c r="F31" s="12"/>
      <c r="G31" s="518" t="str">
        <f>Data!B90&amp;","&amp;Data!B91&amp;" "&amp;Data!B92</f>
        <v xml:space="preserve">, </v>
      </c>
      <c r="H31" s="518"/>
      <c r="I31" s="518"/>
      <c r="J31" s="518"/>
      <c r="K31" s="518"/>
      <c r="L31" s="518"/>
      <c r="M31" s="518"/>
      <c r="N31" s="518"/>
      <c r="O31" s="518"/>
      <c r="P31" s="518"/>
      <c r="Q31" s="518"/>
      <c r="R31" s="518"/>
      <c r="S31" s="518"/>
      <c r="T31" s="518"/>
      <c r="U31" s="518"/>
      <c r="V31" s="518"/>
      <c r="W31" s="12"/>
      <c r="X31" s="12" t="s">
        <v>872</v>
      </c>
      <c r="Y31" s="12"/>
      <c r="Z31" s="12"/>
      <c r="AA31" s="518">
        <f>Data!B96</f>
        <v>0</v>
      </c>
      <c r="AB31" s="518"/>
      <c r="AC31" s="518"/>
      <c r="AD31" s="518"/>
      <c r="AE31" s="518"/>
      <c r="AF31" s="518"/>
      <c r="AG31" s="518"/>
      <c r="AH31" s="518"/>
      <c r="AI31" s="518"/>
      <c r="AJ31" s="518"/>
      <c r="AK31" s="12"/>
    </row>
    <row r="32" spans="1:37" ht="14.25" x14ac:dyDescent="0.2">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row>
    <row r="33" spans="1:37" ht="14.25" x14ac:dyDescent="0.2">
      <c r="A33" s="537" t="s">
        <v>721</v>
      </c>
      <c r="B33" s="537"/>
      <c r="C33" s="537"/>
      <c r="D33" s="537"/>
      <c r="E33" s="537"/>
      <c r="F33" s="537"/>
      <c r="G33" s="537"/>
      <c r="H33" s="537"/>
      <c r="I33" s="537"/>
      <c r="J33" s="537"/>
      <c r="K33" s="537"/>
      <c r="L33" s="537"/>
      <c r="M33" s="537"/>
      <c r="N33" s="537"/>
      <c r="O33" s="537"/>
      <c r="P33" s="537"/>
      <c r="Q33" s="537"/>
      <c r="R33" s="537"/>
      <c r="S33" s="537"/>
      <c r="T33" s="537"/>
      <c r="U33" s="537"/>
      <c r="V33" s="537"/>
      <c r="W33" s="537"/>
      <c r="X33" s="537"/>
      <c r="Y33" s="537"/>
      <c r="Z33" s="537"/>
      <c r="AA33" s="537"/>
      <c r="AB33" s="537"/>
      <c r="AC33" s="537"/>
      <c r="AD33" s="537"/>
      <c r="AE33" s="537"/>
      <c r="AF33" s="537"/>
      <c r="AG33" s="537"/>
      <c r="AH33" s="537"/>
      <c r="AI33" s="537"/>
      <c r="AJ33" s="537"/>
      <c r="AK33" s="537"/>
    </row>
    <row r="34" spans="1:37" ht="14.25" x14ac:dyDescent="0.2">
      <c r="A34" s="12" t="str">
        <f>IF(Data!B79="Yes","","No unauthorized contacts for this client.")</f>
        <v>No unauthorized contacts for this client.</v>
      </c>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row>
    <row r="35" spans="1:37" ht="14.25" x14ac:dyDescent="0.2">
      <c r="A35" s="12" t="s">
        <v>342</v>
      </c>
      <c r="B35" s="12"/>
      <c r="C35" s="12"/>
      <c r="D35" s="533">
        <f>Data!B80</f>
        <v>0</v>
      </c>
      <c r="E35" s="533"/>
      <c r="F35" s="533"/>
      <c r="G35" s="533"/>
      <c r="H35" s="533"/>
      <c r="I35" s="533"/>
      <c r="J35" s="533"/>
      <c r="K35" s="533"/>
      <c r="L35" s="533"/>
      <c r="M35" s="533"/>
      <c r="N35" s="533"/>
      <c r="O35" s="533"/>
      <c r="P35" s="533"/>
      <c r="Q35" s="12" t="s">
        <v>777</v>
      </c>
      <c r="R35" s="12"/>
      <c r="S35" s="12"/>
      <c r="T35" s="12"/>
      <c r="U35" s="12"/>
      <c r="V35" s="533">
        <f>Data!B81</f>
        <v>0</v>
      </c>
      <c r="W35" s="533"/>
      <c r="X35" s="533"/>
      <c r="Y35" s="533"/>
      <c r="Z35" s="533"/>
      <c r="AA35" s="533"/>
      <c r="AB35" s="533"/>
      <c r="AC35" s="533"/>
      <c r="AD35" s="12"/>
      <c r="AE35" s="12"/>
      <c r="AF35" s="12"/>
      <c r="AG35" s="12"/>
      <c r="AH35" s="12"/>
      <c r="AI35" s="12"/>
      <c r="AJ35" s="12"/>
      <c r="AK35" s="12"/>
    </row>
    <row r="36" spans="1:37" ht="14.25" x14ac:dyDescent="0.2">
      <c r="A36" s="12" t="s">
        <v>342</v>
      </c>
      <c r="B36" s="12"/>
      <c r="C36" s="12"/>
      <c r="D36" s="533">
        <f>Data!B82</f>
        <v>0</v>
      </c>
      <c r="E36" s="533"/>
      <c r="F36" s="533"/>
      <c r="G36" s="533"/>
      <c r="H36" s="533"/>
      <c r="I36" s="533"/>
      <c r="J36" s="533"/>
      <c r="K36" s="533"/>
      <c r="L36" s="533"/>
      <c r="M36" s="533"/>
      <c r="N36" s="533"/>
      <c r="O36" s="533"/>
      <c r="P36" s="533"/>
      <c r="Q36" s="12" t="s">
        <v>777</v>
      </c>
      <c r="R36" s="12"/>
      <c r="S36" s="12"/>
      <c r="T36" s="12"/>
      <c r="U36" s="12"/>
      <c r="V36" s="533">
        <f>Data!B83</f>
        <v>0</v>
      </c>
      <c r="W36" s="533"/>
      <c r="X36" s="533"/>
      <c r="Y36" s="533"/>
      <c r="Z36" s="533"/>
      <c r="AA36" s="533"/>
      <c r="AB36" s="533"/>
      <c r="AC36" s="533"/>
      <c r="AD36" s="12"/>
      <c r="AE36" s="12"/>
      <c r="AF36" s="12"/>
      <c r="AG36" s="12"/>
      <c r="AH36" s="12"/>
      <c r="AI36" s="12"/>
      <c r="AJ36" s="12"/>
      <c r="AK36" s="12"/>
    </row>
    <row r="37" spans="1:37" ht="14.25" x14ac:dyDescent="0.2">
      <c r="A37" s="12" t="s">
        <v>342</v>
      </c>
      <c r="B37" s="12"/>
      <c r="C37" s="12"/>
      <c r="D37" s="533">
        <f>Data!B82</f>
        <v>0</v>
      </c>
      <c r="E37" s="533"/>
      <c r="F37" s="533"/>
      <c r="G37" s="533"/>
      <c r="H37" s="533"/>
      <c r="I37" s="533"/>
      <c r="J37" s="533"/>
      <c r="K37" s="533"/>
      <c r="L37" s="533"/>
      <c r="M37" s="533"/>
      <c r="N37" s="533"/>
      <c r="O37" s="533"/>
      <c r="P37" s="533"/>
      <c r="Q37" s="12" t="s">
        <v>777</v>
      </c>
      <c r="R37" s="12"/>
      <c r="S37" s="12"/>
      <c r="T37" s="12"/>
      <c r="U37" s="12"/>
      <c r="V37" s="533">
        <f>Data!B85</f>
        <v>0</v>
      </c>
      <c r="W37" s="533"/>
      <c r="X37" s="533"/>
      <c r="Y37" s="533"/>
      <c r="Z37" s="533"/>
      <c r="AA37" s="533"/>
      <c r="AB37" s="533"/>
      <c r="AC37" s="533"/>
      <c r="AD37" s="12"/>
      <c r="AE37" s="12"/>
      <c r="AF37" s="12"/>
      <c r="AG37" s="12"/>
      <c r="AH37" s="12"/>
      <c r="AI37" s="12"/>
      <c r="AJ37" s="12"/>
      <c r="AK37" s="12"/>
    </row>
    <row r="38" spans="1:37" ht="14.25" x14ac:dyDescent="0.2">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row>
    <row r="39" spans="1:37" ht="14.25" x14ac:dyDescent="0.2">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row>
    <row r="40" spans="1:37" ht="14.25" x14ac:dyDescent="0.2">
      <c r="A40" s="533"/>
      <c r="B40" s="533"/>
      <c r="C40" s="533"/>
      <c r="D40" s="533"/>
      <c r="E40" s="533"/>
      <c r="F40" s="533"/>
      <c r="G40" s="533"/>
      <c r="H40" s="533"/>
      <c r="I40" s="533"/>
      <c r="J40" s="533"/>
      <c r="K40" s="533"/>
      <c r="L40" s="533"/>
      <c r="M40" s="533"/>
      <c r="N40" s="533"/>
      <c r="O40" s="533"/>
      <c r="P40" s="533"/>
      <c r="Q40" s="12"/>
      <c r="R40" s="12"/>
      <c r="S40" s="12"/>
      <c r="T40" s="12"/>
      <c r="U40" s="12"/>
      <c r="V40" s="12"/>
      <c r="W40" s="12"/>
      <c r="X40" s="12"/>
      <c r="Y40" s="12"/>
      <c r="Z40" s="12"/>
      <c r="AA40" s="12"/>
      <c r="AB40" s="12"/>
      <c r="AC40" s="12"/>
      <c r="AD40" s="12"/>
      <c r="AE40" s="12"/>
      <c r="AF40" s="12"/>
      <c r="AG40" s="12"/>
      <c r="AH40" s="12"/>
      <c r="AI40" s="12"/>
      <c r="AJ40" s="12"/>
      <c r="AK40" s="12"/>
    </row>
    <row r="41" spans="1:37" ht="14.25" x14ac:dyDescent="0.2">
      <c r="A41" s="533"/>
      <c r="B41" s="533"/>
      <c r="C41" s="533"/>
      <c r="D41" s="533"/>
      <c r="E41" s="533"/>
      <c r="F41" s="533"/>
      <c r="G41" s="533"/>
      <c r="H41" s="533"/>
      <c r="I41" s="533"/>
      <c r="J41" s="533"/>
      <c r="K41" s="533"/>
      <c r="L41" s="533"/>
      <c r="M41" s="533"/>
      <c r="N41" s="533"/>
      <c r="O41" s="533"/>
      <c r="P41" s="533"/>
      <c r="Q41" s="12"/>
      <c r="R41" s="12"/>
      <c r="S41" s="12"/>
      <c r="T41" s="12"/>
      <c r="U41" s="12"/>
      <c r="V41" s="12"/>
      <c r="W41" s="12"/>
      <c r="X41" s="12"/>
      <c r="Y41" s="12"/>
      <c r="Z41" s="12"/>
      <c r="AA41" s="12"/>
      <c r="AB41" s="12"/>
      <c r="AC41" s="12"/>
      <c r="AD41" s="12"/>
      <c r="AE41" s="12"/>
      <c r="AF41" s="12"/>
      <c r="AG41" s="12"/>
      <c r="AH41" s="12"/>
      <c r="AI41" s="12"/>
      <c r="AJ41" s="12"/>
      <c r="AK41" s="12"/>
    </row>
    <row r="42" spans="1:37" ht="14.25" x14ac:dyDescent="0.2">
      <c r="A42" s="534"/>
      <c r="B42" s="534"/>
      <c r="C42" s="534"/>
      <c r="D42" s="534"/>
      <c r="E42" s="534"/>
      <c r="F42" s="534"/>
      <c r="G42" s="534"/>
      <c r="H42" s="534"/>
      <c r="I42" s="534"/>
      <c r="J42" s="534"/>
      <c r="K42" s="534"/>
      <c r="L42" s="534"/>
      <c r="M42" s="534"/>
      <c r="N42" s="534"/>
      <c r="O42" s="534"/>
      <c r="P42" s="534"/>
      <c r="Q42" s="12"/>
      <c r="R42" s="466">
        <f>Data!B34</f>
        <v>0</v>
      </c>
      <c r="S42" s="467"/>
      <c r="T42" s="467"/>
      <c r="U42" s="467"/>
      <c r="V42" s="467"/>
      <c r="W42" s="467"/>
      <c r="X42" s="467"/>
      <c r="Y42" s="467"/>
      <c r="Z42" s="12"/>
      <c r="AA42" s="12"/>
      <c r="AB42" s="12"/>
      <c r="AC42" s="12"/>
      <c r="AD42" s="12"/>
      <c r="AE42" s="12"/>
      <c r="AF42" s="12"/>
      <c r="AG42" s="12"/>
      <c r="AH42" s="12"/>
      <c r="AI42" s="12"/>
      <c r="AJ42" s="12"/>
      <c r="AK42" s="12"/>
    </row>
    <row r="43" spans="1:37" ht="14.25" x14ac:dyDescent="0.2">
      <c r="A43" s="12" t="s">
        <v>367</v>
      </c>
      <c r="B43" s="12"/>
      <c r="C43" s="12"/>
      <c r="D43" s="12"/>
      <c r="E43" s="12"/>
      <c r="F43" s="12"/>
      <c r="G43" s="12"/>
      <c r="H43" s="12"/>
      <c r="I43" s="12"/>
      <c r="J43" s="12"/>
      <c r="K43" s="12"/>
      <c r="L43" s="12"/>
      <c r="M43" s="12"/>
      <c r="N43" s="12"/>
      <c r="O43" s="12"/>
      <c r="P43" s="12"/>
      <c r="Q43" s="12"/>
      <c r="R43" s="12" t="s">
        <v>368</v>
      </c>
      <c r="S43" s="12"/>
      <c r="T43" s="12"/>
      <c r="U43" s="12"/>
      <c r="V43" s="12"/>
      <c r="W43" s="12"/>
      <c r="X43" s="12"/>
      <c r="Y43" s="12"/>
      <c r="Z43" s="12"/>
      <c r="AA43" s="12"/>
      <c r="AB43" s="12"/>
      <c r="AC43" s="12"/>
      <c r="AD43" s="12"/>
      <c r="AE43" s="12"/>
      <c r="AF43" s="12"/>
      <c r="AG43" s="12"/>
      <c r="AH43" s="12"/>
      <c r="AI43" s="12"/>
      <c r="AJ43" s="12"/>
      <c r="AK43" s="12"/>
    </row>
    <row r="44" spans="1:37" ht="14.25" x14ac:dyDescent="0.2">
      <c r="A44" s="533"/>
      <c r="B44" s="533"/>
      <c r="C44" s="533"/>
      <c r="D44" s="533"/>
      <c r="E44" s="533"/>
      <c r="F44" s="533"/>
      <c r="G44" s="533"/>
      <c r="H44" s="533"/>
      <c r="I44" s="533"/>
      <c r="J44" s="533"/>
      <c r="K44" s="533"/>
      <c r="L44" s="533"/>
      <c r="M44" s="533"/>
      <c r="N44" s="533"/>
      <c r="O44" s="533"/>
      <c r="P44" s="533"/>
      <c r="Q44" s="12"/>
      <c r="R44" s="12"/>
      <c r="S44" s="12"/>
      <c r="T44" s="12"/>
      <c r="U44" s="12"/>
      <c r="V44" s="12"/>
      <c r="W44" s="12"/>
      <c r="X44" s="12"/>
      <c r="Y44" s="12"/>
      <c r="Z44" s="12"/>
      <c r="AA44" s="12"/>
      <c r="AB44" s="12"/>
      <c r="AC44" s="12"/>
      <c r="AD44" s="12"/>
      <c r="AE44" s="12"/>
      <c r="AF44" s="12"/>
      <c r="AG44" s="12"/>
      <c r="AH44" s="12"/>
      <c r="AI44" s="12"/>
      <c r="AJ44" s="12"/>
      <c r="AK44" s="12"/>
    </row>
    <row r="45" spans="1:37" ht="14.25" x14ac:dyDescent="0.2">
      <c r="A45" s="533"/>
      <c r="B45" s="533"/>
      <c r="C45" s="533"/>
      <c r="D45" s="533"/>
      <c r="E45" s="533"/>
      <c r="F45" s="533"/>
      <c r="G45" s="533"/>
      <c r="H45" s="533"/>
      <c r="I45" s="533"/>
      <c r="J45" s="533"/>
      <c r="K45" s="533"/>
      <c r="L45" s="533"/>
      <c r="M45" s="533"/>
      <c r="N45" s="533"/>
      <c r="O45" s="533"/>
      <c r="P45" s="533"/>
      <c r="Q45" s="12"/>
      <c r="R45" s="12"/>
      <c r="S45" s="12"/>
      <c r="T45" s="12"/>
      <c r="U45" s="12"/>
      <c r="V45" s="12"/>
      <c r="W45" s="12"/>
      <c r="X45" s="12"/>
      <c r="Y45" s="12"/>
      <c r="Z45" s="12"/>
      <c r="AA45" s="12"/>
      <c r="AB45" s="12"/>
      <c r="AC45" s="12"/>
      <c r="AD45" s="12"/>
      <c r="AE45" s="12"/>
      <c r="AF45" s="12"/>
      <c r="AG45" s="12"/>
      <c r="AH45" s="12"/>
      <c r="AI45" s="12"/>
      <c r="AJ45" s="12"/>
      <c r="AK45" s="12"/>
    </row>
    <row r="46" spans="1:37" ht="14.25" x14ac:dyDescent="0.2">
      <c r="A46" s="534"/>
      <c r="B46" s="534"/>
      <c r="C46" s="534"/>
      <c r="D46" s="534"/>
      <c r="E46" s="534"/>
      <c r="F46" s="534"/>
      <c r="G46" s="534"/>
      <c r="H46" s="534"/>
      <c r="I46" s="534"/>
      <c r="J46" s="534"/>
      <c r="K46" s="534"/>
      <c r="L46" s="534"/>
      <c r="M46" s="534"/>
      <c r="N46" s="534"/>
      <c r="O46" s="534"/>
      <c r="P46" s="534"/>
      <c r="Q46" s="12"/>
      <c r="R46" s="467">
        <f>Data!B175</f>
        <v>0</v>
      </c>
      <c r="S46" s="467"/>
      <c r="T46" s="467"/>
      <c r="U46" s="467"/>
      <c r="V46" s="467"/>
      <c r="W46" s="467"/>
      <c r="X46" s="467"/>
      <c r="Y46" s="467"/>
      <c r="Z46" s="467"/>
      <c r="AA46" s="467"/>
      <c r="AB46" s="467"/>
      <c r="AC46" s="467"/>
      <c r="AD46" s="467"/>
      <c r="AE46" s="467"/>
      <c r="AF46" s="12"/>
      <c r="AG46" s="12"/>
      <c r="AH46" s="12"/>
      <c r="AI46" s="12"/>
      <c r="AJ46" s="12"/>
      <c r="AK46" s="12"/>
    </row>
    <row r="47" spans="1:37" ht="14.25" x14ac:dyDescent="0.2">
      <c r="A47" s="12" t="s">
        <v>2881</v>
      </c>
      <c r="B47" s="12"/>
      <c r="C47" s="12"/>
      <c r="D47" s="12"/>
      <c r="E47" s="12"/>
      <c r="F47" s="12"/>
      <c r="G47" s="12"/>
      <c r="H47" s="12"/>
      <c r="I47" s="12"/>
      <c r="J47" s="12"/>
      <c r="K47" s="12"/>
      <c r="L47" s="12"/>
      <c r="M47" s="12"/>
      <c r="N47" s="12"/>
      <c r="O47" s="12"/>
      <c r="P47" s="12"/>
      <c r="Q47" s="12"/>
      <c r="R47" s="12" t="s">
        <v>1465</v>
      </c>
      <c r="S47" s="12"/>
      <c r="T47" s="12"/>
      <c r="U47" s="12"/>
      <c r="V47" s="12"/>
      <c r="W47" s="12"/>
      <c r="X47" s="12"/>
      <c r="Y47" s="12"/>
      <c r="Z47" s="12"/>
      <c r="AA47" s="12"/>
      <c r="AB47" s="12"/>
      <c r="AC47" s="12"/>
      <c r="AD47" s="12"/>
      <c r="AE47" s="12"/>
      <c r="AF47" s="12"/>
      <c r="AG47" s="12"/>
      <c r="AH47" s="12"/>
      <c r="AI47" s="12"/>
      <c r="AJ47" s="12"/>
      <c r="AK47" s="12"/>
    </row>
    <row r="48" spans="1:37" ht="14.25" x14ac:dyDescent="0.2">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row>
    <row r="49" spans="1:37" ht="14.25" x14ac:dyDescent="0.2">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row>
    <row r="50" spans="1:37" ht="14.25" x14ac:dyDescent="0.2">
      <c r="A50" s="12"/>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row>
    <row r="51" spans="1:37" ht="14.25" x14ac:dyDescent="0.2">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row>
    <row r="52" spans="1:37" ht="14.25" x14ac:dyDescent="0.2">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row>
    <row r="53" spans="1:37" ht="14.25" x14ac:dyDescent="0.2">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row>
    <row r="54" spans="1:37" ht="14.25" x14ac:dyDescent="0.2">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row>
    <row r="55" spans="1:37" ht="14.25" x14ac:dyDescent="0.2">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row>
    <row r="56" spans="1:37" ht="14.25" x14ac:dyDescent="0.2">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row>
    <row r="57" spans="1:37" ht="14.25" x14ac:dyDescent="0.2">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row>
    <row r="58" spans="1:37" ht="14.25" x14ac:dyDescent="0.2">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row>
    <row r="59" spans="1:37" ht="14.25" x14ac:dyDescent="0.2">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row>
    <row r="60" spans="1:37" ht="14.25" x14ac:dyDescent="0.2">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row>
    <row r="61" spans="1:37" ht="14.25" x14ac:dyDescent="0.2">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row>
    <row r="62" spans="1:37" ht="14.25" x14ac:dyDescent="0.2">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row>
    <row r="63" spans="1:37" ht="14.25" x14ac:dyDescent="0.2">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row>
    <row r="64" spans="1:37" ht="14.25" x14ac:dyDescent="0.2">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row>
    <row r="65" spans="1:37" ht="14.25" x14ac:dyDescent="0.2">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row>
    <row r="66" spans="1:37" ht="14.25" x14ac:dyDescent="0.2">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row>
    <row r="67" spans="1:37" ht="14.25" x14ac:dyDescent="0.2">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row>
    <row r="68" spans="1:37" ht="14.25" x14ac:dyDescent="0.2">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s="12"/>
      <c r="AK68" s="12"/>
    </row>
    <row r="69" spans="1:37" ht="14.25" x14ac:dyDescent="0.2">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row>
    <row r="70" spans="1:37" ht="14.25" x14ac:dyDescent="0.2">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row>
    <row r="71" spans="1:37" ht="14.25" x14ac:dyDescent="0.2">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c r="AK71" s="12"/>
    </row>
    <row r="72" spans="1:37" ht="14.25" x14ac:dyDescent="0.2">
      <c r="A72" s="12"/>
      <c r="B72" s="12"/>
      <c r="C72" s="12"/>
      <c r="D72" s="12"/>
      <c r="E72" s="12"/>
      <c r="F72" s="12"/>
      <c r="G72" s="12"/>
      <c r="H72" s="12"/>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c r="AK72" s="12"/>
    </row>
    <row r="73" spans="1:37" ht="14.25" x14ac:dyDescent="0.2">
      <c r="A73" s="12"/>
      <c r="B73" s="12"/>
      <c r="C73" s="12"/>
      <c r="D73" s="12"/>
      <c r="E73" s="12"/>
      <c r="F73" s="12"/>
      <c r="G73" s="12"/>
      <c r="H73" s="12"/>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s="12"/>
      <c r="AK73" s="12"/>
    </row>
    <row r="74" spans="1:37" ht="14.25" x14ac:dyDescent="0.2">
      <c r="A74" s="12"/>
      <c r="B74" s="12"/>
      <c r="C74" s="12"/>
      <c r="D74" s="12"/>
      <c r="E74" s="12"/>
      <c r="F74" s="12"/>
      <c r="G74" s="12"/>
      <c r="H74" s="12"/>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s="12"/>
      <c r="AK74" s="12"/>
    </row>
    <row r="75" spans="1:37" ht="14.25" x14ac:dyDescent="0.2">
      <c r="A75" s="12"/>
      <c r="B75" s="12"/>
      <c r="C75" s="12"/>
      <c r="D75" s="12"/>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s="12"/>
      <c r="AK75" s="12"/>
    </row>
    <row r="76" spans="1:37" ht="14.25" x14ac:dyDescent="0.2">
      <c r="A76" s="12"/>
      <c r="B76" s="12"/>
      <c r="C76" s="12"/>
      <c r="D76" s="12"/>
      <c r="E76" s="12"/>
      <c r="F76" s="12"/>
      <c r="G76" s="12"/>
      <c r="H76" s="12"/>
      <c r="I76" s="12"/>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s="12"/>
      <c r="AK76" s="12"/>
    </row>
    <row r="77" spans="1:37" ht="14.25" x14ac:dyDescent="0.2">
      <c r="A77" s="12"/>
      <c r="B77" s="12"/>
      <c r="C77" s="12"/>
      <c r="D77" s="12"/>
      <c r="E77" s="12"/>
      <c r="F77" s="12"/>
      <c r="G77" s="12"/>
      <c r="H77" s="12"/>
      <c r="I77" s="12"/>
      <c r="J77" s="12"/>
      <c r="K77" s="12"/>
      <c r="L77" s="12"/>
      <c r="M77" s="12"/>
      <c r="N77" s="12"/>
      <c r="O77" s="12"/>
      <c r="P77" s="12"/>
      <c r="Q77" s="12"/>
      <c r="R77" s="12"/>
      <c r="S77" s="12"/>
      <c r="T77" s="12"/>
      <c r="U77" s="12"/>
      <c r="V77" s="12"/>
      <c r="W77" s="12"/>
      <c r="X77" s="12"/>
      <c r="Y77" s="12"/>
      <c r="Z77" s="12"/>
      <c r="AA77" s="12"/>
      <c r="AB77" s="12"/>
      <c r="AC77" s="12"/>
      <c r="AD77" s="12"/>
      <c r="AE77" s="12"/>
      <c r="AF77" s="12"/>
      <c r="AG77" s="12"/>
      <c r="AH77" s="12"/>
      <c r="AI77" s="12"/>
      <c r="AJ77" s="12"/>
      <c r="AK77" s="12"/>
    </row>
    <row r="78" spans="1:37" ht="14.25" x14ac:dyDescent="0.2">
      <c r="A78" s="12"/>
      <c r="B78" s="12"/>
      <c r="C78" s="12"/>
      <c r="D78" s="12"/>
      <c r="E78" s="12"/>
      <c r="F78" s="12"/>
      <c r="G78" s="12"/>
      <c r="H78" s="12"/>
      <c r="I78" s="12"/>
      <c r="J78" s="12"/>
      <c r="K78" s="12"/>
      <c r="L78" s="12"/>
      <c r="M78" s="12"/>
      <c r="N78" s="12"/>
      <c r="O78" s="12"/>
      <c r="P78" s="12"/>
      <c r="Q78" s="12"/>
      <c r="R78" s="12"/>
      <c r="S78" s="12"/>
      <c r="T78" s="12"/>
      <c r="U78" s="12"/>
      <c r="V78" s="12"/>
      <c r="W78" s="12"/>
      <c r="X78" s="12"/>
      <c r="Y78" s="12"/>
      <c r="Z78" s="12"/>
      <c r="AA78" s="12"/>
      <c r="AB78" s="12"/>
      <c r="AC78" s="12"/>
      <c r="AD78" s="12"/>
      <c r="AE78" s="12"/>
      <c r="AF78" s="12"/>
      <c r="AG78" s="12"/>
      <c r="AH78" s="12"/>
      <c r="AI78" s="12"/>
      <c r="AJ78" s="12"/>
      <c r="AK78" s="12"/>
    </row>
    <row r="79" spans="1:37" ht="14.25" x14ac:dyDescent="0.2">
      <c r="A79" s="12"/>
      <c r="B79" s="12"/>
      <c r="C79" s="12"/>
      <c r="D79" s="12"/>
      <c r="E79" s="12"/>
      <c r="F79" s="12"/>
      <c r="G79" s="12"/>
      <c r="H79" s="12"/>
      <c r="I79" s="12"/>
      <c r="J79" s="12"/>
      <c r="K79" s="12"/>
      <c r="L79" s="12"/>
      <c r="M79" s="12"/>
      <c r="N79" s="12"/>
      <c r="O79" s="12"/>
      <c r="P79" s="12"/>
      <c r="Q79" s="12"/>
      <c r="R79" s="12"/>
      <c r="S79" s="12"/>
      <c r="T79" s="12"/>
      <c r="U79" s="12"/>
      <c r="V79" s="12"/>
      <c r="W79" s="12"/>
      <c r="X79" s="12"/>
      <c r="Y79" s="12"/>
      <c r="Z79" s="12"/>
      <c r="AA79" s="12"/>
      <c r="AB79" s="12"/>
      <c r="AC79" s="12"/>
      <c r="AD79" s="12"/>
      <c r="AE79" s="12"/>
      <c r="AF79" s="12"/>
      <c r="AG79" s="12"/>
      <c r="AH79" s="12"/>
      <c r="AI79" s="12"/>
      <c r="AJ79" s="12"/>
      <c r="AK79" s="12"/>
    </row>
    <row r="80" spans="1:37" ht="14.25" x14ac:dyDescent="0.2">
      <c r="A80" s="12"/>
      <c r="B80" s="12"/>
      <c r="C80" s="12"/>
      <c r="D80" s="12"/>
      <c r="E80" s="12"/>
      <c r="F80" s="12"/>
      <c r="G80" s="12"/>
      <c r="H80" s="12"/>
      <c r="I80" s="12"/>
      <c r="J80" s="12"/>
      <c r="K80" s="12"/>
      <c r="L80" s="12"/>
      <c r="M80" s="12"/>
      <c r="N80" s="12"/>
      <c r="O80" s="12"/>
      <c r="P80" s="12"/>
      <c r="Q80" s="12"/>
      <c r="R80" s="12"/>
      <c r="S80" s="12"/>
      <c r="T80" s="12"/>
      <c r="U80" s="12"/>
      <c r="V80" s="12"/>
      <c r="W80" s="12"/>
      <c r="X80" s="12"/>
      <c r="Y80" s="12"/>
      <c r="Z80" s="12"/>
      <c r="AA80" s="12"/>
      <c r="AB80" s="12"/>
      <c r="AC80" s="12"/>
      <c r="AD80" s="12"/>
      <c r="AE80" s="12"/>
      <c r="AF80" s="12"/>
      <c r="AG80" s="12"/>
      <c r="AH80" s="12"/>
      <c r="AI80" s="12"/>
      <c r="AJ80" s="12"/>
      <c r="AK80" s="12"/>
    </row>
    <row r="81" spans="1:37" ht="14.25" x14ac:dyDescent="0.2">
      <c r="A81" s="12"/>
      <c r="B81" s="12"/>
      <c r="C81" s="12"/>
      <c r="D81" s="12"/>
      <c r="E81" s="12"/>
      <c r="F81" s="12"/>
      <c r="G81" s="12"/>
      <c r="H81" s="12"/>
      <c r="I81" s="12"/>
      <c r="J81" s="12"/>
      <c r="K81" s="12"/>
      <c r="L81" s="12"/>
      <c r="M81" s="12"/>
      <c r="N81" s="12"/>
      <c r="O81" s="12"/>
      <c r="P81" s="12"/>
      <c r="Q81" s="12"/>
      <c r="R81" s="12"/>
      <c r="S81" s="12"/>
      <c r="T81" s="12"/>
      <c r="U81" s="12"/>
      <c r="V81" s="12"/>
      <c r="W81" s="12"/>
      <c r="X81" s="12"/>
      <c r="Y81" s="12"/>
      <c r="Z81" s="12"/>
      <c r="AA81" s="12"/>
      <c r="AB81" s="12"/>
      <c r="AC81" s="12"/>
      <c r="AD81" s="12"/>
      <c r="AE81" s="12"/>
      <c r="AF81" s="12"/>
      <c r="AG81" s="12"/>
      <c r="AH81" s="12"/>
      <c r="AI81" s="12"/>
      <c r="AJ81" s="12"/>
      <c r="AK81" s="12"/>
    </row>
    <row r="82" spans="1:37" ht="14.25" x14ac:dyDescent="0.2">
      <c r="A82" s="12"/>
      <c r="B82" s="12"/>
      <c r="C82" s="12"/>
      <c r="D82" s="12"/>
      <c r="E82" s="12"/>
      <c r="F82" s="12"/>
      <c r="G82" s="12"/>
      <c r="H82" s="12"/>
      <c r="I82" s="12"/>
      <c r="J82" s="12"/>
      <c r="K82" s="12"/>
      <c r="L82" s="12"/>
      <c r="M82" s="12"/>
      <c r="N82" s="12"/>
      <c r="O82" s="12"/>
      <c r="P82" s="12"/>
      <c r="Q82" s="12"/>
      <c r="R82" s="12"/>
      <c r="S82" s="12"/>
      <c r="T82" s="12"/>
      <c r="U82" s="12"/>
      <c r="V82" s="12"/>
      <c r="W82" s="12"/>
      <c r="X82" s="12"/>
      <c r="Y82" s="12"/>
      <c r="Z82" s="12"/>
      <c r="AA82" s="12"/>
      <c r="AB82" s="12"/>
      <c r="AC82" s="12"/>
      <c r="AD82" s="12"/>
      <c r="AE82" s="12"/>
      <c r="AF82" s="12"/>
      <c r="AG82" s="12"/>
      <c r="AH82" s="12"/>
      <c r="AI82" s="12"/>
      <c r="AJ82" s="12"/>
      <c r="AK82" s="12"/>
    </row>
    <row r="83" spans="1:37" ht="14.25" x14ac:dyDescent="0.2">
      <c r="A83" s="12"/>
      <c r="B83" s="12"/>
      <c r="C83" s="12"/>
      <c r="D83" s="12"/>
      <c r="E83" s="12"/>
      <c r="F83" s="12"/>
      <c r="G83" s="12"/>
      <c r="H83" s="12"/>
      <c r="I83" s="12"/>
      <c r="J83" s="12"/>
      <c r="K83" s="12"/>
      <c r="L83" s="12"/>
      <c r="M83" s="12"/>
      <c r="N83" s="12"/>
      <c r="O83" s="12"/>
      <c r="P83" s="12"/>
      <c r="Q83" s="12"/>
      <c r="R83" s="12"/>
      <c r="S83" s="12"/>
      <c r="T83" s="12"/>
      <c r="U83" s="12"/>
      <c r="V83" s="12"/>
      <c r="W83" s="12"/>
      <c r="X83" s="12"/>
      <c r="Y83" s="12"/>
      <c r="Z83" s="12"/>
      <c r="AA83" s="12"/>
      <c r="AB83" s="12"/>
      <c r="AC83" s="12"/>
      <c r="AD83" s="12"/>
      <c r="AE83" s="12"/>
      <c r="AF83" s="12"/>
      <c r="AG83" s="12"/>
      <c r="AH83" s="12"/>
      <c r="AI83" s="12"/>
      <c r="AJ83" s="12"/>
      <c r="AK83" s="12"/>
    </row>
    <row r="84" spans="1:37" ht="14.25" x14ac:dyDescent="0.2">
      <c r="A84" s="12"/>
      <c r="B84" s="12"/>
      <c r="C84" s="12"/>
      <c r="D84" s="12"/>
      <c r="E84" s="12"/>
      <c r="F84" s="12"/>
      <c r="G84" s="12"/>
      <c r="H84" s="12"/>
      <c r="I84" s="12"/>
      <c r="J84" s="12"/>
      <c r="K84" s="12"/>
      <c r="L84" s="12"/>
      <c r="M84" s="12"/>
      <c r="N84" s="12"/>
      <c r="O84" s="12"/>
      <c r="P84" s="12"/>
      <c r="Q84" s="12"/>
      <c r="R84" s="12"/>
      <c r="S84" s="12"/>
      <c r="T84" s="12"/>
      <c r="U84" s="12"/>
      <c r="V84" s="12"/>
      <c r="W84" s="12"/>
      <c r="X84" s="12"/>
      <c r="Y84" s="12"/>
      <c r="Z84" s="12"/>
      <c r="AA84" s="12"/>
      <c r="AB84" s="12"/>
      <c r="AC84" s="12"/>
      <c r="AD84" s="12"/>
      <c r="AE84" s="12"/>
      <c r="AF84" s="12"/>
      <c r="AG84" s="12"/>
      <c r="AH84" s="12"/>
      <c r="AI84" s="12"/>
      <c r="AJ84" s="12"/>
      <c r="AK84" s="12"/>
    </row>
    <row r="85" spans="1:37" ht="14.25" x14ac:dyDescent="0.2">
      <c r="A85" s="12"/>
      <c r="B85" s="12"/>
      <c r="C85" s="12"/>
      <c r="D85" s="12"/>
      <c r="E85" s="12"/>
      <c r="F85" s="12"/>
      <c r="G85" s="12"/>
      <c r="H85" s="12"/>
      <c r="I85" s="12"/>
      <c r="J85" s="12"/>
      <c r="K85" s="12"/>
      <c r="L85" s="12"/>
      <c r="M85" s="12"/>
      <c r="N85" s="12"/>
      <c r="O85" s="12"/>
      <c r="P85" s="12"/>
      <c r="Q85" s="12"/>
      <c r="R85" s="12"/>
      <c r="S85" s="12"/>
      <c r="T85" s="12"/>
      <c r="U85" s="12"/>
      <c r="V85" s="12"/>
      <c r="W85" s="12"/>
      <c r="X85" s="12"/>
      <c r="Y85" s="12"/>
      <c r="Z85" s="12"/>
      <c r="AA85" s="12"/>
      <c r="AB85" s="12"/>
      <c r="AC85" s="12"/>
      <c r="AD85" s="12"/>
      <c r="AE85" s="12"/>
      <c r="AF85" s="12"/>
      <c r="AG85" s="12"/>
      <c r="AH85" s="12"/>
      <c r="AI85" s="12"/>
      <c r="AJ85" s="12"/>
      <c r="AK85" s="12"/>
    </row>
    <row r="86" spans="1:37" ht="14.25" x14ac:dyDescent="0.2">
      <c r="A86" s="12"/>
      <c r="B86" s="12"/>
      <c r="C86" s="12"/>
      <c r="D86" s="12"/>
      <c r="E86" s="12"/>
      <c r="F86" s="12"/>
      <c r="G86" s="12"/>
      <c r="H86" s="12"/>
      <c r="I86" s="12"/>
      <c r="J86" s="12"/>
      <c r="K86" s="12"/>
      <c r="L86" s="12"/>
      <c r="M86" s="12"/>
      <c r="N86" s="12"/>
      <c r="O86" s="12"/>
      <c r="P86" s="12"/>
      <c r="Q86" s="12"/>
      <c r="R86" s="12"/>
      <c r="S86" s="12"/>
      <c r="T86" s="12"/>
      <c r="U86" s="12"/>
      <c r="V86" s="12"/>
      <c r="W86" s="12"/>
      <c r="X86" s="12"/>
      <c r="Y86" s="12"/>
      <c r="Z86" s="12"/>
      <c r="AA86" s="12"/>
      <c r="AB86" s="12"/>
      <c r="AC86" s="12"/>
      <c r="AD86" s="12"/>
      <c r="AE86" s="12"/>
      <c r="AF86" s="12"/>
      <c r="AG86" s="12"/>
      <c r="AH86" s="12"/>
      <c r="AI86" s="12"/>
      <c r="AJ86" s="12"/>
      <c r="AK86" s="12"/>
    </row>
    <row r="87" spans="1:37" ht="14.25" x14ac:dyDescent="0.2">
      <c r="A87" s="12"/>
      <c r="B87" s="12"/>
      <c r="C87" s="12"/>
      <c r="D87" s="12"/>
      <c r="E87" s="12"/>
      <c r="F87" s="12"/>
      <c r="G87" s="12"/>
      <c r="H87" s="12"/>
      <c r="I87" s="12"/>
      <c r="J87" s="12"/>
      <c r="K87" s="12"/>
      <c r="L87" s="12"/>
      <c r="M87" s="12"/>
      <c r="N87" s="12"/>
      <c r="O87" s="12"/>
      <c r="P87" s="12"/>
      <c r="Q87" s="12"/>
      <c r="R87" s="12"/>
      <c r="S87" s="12"/>
      <c r="T87" s="12"/>
      <c r="U87" s="12"/>
      <c r="V87" s="12"/>
      <c r="W87" s="12"/>
      <c r="X87" s="12"/>
      <c r="Y87" s="12"/>
      <c r="Z87" s="12"/>
      <c r="AA87" s="12"/>
      <c r="AB87" s="12"/>
      <c r="AC87" s="12"/>
      <c r="AD87" s="12"/>
      <c r="AE87" s="12"/>
      <c r="AF87" s="12"/>
      <c r="AG87" s="12"/>
      <c r="AH87" s="12"/>
      <c r="AI87" s="12"/>
      <c r="AJ87" s="12"/>
      <c r="AK87" s="12"/>
    </row>
  </sheetData>
  <mergeCells count="39">
    <mergeCell ref="A44:P46"/>
    <mergeCell ref="R46:AE46"/>
    <mergeCell ref="D36:P36"/>
    <mergeCell ref="D37:P37"/>
    <mergeCell ref="V35:AC35"/>
    <mergeCell ref="V36:AC36"/>
    <mergeCell ref="V37:AC37"/>
    <mergeCell ref="A40:P42"/>
    <mergeCell ref="R42:Y42"/>
    <mergeCell ref="D35:P35"/>
    <mergeCell ref="A33:AK33"/>
    <mergeCell ref="H29:S29"/>
    <mergeCell ref="AA29:AI29"/>
    <mergeCell ref="E30:V30"/>
    <mergeCell ref="G31:V31"/>
    <mergeCell ref="AA30:AJ30"/>
    <mergeCell ref="AA31:AJ31"/>
    <mergeCell ref="F25:M25"/>
    <mergeCell ref="S25:Z25"/>
    <mergeCell ref="D26:AE26"/>
    <mergeCell ref="D27:AE27"/>
    <mergeCell ref="F15:M15"/>
    <mergeCell ref="S15:Z15"/>
    <mergeCell ref="D16:AE16"/>
    <mergeCell ref="D17:AE17"/>
    <mergeCell ref="G19:R19"/>
    <mergeCell ref="W19:AD19"/>
    <mergeCell ref="F20:M20"/>
    <mergeCell ref="S20:Z20"/>
    <mergeCell ref="D21:AE21"/>
    <mergeCell ref="D22:AE22"/>
    <mergeCell ref="G24:R24"/>
    <mergeCell ref="W24:AD24"/>
    <mergeCell ref="I2:W2"/>
    <mergeCell ref="Z2:AE2"/>
    <mergeCell ref="A4:AL11"/>
    <mergeCell ref="A13:AK13"/>
    <mergeCell ref="G14:R14"/>
    <mergeCell ref="W14:AD14"/>
  </mergeCells>
  <pageMargins left="0.25" right="0.25" top="0.75" bottom="0.75" header="0.3" footer="0.3"/>
  <pageSetup orientation="portrait" r:id="rId1"/>
  <headerFooter>
    <oddHeader>&amp;L&amp;G&amp;R&amp;11Emergency Contacts Authorization</oddHeader>
    <oddFooter>&amp;LDS&amp;C3088 Mercer University Drive Suite 100 Atlanta, GA 30341
678-310-6305 Fax 404-935-6110&amp;RPP</oddFooter>
  </headerFooter>
  <legacyDrawingHF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59">
    <tabColor theme="4" tint="-0.249977111117893"/>
  </sheetPr>
  <dimension ref="A1:AM58"/>
  <sheetViews>
    <sheetView showZeros="0" view="pageLayout" zoomScaleNormal="100" workbookViewId="0">
      <selection activeCell="AC20" sqref="AC20:AL20"/>
    </sheetView>
  </sheetViews>
  <sheetFormatPr defaultColWidth="2.7109375" defaultRowHeight="12.75" x14ac:dyDescent="0.2"/>
  <sheetData>
    <row r="1" spans="1:39" ht="14.25" x14ac:dyDescent="0.2">
      <c r="A1" s="12" t="s">
        <v>336</v>
      </c>
      <c r="B1" s="12"/>
      <c r="C1" s="12"/>
      <c r="D1" s="12"/>
      <c r="E1" s="12"/>
      <c r="F1" s="540" t="str">
        <f>_xlfn.CONCAT(Data!B2,", ",Data!B3," ",Data!B4)</f>
        <v xml:space="preserve">,  </v>
      </c>
      <c r="G1" s="540"/>
      <c r="H1" s="540"/>
      <c r="I1" s="540"/>
      <c r="J1" s="540"/>
      <c r="K1" s="540"/>
      <c r="L1" s="540"/>
      <c r="M1" s="540"/>
      <c r="N1" s="540"/>
      <c r="O1" s="540"/>
      <c r="P1" s="540"/>
      <c r="Q1" s="540"/>
      <c r="R1" s="540"/>
      <c r="S1" s="540"/>
      <c r="T1" s="540"/>
      <c r="U1" s="540"/>
      <c r="V1" s="540"/>
      <c r="W1" s="540"/>
      <c r="X1" s="540"/>
      <c r="Y1" s="540"/>
      <c r="Z1" s="12" t="s">
        <v>371</v>
      </c>
      <c r="AA1" s="12"/>
      <c r="AB1" s="521">
        <f>Data!B14</f>
        <v>0</v>
      </c>
      <c r="AC1" s="540"/>
      <c r="AD1" s="540"/>
      <c r="AE1" s="540"/>
      <c r="AF1" s="540"/>
      <c r="AG1" s="540"/>
      <c r="AH1" s="540"/>
      <c r="AI1" s="540"/>
      <c r="AJ1" s="12"/>
      <c r="AK1" s="12"/>
      <c r="AL1" s="12"/>
      <c r="AM1" s="12"/>
    </row>
    <row r="2" spans="1:39" ht="14.25" x14ac:dyDescent="0.2">
      <c r="A2" s="12"/>
      <c r="B2" s="12"/>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row>
    <row r="3" spans="1:39" ht="14.25" x14ac:dyDescent="0.2">
      <c r="A3" s="485" t="s">
        <v>2964</v>
      </c>
      <c r="B3" s="485"/>
      <c r="C3" s="485"/>
      <c r="D3" s="485"/>
      <c r="E3" s="485"/>
      <c r="F3" s="485"/>
      <c r="G3" s="485"/>
      <c r="H3" s="485"/>
      <c r="I3" s="485"/>
      <c r="J3" s="485"/>
      <c r="K3" s="485"/>
      <c r="L3" s="485"/>
      <c r="M3" s="485"/>
      <c r="N3" s="485"/>
      <c r="O3" s="485"/>
      <c r="P3" s="485"/>
      <c r="Q3" s="485"/>
      <c r="R3" s="485"/>
      <c r="S3" s="485"/>
      <c r="T3" s="485"/>
      <c r="U3" s="485"/>
      <c r="V3" s="485"/>
      <c r="W3" s="485"/>
      <c r="X3" s="485"/>
      <c r="Y3" s="485"/>
      <c r="Z3" s="485"/>
      <c r="AA3" s="485"/>
      <c r="AB3" s="485"/>
      <c r="AC3" s="485"/>
      <c r="AD3" s="485"/>
      <c r="AE3" s="485"/>
      <c r="AF3" s="485"/>
      <c r="AG3" s="485"/>
      <c r="AH3" s="485"/>
      <c r="AI3" s="485"/>
      <c r="AJ3" s="485"/>
      <c r="AK3" s="485"/>
      <c r="AL3" s="485"/>
      <c r="AM3" s="12"/>
    </row>
    <row r="4" spans="1:39" ht="14.25" x14ac:dyDescent="0.2">
      <c r="A4" s="485"/>
      <c r="B4" s="485"/>
      <c r="C4" s="485"/>
      <c r="D4" s="485"/>
      <c r="E4" s="485"/>
      <c r="F4" s="485"/>
      <c r="G4" s="485"/>
      <c r="H4" s="485"/>
      <c r="I4" s="485"/>
      <c r="J4" s="485"/>
      <c r="K4" s="485"/>
      <c r="L4" s="485"/>
      <c r="M4" s="485"/>
      <c r="N4" s="485"/>
      <c r="O4" s="485"/>
      <c r="P4" s="485"/>
      <c r="Q4" s="485"/>
      <c r="R4" s="485"/>
      <c r="S4" s="485"/>
      <c r="T4" s="485"/>
      <c r="U4" s="485"/>
      <c r="V4" s="485"/>
      <c r="W4" s="485"/>
      <c r="X4" s="485"/>
      <c r="Y4" s="485"/>
      <c r="Z4" s="485"/>
      <c r="AA4" s="485"/>
      <c r="AB4" s="485"/>
      <c r="AC4" s="485"/>
      <c r="AD4" s="485"/>
      <c r="AE4" s="485"/>
      <c r="AF4" s="485"/>
      <c r="AG4" s="485"/>
      <c r="AH4" s="485"/>
      <c r="AI4" s="485"/>
      <c r="AJ4" s="485"/>
      <c r="AK4" s="485"/>
      <c r="AL4" s="485"/>
      <c r="AM4" s="12"/>
    </row>
    <row r="5" spans="1:39" ht="16.5" customHeight="1" x14ac:dyDescent="0.2">
      <c r="A5" s="485"/>
      <c r="B5" s="485"/>
      <c r="C5" s="485"/>
      <c r="D5" s="485"/>
      <c r="E5" s="485"/>
      <c r="F5" s="485"/>
      <c r="G5" s="485"/>
      <c r="H5" s="485"/>
      <c r="I5" s="485"/>
      <c r="J5" s="485"/>
      <c r="K5" s="485"/>
      <c r="L5" s="485"/>
      <c r="M5" s="485"/>
      <c r="N5" s="485"/>
      <c r="O5" s="485"/>
      <c r="P5" s="485"/>
      <c r="Q5" s="485"/>
      <c r="R5" s="485"/>
      <c r="S5" s="485"/>
      <c r="T5" s="485"/>
      <c r="U5" s="485"/>
      <c r="V5" s="485"/>
      <c r="W5" s="485"/>
      <c r="X5" s="485"/>
      <c r="Y5" s="485"/>
      <c r="Z5" s="485"/>
      <c r="AA5" s="485"/>
      <c r="AB5" s="485"/>
      <c r="AC5" s="485"/>
      <c r="AD5" s="485"/>
      <c r="AE5" s="485"/>
      <c r="AF5" s="485"/>
      <c r="AG5" s="485"/>
      <c r="AH5" s="485"/>
      <c r="AI5" s="485"/>
      <c r="AJ5" s="485"/>
      <c r="AK5" s="485"/>
      <c r="AL5" s="485"/>
      <c r="AM5" s="12"/>
    </row>
    <row r="6" spans="1:39" ht="14.25" x14ac:dyDescent="0.2">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row>
    <row r="7" spans="1:39" ht="14.25" x14ac:dyDescent="0.2">
      <c r="A7" s="133" t="s">
        <v>571</v>
      </c>
      <c r="B7" s="133"/>
      <c r="C7" s="133"/>
      <c r="D7" s="133"/>
      <c r="E7" s="133"/>
      <c r="F7" s="133"/>
      <c r="G7" s="540">
        <f>ClientPhysicians!A2</f>
        <v>0</v>
      </c>
      <c r="H7" s="540"/>
      <c r="I7" s="540"/>
      <c r="J7" s="540"/>
      <c r="K7" s="540"/>
      <c r="L7" s="540"/>
      <c r="M7" s="540"/>
      <c r="N7" s="540"/>
      <c r="O7" s="540"/>
      <c r="P7" s="540"/>
      <c r="Q7" s="540"/>
      <c r="R7" s="540"/>
      <c r="S7" s="540"/>
      <c r="T7" s="540"/>
      <c r="U7" s="540"/>
      <c r="V7" s="540"/>
      <c r="W7" s="540"/>
      <c r="X7" s="540"/>
      <c r="Y7" s="133"/>
      <c r="Z7" s="133" t="s">
        <v>348</v>
      </c>
      <c r="AA7" s="133"/>
      <c r="AB7" s="133"/>
      <c r="AC7" s="540">
        <f>ClientPhysicians!H2</f>
        <v>0</v>
      </c>
      <c r="AD7" s="540"/>
      <c r="AE7" s="540"/>
      <c r="AF7" s="540"/>
      <c r="AG7" s="540"/>
      <c r="AH7" s="540"/>
      <c r="AI7" s="540"/>
      <c r="AJ7" s="540"/>
      <c r="AK7" s="540"/>
      <c r="AL7" s="540"/>
      <c r="AM7" s="12"/>
    </row>
    <row r="8" spans="1:39" ht="14.25" x14ac:dyDescent="0.2">
      <c r="A8" s="133" t="s">
        <v>3372</v>
      </c>
      <c r="B8" s="133"/>
      <c r="C8" s="133"/>
      <c r="D8" s="133"/>
      <c r="E8" s="540">
        <f>ClientPhysicians!B2</f>
        <v>0</v>
      </c>
      <c r="F8" s="540"/>
      <c r="G8" s="540"/>
      <c r="H8" s="540"/>
      <c r="I8" s="540"/>
      <c r="J8" s="540"/>
      <c r="K8" s="540"/>
      <c r="L8" s="540"/>
      <c r="M8" s="540"/>
      <c r="N8" s="540"/>
      <c r="O8" s="540"/>
      <c r="P8" s="540"/>
      <c r="Q8" s="540"/>
      <c r="R8" s="540"/>
      <c r="S8" s="540"/>
      <c r="T8" s="540"/>
      <c r="U8" s="540"/>
      <c r="V8" s="540"/>
      <c r="W8" s="540"/>
      <c r="X8" s="540"/>
      <c r="Y8" s="133"/>
      <c r="Z8" s="133" t="s">
        <v>675</v>
      </c>
      <c r="AA8" s="133"/>
      <c r="AB8" s="133"/>
      <c r="AC8" s="540">
        <f>ClientPhysicians!I2</f>
        <v>0</v>
      </c>
      <c r="AD8" s="540"/>
      <c r="AE8" s="540"/>
      <c r="AF8" s="540"/>
      <c r="AG8" s="540"/>
      <c r="AH8" s="540"/>
      <c r="AI8" s="540"/>
      <c r="AJ8" s="540"/>
      <c r="AK8" s="540"/>
      <c r="AL8" s="540"/>
      <c r="AM8" s="12"/>
    </row>
    <row r="9" spans="1:39" ht="14.25" x14ac:dyDescent="0.2">
      <c r="A9" s="133" t="s">
        <v>343</v>
      </c>
      <c r="B9" s="133"/>
      <c r="C9" s="133"/>
      <c r="D9" s="133"/>
      <c r="E9" s="540">
        <f>ClientPhysicians!C2</f>
        <v>0</v>
      </c>
      <c r="F9" s="540"/>
      <c r="G9" s="540"/>
      <c r="H9" s="540"/>
      <c r="I9" s="540"/>
      <c r="J9" s="540"/>
      <c r="K9" s="540"/>
      <c r="L9" s="540"/>
      <c r="M9" s="540"/>
      <c r="N9" s="540"/>
      <c r="O9" s="540"/>
      <c r="P9" s="540"/>
      <c r="Q9" s="540"/>
      <c r="R9" s="540"/>
      <c r="S9" s="540"/>
      <c r="T9" s="540"/>
      <c r="U9" s="540"/>
      <c r="V9" s="540"/>
      <c r="W9" s="540"/>
      <c r="X9" s="540"/>
      <c r="Y9" s="133"/>
      <c r="Z9" s="133" t="s">
        <v>2965</v>
      </c>
      <c r="AA9" s="133"/>
      <c r="AB9" s="133"/>
      <c r="AC9" s="133"/>
      <c r="AD9" s="540">
        <f>ClientPhysicians!D2</f>
        <v>0</v>
      </c>
      <c r="AE9" s="540"/>
      <c r="AF9" s="540"/>
      <c r="AG9" s="540"/>
      <c r="AH9" s="540"/>
      <c r="AI9" s="540"/>
      <c r="AJ9" s="540"/>
      <c r="AK9" s="540"/>
      <c r="AL9" s="540"/>
      <c r="AM9" s="12"/>
    </row>
    <row r="10" spans="1:39" ht="14.25" x14ac:dyDescent="0.2">
      <c r="A10" s="133" t="s">
        <v>665</v>
      </c>
      <c r="B10" s="133"/>
      <c r="C10" s="540">
        <f>ClientPhysicians!E2</f>
        <v>0</v>
      </c>
      <c r="D10" s="540"/>
      <c r="E10" s="540"/>
      <c r="F10" s="540"/>
      <c r="G10" s="540"/>
      <c r="H10" s="540"/>
      <c r="I10" s="540"/>
      <c r="J10" s="540"/>
      <c r="K10" s="540"/>
      <c r="L10" s="540"/>
      <c r="M10" s="540"/>
      <c r="N10" s="540"/>
      <c r="O10" s="540"/>
      <c r="P10" s="540"/>
      <c r="Q10" s="540"/>
      <c r="R10" s="133"/>
      <c r="S10" s="133" t="s">
        <v>666</v>
      </c>
      <c r="T10" s="133"/>
      <c r="U10" s="133"/>
      <c r="V10" s="540">
        <f>ClientPhysicians!F2</f>
        <v>0</v>
      </c>
      <c r="W10" s="540"/>
      <c r="X10" s="540"/>
      <c r="Y10" s="540"/>
      <c r="Z10" s="540"/>
      <c r="AA10" s="540"/>
      <c r="AB10" s="540"/>
      <c r="AC10" s="540"/>
      <c r="AD10" s="540"/>
      <c r="AE10" s="133"/>
      <c r="AF10" s="133" t="s">
        <v>667</v>
      </c>
      <c r="AG10" s="133"/>
      <c r="AH10" s="540">
        <f>ClientPhysicians!G2</f>
        <v>0</v>
      </c>
      <c r="AI10" s="540"/>
      <c r="AJ10" s="540"/>
      <c r="AK10" s="540"/>
      <c r="AL10" s="540"/>
      <c r="AM10" s="12"/>
    </row>
    <row r="11" spans="1:39" ht="14.25" x14ac:dyDescent="0.2">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row>
    <row r="12" spans="1:39" ht="14.25" x14ac:dyDescent="0.2">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row>
    <row r="13" spans="1:39" ht="14.25" x14ac:dyDescent="0.2">
      <c r="A13" s="133" t="s">
        <v>571</v>
      </c>
      <c r="B13" s="133"/>
      <c r="C13" s="133"/>
      <c r="D13" s="133"/>
      <c r="E13" s="133"/>
      <c r="F13" s="133"/>
      <c r="G13" s="540">
        <f>ClientPhysicians!A3</f>
        <v>0</v>
      </c>
      <c r="H13" s="540"/>
      <c r="I13" s="540"/>
      <c r="J13" s="540"/>
      <c r="K13" s="540"/>
      <c r="L13" s="540"/>
      <c r="M13" s="540"/>
      <c r="N13" s="540"/>
      <c r="O13" s="540"/>
      <c r="P13" s="540"/>
      <c r="Q13" s="540"/>
      <c r="R13" s="540"/>
      <c r="S13" s="540"/>
      <c r="T13" s="540"/>
      <c r="U13" s="540"/>
      <c r="V13" s="540"/>
      <c r="W13" s="540"/>
      <c r="X13" s="540"/>
      <c r="Y13" s="133"/>
      <c r="Z13" s="133" t="s">
        <v>348</v>
      </c>
      <c r="AA13" s="133"/>
      <c r="AB13" s="133"/>
      <c r="AC13" s="540">
        <f>ClientPhysicians!H3</f>
        <v>0</v>
      </c>
      <c r="AD13" s="540"/>
      <c r="AE13" s="540"/>
      <c r="AF13" s="540"/>
      <c r="AG13" s="540"/>
      <c r="AH13" s="540"/>
      <c r="AI13" s="540"/>
      <c r="AJ13" s="540"/>
      <c r="AK13" s="540"/>
      <c r="AL13" s="540"/>
      <c r="AM13" s="12"/>
    </row>
    <row r="14" spans="1:39" ht="14.25" x14ac:dyDescent="0.2">
      <c r="A14" s="133" t="s">
        <v>3372</v>
      </c>
      <c r="B14" s="133"/>
      <c r="C14" s="133"/>
      <c r="D14" s="133"/>
      <c r="E14" s="540">
        <f>ClientPhysicians!B3</f>
        <v>0</v>
      </c>
      <c r="F14" s="540"/>
      <c r="G14" s="540"/>
      <c r="H14" s="540"/>
      <c r="I14" s="540"/>
      <c r="J14" s="540"/>
      <c r="K14" s="540"/>
      <c r="L14" s="540"/>
      <c r="M14" s="540"/>
      <c r="N14" s="540"/>
      <c r="O14" s="540"/>
      <c r="P14" s="540"/>
      <c r="Q14" s="540"/>
      <c r="R14" s="540"/>
      <c r="S14" s="540"/>
      <c r="T14" s="540"/>
      <c r="U14" s="540"/>
      <c r="V14" s="540"/>
      <c r="W14" s="540"/>
      <c r="X14" s="540"/>
      <c r="Y14" s="133"/>
      <c r="Z14" s="133" t="s">
        <v>675</v>
      </c>
      <c r="AA14" s="133"/>
      <c r="AB14" s="133"/>
      <c r="AC14" s="540">
        <f>ClientPhysicians!I3</f>
        <v>0</v>
      </c>
      <c r="AD14" s="540"/>
      <c r="AE14" s="540"/>
      <c r="AF14" s="540"/>
      <c r="AG14" s="540"/>
      <c r="AH14" s="540"/>
      <c r="AI14" s="540"/>
      <c r="AJ14" s="540"/>
      <c r="AK14" s="540"/>
      <c r="AL14" s="540"/>
      <c r="AM14" s="12"/>
    </row>
    <row r="15" spans="1:39" ht="14.25" x14ac:dyDescent="0.2">
      <c r="A15" s="133" t="s">
        <v>343</v>
      </c>
      <c r="B15" s="133"/>
      <c r="C15" s="133"/>
      <c r="D15" s="133"/>
      <c r="E15" s="540">
        <f>ClientPhysicians!C3</f>
        <v>0</v>
      </c>
      <c r="F15" s="540"/>
      <c r="G15" s="540"/>
      <c r="H15" s="540"/>
      <c r="I15" s="540"/>
      <c r="J15" s="540"/>
      <c r="K15" s="540"/>
      <c r="L15" s="540"/>
      <c r="M15" s="540"/>
      <c r="N15" s="540"/>
      <c r="O15" s="540"/>
      <c r="P15" s="540"/>
      <c r="Q15" s="540"/>
      <c r="R15" s="540"/>
      <c r="S15" s="540"/>
      <c r="T15" s="540"/>
      <c r="U15" s="540"/>
      <c r="V15" s="540"/>
      <c r="W15" s="540"/>
      <c r="X15" s="540"/>
      <c r="Y15" s="133"/>
      <c r="Z15" s="133" t="s">
        <v>2965</v>
      </c>
      <c r="AA15" s="133"/>
      <c r="AB15" s="133"/>
      <c r="AC15" s="133"/>
      <c r="AD15" s="540">
        <f>ClientPhysicians!D3</f>
        <v>0</v>
      </c>
      <c r="AE15" s="540"/>
      <c r="AF15" s="540"/>
      <c r="AG15" s="540"/>
      <c r="AH15" s="540"/>
      <c r="AI15" s="540"/>
      <c r="AJ15" s="540"/>
      <c r="AK15" s="540"/>
      <c r="AL15" s="540"/>
      <c r="AM15" s="12"/>
    </row>
    <row r="16" spans="1:39" ht="14.25" x14ac:dyDescent="0.2">
      <c r="A16" s="133" t="s">
        <v>665</v>
      </c>
      <c r="B16" s="133"/>
      <c r="C16" s="540">
        <f>ClientPhysicians!E3</f>
        <v>0</v>
      </c>
      <c r="D16" s="540"/>
      <c r="E16" s="540"/>
      <c r="F16" s="540"/>
      <c r="G16" s="540"/>
      <c r="H16" s="540"/>
      <c r="I16" s="540"/>
      <c r="J16" s="540"/>
      <c r="K16" s="540"/>
      <c r="L16" s="540"/>
      <c r="M16" s="540"/>
      <c r="N16" s="540"/>
      <c r="O16" s="540"/>
      <c r="P16" s="540"/>
      <c r="Q16" s="540"/>
      <c r="R16" s="133"/>
      <c r="S16" s="133" t="s">
        <v>666</v>
      </c>
      <c r="T16" s="133"/>
      <c r="U16" s="133"/>
      <c r="V16" s="540">
        <f>ClientPhysicians!F3</f>
        <v>0</v>
      </c>
      <c r="W16" s="540"/>
      <c r="X16" s="540"/>
      <c r="Y16" s="540"/>
      <c r="Z16" s="540"/>
      <c r="AA16" s="540"/>
      <c r="AB16" s="540"/>
      <c r="AC16" s="540"/>
      <c r="AD16" s="540"/>
      <c r="AE16" s="133"/>
      <c r="AF16" s="133" t="s">
        <v>667</v>
      </c>
      <c r="AG16" s="133"/>
      <c r="AH16" s="540">
        <f>ClientPhysicians!G3</f>
        <v>0</v>
      </c>
      <c r="AI16" s="540"/>
      <c r="AJ16" s="540"/>
      <c r="AK16" s="540"/>
      <c r="AL16" s="540"/>
      <c r="AM16" s="12"/>
    </row>
    <row r="17" spans="1:39" ht="14.25" x14ac:dyDescent="0.2">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row>
    <row r="18" spans="1:39" ht="14.25" x14ac:dyDescent="0.2">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row>
    <row r="19" spans="1:39" ht="14.25" x14ac:dyDescent="0.2">
      <c r="A19" s="133" t="s">
        <v>571</v>
      </c>
      <c r="B19" s="133"/>
      <c r="C19" s="133"/>
      <c r="D19" s="133"/>
      <c r="E19" s="133"/>
      <c r="F19" s="133"/>
      <c r="G19" s="540">
        <f>ClientPhysicians!A4</f>
        <v>0</v>
      </c>
      <c r="H19" s="540"/>
      <c r="I19" s="540"/>
      <c r="J19" s="540"/>
      <c r="K19" s="540"/>
      <c r="L19" s="540"/>
      <c r="M19" s="540"/>
      <c r="N19" s="540"/>
      <c r="O19" s="540"/>
      <c r="P19" s="540"/>
      <c r="Q19" s="540"/>
      <c r="R19" s="540"/>
      <c r="S19" s="540"/>
      <c r="T19" s="540"/>
      <c r="U19" s="540"/>
      <c r="V19" s="540"/>
      <c r="W19" s="540"/>
      <c r="X19" s="540"/>
      <c r="Y19" s="133"/>
      <c r="Z19" s="133" t="s">
        <v>348</v>
      </c>
      <c r="AA19" s="133"/>
      <c r="AB19" s="133"/>
      <c r="AC19" s="540">
        <f>ClientPhysicians!H4</f>
        <v>0</v>
      </c>
      <c r="AD19" s="540"/>
      <c r="AE19" s="540"/>
      <c r="AF19" s="540"/>
      <c r="AG19" s="540"/>
      <c r="AH19" s="540"/>
      <c r="AI19" s="540"/>
      <c r="AJ19" s="540"/>
      <c r="AK19" s="540"/>
      <c r="AL19" s="540"/>
      <c r="AM19" s="12"/>
    </row>
    <row r="20" spans="1:39" ht="14.25" x14ac:dyDescent="0.2">
      <c r="A20" s="133" t="s">
        <v>3372</v>
      </c>
      <c r="B20" s="133"/>
      <c r="C20" s="133"/>
      <c r="D20" s="133"/>
      <c r="E20" s="540">
        <f>ClientPhysicians!B4</f>
        <v>0</v>
      </c>
      <c r="F20" s="540"/>
      <c r="G20" s="540"/>
      <c r="H20" s="540"/>
      <c r="I20" s="540"/>
      <c r="J20" s="540"/>
      <c r="K20" s="540"/>
      <c r="L20" s="540"/>
      <c r="M20" s="540"/>
      <c r="N20" s="540"/>
      <c r="O20" s="540"/>
      <c r="P20" s="540"/>
      <c r="Q20" s="540"/>
      <c r="R20" s="540"/>
      <c r="S20" s="540"/>
      <c r="T20" s="540"/>
      <c r="U20" s="540"/>
      <c r="V20" s="540"/>
      <c r="W20" s="540"/>
      <c r="X20" s="540"/>
      <c r="Y20" s="133"/>
      <c r="Z20" s="133" t="s">
        <v>675</v>
      </c>
      <c r="AA20" s="133"/>
      <c r="AB20" s="133"/>
      <c r="AC20" s="540">
        <f>ClientPhysicians!I4</f>
        <v>0</v>
      </c>
      <c r="AD20" s="540"/>
      <c r="AE20" s="540"/>
      <c r="AF20" s="540"/>
      <c r="AG20" s="540"/>
      <c r="AH20" s="540"/>
      <c r="AI20" s="540"/>
      <c r="AJ20" s="540"/>
      <c r="AK20" s="540"/>
      <c r="AL20" s="540"/>
      <c r="AM20" s="12"/>
    </row>
    <row r="21" spans="1:39" ht="14.25" x14ac:dyDescent="0.2">
      <c r="A21" s="133" t="s">
        <v>343</v>
      </c>
      <c r="B21" s="133"/>
      <c r="C21" s="133"/>
      <c r="D21" s="133"/>
      <c r="E21" s="540">
        <f>ClientPhysicians!C4</f>
        <v>0</v>
      </c>
      <c r="F21" s="540"/>
      <c r="G21" s="540"/>
      <c r="H21" s="540"/>
      <c r="I21" s="540"/>
      <c r="J21" s="540"/>
      <c r="K21" s="540"/>
      <c r="L21" s="540"/>
      <c r="M21" s="540"/>
      <c r="N21" s="540"/>
      <c r="O21" s="540"/>
      <c r="P21" s="540"/>
      <c r="Q21" s="540"/>
      <c r="R21" s="540"/>
      <c r="S21" s="540"/>
      <c r="T21" s="540"/>
      <c r="U21" s="540"/>
      <c r="V21" s="540"/>
      <c r="W21" s="540"/>
      <c r="X21" s="540"/>
      <c r="Y21" s="133"/>
      <c r="Z21" s="133" t="s">
        <v>2965</v>
      </c>
      <c r="AA21" s="133"/>
      <c r="AB21" s="133"/>
      <c r="AC21" s="133"/>
      <c r="AD21" s="540">
        <f>ClientPhysicians!D4</f>
        <v>0</v>
      </c>
      <c r="AE21" s="540"/>
      <c r="AF21" s="540"/>
      <c r="AG21" s="540"/>
      <c r="AH21" s="540"/>
      <c r="AI21" s="540"/>
      <c r="AJ21" s="540"/>
      <c r="AK21" s="540"/>
      <c r="AL21" s="540"/>
      <c r="AM21" s="12"/>
    </row>
    <row r="22" spans="1:39" ht="14.25" x14ac:dyDescent="0.2">
      <c r="A22" s="133" t="s">
        <v>665</v>
      </c>
      <c r="B22" s="133"/>
      <c r="C22" s="540">
        <f>ClientPhysicians!E4</f>
        <v>0</v>
      </c>
      <c r="D22" s="540"/>
      <c r="E22" s="540"/>
      <c r="F22" s="540"/>
      <c r="G22" s="540"/>
      <c r="H22" s="540"/>
      <c r="I22" s="540"/>
      <c r="J22" s="540"/>
      <c r="K22" s="540"/>
      <c r="L22" s="540"/>
      <c r="M22" s="540"/>
      <c r="N22" s="540"/>
      <c r="O22" s="540"/>
      <c r="P22" s="540"/>
      <c r="Q22" s="540"/>
      <c r="R22" s="133"/>
      <c r="S22" s="133" t="s">
        <v>666</v>
      </c>
      <c r="T22" s="133"/>
      <c r="U22" s="133"/>
      <c r="V22" s="540">
        <f>ClientPhysicians!F4</f>
        <v>0</v>
      </c>
      <c r="W22" s="540"/>
      <c r="X22" s="540"/>
      <c r="Y22" s="540"/>
      <c r="Z22" s="540"/>
      <c r="AA22" s="540"/>
      <c r="AB22" s="540"/>
      <c r="AC22" s="540"/>
      <c r="AD22" s="540"/>
      <c r="AE22" s="133"/>
      <c r="AF22" s="133" t="s">
        <v>667</v>
      </c>
      <c r="AG22" s="133"/>
      <c r="AH22" s="540">
        <f>ClientPhysicians!G4</f>
        <v>0</v>
      </c>
      <c r="AI22" s="540"/>
      <c r="AJ22" s="540"/>
      <c r="AK22" s="540"/>
      <c r="AL22" s="540"/>
      <c r="AM22" s="12"/>
    </row>
    <row r="23" spans="1:39" ht="14.25" x14ac:dyDescent="0.2">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row>
    <row r="24" spans="1:39" ht="14.25" x14ac:dyDescent="0.2">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row>
    <row r="25" spans="1:39" ht="14.25" x14ac:dyDescent="0.2">
      <c r="A25" s="133" t="s">
        <v>571</v>
      </c>
      <c r="B25" s="133"/>
      <c r="C25" s="133"/>
      <c r="D25" s="133"/>
      <c r="E25" s="133"/>
      <c r="F25" s="133"/>
      <c r="G25" s="540">
        <f>ClientPhysicians!A5</f>
        <v>0</v>
      </c>
      <c r="H25" s="540"/>
      <c r="I25" s="540"/>
      <c r="J25" s="540"/>
      <c r="K25" s="540"/>
      <c r="L25" s="540"/>
      <c r="M25" s="540"/>
      <c r="N25" s="540"/>
      <c r="O25" s="540"/>
      <c r="P25" s="540"/>
      <c r="Q25" s="540"/>
      <c r="R25" s="540"/>
      <c r="S25" s="540"/>
      <c r="T25" s="540"/>
      <c r="U25" s="540"/>
      <c r="V25" s="540"/>
      <c r="W25" s="540"/>
      <c r="X25" s="540"/>
      <c r="Y25" s="133"/>
      <c r="Z25" s="133" t="s">
        <v>348</v>
      </c>
      <c r="AA25" s="133"/>
      <c r="AB25" s="133"/>
      <c r="AC25" s="540">
        <f>ClientPhysicians!H5</f>
        <v>0</v>
      </c>
      <c r="AD25" s="540"/>
      <c r="AE25" s="540"/>
      <c r="AF25" s="540"/>
      <c r="AG25" s="540"/>
      <c r="AH25" s="540"/>
      <c r="AI25" s="540"/>
      <c r="AJ25" s="540"/>
      <c r="AK25" s="540"/>
      <c r="AL25" s="540"/>
      <c r="AM25" s="12"/>
    </row>
    <row r="26" spans="1:39" ht="14.25" x14ac:dyDescent="0.2">
      <c r="A26" s="133" t="s">
        <v>3372</v>
      </c>
      <c r="B26" s="133"/>
      <c r="C26" s="133"/>
      <c r="D26" s="133"/>
      <c r="E26" s="540">
        <f>ClientPhysicians!B5</f>
        <v>0</v>
      </c>
      <c r="F26" s="540"/>
      <c r="G26" s="540"/>
      <c r="H26" s="540"/>
      <c r="I26" s="540"/>
      <c r="J26" s="540"/>
      <c r="K26" s="540"/>
      <c r="L26" s="540"/>
      <c r="M26" s="540"/>
      <c r="N26" s="540"/>
      <c r="O26" s="540"/>
      <c r="P26" s="540"/>
      <c r="Q26" s="540"/>
      <c r="R26" s="540"/>
      <c r="S26" s="540"/>
      <c r="T26" s="540"/>
      <c r="U26" s="540"/>
      <c r="V26" s="540"/>
      <c r="W26" s="540"/>
      <c r="X26" s="540"/>
      <c r="Y26" s="133"/>
      <c r="Z26" s="133" t="s">
        <v>675</v>
      </c>
      <c r="AA26" s="133"/>
      <c r="AB26" s="133"/>
      <c r="AC26" s="540">
        <f>ClientPhysicians!I5</f>
        <v>0</v>
      </c>
      <c r="AD26" s="540"/>
      <c r="AE26" s="540"/>
      <c r="AF26" s="540"/>
      <c r="AG26" s="540"/>
      <c r="AH26" s="540"/>
      <c r="AI26" s="540"/>
      <c r="AJ26" s="540"/>
      <c r="AK26" s="540"/>
      <c r="AL26" s="540"/>
      <c r="AM26" s="12"/>
    </row>
    <row r="27" spans="1:39" ht="14.25" x14ac:dyDescent="0.2">
      <c r="A27" s="133" t="s">
        <v>343</v>
      </c>
      <c r="B27" s="133"/>
      <c r="C27" s="133"/>
      <c r="D27" s="133"/>
      <c r="E27" s="540">
        <f>ClientPhysicians!C5</f>
        <v>0</v>
      </c>
      <c r="F27" s="540"/>
      <c r="G27" s="540"/>
      <c r="H27" s="540"/>
      <c r="I27" s="540"/>
      <c r="J27" s="540"/>
      <c r="K27" s="540"/>
      <c r="L27" s="540"/>
      <c r="M27" s="540"/>
      <c r="N27" s="540"/>
      <c r="O27" s="540"/>
      <c r="P27" s="540"/>
      <c r="Q27" s="540"/>
      <c r="R27" s="540"/>
      <c r="S27" s="540"/>
      <c r="T27" s="540"/>
      <c r="U27" s="540"/>
      <c r="V27" s="540"/>
      <c r="W27" s="540"/>
      <c r="X27" s="540"/>
      <c r="Y27" s="133"/>
      <c r="Z27" s="133" t="s">
        <v>2965</v>
      </c>
      <c r="AA27" s="133"/>
      <c r="AB27" s="133"/>
      <c r="AC27" s="133"/>
      <c r="AD27" s="540">
        <f>ClientPhysicians!D5</f>
        <v>0</v>
      </c>
      <c r="AE27" s="540"/>
      <c r="AF27" s="540"/>
      <c r="AG27" s="540"/>
      <c r="AH27" s="540"/>
      <c r="AI27" s="540"/>
      <c r="AJ27" s="540"/>
      <c r="AK27" s="540"/>
      <c r="AL27" s="540"/>
      <c r="AM27" s="12"/>
    </row>
    <row r="28" spans="1:39" ht="14.25" x14ac:dyDescent="0.2">
      <c r="A28" s="133" t="s">
        <v>665</v>
      </c>
      <c r="B28" s="133"/>
      <c r="C28" s="540">
        <f>ClientPhysicians!E5</f>
        <v>0</v>
      </c>
      <c r="D28" s="540"/>
      <c r="E28" s="540"/>
      <c r="F28" s="540"/>
      <c r="G28" s="540"/>
      <c r="H28" s="540"/>
      <c r="I28" s="540"/>
      <c r="J28" s="540"/>
      <c r="K28" s="540"/>
      <c r="L28" s="540"/>
      <c r="M28" s="540"/>
      <c r="N28" s="540"/>
      <c r="O28" s="540"/>
      <c r="P28" s="540"/>
      <c r="Q28" s="540"/>
      <c r="R28" s="133"/>
      <c r="S28" s="133" t="s">
        <v>666</v>
      </c>
      <c r="T28" s="133"/>
      <c r="U28" s="133"/>
      <c r="V28" s="540">
        <f>ClientPhysicians!F5</f>
        <v>0</v>
      </c>
      <c r="W28" s="540"/>
      <c r="X28" s="540"/>
      <c r="Y28" s="540"/>
      <c r="Z28" s="540"/>
      <c r="AA28" s="540"/>
      <c r="AB28" s="540"/>
      <c r="AC28" s="540"/>
      <c r="AD28" s="540"/>
      <c r="AE28" s="133"/>
      <c r="AF28" s="133" t="s">
        <v>667</v>
      </c>
      <c r="AG28" s="133"/>
      <c r="AH28" s="540">
        <f>ClientPhysicians!G5</f>
        <v>0</v>
      </c>
      <c r="AI28" s="540"/>
      <c r="AJ28" s="540"/>
      <c r="AK28" s="540"/>
      <c r="AL28" s="540"/>
      <c r="AM28" s="12"/>
    </row>
    <row r="29" spans="1:39" ht="14.25" x14ac:dyDescent="0.2">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row>
    <row r="30" spans="1:39" ht="14.25" x14ac:dyDescent="0.2">
      <c r="A30" s="12"/>
      <c r="B30" s="12"/>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row>
    <row r="31" spans="1:39" ht="14.25" x14ac:dyDescent="0.2">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row>
    <row r="32" spans="1:39" ht="14.25" x14ac:dyDescent="0.2">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row>
    <row r="33" spans="1:39" ht="14.25" x14ac:dyDescent="0.2">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row>
    <row r="34" spans="1:39" ht="14.25" x14ac:dyDescent="0.2">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row>
    <row r="35" spans="1:39" ht="14.25" x14ac:dyDescent="0.2">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row>
    <row r="36" spans="1:39" ht="14.25" x14ac:dyDescent="0.2">
      <c r="A36" s="240"/>
      <c r="B36" s="240"/>
      <c r="C36" s="240"/>
      <c r="D36" s="240"/>
      <c r="E36" s="240"/>
      <c r="F36" s="240"/>
      <c r="G36" s="240"/>
      <c r="H36" s="240"/>
      <c r="I36" s="240"/>
      <c r="J36" s="240"/>
      <c r="K36" s="240"/>
      <c r="L36" s="240"/>
      <c r="M36" s="240"/>
      <c r="N36" s="240"/>
      <c r="O36" s="240"/>
      <c r="P36" s="240"/>
      <c r="AF36" s="12"/>
      <c r="AG36" s="12"/>
      <c r="AH36" s="12"/>
      <c r="AI36" s="12"/>
      <c r="AJ36" s="12"/>
      <c r="AK36" s="12"/>
      <c r="AL36" s="12"/>
      <c r="AM36" s="12"/>
    </row>
    <row r="37" spans="1:39" ht="14.25" x14ac:dyDescent="0.2">
      <c r="A37" s="240"/>
      <c r="B37" s="240"/>
      <c r="C37" s="240"/>
      <c r="D37" s="240"/>
      <c r="E37" s="240"/>
      <c r="F37" s="240"/>
      <c r="G37" s="240"/>
      <c r="H37" s="240"/>
      <c r="I37" s="240"/>
      <c r="J37" s="240"/>
      <c r="K37" s="240"/>
      <c r="L37" s="240"/>
      <c r="M37" s="240"/>
      <c r="N37" s="240"/>
      <c r="O37" s="240"/>
      <c r="P37" s="240"/>
      <c r="AF37" s="12"/>
      <c r="AG37" s="12"/>
      <c r="AH37" s="12"/>
      <c r="AI37" s="12"/>
      <c r="AJ37" s="12"/>
      <c r="AK37" s="12"/>
      <c r="AL37" s="12"/>
      <c r="AM37" s="12"/>
    </row>
    <row r="38" spans="1:39" ht="14.25" x14ac:dyDescent="0.2">
      <c r="A38" s="266"/>
      <c r="B38" s="266"/>
      <c r="C38" s="266"/>
      <c r="D38" s="266"/>
      <c r="E38" s="266"/>
      <c r="F38" s="266"/>
      <c r="G38" s="266"/>
      <c r="H38" s="266"/>
      <c r="I38" s="266"/>
      <c r="J38" s="266"/>
      <c r="K38" s="266"/>
      <c r="L38" s="266"/>
      <c r="M38" s="266"/>
      <c r="N38" s="266"/>
      <c r="O38" s="266"/>
      <c r="P38" s="266"/>
      <c r="R38" s="269">
        <f>Data!B34</f>
        <v>0</v>
      </c>
      <c r="S38" s="267"/>
      <c r="T38" s="267"/>
      <c r="U38" s="267"/>
      <c r="V38" s="267"/>
      <c r="W38" s="267"/>
      <c r="X38" s="267"/>
      <c r="Y38" s="267"/>
      <c r="AF38" s="12"/>
      <c r="AG38" s="12"/>
      <c r="AH38" s="12"/>
      <c r="AI38" s="12"/>
      <c r="AJ38" s="12"/>
      <c r="AK38" s="12"/>
      <c r="AL38" s="12"/>
      <c r="AM38" s="12"/>
    </row>
    <row r="39" spans="1:39" ht="14.25" x14ac:dyDescent="0.2">
      <c r="A39" s="12" t="s">
        <v>367</v>
      </c>
      <c r="B39" s="12"/>
      <c r="C39" s="12"/>
      <c r="D39" s="12"/>
      <c r="E39" s="12"/>
      <c r="F39" s="12"/>
      <c r="G39" s="12"/>
      <c r="H39" s="12"/>
      <c r="I39" s="12"/>
      <c r="J39" s="12"/>
      <c r="K39" s="12"/>
      <c r="L39" s="12"/>
      <c r="M39" s="12"/>
      <c r="N39" s="12"/>
      <c r="O39" s="12"/>
      <c r="P39" s="12"/>
      <c r="Q39" s="12"/>
      <c r="R39" s="12" t="s">
        <v>368</v>
      </c>
      <c r="S39" s="12"/>
      <c r="T39" s="12"/>
      <c r="U39" s="12"/>
      <c r="V39" s="12"/>
      <c r="W39" s="12"/>
      <c r="X39" s="12"/>
      <c r="Y39" s="12"/>
      <c r="Z39" s="12"/>
      <c r="AA39" s="12"/>
      <c r="AB39" s="12"/>
      <c r="AC39" s="12"/>
      <c r="AD39" s="12"/>
      <c r="AE39" s="12"/>
      <c r="AF39" s="12"/>
      <c r="AG39" s="12"/>
      <c r="AH39" s="12"/>
      <c r="AI39" s="12"/>
      <c r="AJ39" s="12"/>
      <c r="AK39" s="12"/>
      <c r="AL39" s="12"/>
      <c r="AM39" s="12"/>
    </row>
    <row r="40" spans="1:39" ht="14.25" x14ac:dyDescent="0.2">
      <c r="A40" s="533"/>
      <c r="B40" s="533"/>
      <c r="C40" s="533"/>
      <c r="D40" s="533"/>
      <c r="E40" s="533"/>
      <c r="F40" s="533"/>
      <c r="G40" s="533"/>
      <c r="H40" s="533"/>
      <c r="I40" s="533"/>
      <c r="J40" s="533"/>
      <c r="K40" s="533"/>
      <c r="L40" s="533"/>
      <c r="M40" s="533"/>
      <c r="N40" s="533"/>
      <c r="O40" s="533"/>
      <c r="P40" s="533"/>
      <c r="Q40" s="12"/>
      <c r="R40" s="12"/>
      <c r="S40" s="12"/>
      <c r="T40" s="12"/>
      <c r="U40" s="12"/>
      <c r="V40" s="12"/>
      <c r="W40" s="12"/>
      <c r="X40" s="12"/>
      <c r="Y40" s="12"/>
      <c r="Z40" s="12"/>
      <c r="AA40" s="12"/>
      <c r="AB40" s="12"/>
      <c r="AC40" s="12"/>
      <c r="AD40" s="12"/>
      <c r="AE40" s="12"/>
      <c r="AF40" s="12"/>
      <c r="AG40" s="12"/>
      <c r="AH40" s="12"/>
      <c r="AI40" s="12"/>
      <c r="AJ40" s="12"/>
      <c r="AK40" s="12"/>
      <c r="AL40" s="12"/>
      <c r="AM40" s="12"/>
    </row>
    <row r="41" spans="1:39" ht="14.25" x14ac:dyDescent="0.2">
      <c r="A41" s="533"/>
      <c r="B41" s="533"/>
      <c r="C41" s="533"/>
      <c r="D41" s="533"/>
      <c r="E41" s="533"/>
      <c r="F41" s="533"/>
      <c r="G41" s="533"/>
      <c r="H41" s="533"/>
      <c r="I41" s="533"/>
      <c r="J41" s="533"/>
      <c r="K41" s="533"/>
      <c r="L41" s="533"/>
      <c r="M41" s="533"/>
      <c r="N41" s="533"/>
      <c r="O41" s="533"/>
      <c r="P41" s="533"/>
      <c r="Q41" s="12"/>
      <c r="R41" s="12"/>
      <c r="S41" s="12"/>
      <c r="T41" s="12"/>
      <c r="U41" s="12"/>
      <c r="V41" s="12"/>
      <c r="W41" s="12"/>
      <c r="X41" s="12"/>
      <c r="Y41" s="12"/>
      <c r="Z41" s="12"/>
      <c r="AA41" s="12"/>
      <c r="AB41" s="12"/>
      <c r="AC41" s="12"/>
      <c r="AD41" s="12"/>
      <c r="AE41" s="12"/>
      <c r="AF41" s="12"/>
      <c r="AG41" s="12"/>
      <c r="AH41" s="12"/>
      <c r="AI41" s="12"/>
      <c r="AJ41" s="12"/>
      <c r="AK41" s="12"/>
      <c r="AL41" s="12"/>
      <c r="AM41" s="12"/>
    </row>
    <row r="42" spans="1:39" ht="14.25" x14ac:dyDescent="0.2">
      <c r="A42" s="534"/>
      <c r="B42" s="534"/>
      <c r="C42" s="534"/>
      <c r="D42" s="534"/>
      <c r="E42" s="534"/>
      <c r="F42" s="534"/>
      <c r="G42" s="534"/>
      <c r="H42" s="534"/>
      <c r="I42" s="534"/>
      <c r="J42" s="534"/>
      <c r="K42" s="534"/>
      <c r="L42" s="534"/>
      <c r="M42" s="534"/>
      <c r="N42" s="534"/>
      <c r="O42" s="534"/>
      <c r="P42" s="534"/>
      <c r="Q42" s="12"/>
      <c r="R42" s="467">
        <f>Data!B175</f>
        <v>0</v>
      </c>
      <c r="S42" s="467"/>
      <c r="T42" s="467"/>
      <c r="U42" s="467"/>
      <c r="V42" s="467"/>
      <c r="W42" s="467"/>
      <c r="X42" s="467"/>
      <c r="Y42" s="467"/>
      <c r="Z42" s="467"/>
      <c r="AA42" s="467"/>
      <c r="AB42" s="467"/>
      <c r="AC42" s="467"/>
      <c r="AD42" s="467"/>
      <c r="AE42" s="467"/>
      <c r="AF42" s="12"/>
      <c r="AG42" s="12"/>
      <c r="AH42" s="12"/>
      <c r="AI42" s="12"/>
      <c r="AJ42" s="12"/>
      <c r="AK42" s="12"/>
      <c r="AL42" s="12"/>
      <c r="AM42" s="12"/>
    </row>
    <row r="43" spans="1:39" ht="14.25" x14ac:dyDescent="0.2">
      <c r="A43" s="12" t="s">
        <v>2881</v>
      </c>
      <c r="B43" s="12"/>
      <c r="C43" s="12"/>
      <c r="D43" s="12"/>
      <c r="E43" s="12"/>
      <c r="F43" s="12"/>
      <c r="G43" s="12"/>
      <c r="H43" s="12"/>
      <c r="I43" s="12"/>
      <c r="J43" s="12"/>
      <c r="K43" s="12"/>
      <c r="L43" s="12"/>
      <c r="M43" s="12"/>
      <c r="N43" s="12"/>
      <c r="O43" s="12"/>
      <c r="P43" s="12"/>
      <c r="Q43" s="12"/>
      <c r="R43" s="12" t="s">
        <v>1465</v>
      </c>
      <c r="S43" s="12"/>
      <c r="T43" s="12"/>
      <c r="U43" s="12"/>
      <c r="V43" s="12"/>
      <c r="W43" s="12"/>
      <c r="X43" s="12"/>
      <c r="Y43" s="12"/>
      <c r="Z43" s="12"/>
      <c r="AA43" s="12"/>
      <c r="AB43" s="12"/>
      <c r="AC43" s="12"/>
      <c r="AD43" s="12"/>
      <c r="AE43" s="12"/>
      <c r="AF43" s="12"/>
      <c r="AG43" s="12"/>
      <c r="AH43" s="12"/>
      <c r="AI43" s="12"/>
      <c r="AJ43" s="12"/>
      <c r="AK43" s="12"/>
      <c r="AL43" s="12"/>
      <c r="AM43" s="12"/>
    </row>
    <row r="44" spans="1:39" ht="14.25" x14ac:dyDescent="0.2">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row>
    <row r="45" spans="1:39" ht="14.25" x14ac:dyDescent="0.2">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row>
    <row r="46" spans="1:39" ht="14.25" x14ac:dyDescent="0.2">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row>
    <row r="47" spans="1:39" ht="14.25" x14ac:dyDescent="0.2">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row>
    <row r="48" spans="1:39" ht="14.25" x14ac:dyDescent="0.2">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row>
    <row r="49" spans="1:39" ht="14.25" x14ac:dyDescent="0.2">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row>
    <row r="50" spans="1:39" ht="14.25" x14ac:dyDescent="0.2">
      <c r="A50" s="12"/>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row>
    <row r="51" spans="1:39" ht="14.25" x14ac:dyDescent="0.2">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row>
    <row r="52" spans="1:39" ht="14.25" x14ac:dyDescent="0.2">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row>
    <row r="53" spans="1:39" ht="14.25" x14ac:dyDescent="0.2">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2"/>
    </row>
    <row r="54" spans="1:39" ht="14.25" x14ac:dyDescent="0.2">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row>
    <row r="55" spans="1:39" ht="14.25" x14ac:dyDescent="0.2">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row>
    <row r="56" spans="1:39" ht="14.25" x14ac:dyDescent="0.2">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2"/>
    </row>
    <row r="57" spans="1:39" ht="14.25" x14ac:dyDescent="0.2">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2"/>
    </row>
    <row r="58" spans="1:39" ht="14.25" x14ac:dyDescent="0.2">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row>
  </sheetData>
  <mergeCells count="43">
    <mergeCell ref="A40:P42"/>
    <mergeCell ref="R42:AE42"/>
    <mergeCell ref="E27:X27"/>
    <mergeCell ref="AD27:AL27"/>
    <mergeCell ref="C28:Q28"/>
    <mergeCell ref="V28:AD28"/>
    <mergeCell ref="AH28:AL28"/>
    <mergeCell ref="A36:P38"/>
    <mergeCell ref="R38:Y38"/>
    <mergeCell ref="E26:X26"/>
    <mergeCell ref="AC26:AL26"/>
    <mergeCell ref="G19:X19"/>
    <mergeCell ref="AC19:AL19"/>
    <mergeCell ref="E20:X20"/>
    <mergeCell ref="AC20:AL20"/>
    <mergeCell ref="E21:X21"/>
    <mergeCell ref="AD21:AL21"/>
    <mergeCell ref="C22:Q22"/>
    <mergeCell ref="V22:AD22"/>
    <mergeCell ref="AH22:AL22"/>
    <mergeCell ref="G25:X25"/>
    <mergeCell ref="AC25:AL25"/>
    <mergeCell ref="E14:X14"/>
    <mergeCell ref="AC14:AL14"/>
    <mergeCell ref="E15:X15"/>
    <mergeCell ref="AD15:AL15"/>
    <mergeCell ref="C16:Q16"/>
    <mergeCell ref="V16:AD16"/>
    <mergeCell ref="AH16:AL16"/>
    <mergeCell ref="G13:X13"/>
    <mergeCell ref="AC13:AL13"/>
    <mergeCell ref="AB1:AI1"/>
    <mergeCell ref="F1:Y1"/>
    <mergeCell ref="A3:AL5"/>
    <mergeCell ref="G7:X7"/>
    <mergeCell ref="E8:X8"/>
    <mergeCell ref="AC7:AL7"/>
    <mergeCell ref="AC8:AL8"/>
    <mergeCell ref="E9:X9"/>
    <mergeCell ref="AD9:AL9"/>
    <mergeCell ref="C10:Q10"/>
    <mergeCell ref="V10:AD10"/>
    <mergeCell ref="AH10:AL10"/>
  </mergeCells>
  <pageMargins left="0.25" right="0.25" top="0.75" bottom="0.75" header="0.3" footer="0.3"/>
  <pageSetup orientation="portrait" verticalDpi="1200" r:id="rId1"/>
  <headerFooter>
    <oddHeader>&amp;L&amp;G&amp;R&amp;11Client Specialist Physicians</oddHeader>
    <oddFooter>&amp;C3088 Mercer University Drive Suite 100 Atlanta, GA 30341
678-310-6305 Fax 404-935-6110</oddFooter>
  </headerFooter>
  <legacyDrawingHF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8">
    <tabColor theme="4" tint="-0.249977111117893"/>
  </sheetPr>
  <dimension ref="A2:AL51"/>
  <sheetViews>
    <sheetView showZeros="0" view="pageLayout" zoomScaleNormal="100" workbookViewId="0">
      <selection activeCell="AA2" sqref="AA2:AH2"/>
    </sheetView>
  </sheetViews>
  <sheetFormatPr defaultColWidth="2.7109375" defaultRowHeight="12.75" x14ac:dyDescent="0.2"/>
  <cols>
    <col min="1" max="1" width="2.5703125" customWidth="1"/>
  </cols>
  <sheetData>
    <row r="2" spans="1:38" x14ac:dyDescent="0.2">
      <c r="A2" t="s">
        <v>336</v>
      </c>
      <c r="E2" s="267" t="str">
        <f>_xlfn.CONCAT(Data!B2,", ",Data!B3," ",Data!B4)</f>
        <v xml:space="preserve">,  </v>
      </c>
      <c r="F2" s="267"/>
      <c r="G2" s="267"/>
      <c r="H2" s="267"/>
      <c r="I2" s="267"/>
      <c r="J2" s="267"/>
      <c r="K2" s="267"/>
      <c r="L2" s="267"/>
      <c r="M2" s="267"/>
      <c r="N2" s="267"/>
      <c r="O2" s="267"/>
      <c r="P2" s="267"/>
      <c r="Q2" s="267"/>
      <c r="R2" s="267"/>
      <c r="S2" s="267"/>
      <c r="T2" s="267"/>
      <c r="U2" s="267"/>
      <c r="V2" s="267"/>
      <c r="W2" s="267"/>
      <c r="Y2" t="s">
        <v>371</v>
      </c>
      <c r="AA2" s="269">
        <f>Data!B14</f>
        <v>0</v>
      </c>
      <c r="AB2" s="267"/>
      <c r="AC2" s="267"/>
      <c r="AD2" s="267"/>
      <c r="AE2" s="267"/>
      <c r="AF2" s="267"/>
      <c r="AG2" s="267"/>
      <c r="AH2" s="267"/>
    </row>
    <row r="4" spans="1:38" x14ac:dyDescent="0.2">
      <c r="A4" s="340" t="s">
        <v>372</v>
      </c>
      <c r="B4" s="340"/>
      <c r="C4" s="340"/>
      <c r="D4" s="340"/>
      <c r="E4" s="340"/>
      <c r="F4" s="340"/>
      <c r="G4" s="340"/>
      <c r="H4" s="340"/>
      <c r="I4" s="340"/>
      <c r="J4" s="340"/>
      <c r="K4" s="340"/>
      <c r="L4" s="340"/>
      <c r="M4" s="340"/>
      <c r="N4" s="340"/>
      <c r="O4" s="340"/>
      <c r="P4" s="340"/>
      <c r="Q4" s="340"/>
      <c r="R4" s="340"/>
      <c r="S4" s="340"/>
      <c r="T4" s="340"/>
      <c r="U4" s="340"/>
      <c r="V4" s="340"/>
      <c r="W4" s="340"/>
      <c r="X4" s="340"/>
      <c r="Y4" s="340"/>
      <c r="Z4" s="340"/>
      <c r="AA4" s="340"/>
      <c r="AB4" s="340"/>
      <c r="AC4" s="340"/>
      <c r="AD4" s="340"/>
      <c r="AE4" s="340"/>
      <c r="AF4" s="340"/>
      <c r="AG4" s="340"/>
      <c r="AH4" s="340"/>
      <c r="AI4" s="340"/>
      <c r="AJ4" s="340"/>
      <c r="AK4" s="340"/>
      <c r="AL4" s="340"/>
    </row>
    <row r="5" spans="1:38" ht="12.75" customHeight="1" x14ac:dyDescent="0.2">
      <c r="A5" s="260" t="s">
        <v>373</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c r="AE5" s="260"/>
      <c r="AF5" s="260"/>
      <c r="AG5" s="260"/>
      <c r="AH5" s="260"/>
      <c r="AI5" s="260"/>
      <c r="AJ5" s="260"/>
      <c r="AK5" s="260"/>
      <c r="AL5" s="5"/>
    </row>
    <row r="6" spans="1:38" x14ac:dyDescent="0.2">
      <c r="A6" s="260"/>
      <c r="B6" s="260"/>
      <c r="C6" s="260"/>
      <c r="D6" s="260"/>
      <c r="E6" s="260"/>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c r="AE6" s="260"/>
      <c r="AF6" s="260"/>
      <c r="AG6" s="260"/>
      <c r="AH6" s="260"/>
      <c r="AI6" s="260"/>
      <c r="AJ6" s="260"/>
      <c r="AK6" s="260"/>
      <c r="AL6" s="5"/>
    </row>
    <row r="7" spans="1:38" x14ac:dyDescent="0.2">
      <c r="A7" s="260"/>
      <c r="B7" s="260"/>
      <c r="C7" s="260"/>
      <c r="D7" s="260"/>
      <c r="E7" s="260"/>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c r="AE7" s="260"/>
      <c r="AF7" s="260"/>
      <c r="AG7" s="260"/>
      <c r="AH7" s="260"/>
      <c r="AI7" s="260"/>
      <c r="AJ7" s="260"/>
      <c r="AK7" s="260"/>
      <c r="AL7" s="5"/>
    </row>
    <row r="8" spans="1:38" x14ac:dyDescent="0.2">
      <c r="A8" s="260"/>
      <c r="B8" s="260"/>
      <c r="C8" s="260"/>
      <c r="D8" s="260"/>
      <c r="E8" s="260"/>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c r="AE8" s="260"/>
      <c r="AF8" s="260"/>
      <c r="AG8" s="260"/>
      <c r="AH8" s="260"/>
      <c r="AI8" s="260"/>
      <c r="AJ8" s="260"/>
      <c r="AK8" s="260"/>
      <c r="AL8" s="5"/>
    </row>
    <row r="9" spans="1:38" x14ac:dyDescent="0.2">
      <c r="A9" s="260"/>
      <c r="B9" s="260"/>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row>
    <row r="10" spans="1:38" x14ac:dyDescent="0.2">
      <c r="A10" s="261" t="s">
        <v>375</v>
      </c>
      <c r="B10" s="261"/>
      <c r="C10" s="261"/>
      <c r="D10" s="261"/>
      <c r="E10" s="261"/>
      <c r="F10" s="261"/>
      <c r="G10" s="261"/>
      <c r="H10" s="261"/>
      <c r="I10" s="261"/>
      <c r="J10" s="261"/>
      <c r="K10" s="261"/>
      <c r="L10" s="261"/>
      <c r="M10" s="261"/>
      <c r="N10" s="261"/>
      <c r="O10" s="261"/>
      <c r="P10" s="261"/>
      <c r="Q10" s="261"/>
      <c r="R10" s="261"/>
      <c r="S10" s="261"/>
      <c r="T10" s="261"/>
      <c r="U10" s="261"/>
      <c r="V10" s="261"/>
      <c r="W10" s="261"/>
      <c r="X10" s="261"/>
      <c r="Y10" s="261"/>
      <c r="Z10" s="261"/>
      <c r="AA10" s="261"/>
      <c r="AB10" s="261"/>
      <c r="AC10" s="261"/>
      <c r="AD10" s="261"/>
      <c r="AE10" s="261"/>
      <c r="AF10" s="261"/>
      <c r="AG10" s="261"/>
      <c r="AH10" s="261"/>
      <c r="AI10" s="261"/>
      <c r="AJ10" s="261"/>
      <c r="AK10" s="261"/>
      <c r="AL10" s="8"/>
    </row>
    <row r="12" spans="1:38" ht="12.75" customHeight="1" x14ac:dyDescent="0.2">
      <c r="A12" s="217" t="s">
        <v>374</v>
      </c>
      <c r="B12" s="217"/>
      <c r="C12" s="217"/>
      <c r="D12" s="217"/>
      <c r="E12" s="217"/>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5"/>
    </row>
    <row r="13" spans="1:38" x14ac:dyDescent="0.2">
      <c r="A13" s="217"/>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5"/>
    </row>
    <row r="14" spans="1:38" x14ac:dyDescent="0.2">
      <c r="A14" s="217"/>
      <c r="B14" s="217"/>
      <c r="C14" s="217"/>
      <c r="D14" s="217"/>
      <c r="E14" s="217"/>
      <c r="F14" s="217"/>
      <c r="G14" s="217"/>
      <c r="H14" s="217"/>
      <c r="I14" s="217"/>
      <c r="J14" s="217"/>
      <c r="K14" s="217"/>
      <c r="L14" s="217"/>
      <c r="M14" s="217"/>
      <c r="N14" s="217"/>
      <c r="O14" s="217"/>
      <c r="P14" s="217"/>
      <c r="Q14" s="217"/>
      <c r="R14" s="217"/>
      <c r="S14" s="217"/>
      <c r="T14" s="217"/>
      <c r="U14" s="217"/>
      <c r="V14" s="217"/>
      <c r="W14" s="217"/>
      <c r="X14" s="217"/>
      <c r="Y14" s="217"/>
      <c r="Z14" s="217"/>
      <c r="AA14" s="217"/>
      <c r="AB14" s="217"/>
      <c r="AC14" s="217"/>
      <c r="AD14" s="217"/>
      <c r="AE14" s="217"/>
      <c r="AF14" s="217"/>
      <c r="AG14" s="217"/>
      <c r="AH14" s="217"/>
      <c r="AI14" s="217"/>
      <c r="AJ14" s="217"/>
      <c r="AK14" s="217"/>
      <c r="AL14" s="5"/>
    </row>
    <row r="15" spans="1:38" x14ac:dyDescent="0.2">
      <c r="A15" s="217"/>
      <c r="B15" s="217"/>
      <c r="C15" s="217"/>
      <c r="D15" s="217"/>
      <c r="E15" s="217"/>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c r="AE15" s="217"/>
      <c r="AF15" s="217"/>
      <c r="AG15" s="217"/>
      <c r="AH15" s="217"/>
      <c r="AI15" s="217"/>
      <c r="AJ15" s="217"/>
      <c r="AK15" s="217"/>
      <c r="AL15" s="5"/>
    </row>
    <row r="16" spans="1:38" x14ac:dyDescent="0.2">
      <c r="A16" s="217"/>
      <c r="B16" s="217"/>
      <c r="C16" s="217"/>
      <c r="D16" s="217"/>
      <c r="E16" s="217"/>
      <c r="F16" s="217"/>
      <c r="G16" s="217"/>
      <c r="H16" s="217"/>
      <c r="I16" s="217"/>
      <c r="J16" s="217"/>
      <c r="K16" s="217"/>
      <c r="L16" s="217"/>
      <c r="M16" s="217"/>
      <c r="N16" s="217"/>
      <c r="O16" s="217"/>
      <c r="P16" s="217"/>
      <c r="Q16" s="217"/>
      <c r="R16" s="217"/>
      <c r="S16" s="217"/>
      <c r="T16" s="217"/>
      <c r="U16" s="217"/>
      <c r="V16" s="217"/>
      <c r="W16" s="217"/>
      <c r="X16" s="217"/>
      <c r="Y16" s="217"/>
      <c r="Z16" s="217"/>
      <c r="AA16" s="217"/>
      <c r="AB16" s="217"/>
      <c r="AC16" s="217"/>
      <c r="AD16" s="217"/>
      <c r="AE16" s="217"/>
      <c r="AF16" s="217"/>
      <c r="AG16" s="217"/>
      <c r="AH16" s="217"/>
      <c r="AI16" s="217"/>
      <c r="AJ16" s="217"/>
      <c r="AK16" s="217"/>
      <c r="AL16" s="5"/>
    </row>
    <row r="17" spans="1:38" x14ac:dyDescent="0.2">
      <c r="A17" s="217"/>
      <c r="B17" s="217"/>
      <c r="C17" s="217"/>
      <c r="D17" s="217"/>
      <c r="E17" s="217"/>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c r="AE17" s="217"/>
      <c r="AF17" s="217"/>
      <c r="AG17" s="217"/>
      <c r="AH17" s="217"/>
      <c r="AI17" s="217"/>
      <c r="AJ17" s="217"/>
      <c r="AK17" s="217"/>
    </row>
    <row r="18" spans="1:38" x14ac:dyDescent="0.2">
      <c r="A18" s="261" t="s">
        <v>376</v>
      </c>
      <c r="B18" s="261"/>
      <c r="C18" s="261"/>
      <c r="D18" s="261"/>
      <c r="E18" s="261"/>
      <c r="F18" s="261"/>
      <c r="G18" s="261"/>
      <c r="H18" s="261"/>
      <c r="I18" s="261"/>
      <c r="J18" s="261"/>
      <c r="K18" s="261"/>
      <c r="L18" s="261"/>
      <c r="M18" s="261"/>
      <c r="N18" s="261"/>
      <c r="O18" s="261"/>
      <c r="P18" s="261"/>
      <c r="Q18" s="261"/>
      <c r="R18" s="261"/>
      <c r="S18" s="261"/>
      <c r="T18" s="261"/>
      <c r="U18" s="261"/>
      <c r="V18" s="261"/>
      <c r="W18" s="261"/>
      <c r="X18" s="261"/>
      <c r="Y18" s="261"/>
      <c r="Z18" s="261"/>
      <c r="AA18" s="261"/>
      <c r="AB18" s="261"/>
      <c r="AC18" s="261"/>
      <c r="AD18" s="261"/>
      <c r="AE18" s="261"/>
      <c r="AF18" s="261"/>
      <c r="AG18" s="261"/>
      <c r="AH18" s="261"/>
      <c r="AI18" s="261"/>
      <c r="AJ18" s="261"/>
      <c r="AK18" s="261"/>
      <c r="AL18" s="261"/>
    </row>
    <row r="19" spans="1:38" x14ac:dyDescent="0.2">
      <c r="A19" s="261" t="s">
        <v>377</v>
      </c>
      <c r="B19" s="261"/>
      <c r="C19" s="261"/>
      <c r="D19" s="261"/>
      <c r="E19" s="261"/>
      <c r="F19" s="261"/>
      <c r="G19" s="261"/>
      <c r="H19" s="261"/>
      <c r="I19" s="261"/>
      <c r="J19" s="261"/>
      <c r="K19" s="261"/>
      <c r="L19" s="261"/>
      <c r="M19" s="261"/>
      <c r="N19" s="261"/>
      <c r="O19" s="261"/>
      <c r="P19" s="261"/>
      <c r="Q19" s="261"/>
      <c r="R19" s="261"/>
      <c r="S19" s="261"/>
      <c r="T19" s="261"/>
      <c r="U19" s="261"/>
      <c r="V19" s="261"/>
      <c r="W19" s="261"/>
      <c r="X19" s="261"/>
      <c r="Y19" s="261"/>
      <c r="Z19" s="261"/>
      <c r="AA19" s="261"/>
      <c r="AB19" s="261"/>
      <c r="AC19" s="261"/>
      <c r="AD19" s="261"/>
      <c r="AE19" s="261"/>
      <c r="AF19" s="261"/>
      <c r="AG19" s="261"/>
      <c r="AH19" s="261"/>
      <c r="AI19" s="261"/>
      <c r="AJ19" s="261"/>
      <c r="AK19" s="261"/>
      <c r="AL19" s="261"/>
    </row>
    <row r="21" spans="1:38" x14ac:dyDescent="0.2">
      <c r="A21" s="340" t="s">
        <v>378</v>
      </c>
      <c r="B21" s="340"/>
      <c r="C21" s="340"/>
      <c r="D21" s="340"/>
      <c r="E21" s="340"/>
      <c r="F21" s="340"/>
      <c r="G21" s="340"/>
      <c r="H21" s="340"/>
      <c r="I21" s="340"/>
      <c r="J21" s="340"/>
      <c r="K21" s="340"/>
      <c r="L21" s="340"/>
      <c r="M21" s="340"/>
      <c r="N21" s="340"/>
      <c r="O21" s="340"/>
      <c r="P21" s="340"/>
      <c r="Q21" s="340"/>
      <c r="R21" s="340"/>
      <c r="S21" s="340"/>
      <c r="T21" s="340"/>
      <c r="U21" s="340"/>
      <c r="V21" s="340"/>
      <c r="W21" s="340"/>
      <c r="X21" s="340"/>
      <c r="Y21" s="340"/>
      <c r="Z21" s="340"/>
      <c r="AA21" s="340"/>
      <c r="AB21" s="340"/>
      <c r="AC21" s="340"/>
      <c r="AD21" s="340"/>
      <c r="AE21" s="340"/>
      <c r="AF21" s="340"/>
      <c r="AG21" s="340"/>
      <c r="AH21" s="340"/>
      <c r="AI21" s="340"/>
      <c r="AJ21" s="340"/>
      <c r="AK21" s="340"/>
      <c r="AL21" s="102"/>
    </row>
    <row r="22" spans="1:38" x14ac:dyDescent="0.2">
      <c r="A22" s="217" t="s">
        <v>379</v>
      </c>
      <c r="B22" s="217"/>
      <c r="C22" s="217"/>
      <c r="D22" s="217"/>
      <c r="E22" s="217"/>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c r="AE22" s="217"/>
      <c r="AF22" s="217"/>
      <c r="AG22" s="217"/>
      <c r="AH22" s="217"/>
      <c r="AI22" s="217"/>
      <c r="AJ22" s="217"/>
      <c r="AK22" s="217"/>
      <c r="AL22" s="217"/>
    </row>
    <row r="23" spans="1:38" x14ac:dyDescent="0.2">
      <c r="A23" s="217"/>
      <c r="B23" s="217"/>
      <c r="C23" s="217"/>
      <c r="D23" s="217"/>
      <c r="E23" s="217"/>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c r="AE23" s="217"/>
      <c r="AF23" s="217"/>
      <c r="AG23" s="217"/>
      <c r="AH23" s="217"/>
      <c r="AI23" s="217"/>
      <c r="AJ23" s="217"/>
      <c r="AK23" s="217"/>
      <c r="AL23" s="217"/>
    </row>
    <row r="24" spans="1:38" x14ac:dyDescent="0.2">
      <c r="A24" s="261">
        <v>1</v>
      </c>
      <c r="B24" s="261"/>
      <c r="C24" t="s">
        <v>380</v>
      </c>
    </row>
    <row r="25" spans="1:38" x14ac:dyDescent="0.2">
      <c r="A25" s="261">
        <v>2</v>
      </c>
      <c r="B25" s="261"/>
      <c r="C25" t="s">
        <v>381</v>
      </c>
    </row>
    <row r="26" spans="1:38" x14ac:dyDescent="0.2">
      <c r="A26" s="261">
        <v>3</v>
      </c>
      <c r="B26" s="261"/>
      <c r="C26" t="s">
        <v>382</v>
      </c>
    </row>
    <row r="27" spans="1:38" x14ac:dyDescent="0.2">
      <c r="A27" s="261">
        <v>4</v>
      </c>
      <c r="B27" s="261"/>
      <c r="C27" t="s">
        <v>383</v>
      </c>
    </row>
    <row r="28" spans="1:38" x14ac:dyDescent="0.2">
      <c r="A28" s="261">
        <v>5</v>
      </c>
      <c r="B28" s="261"/>
      <c r="C28" t="s">
        <v>384</v>
      </c>
    </row>
    <row r="29" spans="1:38" x14ac:dyDescent="0.2">
      <c r="A29" s="261">
        <v>6</v>
      </c>
      <c r="B29" s="261"/>
      <c r="C29" t="s">
        <v>385</v>
      </c>
    </row>
    <row r="30" spans="1:38" x14ac:dyDescent="0.2">
      <c r="A30" s="261">
        <v>7</v>
      </c>
      <c r="B30" s="261"/>
      <c r="C30" t="s">
        <v>386</v>
      </c>
    </row>
    <row r="31" spans="1:38" x14ac:dyDescent="0.2">
      <c r="A31" s="261">
        <v>8</v>
      </c>
      <c r="B31" s="261"/>
      <c r="C31" t="s">
        <v>387</v>
      </c>
    </row>
    <row r="32" spans="1:38" x14ac:dyDescent="0.2">
      <c r="A32" s="261">
        <v>9</v>
      </c>
      <c r="B32" s="261"/>
      <c r="C32" t="s">
        <v>388</v>
      </c>
    </row>
    <row r="33" spans="1:25" x14ac:dyDescent="0.2">
      <c r="A33" s="261">
        <v>10</v>
      </c>
      <c r="B33" s="261"/>
      <c r="C33" t="s">
        <v>389</v>
      </c>
    </row>
    <row r="34" spans="1:25" x14ac:dyDescent="0.2">
      <c r="A34" s="261">
        <v>11</v>
      </c>
      <c r="B34" s="261"/>
      <c r="C34" t="s">
        <v>390</v>
      </c>
    </row>
    <row r="35" spans="1:25" x14ac:dyDescent="0.2">
      <c r="A35" s="261">
        <v>12</v>
      </c>
      <c r="B35" s="261"/>
      <c r="C35" t="s">
        <v>391</v>
      </c>
    </row>
    <row r="36" spans="1:25" x14ac:dyDescent="0.2">
      <c r="A36" s="261">
        <v>13</v>
      </c>
      <c r="B36" s="261"/>
      <c r="C36" t="s">
        <v>392</v>
      </c>
    </row>
    <row r="44" spans="1:25" x14ac:dyDescent="0.2">
      <c r="A44" s="240"/>
      <c r="B44" s="240"/>
      <c r="C44" s="240"/>
      <c r="D44" s="240"/>
      <c r="E44" s="240"/>
      <c r="F44" s="240"/>
      <c r="G44" s="240"/>
      <c r="H44" s="240"/>
      <c r="I44" s="240"/>
      <c r="J44" s="240"/>
      <c r="K44" s="240"/>
      <c r="L44" s="240"/>
      <c r="M44" s="240"/>
      <c r="N44" s="240"/>
      <c r="O44" s="240"/>
      <c r="P44" s="240"/>
    </row>
    <row r="45" spans="1:25" x14ac:dyDescent="0.2">
      <c r="A45" s="240"/>
      <c r="B45" s="240"/>
      <c r="C45" s="240"/>
      <c r="D45" s="240"/>
      <c r="E45" s="240"/>
      <c r="F45" s="240"/>
      <c r="G45" s="240"/>
      <c r="H45" s="240"/>
      <c r="I45" s="240"/>
      <c r="J45" s="240"/>
      <c r="K45" s="240"/>
      <c r="L45" s="240"/>
      <c r="M45" s="240"/>
      <c r="N45" s="240"/>
      <c r="O45" s="240"/>
      <c r="P45" s="240"/>
    </row>
    <row r="46" spans="1:25" x14ac:dyDescent="0.2">
      <c r="A46" s="266"/>
      <c r="B46" s="266"/>
      <c r="C46" s="266"/>
      <c r="D46" s="266"/>
      <c r="E46" s="266"/>
      <c r="F46" s="266"/>
      <c r="G46" s="266"/>
      <c r="H46" s="266"/>
      <c r="I46" s="266"/>
      <c r="J46" s="266"/>
      <c r="K46" s="266"/>
      <c r="L46" s="266"/>
      <c r="M46" s="266"/>
      <c r="N46" s="266"/>
      <c r="O46" s="266"/>
      <c r="P46" s="266"/>
      <c r="R46" s="269">
        <f>Data!B34</f>
        <v>0</v>
      </c>
      <c r="S46" s="267"/>
      <c r="T46" s="267"/>
      <c r="U46" s="267"/>
      <c r="V46" s="267"/>
      <c r="W46" s="267"/>
      <c r="X46" s="267"/>
      <c r="Y46" s="267"/>
    </row>
    <row r="47" spans="1:25" x14ac:dyDescent="0.2">
      <c r="A47" t="s">
        <v>367</v>
      </c>
      <c r="R47" t="s">
        <v>368</v>
      </c>
    </row>
    <row r="48" spans="1:25" x14ac:dyDescent="0.2">
      <c r="A48" s="240"/>
      <c r="B48" s="240"/>
      <c r="C48" s="240"/>
      <c r="D48" s="240"/>
      <c r="E48" s="240"/>
      <c r="F48" s="240"/>
      <c r="G48" s="240"/>
      <c r="H48" s="240"/>
      <c r="I48" s="240"/>
      <c r="J48" s="240"/>
      <c r="K48" s="240"/>
      <c r="L48" s="240"/>
      <c r="M48" s="240"/>
      <c r="N48" s="240"/>
      <c r="O48" s="240"/>
      <c r="P48" s="240"/>
    </row>
    <row r="49" spans="1:31" x14ac:dyDescent="0.2">
      <c r="A49" s="240"/>
      <c r="B49" s="240"/>
      <c r="C49" s="240"/>
      <c r="D49" s="240"/>
      <c r="E49" s="240"/>
      <c r="F49" s="240"/>
      <c r="G49" s="240"/>
      <c r="H49" s="240"/>
      <c r="I49" s="240"/>
      <c r="J49" s="240"/>
      <c r="K49" s="240"/>
      <c r="L49" s="240"/>
      <c r="M49" s="240"/>
      <c r="N49" s="240"/>
      <c r="O49" s="240"/>
      <c r="P49" s="240"/>
    </row>
    <row r="50" spans="1:31" x14ac:dyDescent="0.2">
      <c r="A50" s="266"/>
      <c r="B50" s="266"/>
      <c r="C50" s="266"/>
      <c r="D50" s="266"/>
      <c r="E50" s="266"/>
      <c r="F50" s="266"/>
      <c r="G50" s="266"/>
      <c r="H50" s="266"/>
      <c r="I50" s="266"/>
      <c r="J50" s="266"/>
      <c r="K50" s="266"/>
      <c r="L50" s="266"/>
      <c r="M50" s="266"/>
      <c r="N50" s="266"/>
      <c r="O50" s="266"/>
      <c r="P50" s="266"/>
      <c r="R50" s="267">
        <f>Data!B175</f>
        <v>0</v>
      </c>
      <c r="S50" s="267"/>
      <c r="T50" s="267"/>
      <c r="U50" s="267"/>
      <c r="V50" s="267"/>
      <c r="W50" s="267"/>
      <c r="X50" s="267"/>
      <c r="Y50" s="267"/>
      <c r="Z50" s="267"/>
      <c r="AA50" s="267"/>
      <c r="AB50" s="267"/>
      <c r="AC50" s="267"/>
      <c r="AD50" s="267"/>
      <c r="AE50" s="267"/>
    </row>
    <row r="51" spans="1:31" x14ac:dyDescent="0.2">
      <c r="A51" t="s">
        <v>2881</v>
      </c>
      <c r="R51" t="s">
        <v>1465</v>
      </c>
    </row>
  </sheetData>
  <mergeCells count="27">
    <mergeCell ref="R50:AE50"/>
    <mergeCell ref="E2:W2"/>
    <mergeCell ref="AA2:AH2"/>
    <mergeCell ref="A4:AL4"/>
    <mergeCell ref="A44:P46"/>
    <mergeCell ref="R46:Y46"/>
    <mergeCell ref="A30:B30"/>
    <mergeCell ref="A31:B31"/>
    <mergeCell ref="A25:B25"/>
    <mergeCell ref="A22:AL23"/>
    <mergeCell ref="A29:B29"/>
    <mergeCell ref="A32:B32"/>
    <mergeCell ref="A33:B33"/>
    <mergeCell ref="A34:B34"/>
    <mergeCell ref="A35:B35"/>
    <mergeCell ref="A48:P50"/>
    <mergeCell ref="A27:B27"/>
    <mergeCell ref="A28:B28"/>
    <mergeCell ref="A36:B36"/>
    <mergeCell ref="A18:AL18"/>
    <mergeCell ref="A19:AL19"/>
    <mergeCell ref="A24:B24"/>
    <mergeCell ref="A5:AK9"/>
    <mergeCell ref="A10:AK10"/>
    <mergeCell ref="A12:AK17"/>
    <mergeCell ref="A21:AK21"/>
    <mergeCell ref="A26:B26"/>
  </mergeCells>
  <pageMargins left="0.25" right="0.25" top="0.75" bottom="0.75" header="0.3" footer="0.3"/>
  <pageSetup orientation="portrait" r:id="rId1"/>
  <headerFooter>
    <oddHeader>&amp;L&amp;G&amp;RInvestigation of Complaints
Personnel Code of Ethics</oddHeader>
    <oddFooter>&amp;LDS&amp;C3088 Mercer University Drive Suite 100 Atlanta, GA 30341
678-310-6305 Fax 404-935-6110&amp;RPP.M</oddFooter>
  </headerFooter>
  <legacyDrawingHF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9">
    <tabColor theme="4" tint="-0.249977111117893"/>
  </sheetPr>
  <dimension ref="A1:AM99"/>
  <sheetViews>
    <sheetView showZeros="0" view="pageLayout" topLeftCell="A55" zoomScaleNormal="100" workbookViewId="0">
      <selection sqref="A1:AL104"/>
    </sheetView>
  </sheetViews>
  <sheetFormatPr defaultColWidth="2.7109375" defaultRowHeight="12.75" x14ac:dyDescent="0.2"/>
  <cols>
    <col min="1" max="1" width="2.5703125" customWidth="1"/>
  </cols>
  <sheetData>
    <row r="1" spans="1:39" x14ac:dyDescent="0.2">
      <c r="AK1" t="s">
        <v>3216</v>
      </c>
    </row>
    <row r="2" spans="1:39" x14ac:dyDescent="0.2">
      <c r="A2" t="s">
        <v>336</v>
      </c>
      <c r="E2" s="267" t="str">
        <f>_xlfn.CONCAT(Data!B2,", ",Data!B3," ",Data!B4)</f>
        <v xml:space="preserve">,  </v>
      </c>
      <c r="F2" s="267"/>
      <c r="G2" s="267"/>
      <c r="H2" s="267"/>
      <c r="I2" s="267"/>
      <c r="J2" s="267"/>
      <c r="K2" s="267"/>
      <c r="L2" s="267"/>
      <c r="M2" s="267"/>
      <c r="N2" s="267"/>
      <c r="O2" s="267"/>
      <c r="P2" s="267"/>
      <c r="Q2" s="267"/>
      <c r="R2" s="267"/>
      <c r="S2" s="267"/>
      <c r="T2" s="267"/>
      <c r="U2" s="267"/>
      <c r="V2" s="267"/>
      <c r="W2" s="267"/>
      <c r="Y2" t="s">
        <v>371</v>
      </c>
      <c r="AA2" s="269">
        <f>Data!B14</f>
        <v>0</v>
      </c>
      <c r="AB2" s="267"/>
      <c r="AC2" s="267"/>
      <c r="AD2" s="267"/>
      <c r="AE2" s="267"/>
      <c r="AF2" s="267"/>
      <c r="AG2" s="267"/>
      <c r="AH2" s="267"/>
    </row>
    <row r="4" spans="1:39" x14ac:dyDescent="0.2">
      <c r="A4" s="217" t="s">
        <v>393</v>
      </c>
      <c r="B4" s="217"/>
      <c r="C4" s="217"/>
      <c r="D4" s="217"/>
      <c r="E4" s="217"/>
      <c r="F4" s="217"/>
      <c r="G4" s="217"/>
      <c r="H4" s="217"/>
      <c r="I4" s="217"/>
      <c r="J4" s="217"/>
      <c r="K4" s="217"/>
      <c r="L4" s="217"/>
      <c r="M4" s="217"/>
      <c r="N4" s="217"/>
      <c r="O4" s="217"/>
      <c r="P4" s="217"/>
      <c r="Q4" s="217"/>
      <c r="R4" s="217"/>
      <c r="S4" s="217"/>
      <c r="T4" s="217"/>
      <c r="U4" s="217"/>
      <c r="V4" s="217"/>
      <c r="W4" s="217"/>
      <c r="X4" s="217"/>
      <c r="Y4" s="217"/>
      <c r="Z4" s="217"/>
      <c r="AA4" s="217"/>
      <c r="AB4" s="217"/>
      <c r="AC4" s="217"/>
      <c r="AD4" s="217"/>
      <c r="AE4" s="217"/>
      <c r="AF4" s="217"/>
      <c r="AG4" s="217"/>
      <c r="AH4" s="217"/>
      <c r="AI4" s="217"/>
      <c r="AJ4" s="217"/>
      <c r="AK4" s="217"/>
      <c r="AL4" s="217"/>
    </row>
    <row r="5" spans="1:39" x14ac:dyDescent="0.2">
      <c r="A5" s="217"/>
      <c r="B5" s="217"/>
      <c r="C5" s="217"/>
      <c r="D5" s="217"/>
      <c r="E5" s="217"/>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c r="AE5" s="217"/>
      <c r="AF5" s="217"/>
      <c r="AG5" s="217"/>
      <c r="AH5" s="217"/>
      <c r="AI5" s="217"/>
      <c r="AJ5" s="217"/>
      <c r="AK5" s="217"/>
      <c r="AL5" s="217"/>
    </row>
    <row r="7" spans="1:39" x14ac:dyDescent="0.2">
      <c r="A7" s="4" t="s">
        <v>394</v>
      </c>
    </row>
    <row r="8" spans="1:39" x14ac:dyDescent="0.2">
      <c r="B8">
        <v>1</v>
      </c>
      <c r="C8" t="s">
        <v>395</v>
      </c>
      <c r="D8" t="s">
        <v>396</v>
      </c>
    </row>
    <row r="9" spans="1:39" x14ac:dyDescent="0.2">
      <c r="B9">
        <v>2</v>
      </c>
      <c r="C9" t="s">
        <v>395</v>
      </c>
      <c r="D9" t="s">
        <v>397</v>
      </c>
    </row>
    <row r="10" spans="1:39" x14ac:dyDescent="0.2">
      <c r="B10">
        <v>3</v>
      </c>
      <c r="C10" t="s">
        <v>395</v>
      </c>
      <c r="D10" t="s">
        <v>398</v>
      </c>
    </row>
    <row r="12" spans="1:39" x14ac:dyDescent="0.2">
      <c r="A12" s="4" t="s">
        <v>399</v>
      </c>
    </row>
    <row r="13" spans="1:39" x14ac:dyDescent="0.2">
      <c r="B13">
        <v>1</v>
      </c>
      <c r="C13" t="s">
        <v>395</v>
      </c>
      <c r="D13" t="s">
        <v>400</v>
      </c>
    </row>
    <row r="14" spans="1:39" ht="12.75" customHeight="1" x14ac:dyDescent="0.2">
      <c r="B14">
        <v>2</v>
      </c>
      <c r="C14" t="s">
        <v>395</v>
      </c>
      <c r="D14" s="217" t="s">
        <v>401</v>
      </c>
      <c r="E14" s="217"/>
      <c r="F14" s="217"/>
      <c r="G14" s="217"/>
      <c r="H14" s="217"/>
      <c r="I14" s="217"/>
      <c r="J14" s="217"/>
      <c r="K14" s="217"/>
      <c r="L14" s="217"/>
      <c r="M14" s="217"/>
      <c r="N14" s="217"/>
      <c r="O14" s="217"/>
      <c r="P14" s="217"/>
      <c r="Q14" s="217"/>
      <c r="R14" s="217"/>
      <c r="S14" s="217"/>
      <c r="T14" s="217"/>
      <c r="U14" s="217"/>
      <c r="V14" s="217"/>
      <c r="W14" s="217"/>
      <c r="X14" s="217"/>
      <c r="Y14" s="217"/>
      <c r="Z14" s="217"/>
      <c r="AA14" s="217"/>
      <c r="AB14" s="217"/>
      <c r="AC14" s="217"/>
      <c r="AD14" s="217"/>
      <c r="AE14" s="217"/>
      <c r="AF14" s="217"/>
      <c r="AG14" s="217"/>
      <c r="AH14" s="217"/>
      <c r="AI14" s="217"/>
      <c r="AJ14" s="217"/>
      <c r="AK14" s="217"/>
      <c r="AL14" s="217"/>
      <c r="AM14" s="5"/>
    </row>
    <row r="15" spans="1:39" x14ac:dyDescent="0.2">
      <c r="D15" s="217"/>
      <c r="E15" s="217"/>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c r="AE15" s="217"/>
      <c r="AF15" s="217"/>
      <c r="AG15" s="217"/>
      <c r="AH15" s="217"/>
      <c r="AI15" s="217"/>
      <c r="AJ15" s="217"/>
      <c r="AK15" s="217"/>
      <c r="AL15" s="217"/>
      <c r="AM15" s="5"/>
    </row>
    <row r="16" spans="1:39" x14ac:dyDescent="0.2">
      <c r="B16">
        <v>3</v>
      </c>
      <c r="C16" t="s">
        <v>395</v>
      </c>
      <c r="D16" t="s">
        <v>402</v>
      </c>
    </row>
    <row r="18" spans="1:39" x14ac:dyDescent="0.2">
      <c r="A18" s="261" t="s">
        <v>403</v>
      </c>
      <c r="B18" s="261"/>
      <c r="C18" s="261"/>
      <c r="D18" s="261"/>
      <c r="E18" s="261"/>
      <c r="F18" s="261"/>
      <c r="G18" s="261"/>
      <c r="H18" s="261"/>
      <c r="I18" s="261"/>
      <c r="J18" s="261"/>
      <c r="K18" s="261"/>
      <c r="L18" s="261"/>
      <c r="M18" s="261"/>
      <c r="N18" s="261"/>
      <c r="O18" s="261"/>
      <c r="P18" s="261"/>
      <c r="Q18" s="261"/>
      <c r="R18" s="261"/>
      <c r="S18" s="261"/>
      <c r="T18" s="261"/>
      <c r="U18" s="261"/>
      <c r="V18" s="261"/>
      <c r="W18" s="261"/>
      <c r="X18" s="261"/>
      <c r="Y18" s="261"/>
      <c r="Z18" s="261"/>
      <c r="AA18" s="261"/>
      <c r="AB18" s="261"/>
      <c r="AC18" s="261"/>
      <c r="AD18" s="261"/>
      <c r="AE18" s="261"/>
      <c r="AF18" s="261"/>
      <c r="AG18" s="261"/>
      <c r="AH18" s="261"/>
      <c r="AI18" s="261"/>
      <c r="AJ18" s="261"/>
    </row>
    <row r="20" spans="1:39" x14ac:dyDescent="0.2">
      <c r="A20" s="4" t="s">
        <v>404</v>
      </c>
    </row>
    <row r="21" spans="1:39" ht="12.75" customHeight="1" x14ac:dyDescent="0.2">
      <c r="B21" s="217" t="s">
        <v>405</v>
      </c>
      <c r="C21" s="217"/>
      <c r="D21" s="217"/>
      <c r="E21" s="217"/>
      <c r="F21" s="217"/>
      <c r="G21" s="217"/>
      <c r="H21" s="217"/>
      <c r="I21" s="217"/>
      <c r="J21" s="217"/>
      <c r="K21" s="217"/>
      <c r="L21" s="217"/>
      <c r="M21" s="217"/>
      <c r="N21" s="217"/>
      <c r="O21" s="217"/>
      <c r="P21" s="217"/>
      <c r="Q21" s="217"/>
      <c r="R21" s="217"/>
      <c r="S21" s="217"/>
      <c r="T21" s="217"/>
      <c r="U21" s="217"/>
      <c r="V21" s="217"/>
      <c r="W21" s="217"/>
      <c r="X21" s="217"/>
      <c r="Y21" s="217"/>
      <c r="Z21" s="217"/>
      <c r="AA21" s="217"/>
      <c r="AB21" s="217"/>
      <c r="AC21" s="217"/>
      <c r="AD21" s="217"/>
      <c r="AE21" s="217"/>
      <c r="AF21" s="217"/>
      <c r="AG21" s="217"/>
      <c r="AH21" s="217"/>
      <c r="AI21" s="217"/>
      <c r="AJ21" s="217"/>
      <c r="AK21" s="217"/>
      <c r="AL21" s="217"/>
      <c r="AM21" s="5"/>
    </row>
    <row r="22" spans="1:39" x14ac:dyDescent="0.2">
      <c r="B22" s="217"/>
      <c r="C22" s="217"/>
      <c r="D22" s="217"/>
      <c r="E22" s="217"/>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c r="AE22" s="217"/>
      <c r="AF22" s="217"/>
      <c r="AG22" s="217"/>
      <c r="AH22" s="217"/>
      <c r="AI22" s="217"/>
      <c r="AJ22" s="217"/>
      <c r="AK22" s="217"/>
      <c r="AL22" s="217"/>
      <c r="AM22" s="5"/>
    </row>
    <row r="23" spans="1:39" x14ac:dyDescent="0.2">
      <c r="B23" s="217"/>
      <c r="C23" s="217"/>
      <c r="D23" s="217"/>
      <c r="E23" s="217"/>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c r="AE23" s="217"/>
      <c r="AF23" s="217"/>
      <c r="AG23" s="217"/>
      <c r="AH23" s="217"/>
      <c r="AI23" s="217"/>
      <c r="AJ23" s="217"/>
      <c r="AK23" s="217"/>
      <c r="AL23" s="217"/>
      <c r="AM23" s="5"/>
    </row>
    <row r="24" spans="1:39" x14ac:dyDescent="0.2">
      <c r="A24" s="4" t="s">
        <v>406</v>
      </c>
    </row>
    <row r="25" spans="1:39" x14ac:dyDescent="0.2">
      <c r="B25" s="217" t="s">
        <v>409</v>
      </c>
      <c r="C25" s="217"/>
      <c r="D25" s="217"/>
      <c r="E25" s="217"/>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c r="AE25" s="217"/>
      <c r="AF25" s="217"/>
      <c r="AG25" s="217"/>
      <c r="AH25" s="217"/>
      <c r="AI25" s="217"/>
      <c r="AJ25" s="217"/>
      <c r="AK25" s="217"/>
      <c r="AL25" s="217"/>
    </row>
    <row r="26" spans="1:39" x14ac:dyDescent="0.2">
      <c r="B26" s="217"/>
      <c r="C26" s="217"/>
      <c r="D26" s="217"/>
      <c r="E26" s="217"/>
      <c r="F26" s="217"/>
      <c r="G26" s="217"/>
      <c r="H26" s="217"/>
      <c r="I26" s="217"/>
      <c r="J26" s="217"/>
      <c r="K26" s="217"/>
      <c r="L26" s="217"/>
      <c r="M26" s="217"/>
      <c r="N26" s="217"/>
      <c r="O26" s="217"/>
      <c r="P26" s="217"/>
      <c r="Q26" s="217"/>
      <c r="R26" s="217"/>
      <c r="S26" s="217"/>
      <c r="T26" s="217"/>
      <c r="U26" s="217"/>
      <c r="V26" s="217"/>
      <c r="W26" s="217"/>
      <c r="X26" s="217"/>
      <c r="Y26" s="217"/>
      <c r="Z26" s="217"/>
      <c r="AA26" s="217"/>
      <c r="AB26" s="217"/>
      <c r="AC26" s="217"/>
      <c r="AD26" s="217"/>
      <c r="AE26" s="217"/>
      <c r="AF26" s="217"/>
      <c r="AG26" s="217"/>
      <c r="AH26" s="217"/>
      <c r="AI26" s="217"/>
      <c r="AJ26" s="217"/>
      <c r="AK26" s="217"/>
      <c r="AL26" s="217"/>
    </row>
    <row r="27" spans="1:39" x14ac:dyDescent="0.2">
      <c r="A27" s="4" t="s">
        <v>407</v>
      </c>
    </row>
    <row r="28" spans="1:39" ht="12.75" customHeight="1" x14ac:dyDescent="0.2">
      <c r="B28" s="217" t="s">
        <v>408</v>
      </c>
      <c r="C28" s="217"/>
      <c r="D28" s="217"/>
      <c r="E28" s="217"/>
      <c r="F28" s="217"/>
      <c r="G28" s="217"/>
      <c r="H28" s="217"/>
      <c r="I28" s="217"/>
      <c r="J28" s="217"/>
      <c r="K28" s="217"/>
      <c r="L28" s="217"/>
      <c r="M28" s="217"/>
      <c r="N28" s="217"/>
      <c r="O28" s="217"/>
      <c r="P28" s="217"/>
      <c r="Q28" s="217"/>
      <c r="R28" s="217"/>
      <c r="S28" s="217"/>
      <c r="T28" s="217"/>
      <c r="U28" s="217"/>
      <c r="V28" s="217"/>
      <c r="W28" s="217"/>
      <c r="X28" s="217"/>
      <c r="Y28" s="217"/>
      <c r="Z28" s="217"/>
      <c r="AA28" s="217"/>
      <c r="AB28" s="217"/>
      <c r="AC28" s="217"/>
      <c r="AD28" s="217"/>
      <c r="AE28" s="217"/>
      <c r="AF28" s="217"/>
      <c r="AG28" s="217"/>
      <c r="AH28" s="217"/>
      <c r="AI28" s="217"/>
      <c r="AJ28" s="217"/>
      <c r="AK28" s="217"/>
      <c r="AL28" s="217"/>
      <c r="AM28" s="5"/>
    </row>
    <row r="29" spans="1:39" x14ac:dyDescent="0.2">
      <c r="B29" s="217"/>
      <c r="C29" s="217"/>
      <c r="D29" s="217"/>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7"/>
      <c r="AI29" s="217"/>
      <c r="AJ29" s="217"/>
      <c r="AK29" s="217"/>
      <c r="AL29" s="217"/>
      <c r="AM29" s="5"/>
    </row>
    <row r="30" spans="1:39" x14ac:dyDescent="0.2">
      <c r="B30" s="217"/>
      <c r="C30" s="217"/>
      <c r="D30" s="217"/>
      <c r="E30" s="217"/>
      <c r="F30" s="217"/>
      <c r="G30" s="217"/>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c r="AE30" s="217"/>
      <c r="AF30" s="217"/>
      <c r="AG30" s="217"/>
      <c r="AH30" s="217"/>
      <c r="AI30" s="217"/>
      <c r="AJ30" s="217"/>
      <c r="AK30" s="217"/>
      <c r="AL30" s="217"/>
      <c r="AM30" s="5"/>
    </row>
    <row r="31" spans="1:39" x14ac:dyDescent="0.2">
      <c r="A31" s="4" t="s">
        <v>410</v>
      </c>
    </row>
    <row r="32" spans="1:39" ht="12.75" customHeight="1" x14ac:dyDescent="0.2">
      <c r="B32" s="217" t="s">
        <v>411</v>
      </c>
      <c r="C32" s="217"/>
      <c r="D32" s="217"/>
      <c r="E32" s="217"/>
      <c r="F32" s="217"/>
      <c r="G32" s="217"/>
      <c r="H32" s="217"/>
      <c r="I32" s="217"/>
      <c r="J32" s="217"/>
      <c r="K32" s="217"/>
      <c r="L32" s="217"/>
      <c r="M32" s="217"/>
      <c r="N32" s="217"/>
      <c r="O32" s="217"/>
      <c r="P32" s="217"/>
      <c r="Q32" s="217"/>
      <c r="R32" s="217"/>
      <c r="S32" s="217"/>
      <c r="T32" s="217"/>
      <c r="U32" s="217"/>
      <c r="V32" s="217"/>
      <c r="W32" s="217"/>
      <c r="X32" s="217"/>
      <c r="Y32" s="217"/>
      <c r="Z32" s="217"/>
      <c r="AA32" s="217"/>
      <c r="AB32" s="217"/>
      <c r="AC32" s="217"/>
      <c r="AD32" s="217"/>
      <c r="AE32" s="217"/>
      <c r="AF32" s="217"/>
      <c r="AG32" s="217"/>
      <c r="AH32" s="217"/>
      <c r="AI32" s="217"/>
      <c r="AJ32" s="217"/>
      <c r="AK32" s="217"/>
      <c r="AL32" s="217"/>
      <c r="AM32" s="5"/>
    </row>
    <row r="33" spans="1:39" x14ac:dyDescent="0.2">
      <c r="B33" s="217"/>
      <c r="C33" s="217"/>
      <c r="D33" s="217"/>
      <c r="E33" s="217"/>
      <c r="F33" s="217"/>
      <c r="G33" s="217"/>
      <c r="H33" s="217"/>
      <c r="I33" s="217"/>
      <c r="J33" s="217"/>
      <c r="K33" s="217"/>
      <c r="L33" s="217"/>
      <c r="M33" s="217"/>
      <c r="N33" s="217"/>
      <c r="O33" s="217"/>
      <c r="P33" s="217"/>
      <c r="Q33" s="217"/>
      <c r="R33" s="217"/>
      <c r="S33" s="217"/>
      <c r="T33" s="217"/>
      <c r="U33" s="217"/>
      <c r="V33" s="217"/>
      <c r="W33" s="217"/>
      <c r="X33" s="217"/>
      <c r="Y33" s="217"/>
      <c r="Z33" s="217"/>
      <c r="AA33" s="217"/>
      <c r="AB33" s="217"/>
      <c r="AC33" s="217"/>
      <c r="AD33" s="217"/>
      <c r="AE33" s="217"/>
      <c r="AF33" s="217"/>
      <c r="AG33" s="217"/>
      <c r="AH33" s="217"/>
      <c r="AI33" s="217"/>
      <c r="AJ33" s="217"/>
      <c r="AK33" s="217"/>
      <c r="AL33" s="217"/>
      <c r="AM33" s="5"/>
    </row>
    <row r="34" spans="1:39" x14ac:dyDescent="0.2">
      <c r="A34" s="4" t="s">
        <v>412</v>
      </c>
    </row>
    <row r="35" spans="1:39" ht="12.75" customHeight="1" x14ac:dyDescent="0.2">
      <c r="B35" s="217" t="s">
        <v>413</v>
      </c>
      <c r="C35" s="217"/>
      <c r="D35" s="217"/>
      <c r="E35" s="217"/>
      <c r="F35" s="217"/>
      <c r="G35" s="217"/>
      <c r="H35" s="217"/>
      <c r="I35" s="217"/>
      <c r="J35" s="217"/>
      <c r="K35" s="217"/>
      <c r="L35" s="217"/>
      <c r="M35" s="217"/>
      <c r="N35" s="217"/>
      <c r="O35" s="217"/>
      <c r="P35" s="217"/>
      <c r="Q35" s="217"/>
      <c r="R35" s="217"/>
      <c r="S35" s="217"/>
      <c r="T35" s="217"/>
      <c r="U35" s="217"/>
      <c r="V35" s="217"/>
      <c r="W35" s="217"/>
      <c r="X35" s="217"/>
      <c r="Y35" s="217"/>
      <c r="Z35" s="217"/>
      <c r="AA35" s="217"/>
      <c r="AB35" s="217"/>
      <c r="AC35" s="217"/>
      <c r="AD35" s="217"/>
      <c r="AE35" s="217"/>
      <c r="AF35" s="217"/>
      <c r="AG35" s="217"/>
      <c r="AH35" s="217"/>
      <c r="AI35" s="217"/>
      <c r="AJ35" s="217"/>
      <c r="AK35" s="217"/>
      <c r="AL35" s="217"/>
      <c r="AM35" s="5"/>
    </row>
    <row r="36" spans="1:39" x14ac:dyDescent="0.2">
      <c r="B36" s="217"/>
      <c r="C36" s="217"/>
      <c r="D36" s="217"/>
      <c r="E36" s="217"/>
      <c r="F36" s="217"/>
      <c r="G36" s="217"/>
      <c r="H36" s="217"/>
      <c r="I36" s="217"/>
      <c r="J36" s="217"/>
      <c r="K36" s="217"/>
      <c r="L36" s="217"/>
      <c r="M36" s="217"/>
      <c r="N36" s="217"/>
      <c r="O36" s="217"/>
      <c r="P36" s="217"/>
      <c r="Q36" s="217"/>
      <c r="R36" s="217"/>
      <c r="S36" s="217"/>
      <c r="T36" s="217"/>
      <c r="U36" s="217"/>
      <c r="V36" s="217"/>
      <c r="W36" s="217"/>
      <c r="X36" s="217"/>
      <c r="Y36" s="217"/>
      <c r="Z36" s="217"/>
      <c r="AA36" s="217"/>
      <c r="AB36" s="217"/>
      <c r="AC36" s="217"/>
      <c r="AD36" s="217"/>
      <c r="AE36" s="217"/>
      <c r="AF36" s="217"/>
      <c r="AG36" s="217"/>
      <c r="AH36" s="217"/>
      <c r="AI36" s="217"/>
      <c r="AJ36" s="217"/>
      <c r="AK36" s="217"/>
      <c r="AL36" s="217"/>
      <c r="AM36" s="5"/>
    </row>
    <row r="37" spans="1:39" x14ac:dyDescent="0.2">
      <c r="B37" s="217"/>
      <c r="C37" s="217"/>
      <c r="D37" s="217"/>
      <c r="E37" s="217"/>
      <c r="F37" s="217"/>
      <c r="G37" s="217"/>
      <c r="H37" s="217"/>
      <c r="I37" s="217"/>
      <c r="J37" s="217"/>
      <c r="K37" s="217"/>
      <c r="L37" s="217"/>
      <c r="M37" s="217"/>
      <c r="N37" s="217"/>
      <c r="O37" s="217"/>
      <c r="P37" s="217"/>
      <c r="Q37" s="217"/>
      <c r="R37" s="217"/>
      <c r="S37" s="217"/>
      <c r="T37" s="217"/>
      <c r="U37" s="217"/>
      <c r="V37" s="217"/>
      <c r="W37" s="217"/>
      <c r="X37" s="217"/>
      <c r="Y37" s="217"/>
      <c r="Z37" s="217"/>
      <c r="AA37" s="217"/>
      <c r="AB37" s="217"/>
      <c r="AC37" s="217"/>
      <c r="AD37" s="217"/>
      <c r="AE37" s="217"/>
      <c r="AF37" s="217"/>
      <c r="AG37" s="217"/>
      <c r="AH37" s="217"/>
      <c r="AI37" s="217"/>
      <c r="AJ37" s="217"/>
      <c r="AK37" s="217"/>
      <c r="AL37" s="217"/>
    </row>
    <row r="38" spans="1:39" x14ac:dyDescent="0.2">
      <c r="A38" s="4" t="s">
        <v>414</v>
      </c>
    </row>
    <row r="39" spans="1:39" ht="12.75" customHeight="1" x14ac:dyDescent="0.2">
      <c r="B39" s="217" t="s">
        <v>415</v>
      </c>
      <c r="C39" s="217"/>
      <c r="D39" s="217"/>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7"/>
      <c r="AI39" s="217"/>
      <c r="AJ39" s="217"/>
      <c r="AK39" s="217"/>
      <c r="AL39" s="217"/>
      <c r="AM39" s="5"/>
    </row>
    <row r="40" spans="1:39" x14ac:dyDescent="0.2">
      <c r="B40" s="217"/>
      <c r="C40" s="217"/>
      <c r="D40" s="217"/>
      <c r="E40" s="217"/>
      <c r="F40" s="217"/>
      <c r="G40" s="217"/>
      <c r="H40" s="217"/>
      <c r="I40" s="217"/>
      <c r="J40" s="217"/>
      <c r="K40" s="217"/>
      <c r="L40" s="217"/>
      <c r="M40" s="217"/>
      <c r="N40" s="217"/>
      <c r="O40" s="217"/>
      <c r="P40" s="217"/>
      <c r="Q40" s="217"/>
      <c r="R40" s="217"/>
      <c r="S40" s="217"/>
      <c r="T40" s="217"/>
      <c r="U40" s="217"/>
      <c r="V40" s="217"/>
      <c r="W40" s="217"/>
      <c r="X40" s="217"/>
      <c r="Y40" s="217"/>
      <c r="Z40" s="217"/>
      <c r="AA40" s="217"/>
      <c r="AB40" s="217"/>
      <c r="AC40" s="217"/>
      <c r="AD40" s="217"/>
      <c r="AE40" s="217"/>
      <c r="AF40" s="217"/>
      <c r="AG40" s="217"/>
      <c r="AH40" s="217"/>
      <c r="AI40" s="217"/>
      <c r="AJ40" s="217"/>
      <c r="AK40" s="217"/>
      <c r="AL40" s="217"/>
      <c r="AM40" s="5"/>
    </row>
    <row r="41" spans="1:39" x14ac:dyDescent="0.2">
      <c r="B41" s="217"/>
      <c r="C41" s="217"/>
      <c r="D41" s="217"/>
      <c r="E41" s="217"/>
      <c r="F41" s="217"/>
      <c r="G41" s="217"/>
      <c r="H41" s="217"/>
      <c r="I41" s="217"/>
      <c r="J41" s="217"/>
      <c r="K41" s="217"/>
      <c r="L41" s="217"/>
      <c r="M41" s="217"/>
      <c r="N41" s="217"/>
      <c r="O41" s="217"/>
      <c r="P41" s="217"/>
      <c r="Q41" s="217"/>
      <c r="R41" s="217"/>
      <c r="S41" s="217"/>
      <c r="T41" s="217"/>
      <c r="U41" s="217"/>
      <c r="V41" s="217"/>
      <c r="W41" s="217"/>
      <c r="X41" s="217"/>
      <c r="Y41" s="217"/>
      <c r="Z41" s="217"/>
      <c r="AA41" s="217"/>
      <c r="AB41" s="217"/>
      <c r="AC41" s="217"/>
      <c r="AD41" s="217"/>
      <c r="AE41" s="217"/>
      <c r="AF41" s="217"/>
      <c r="AG41" s="217"/>
      <c r="AH41" s="217"/>
      <c r="AI41" s="217"/>
      <c r="AJ41" s="217"/>
      <c r="AK41" s="217"/>
      <c r="AL41" s="217"/>
      <c r="AM41" s="5"/>
    </row>
    <row r="42" spans="1:39" x14ac:dyDescent="0.2">
      <c r="A42" s="4" t="s">
        <v>416</v>
      </c>
    </row>
    <row r="43" spans="1:39" ht="12.75" customHeight="1" x14ac:dyDescent="0.2">
      <c r="B43" s="217" t="s">
        <v>417</v>
      </c>
      <c r="C43" s="217"/>
      <c r="D43" s="217"/>
      <c r="E43" s="217"/>
      <c r="F43" s="217"/>
      <c r="G43" s="217"/>
      <c r="H43" s="217"/>
      <c r="I43" s="217"/>
      <c r="J43" s="217"/>
      <c r="K43" s="217"/>
      <c r="L43" s="217"/>
      <c r="M43" s="217"/>
      <c r="N43" s="217"/>
      <c r="O43" s="217"/>
      <c r="P43" s="217"/>
      <c r="Q43" s="217"/>
      <c r="R43" s="217"/>
      <c r="S43" s="217"/>
      <c r="T43" s="217"/>
      <c r="U43" s="217"/>
      <c r="V43" s="217"/>
      <c r="W43" s="217"/>
      <c r="X43" s="217"/>
      <c r="Y43" s="217"/>
      <c r="Z43" s="217"/>
      <c r="AA43" s="217"/>
      <c r="AB43" s="217"/>
      <c r="AC43" s="217"/>
      <c r="AD43" s="217"/>
      <c r="AE43" s="217"/>
      <c r="AF43" s="217"/>
      <c r="AG43" s="217"/>
      <c r="AH43" s="217"/>
      <c r="AI43" s="217"/>
      <c r="AJ43" s="217"/>
      <c r="AK43" s="217"/>
      <c r="AL43" s="217"/>
      <c r="AM43" s="5"/>
    </row>
    <row r="44" spans="1:39" x14ac:dyDescent="0.2">
      <c r="B44" s="217"/>
      <c r="C44" s="217"/>
      <c r="D44" s="217"/>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7"/>
      <c r="AI44" s="217"/>
      <c r="AJ44" s="217"/>
      <c r="AK44" s="217"/>
      <c r="AL44" s="217"/>
      <c r="AM44" s="5"/>
    </row>
    <row r="45" spans="1:39" x14ac:dyDescent="0.2">
      <c r="B45">
        <v>1</v>
      </c>
      <c r="C45" t="s">
        <v>395</v>
      </c>
      <c r="D45" t="s">
        <v>70</v>
      </c>
    </row>
    <row r="46" spans="1:39" x14ac:dyDescent="0.2">
      <c r="B46">
        <v>2</v>
      </c>
      <c r="C46" t="s">
        <v>395</v>
      </c>
      <c r="D46" t="s">
        <v>418</v>
      </c>
    </row>
    <row r="47" spans="1:39" x14ac:dyDescent="0.2">
      <c r="B47">
        <v>3</v>
      </c>
      <c r="C47" t="s">
        <v>395</v>
      </c>
      <c r="D47" t="s">
        <v>419</v>
      </c>
    </row>
    <row r="48" spans="1:39" x14ac:dyDescent="0.2">
      <c r="B48">
        <v>4</v>
      </c>
      <c r="C48" t="s">
        <v>395</v>
      </c>
      <c r="D48" t="s">
        <v>420</v>
      </c>
    </row>
    <row r="49" spans="1:39" x14ac:dyDescent="0.2">
      <c r="B49">
        <v>5</v>
      </c>
      <c r="C49" t="s">
        <v>395</v>
      </c>
      <c r="D49" t="s">
        <v>421</v>
      </c>
    </row>
    <row r="50" spans="1:39" x14ac:dyDescent="0.2">
      <c r="A50" s="4" t="s">
        <v>422</v>
      </c>
    </row>
    <row r="51" spans="1:39" ht="12.75" customHeight="1" x14ac:dyDescent="0.2">
      <c r="B51" s="217" t="s">
        <v>423</v>
      </c>
      <c r="C51" s="217"/>
      <c r="D51" s="217"/>
      <c r="E51" s="217"/>
      <c r="F51" s="217"/>
      <c r="G51" s="217"/>
      <c r="H51" s="217"/>
      <c r="I51" s="217"/>
      <c r="J51" s="217"/>
      <c r="K51" s="217"/>
      <c r="L51" s="217"/>
      <c r="M51" s="217"/>
      <c r="N51" s="217"/>
      <c r="O51" s="217"/>
      <c r="P51" s="217"/>
      <c r="Q51" s="217"/>
      <c r="R51" s="217"/>
      <c r="S51" s="217"/>
      <c r="T51" s="217"/>
      <c r="U51" s="217"/>
      <c r="V51" s="217"/>
      <c r="W51" s="217"/>
      <c r="X51" s="217"/>
      <c r="Y51" s="217"/>
      <c r="Z51" s="217"/>
      <c r="AA51" s="217"/>
      <c r="AB51" s="217"/>
      <c r="AC51" s="217"/>
      <c r="AD51" s="217"/>
      <c r="AE51" s="217"/>
      <c r="AF51" s="217"/>
      <c r="AG51" s="217"/>
      <c r="AH51" s="217"/>
      <c r="AI51" s="217"/>
      <c r="AJ51" s="217"/>
      <c r="AK51" s="217"/>
      <c r="AL51" s="217"/>
      <c r="AM51" s="5"/>
    </row>
    <row r="52" spans="1:39" x14ac:dyDescent="0.2">
      <c r="B52" s="217"/>
      <c r="C52" s="217"/>
      <c r="D52" s="217"/>
      <c r="E52" s="217"/>
      <c r="F52" s="217"/>
      <c r="G52" s="217"/>
      <c r="H52" s="217"/>
      <c r="I52" s="217"/>
      <c r="J52" s="217"/>
      <c r="K52" s="217"/>
      <c r="L52" s="217"/>
      <c r="M52" s="217"/>
      <c r="N52" s="217"/>
      <c r="O52" s="217"/>
      <c r="P52" s="217"/>
      <c r="Q52" s="217"/>
      <c r="R52" s="217"/>
      <c r="S52" s="217"/>
      <c r="T52" s="217"/>
      <c r="U52" s="217"/>
      <c r="V52" s="217"/>
      <c r="W52" s="217"/>
      <c r="X52" s="217"/>
      <c r="Y52" s="217"/>
      <c r="Z52" s="217"/>
      <c r="AA52" s="217"/>
      <c r="AB52" s="217"/>
      <c r="AC52" s="217"/>
      <c r="AD52" s="217"/>
      <c r="AE52" s="217"/>
      <c r="AF52" s="217"/>
      <c r="AG52" s="217"/>
      <c r="AH52" s="217"/>
      <c r="AI52" s="217"/>
      <c r="AJ52" s="217"/>
      <c r="AK52" s="217"/>
      <c r="AL52" s="217"/>
      <c r="AM52" s="5"/>
    </row>
    <row r="53" spans="1:39" x14ac:dyDescent="0.2">
      <c r="A53" s="4" t="s">
        <v>424</v>
      </c>
      <c r="AG53" t="s">
        <v>3217</v>
      </c>
    </row>
    <row r="54" spans="1:39" ht="12.75" customHeight="1" x14ac:dyDescent="0.2">
      <c r="B54">
        <v>1</v>
      </c>
      <c r="C54" t="s">
        <v>395</v>
      </c>
      <c r="D54" s="217" t="s">
        <v>425</v>
      </c>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7"/>
      <c r="AI54" s="217"/>
      <c r="AJ54" s="217"/>
      <c r="AK54" s="217"/>
      <c r="AL54" s="5"/>
      <c r="AM54" s="5"/>
    </row>
    <row r="55" spans="1:39" x14ac:dyDescent="0.2">
      <c r="D55" s="217"/>
      <c r="E55" s="217"/>
      <c r="F55" s="217"/>
      <c r="G55" s="217"/>
      <c r="H55" s="217"/>
      <c r="I55" s="217"/>
      <c r="J55" s="217"/>
      <c r="K55" s="217"/>
      <c r="L55" s="217"/>
      <c r="M55" s="217"/>
      <c r="N55" s="217"/>
      <c r="O55" s="217"/>
      <c r="P55" s="217"/>
      <c r="Q55" s="217"/>
      <c r="R55" s="217"/>
      <c r="S55" s="217"/>
      <c r="T55" s="217"/>
      <c r="U55" s="217"/>
      <c r="V55" s="217"/>
      <c r="W55" s="217"/>
      <c r="X55" s="217"/>
      <c r="Y55" s="217"/>
      <c r="Z55" s="217"/>
      <c r="AA55" s="217"/>
      <c r="AB55" s="217"/>
      <c r="AC55" s="217"/>
      <c r="AD55" s="217"/>
      <c r="AE55" s="217"/>
      <c r="AF55" s="217"/>
      <c r="AG55" s="217"/>
      <c r="AH55" s="217"/>
      <c r="AI55" s="217"/>
      <c r="AJ55" s="217"/>
      <c r="AK55" s="217"/>
      <c r="AL55" s="5"/>
      <c r="AM55" s="5"/>
    </row>
    <row r="56" spans="1:39" ht="12.75" customHeight="1" x14ac:dyDescent="0.2">
      <c r="B56">
        <v>2</v>
      </c>
      <c r="C56" t="s">
        <v>395</v>
      </c>
      <c r="D56" s="217" t="s">
        <v>426</v>
      </c>
      <c r="E56" s="217"/>
      <c r="F56" s="217"/>
      <c r="G56" s="217"/>
      <c r="H56" s="217"/>
      <c r="I56" s="217"/>
      <c r="J56" s="217"/>
      <c r="K56" s="217"/>
      <c r="L56" s="217"/>
      <c r="M56" s="217"/>
      <c r="N56" s="217"/>
      <c r="O56" s="217"/>
      <c r="P56" s="217"/>
      <c r="Q56" s="217"/>
      <c r="R56" s="217"/>
      <c r="S56" s="217"/>
      <c r="T56" s="217"/>
      <c r="U56" s="217"/>
      <c r="V56" s="217"/>
      <c r="W56" s="217"/>
      <c r="X56" s="217"/>
      <c r="Y56" s="217"/>
      <c r="Z56" s="217"/>
      <c r="AA56" s="217"/>
      <c r="AB56" s="217"/>
      <c r="AC56" s="217"/>
      <c r="AD56" s="217"/>
      <c r="AE56" s="217"/>
      <c r="AF56" s="217"/>
      <c r="AG56" s="217"/>
      <c r="AH56" s="217"/>
      <c r="AI56" s="217"/>
      <c r="AJ56" s="217"/>
      <c r="AK56" s="217"/>
      <c r="AL56" s="5"/>
      <c r="AM56" s="5"/>
    </row>
    <row r="57" spans="1:39" x14ac:dyDescent="0.2">
      <c r="D57" s="217"/>
      <c r="E57" s="217"/>
      <c r="F57" s="217"/>
      <c r="G57" s="217"/>
      <c r="H57" s="217"/>
      <c r="I57" s="217"/>
      <c r="J57" s="217"/>
      <c r="K57" s="217"/>
      <c r="L57" s="217"/>
      <c r="M57" s="217"/>
      <c r="N57" s="217"/>
      <c r="O57" s="217"/>
      <c r="P57" s="217"/>
      <c r="Q57" s="217"/>
      <c r="R57" s="217"/>
      <c r="S57" s="217"/>
      <c r="T57" s="217"/>
      <c r="U57" s="217"/>
      <c r="V57" s="217"/>
      <c r="W57" s="217"/>
      <c r="X57" s="217"/>
      <c r="Y57" s="217"/>
      <c r="Z57" s="217"/>
      <c r="AA57" s="217"/>
      <c r="AB57" s="217"/>
      <c r="AC57" s="217"/>
      <c r="AD57" s="217"/>
      <c r="AE57" s="217"/>
      <c r="AF57" s="217"/>
      <c r="AG57" s="217"/>
      <c r="AH57" s="217"/>
      <c r="AI57" s="217"/>
      <c r="AJ57" s="217"/>
      <c r="AK57" s="217"/>
      <c r="AL57" s="5"/>
      <c r="AM57" s="5"/>
    </row>
    <row r="58" spans="1:39" ht="12.75" customHeight="1" x14ac:dyDescent="0.2">
      <c r="B58">
        <v>3</v>
      </c>
      <c r="C58" t="s">
        <v>395</v>
      </c>
      <c r="D58" s="217" t="s">
        <v>427</v>
      </c>
      <c r="E58" s="217"/>
      <c r="F58" s="217"/>
      <c r="G58" s="217"/>
      <c r="H58" s="217"/>
      <c r="I58" s="217"/>
      <c r="J58" s="217"/>
      <c r="K58" s="217"/>
      <c r="L58" s="217"/>
      <c r="M58" s="217"/>
      <c r="N58" s="217"/>
      <c r="O58" s="217"/>
      <c r="P58" s="217"/>
      <c r="Q58" s="217"/>
      <c r="R58" s="217"/>
      <c r="S58" s="217"/>
      <c r="T58" s="217"/>
      <c r="U58" s="217"/>
      <c r="V58" s="217"/>
      <c r="W58" s="217"/>
      <c r="X58" s="217"/>
      <c r="Y58" s="217"/>
      <c r="Z58" s="217"/>
      <c r="AA58" s="217"/>
      <c r="AB58" s="217"/>
      <c r="AC58" s="217"/>
      <c r="AD58" s="217"/>
      <c r="AE58" s="217"/>
      <c r="AF58" s="217"/>
      <c r="AG58" s="217"/>
      <c r="AH58" s="217"/>
      <c r="AI58" s="217"/>
      <c r="AJ58" s="217"/>
      <c r="AK58" s="217"/>
      <c r="AL58" s="5"/>
      <c r="AM58" s="5"/>
    </row>
    <row r="59" spans="1:39" x14ac:dyDescent="0.2">
      <c r="D59" s="217"/>
      <c r="E59" s="217"/>
      <c r="F59" s="217"/>
      <c r="G59" s="217"/>
      <c r="H59" s="217"/>
      <c r="I59" s="217"/>
      <c r="J59" s="217"/>
      <c r="K59" s="217"/>
      <c r="L59" s="217"/>
      <c r="M59" s="217"/>
      <c r="N59" s="217"/>
      <c r="O59" s="217"/>
      <c r="P59" s="217"/>
      <c r="Q59" s="217"/>
      <c r="R59" s="217"/>
      <c r="S59" s="217"/>
      <c r="T59" s="217"/>
      <c r="U59" s="217"/>
      <c r="V59" s="217"/>
      <c r="W59" s="217"/>
      <c r="X59" s="217"/>
      <c r="Y59" s="217"/>
      <c r="Z59" s="217"/>
      <c r="AA59" s="217"/>
      <c r="AB59" s="217"/>
      <c r="AC59" s="217"/>
      <c r="AD59" s="217"/>
      <c r="AE59" s="217"/>
      <c r="AF59" s="217"/>
      <c r="AG59" s="217"/>
      <c r="AH59" s="217"/>
      <c r="AI59" s="217"/>
      <c r="AJ59" s="217"/>
      <c r="AK59" s="217"/>
      <c r="AL59" s="5"/>
      <c r="AM59" s="5"/>
    </row>
    <row r="60" spans="1:39" ht="12.75" customHeight="1" x14ac:dyDescent="0.2">
      <c r="B60">
        <v>4</v>
      </c>
      <c r="C60" t="s">
        <v>395</v>
      </c>
      <c r="D60" s="217" t="s">
        <v>428</v>
      </c>
      <c r="E60" s="217"/>
      <c r="F60" s="217"/>
      <c r="G60" s="217"/>
      <c r="H60" s="217"/>
      <c r="I60" s="217"/>
      <c r="J60" s="217"/>
      <c r="K60" s="217"/>
      <c r="L60" s="217"/>
      <c r="M60" s="217"/>
      <c r="N60" s="217"/>
      <c r="O60" s="217"/>
      <c r="P60" s="217"/>
      <c r="Q60" s="217"/>
      <c r="R60" s="217"/>
      <c r="S60" s="217"/>
      <c r="T60" s="217"/>
      <c r="U60" s="217"/>
      <c r="V60" s="217"/>
      <c r="W60" s="217"/>
      <c r="X60" s="217"/>
      <c r="Y60" s="217"/>
      <c r="Z60" s="217"/>
      <c r="AA60" s="217"/>
      <c r="AB60" s="217"/>
      <c r="AC60" s="217"/>
      <c r="AD60" s="217"/>
      <c r="AE60" s="217"/>
      <c r="AF60" s="217"/>
      <c r="AG60" s="217"/>
      <c r="AH60" s="217"/>
      <c r="AI60" s="217"/>
      <c r="AJ60" s="217"/>
      <c r="AK60" s="217"/>
      <c r="AL60" s="5"/>
      <c r="AM60" s="5"/>
    </row>
    <row r="61" spans="1:39" x14ac:dyDescent="0.2">
      <c r="D61" s="217"/>
      <c r="E61" s="217"/>
      <c r="F61" s="217"/>
      <c r="G61" s="217"/>
      <c r="H61" s="217"/>
      <c r="I61" s="217"/>
      <c r="J61" s="217"/>
      <c r="K61" s="217"/>
      <c r="L61" s="217"/>
      <c r="M61" s="217"/>
      <c r="N61" s="217"/>
      <c r="O61" s="217"/>
      <c r="P61" s="217"/>
      <c r="Q61" s="217"/>
      <c r="R61" s="217"/>
      <c r="S61" s="217"/>
      <c r="T61" s="217"/>
      <c r="U61" s="217"/>
      <c r="V61" s="217"/>
      <c r="W61" s="217"/>
      <c r="X61" s="217"/>
      <c r="Y61" s="217"/>
      <c r="Z61" s="217"/>
      <c r="AA61" s="217"/>
      <c r="AB61" s="217"/>
      <c r="AC61" s="217"/>
      <c r="AD61" s="217"/>
      <c r="AE61" s="217"/>
      <c r="AF61" s="217"/>
      <c r="AG61" s="217"/>
      <c r="AH61" s="217"/>
      <c r="AI61" s="217"/>
      <c r="AJ61" s="217"/>
      <c r="AK61" s="217"/>
      <c r="AL61" s="5"/>
      <c r="AM61" s="5"/>
    </row>
    <row r="62" spans="1:39" x14ac:dyDescent="0.2">
      <c r="B62">
        <v>5</v>
      </c>
      <c r="C62" t="s">
        <v>395</v>
      </c>
      <c r="D62" t="s">
        <v>429</v>
      </c>
    </row>
    <row r="64" spans="1:39" x14ac:dyDescent="0.2">
      <c r="A64" s="4" t="s">
        <v>430</v>
      </c>
    </row>
    <row r="65" spans="1:39" ht="12.75" customHeight="1" x14ac:dyDescent="0.2">
      <c r="A65" s="217" t="s">
        <v>431</v>
      </c>
      <c r="B65" s="217"/>
      <c r="C65" s="217"/>
      <c r="D65" s="217"/>
      <c r="E65" s="217"/>
      <c r="F65" s="217"/>
      <c r="G65" s="217"/>
      <c r="H65" s="217"/>
      <c r="I65" s="217"/>
      <c r="J65" s="217"/>
      <c r="K65" s="217"/>
      <c r="L65" s="217"/>
      <c r="M65" s="217"/>
      <c r="N65" s="217"/>
      <c r="O65" s="217"/>
      <c r="P65" s="217"/>
      <c r="Q65" s="217"/>
      <c r="R65" s="217"/>
      <c r="S65" s="217"/>
      <c r="T65" s="217"/>
      <c r="U65" s="217"/>
      <c r="V65" s="217"/>
      <c r="W65" s="217"/>
      <c r="X65" s="217"/>
      <c r="Y65" s="217"/>
      <c r="Z65" s="217"/>
      <c r="AA65" s="217"/>
      <c r="AB65" s="217"/>
      <c r="AC65" s="217"/>
      <c r="AD65" s="217"/>
      <c r="AE65" s="217"/>
      <c r="AF65" s="217"/>
      <c r="AG65" s="217"/>
      <c r="AH65" s="217"/>
      <c r="AI65" s="217"/>
      <c r="AJ65" s="217"/>
      <c r="AK65" s="217"/>
      <c r="AL65" s="217"/>
      <c r="AM65" s="5"/>
    </row>
    <row r="66" spans="1:39" x14ac:dyDescent="0.2">
      <c r="A66" s="217"/>
      <c r="B66" s="217"/>
      <c r="C66" s="217"/>
      <c r="D66" s="217"/>
      <c r="E66" s="217"/>
      <c r="F66" s="217"/>
      <c r="G66" s="217"/>
      <c r="H66" s="217"/>
      <c r="I66" s="217"/>
      <c r="J66" s="217"/>
      <c r="K66" s="217"/>
      <c r="L66" s="217"/>
      <c r="M66" s="217"/>
      <c r="N66" s="217"/>
      <c r="O66" s="217"/>
      <c r="P66" s="217"/>
      <c r="Q66" s="217"/>
      <c r="R66" s="217"/>
      <c r="S66" s="217"/>
      <c r="T66" s="217"/>
      <c r="U66" s="217"/>
      <c r="V66" s="217"/>
      <c r="W66" s="217"/>
      <c r="X66" s="217"/>
      <c r="Y66" s="217"/>
      <c r="Z66" s="217"/>
      <c r="AA66" s="217"/>
      <c r="AB66" s="217"/>
      <c r="AC66" s="217"/>
      <c r="AD66" s="217"/>
      <c r="AE66" s="217"/>
      <c r="AF66" s="217"/>
      <c r="AG66" s="217"/>
      <c r="AH66" s="217"/>
      <c r="AI66" s="217"/>
      <c r="AJ66" s="217"/>
      <c r="AK66" s="217"/>
      <c r="AL66" s="217"/>
      <c r="AM66" s="5"/>
    </row>
    <row r="67" spans="1:39" x14ac:dyDescent="0.2">
      <c r="A67" s="5"/>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row>
    <row r="68" spans="1:39" x14ac:dyDescent="0.2">
      <c r="A68" s="4" t="s">
        <v>432</v>
      </c>
    </row>
    <row r="69" spans="1:39" ht="12.75" customHeight="1" x14ac:dyDescent="0.2">
      <c r="A69" s="217" t="s">
        <v>433</v>
      </c>
      <c r="B69" s="217"/>
      <c r="C69" s="217"/>
      <c r="D69" s="217"/>
      <c r="E69" s="217"/>
      <c r="F69" s="217"/>
      <c r="G69" s="217"/>
      <c r="H69" s="217"/>
      <c r="I69" s="217"/>
      <c r="J69" s="217"/>
      <c r="K69" s="217"/>
      <c r="L69" s="217"/>
      <c r="M69" s="217"/>
      <c r="N69" s="217"/>
      <c r="O69" s="217"/>
      <c r="P69" s="217"/>
      <c r="Q69" s="217"/>
      <c r="R69" s="217"/>
      <c r="S69" s="217"/>
      <c r="T69" s="217"/>
      <c r="U69" s="217"/>
      <c r="V69" s="217"/>
      <c r="W69" s="217"/>
      <c r="X69" s="217"/>
      <c r="Y69" s="217"/>
      <c r="Z69" s="217"/>
      <c r="AA69" s="217"/>
      <c r="AB69" s="217"/>
      <c r="AC69" s="217"/>
      <c r="AD69" s="217"/>
      <c r="AE69" s="217"/>
      <c r="AF69" s="217"/>
      <c r="AG69" s="217"/>
      <c r="AH69" s="217"/>
      <c r="AI69" s="217"/>
      <c r="AJ69" s="217"/>
      <c r="AK69" s="217"/>
      <c r="AL69" s="5"/>
      <c r="AM69" s="5"/>
    </row>
    <row r="70" spans="1:39" x14ac:dyDescent="0.2">
      <c r="A70" s="217"/>
      <c r="B70" s="217"/>
      <c r="C70" s="217"/>
      <c r="D70" s="217"/>
      <c r="E70" s="217"/>
      <c r="F70" s="217"/>
      <c r="G70" s="217"/>
      <c r="H70" s="217"/>
      <c r="I70" s="217"/>
      <c r="J70" s="217"/>
      <c r="K70" s="217"/>
      <c r="L70" s="217"/>
      <c r="M70" s="217"/>
      <c r="N70" s="217"/>
      <c r="O70" s="217"/>
      <c r="P70" s="217"/>
      <c r="Q70" s="217"/>
      <c r="R70" s="217"/>
      <c r="S70" s="217"/>
      <c r="T70" s="217"/>
      <c r="U70" s="217"/>
      <c r="V70" s="217"/>
      <c r="W70" s="217"/>
      <c r="X70" s="217"/>
      <c r="Y70" s="217"/>
      <c r="Z70" s="217"/>
      <c r="AA70" s="217"/>
      <c r="AB70" s="217"/>
      <c r="AC70" s="217"/>
      <c r="AD70" s="217"/>
      <c r="AE70" s="217"/>
      <c r="AF70" s="217"/>
      <c r="AG70" s="217"/>
      <c r="AH70" s="217"/>
      <c r="AI70" s="217"/>
      <c r="AJ70" s="217"/>
      <c r="AK70" s="217"/>
      <c r="AL70" s="5"/>
      <c r="AM70" s="5"/>
    </row>
    <row r="72" spans="1:39" x14ac:dyDescent="0.2">
      <c r="A72" s="270" t="s">
        <v>434</v>
      </c>
      <c r="B72" s="270"/>
      <c r="C72" s="270"/>
      <c r="D72" s="270"/>
      <c r="E72" s="270"/>
      <c r="F72" s="270"/>
      <c r="G72" s="270"/>
      <c r="H72" s="270"/>
      <c r="I72" s="270"/>
      <c r="J72" s="270"/>
      <c r="K72" s="270"/>
      <c r="L72" s="270"/>
      <c r="M72" s="270"/>
      <c r="N72" s="270"/>
      <c r="O72" s="270"/>
      <c r="P72" s="270"/>
      <c r="Q72" s="270"/>
      <c r="R72" s="270"/>
      <c r="S72" s="270"/>
      <c r="T72" s="270"/>
      <c r="U72" s="270"/>
      <c r="V72" s="270"/>
      <c r="W72" s="270"/>
      <c r="X72" s="270"/>
      <c r="Y72" s="270"/>
      <c r="Z72" s="270"/>
      <c r="AA72" s="270"/>
      <c r="AB72" s="270"/>
      <c r="AC72" s="270"/>
      <c r="AD72" s="270"/>
      <c r="AE72" s="270"/>
      <c r="AF72" s="270"/>
      <c r="AG72" s="270"/>
      <c r="AH72" s="270"/>
      <c r="AI72" s="270"/>
      <c r="AJ72" s="270"/>
      <c r="AK72" s="270"/>
      <c r="AL72" s="270"/>
    </row>
    <row r="73" spans="1:39" x14ac:dyDescent="0.2">
      <c r="A73" s="270"/>
      <c r="B73" s="270"/>
      <c r="C73" s="270"/>
      <c r="D73" s="270"/>
      <c r="E73" s="270"/>
      <c r="F73" s="270"/>
      <c r="G73" s="270"/>
      <c r="H73" s="270"/>
      <c r="I73" s="270"/>
      <c r="J73" s="270"/>
      <c r="K73" s="270"/>
      <c r="L73" s="270"/>
      <c r="M73" s="270"/>
      <c r="N73" s="270"/>
      <c r="O73" s="270"/>
      <c r="P73" s="270"/>
      <c r="Q73" s="270"/>
      <c r="R73" s="270"/>
      <c r="S73" s="270"/>
      <c r="T73" s="270"/>
      <c r="U73" s="270"/>
      <c r="V73" s="270"/>
      <c r="W73" s="270"/>
      <c r="X73" s="270"/>
      <c r="Y73" s="270"/>
      <c r="Z73" s="270"/>
      <c r="AA73" s="270"/>
      <c r="AB73" s="270"/>
      <c r="AC73" s="270"/>
      <c r="AD73" s="270"/>
      <c r="AE73" s="270"/>
      <c r="AF73" s="270"/>
      <c r="AG73" s="270"/>
      <c r="AH73" s="270"/>
      <c r="AI73" s="270"/>
      <c r="AJ73" s="270"/>
      <c r="AK73" s="270"/>
      <c r="AL73" s="270"/>
    </row>
    <row r="92" spans="1:25" x14ac:dyDescent="0.2">
      <c r="A92" s="240"/>
      <c r="B92" s="240"/>
      <c r="C92" s="240"/>
      <c r="D92" s="240"/>
      <c r="E92" s="240"/>
      <c r="F92" s="240"/>
      <c r="G92" s="240"/>
      <c r="H92" s="240"/>
      <c r="I92" s="240"/>
      <c r="J92" s="240"/>
      <c r="K92" s="240"/>
      <c r="L92" s="240"/>
      <c r="M92" s="240"/>
      <c r="N92" s="240"/>
      <c r="O92" s="240"/>
      <c r="P92" s="240"/>
    </row>
    <row r="93" spans="1:25" x14ac:dyDescent="0.2">
      <c r="A93" s="240"/>
      <c r="B93" s="240"/>
      <c r="C93" s="240"/>
      <c r="D93" s="240"/>
      <c r="E93" s="240"/>
      <c r="F93" s="240"/>
      <c r="G93" s="240"/>
      <c r="H93" s="240"/>
      <c r="I93" s="240"/>
      <c r="J93" s="240"/>
      <c r="K93" s="240"/>
      <c r="L93" s="240"/>
      <c r="M93" s="240"/>
      <c r="N93" s="240"/>
      <c r="O93" s="240"/>
      <c r="P93" s="240"/>
    </row>
    <row r="94" spans="1:25" x14ac:dyDescent="0.2">
      <c r="A94" s="266"/>
      <c r="B94" s="266"/>
      <c r="C94" s="266"/>
      <c r="D94" s="266"/>
      <c r="E94" s="266"/>
      <c r="F94" s="266"/>
      <c r="G94" s="266"/>
      <c r="H94" s="266"/>
      <c r="I94" s="266"/>
      <c r="J94" s="266"/>
      <c r="K94" s="266"/>
      <c r="L94" s="266"/>
      <c r="M94" s="266"/>
      <c r="N94" s="266"/>
      <c r="O94" s="266"/>
      <c r="P94" s="266"/>
      <c r="R94" s="269">
        <f>Data!B34</f>
        <v>0</v>
      </c>
      <c r="S94" s="267"/>
      <c r="T94" s="267"/>
      <c r="U94" s="267"/>
      <c r="V94" s="267"/>
      <c r="W94" s="267"/>
      <c r="X94" s="267"/>
      <c r="Y94" s="267"/>
    </row>
    <row r="95" spans="1:25" x14ac:dyDescent="0.2">
      <c r="A95" t="s">
        <v>367</v>
      </c>
      <c r="R95" t="s">
        <v>368</v>
      </c>
    </row>
    <row r="96" spans="1:25" x14ac:dyDescent="0.2">
      <c r="A96" s="240"/>
      <c r="B96" s="240"/>
      <c r="C96" s="240"/>
      <c r="D96" s="240"/>
      <c r="E96" s="240"/>
      <c r="F96" s="240"/>
      <c r="G96" s="240"/>
      <c r="H96" s="240"/>
      <c r="I96" s="240"/>
      <c r="J96" s="240"/>
      <c r="K96" s="240"/>
      <c r="L96" s="240"/>
      <c r="M96" s="240"/>
      <c r="N96" s="240"/>
      <c r="O96" s="240"/>
      <c r="P96" s="240"/>
    </row>
    <row r="97" spans="1:31" x14ac:dyDescent="0.2">
      <c r="A97" s="240"/>
      <c r="B97" s="240"/>
      <c r="C97" s="240"/>
      <c r="D97" s="240"/>
      <c r="E97" s="240"/>
      <c r="F97" s="240"/>
      <c r="G97" s="240"/>
      <c r="H97" s="240"/>
      <c r="I97" s="240"/>
      <c r="J97" s="240"/>
      <c r="K97" s="240"/>
      <c r="L97" s="240"/>
      <c r="M97" s="240"/>
      <c r="N97" s="240"/>
      <c r="O97" s="240"/>
      <c r="P97" s="240"/>
    </row>
    <row r="98" spans="1:31" x14ac:dyDescent="0.2">
      <c r="A98" s="266"/>
      <c r="B98" s="266"/>
      <c r="C98" s="266"/>
      <c r="D98" s="266"/>
      <c r="E98" s="266"/>
      <c r="F98" s="266"/>
      <c r="G98" s="266"/>
      <c r="H98" s="266"/>
      <c r="I98" s="266"/>
      <c r="J98" s="266"/>
      <c r="K98" s="266"/>
      <c r="L98" s="266"/>
      <c r="M98" s="266"/>
      <c r="N98" s="266"/>
      <c r="O98" s="266"/>
      <c r="P98" s="266"/>
      <c r="R98" s="267">
        <f>Data!B175</f>
        <v>0</v>
      </c>
      <c r="S98" s="267"/>
      <c r="T98" s="267"/>
      <c r="U98" s="267"/>
      <c r="V98" s="267"/>
      <c r="W98" s="267"/>
      <c r="X98" s="267"/>
      <c r="Y98" s="267"/>
      <c r="Z98" s="267"/>
      <c r="AA98" s="267"/>
      <c r="AB98" s="267"/>
      <c r="AC98" s="267"/>
      <c r="AD98" s="267"/>
      <c r="AE98" s="267"/>
    </row>
    <row r="99" spans="1:31" x14ac:dyDescent="0.2">
      <c r="A99" t="s">
        <v>2881</v>
      </c>
      <c r="R99" t="s">
        <v>1465</v>
      </c>
    </row>
  </sheetData>
  <mergeCells count="24">
    <mergeCell ref="B32:AL33"/>
    <mergeCell ref="A96:P98"/>
    <mergeCell ref="R98:AE98"/>
    <mergeCell ref="A65:AL66"/>
    <mergeCell ref="A72:AL73"/>
    <mergeCell ref="A92:P94"/>
    <mergeCell ref="R94:Y94"/>
    <mergeCell ref="A69:AK70"/>
    <mergeCell ref="D54:AK55"/>
    <mergeCell ref="D56:AK57"/>
    <mergeCell ref="D58:AK59"/>
    <mergeCell ref="D60:AK61"/>
    <mergeCell ref="B35:AL37"/>
    <mergeCell ref="B39:AL41"/>
    <mergeCell ref="B43:AL44"/>
    <mergeCell ref="B51:AL52"/>
    <mergeCell ref="B25:AL26"/>
    <mergeCell ref="B28:AL30"/>
    <mergeCell ref="B21:AL23"/>
    <mergeCell ref="E2:W2"/>
    <mergeCell ref="AA2:AH2"/>
    <mergeCell ref="A4:AL5"/>
    <mergeCell ref="A18:AJ18"/>
    <mergeCell ref="D14:AL15"/>
  </mergeCells>
  <pageMargins left="0.25" right="0.25" top="0.75" bottom="0.75" header="0.3" footer="0.3"/>
  <pageSetup orientation="portrait" r:id="rId1"/>
  <headerFooter>
    <oddHeader>&amp;L&amp;G&amp;RHIPAA Notice of Privacy Practices
2 Page Document</oddHeader>
    <oddFooter>&amp;LDS&amp;C3088 Mercer University Drive Suite 100 Atlanta, GA 30341
678-310-6305 Fax 404-935-6110&amp;RPP.M</oddFooter>
  </headerFooter>
  <legacyDrawingHF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12">
    <tabColor theme="4" tint="-0.249977111117893"/>
  </sheetPr>
  <dimension ref="A1:AL102"/>
  <sheetViews>
    <sheetView showZeros="0" view="pageLayout" topLeftCell="A70" zoomScaleNormal="100" workbookViewId="0">
      <selection activeCell="R97" sqref="R97:Y97"/>
    </sheetView>
  </sheetViews>
  <sheetFormatPr defaultColWidth="2.7109375" defaultRowHeight="12.75" x14ac:dyDescent="0.2"/>
  <cols>
    <col min="1" max="1" width="3.85546875" customWidth="1"/>
    <col min="2" max="4" width="2.5703125" customWidth="1"/>
  </cols>
  <sheetData>
    <row r="1" spans="1:38" x14ac:dyDescent="0.2">
      <c r="AG1" t="s">
        <v>3216</v>
      </c>
    </row>
    <row r="2" spans="1:38" x14ac:dyDescent="0.2">
      <c r="A2" t="s">
        <v>336</v>
      </c>
      <c r="E2" s="267" t="str">
        <f>_xlfn.CONCAT(Data!B2,", ",Data!B3," ",Data!B4)</f>
        <v xml:space="preserve">,  </v>
      </c>
      <c r="F2" s="267"/>
      <c r="G2" s="267"/>
      <c r="H2" s="267"/>
      <c r="I2" s="267"/>
      <c r="J2" s="267"/>
      <c r="K2" s="267"/>
      <c r="L2" s="267"/>
      <c r="M2" s="267"/>
      <c r="N2" s="267"/>
      <c r="O2" s="267"/>
      <c r="P2" s="267"/>
      <c r="Q2" s="267"/>
      <c r="R2" s="267"/>
      <c r="S2" s="267"/>
      <c r="T2" s="267"/>
      <c r="U2" s="267"/>
      <c r="V2" s="267"/>
      <c r="W2" s="267"/>
      <c r="Y2" t="s">
        <v>371</v>
      </c>
      <c r="AA2" s="269">
        <f>Data!B14</f>
        <v>0</v>
      </c>
      <c r="AB2" s="267"/>
      <c r="AC2" s="267"/>
      <c r="AD2" s="267"/>
      <c r="AE2" s="267"/>
      <c r="AF2" s="267"/>
      <c r="AG2" s="267"/>
      <c r="AH2" s="267"/>
    </row>
    <row r="3" spans="1:38" x14ac:dyDescent="0.2">
      <c r="A3" s="340" t="s">
        <v>480</v>
      </c>
      <c r="B3" s="340"/>
      <c r="C3" s="340"/>
      <c r="D3" s="340"/>
      <c r="E3" s="340"/>
      <c r="F3" s="340"/>
      <c r="G3" s="340"/>
      <c r="H3" s="340"/>
      <c r="I3" s="340"/>
      <c r="J3" s="340"/>
      <c r="K3" s="340"/>
      <c r="L3" s="340"/>
      <c r="M3" s="340"/>
      <c r="N3" s="340"/>
      <c r="O3" s="340"/>
      <c r="P3" s="340"/>
      <c r="Q3" s="340"/>
      <c r="R3" s="340"/>
      <c r="S3" s="340"/>
      <c r="T3" s="340"/>
      <c r="U3" s="340"/>
      <c r="V3" s="340"/>
      <c r="W3" s="340"/>
      <c r="X3" s="340"/>
      <c r="Y3" s="340"/>
      <c r="Z3" s="340"/>
      <c r="AA3" s="340"/>
      <c r="AB3" s="340"/>
      <c r="AC3" s="340"/>
      <c r="AD3" s="340"/>
      <c r="AE3" s="340"/>
      <c r="AF3" s="340"/>
      <c r="AG3" s="340"/>
      <c r="AH3" s="340"/>
      <c r="AI3" s="340"/>
      <c r="AJ3" s="340"/>
      <c r="AK3" s="340"/>
    </row>
    <row r="4" spans="1:38" x14ac:dyDescent="0.2">
      <c r="A4">
        <v>1</v>
      </c>
      <c r="B4" t="s">
        <v>395</v>
      </c>
      <c r="C4" t="s">
        <v>481</v>
      </c>
    </row>
    <row r="5" spans="1:38" ht="12.75" customHeight="1" x14ac:dyDescent="0.2">
      <c r="A5">
        <v>2</v>
      </c>
      <c r="B5" t="s">
        <v>395</v>
      </c>
      <c r="C5" s="217" t="s">
        <v>500</v>
      </c>
      <c r="D5" s="217"/>
      <c r="E5" s="217"/>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c r="AE5" s="217"/>
      <c r="AF5" s="217"/>
      <c r="AG5" s="217"/>
      <c r="AH5" s="217"/>
      <c r="AI5" s="217"/>
      <c r="AJ5" s="217"/>
      <c r="AK5" s="217"/>
      <c r="AL5" s="5"/>
    </row>
    <row r="6" spans="1:38" x14ac:dyDescent="0.2">
      <c r="C6" s="217"/>
      <c r="D6" s="217"/>
      <c r="E6" s="217"/>
      <c r="F6" s="217"/>
      <c r="G6" s="217"/>
      <c r="H6" s="217"/>
      <c r="I6" s="217"/>
      <c r="J6" s="217"/>
      <c r="K6" s="217"/>
      <c r="L6" s="217"/>
      <c r="M6" s="217"/>
      <c r="N6" s="217"/>
      <c r="O6" s="217"/>
      <c r="P6" s="217"/>
      <c r="Q6" s="217"/>
      <c r="R6" s="217"/>
      <c r="S6" s="217"/>
      <c r="T6" s="217"/>
      <c r="U6" s="217"/>
      <c r="V6" s="217"/>
      <c r="W6" s="217"/>
      <c r="X6" s="217"/>
      <c r="Y6" s="217"/>
      <c r="Z6" s="217"/>
      <c r="AA6" s="217"/>
      <c r="AB6" s="217"/>
      <c r="AC6" s="217"/>
      <c r="AD6" s="217"/>
      <c r="AE6" s="217"/>
      <c r="AF6" s="217"/>
      <c r="AG6" s="217"/>
      <c r="AH6" s="217"/>
      <c r="AI6" s="217"/>
      <c r="AJ6" s="217"/>
      <c r="AK6" s="217"/>
      <c r="AL6" s="5"/>
    </row>
    <row r="7" spans="1:38" ht="12.75" customHeight="1" x14ac:dyDescent="0.2">
      <c r="A7">
        <v>3</v>
      </c>
      <c r="B7" t="s">
        <v>395</v>
      </c>
      <c r="C7" s="217" t="s">
        <v>501</v>
      </c>
      <c r="D7" s="217"/>
      <c r="E7" s="217"/>
      <c r="F7" s="217"/>
      <c r="G7" s="217"/>
      <c r="H7" s="217"/>
      <c r="I7" s="217"/>
      <c r="J7" s="217"/>
      <c r="K7" s="217"/>
      <c r="L7" s="217"/>
      <c r="M7" s="217"/>
      <c r="N7" s="217"/>
      <c r="O7" s="217"/>
      <c r="P7" s="217"/>
      <c r="Q7" s="217"/>
      <c r="R7" s="217"/>
      <c r="S7" s="217"/>
      <c r="T7" s="217"/>
      <c r="U7" s="217"/>
      <c r="V7" s="217"/>
      <c r="W7" s="217"/>
      <c r="X7" s="217"/>
      <c r="Y7" s="217"/>
      <c r="Z7" s="217"/>
      <c r="AA7" s="217"/>
      <c r="AB7" s="217"/>
      <c r="AC7" s="217"/>
      <c r="AD7" s="217"/>
      <c r="AE7" s="217"/>
      <c r="AF7" s="217"/>
      <c r="AG7" s="217"/>
      <c r="AH7" s="217"/>
      <c r="AI7" s="217"/>
      <c r="AJ7" s="217"/>
      <c r="AK7" s="217"/>
      <c r="AL7" s="5"/>
    </row>
    <row r="8" spans="1:38" x14ac:dyDescent="0.2">
      <c r="C8" s="217"/>
      <c r="D8" s="217"/>
      <c r="E8" s="217"/>
      <c r="F8" s="217"/>
      <c r="G8" s="217"/>
      <c r="H8" s="217"/>
      <c r="I8" s="217"/>
      <c r="J8" s="217"/>
      <c r="K8" s="217"/>
      <c r="L8" s="217"/>
      <c r="M8" s="217"/>
      <c r="N8" s="217"/>
      <c r="O8" s="217"/>
      <c r="P8" s="217"/>
      <c r="Q8" s="217"/>
      <c r="R8" s="217"/>
      <c r="S8" s="217"/>
      <c r="T8" s="217"/>
      <c r="U8" s="217"/>
      <c r="V8" s="217"/>
      <c r="W8" s="217"/>
      <c r="X8" s="217"/>
      <c r="Y8" s="217"/>
      <c r="Z8" s="217"/>
      <c r="AA8" s="217"/>
      <c r="AB8" s="217"/>
      <c r="AC8" s="217"/>
      <c r="AD8" s="217"/>
      <c r="AE8" s="217"/>
      <c r="AF8" s="217"/>
      <c r="AG8" s="217"/>
      <c r="AH8" s="217"/>
      <c r="AI8" s="217"/>
      <c r="AJ8" s="217"/>
      <c r="AK8" s="217"/>
      <c r="AL8" s="5"/>
    </row>
    <row r="9" spans="1:38" x14ac:dyDescent="0.2">
      <c r="A9">
        <v>4</v>
      </c>
      <c r="B9" t="s">
        <v>395</v>
      </c>
      <c r="C9" t="s">
        <v>482</v>
      </c>
    </row>
    <row r="10" spans="1:38" x14ac:dyDescent="0.2">
      <c r="A10">
        <v>5</v>
      </c>
      <c r="B10" t="s">
        <v>395</v>
      </c>
      <c r="C10" t="s">
        <v>483</v>
      </c>
    </row>
    <row r="11" spans="1:38" x14ac:dyDescent="0.2">
      <c r="A11">
        <v>6</v>
      </c>
      <c r="B11" t="s">
        <v>395</v>
      </c>
      <c r="C11" t="s">
        <v>484</v>
      </c>
    </row>
    <row r="12" spans="1:38" x14ac:dyDescent="0.2">
      <c r="C12" t="s">
        <v>462</v>
      </c>
      <c r="D12" t="s">
        <v>485</v>
      </c>
    </row>
    <row r="13" spans="1:38" x14ac:dyDescent="0.2">
      <c r="C13" t="s">
        <v>463</v>
      </c>
      <c r="D13" t="s">
        <v>486</v>
      </c>
    </row>
    <row r="14" spans="1:38" x14ac:dyDescent="0.2">
      <c r="C14" t="s">
        <v>465</v>
      </c>
      <c r="D14" t="s">
        <v>487</v>
      </c>
    </row>
    <row r="15" spans="1:38" x14ac:dyDescent="0.2">
      <c r="C15" t="s">
        <v>488</v>
      </c>
      <c r="D15" t="s">
        <v>489</v>
      </c>
    </row>
    <row r="16" spans="1:38" x14ac:dyDescent="0.2">
      <c r="C16" t="s">
        <v>490</v>
      </c>
      <c r="D16" t="s">
        <v>491</v>
      </c>
    </row>
    <row r="17" spans="1:38" ht="12.75" customHeight="1" x14ac:dyDescent="0.2">
      <c r="A17">
        <v>7</v>
      </c>
      <c r="B17" t="s">
        <v>395</v>
      </c>
      <c r="C17" s="217" t="s">
        <v>502</v>
      </c>
      <c r="D17" s="217"/>
      <c r="E17" s="217"/>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c r="AE17" s="217"/>
      <c r="AF17" s="217"/>
      <c r="AG17" s="217"/>
      <c r="AH17" s="217"/>
      <c r="AI17" s="217"/>
      <c r="AJ17" s="217"/>
      <c r="AK17" s="217"/>
      <c r="AL17" s="5"/>
    </row>
    <row r="18" spans="1:38" x14ac:dyDescent="0.2">
      <c r="C18" s="217"/>
      <c r="D18" s="217"/>
      <c r="E18" s="217"/>
      <c r="F18" s="217"/>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c r="AE18" s="217"/>
      <c r="AF18" s="217"/>
      <c r="AG18" s="217"/>
      <c r="AH18" s="217"/>
      <c r="AI18" s="217"/>
      <c r="AJ18" s="217"/>
      <c r="AK18" s="217"/>
      <c r="AL18" s="5"/>
    </row>
    <row r="19" spans="1:38" ht="12.75" customHeight="1" x14ac:dyDescent="0.2">
      <c r="A19">
        <v>8</v>
      </c>
      <c r="B19" t="s">
        <v>395</v>
      </c>
      <c r="C19" s="217" t="s">
        <v>503</v>
      </c>
      <c r="D19" s="217"/>
      <c r="E19" s="217"/>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7"/>
      <c r="AI19" s="217"/>
      <c r="AJ19" s="217"/>
      <c r="AK19" s="217"/>
      <c r="AL19" s="5"/>
    </row>
    <row r="20" spans="1:38" x14ac:dyDescent="0.2">
      <c r="C20" s="217"/>
      <c r="D20" s="217"/>
      <c r="E20" s="217"/>
      <c r="F20" s="217"/>
      <c r="G20" s="217"/>
      <c r="H20" s="217"/>
      <c r="I20" s="217"/>
      <c r="J20" s="217"/>
      <c r="K20" s="217"/>
      <c r="L20" s="217"/>
      <c r="M20" s="217"/>
      <c r="N20" s="217"/>
      <c r="O20" s="217"/>
      <c r="P20" s="217"/>
      <c r="Q20" s="217"/>
      <c r="R20" s="217"/>
      <c r="S20" s="217"/>
      <c r="T20" s="217"/>
      <c r="U20" s="217"/>
      <c r="V20" s="217"/>
      <c r="W20" s="217"/>
      <c r="X20" s="217"/>
      <c r="Y20" s="217"/>
      <c r="Z20" s="217"/>
      <c r="AA20" s="217"/>
      <c r="AB20" s="217"/>
      <c r="AC20" s="217"/>
      <c r="AD20" s="217"/>
      <c r="AE20" s="217"/>
      <c r="AF20" s="217"/>
      <c r="AG20" s="217"/>
      <c r="AH20" s="217"/>
      <c r="AI20" s="217"/>
      <c r="AJ20" s="217"/>
      <c r="AK20" s="217"/>
      <c r="AL20" s="5"/>
    </row>
    <row r="21" spans="1:38" x14ac:dyDescent="0.2">
      <c r="A21">
        <v>9</v>
      </c>
      <c r="B21" t="s">
        <v>395</v>
      </c>
      <c r="C21" t="s">
        <v>492</v>
      </c>
    </row>
    <row r="22" spans="1:38" ht="12.75" customHeight="1" x14ac:dyDescent="0.2">
      <c r="A22">
        <v>10</v>
      </c>
      <c r="B22" t="s">
        <v>395</v>
      </c>
      <c r="C22" s="217" t="s">
        <v>504</v>
      </c>
      <c r="D22" s="217"/>
      <c r="E22" s="217"/>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c r="AE22" s="217"/>
      <c r="AF22" s="217"/>
      <c r="AG22" s="217"/>
      <c r="AH22" s="217"/>
      <c r="AI22" s="217"/>
      <c r="AJ22" s="217"/>
      <c r="AK22" s="217"/>
      <c r="AL22" s="5"/>
    </row>
    <row r="23" spans="1:38" x14ac:dyDescent="0.2">
      <c r="C23" s="217"/>
      <c r="D23" s="217"/>
      <c r="E23" s="217"/>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c r="AE23" s="217"/>
      <c r="AF23" s="217"/>
      <c r="AG23" s="217"/>
      <c r="AH23" s="217"/>
      <c r="AI23" s="217"/>
      <c r="AJ23" s="217"/>
      <c r="AK23" s="217"/>
      <c r="AL23" s="5"/>
    </row>
    <row r="24" spans="1:38" ht="12.75" customHeight="1" x14ac:dyDescent="0.2">
      <c r="A24">
        <v>11</v>
      </c>
      <c r="B24" t="s">
        <v>395</v>
      </c>
      <c r="C24" s="217" t="s">
        <v>505</v>
      </c>
      <c r="D24" s="217"/>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7"/>
      <c r="AI24" s="217"/>
      <c r="AJ24" s="217"/>
      <c r="AK24" s="217"/>
      <c r="AL24" s="5"/>
    </row>
    <row r="25" spans="1:38" x14ac:dyDescent="0.2">
      <c r="C25" s="217"/>
      <c r="D25" s="217"/>
      <c r="E25" s="217"/>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c r="AE25" s="217"/>
      <c r="AF25" s="217"/>
      <c r="AG25" s="217"/>
      <c r="AH25" s="217"/>
      <c r="AI25" s="217"/>
      <c r="AJ25" s="217"/>
      <c r="AK25" s="217"/>
      <c r="AL25" s="5"/>
    </row>
    <row r="26" spans="1:38" x14ac:dyDescent="0.2">
      <c r="A26">
        <v>12</v>
      </c>
      <c r="B26" t="s">
        <v>395</v>
      </c>
      <c r="C26" t="s">
        <v>493</v>
      </c>
    </row>
    <row r="27" spans="1:38" x14ac:dyDescent="0.2">
      <c r="A27">
        <v>13</v>
      </c>
      <c r="B27" t="s">
        <v>395</v>
      </c>
      <c r="C27" t="s">
        <v>506</v>
      </c>
    </row>
    <row r="28" spans="1:38" x14ac:dyDescent="0.2">
      <c r="A28">
        <v>14</v>
      </c>
      <c r="B28" t="s">
        <v>395</v>
      </c>
      <c r="C28" t="s">
        <v>494</v>
      </c>
    </row>
    <row r="29" spans="1:38" ht="12.75" customHeight="1" x14ac:dyDescent="0.2">
      <c r="A29">
        <v>15</v>
      </c>
      <c r="B29" t="s">
        <v>395</v>
      </c>
      <c r="C29" s="217" t="s">
        <v>507</v>
      </c>
      <c r="D29" s="217"/>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7"/>
      <c r="AI29" s="217"/>
      <c r="AJ29" s="217"/>
      <c r="AK29" s="217"/>
      <c r="AL29" s="5"/>
    </row>
    <row r="30" spans="1:38" x14ac:dyDescent="0.2">
      <c r="C30" s="217"/>
      <c r="D30" s="217"/>
      <c r="E30" s="217"/>
      <c r="F30" s="217"/>
      <c r="G30" s="217"/>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c r="AE30" s="217"/>
      <c r="AF30" s="217"/>
      <c r="AG30" s="217"/>
      <c r="AH30" s="217"/>
      <c r="AI30" s="217"/>
      <c r="AJ30" s="217"/>
      <c r="AK30" s="217"/>
      <c r="AL30" s="5"/>
    </row>
    <row r="31" spans="1:38" x14ac:dyDescent="0.2">
      <c r="A31">
        <v>16</v>
      </c>
      <c r="B31" t="s">
        <v>395</v>
      </c>
      <c r="C31" t="s">
        <v>495</v>
      </c>
    </row>
    <row r="32" spans="1:38" ht="12.75" customHeight="1" x14ac:dyDescent="0.2">
      <c r="A32">
        <v>17</v>
      </c>
      <c r="B32" t="s">
        <v>395</v>
      </c>
      <c r="C32" s="217" t="s">
        <v>508</v>
      </c>
      <c r="D32" s="217"/>
      <c r="E32" s="217"/>
      <c r="F32" s="217"/>
      <c r="G32" s="217"/>
      <c r="H32" s="217"/>
      <c r="I32" s="217"/>
      <c r="J32" s="217"/>
      <c r="K32" s="217"/>
      <c r="L32" s="217"/>
      <c r="M32" s="217"/>
      <c r="N32" s="217"/>
      <c r="O32" s="217"/>
      <c r="P32" s="217"/>
      <c r="Q32" s="217"/>
      <c r="R32" s="217"/>
      <c r="S32" s="217"/>
      <c r="T32" s="217"/>
      <c r="U32" s="217"/>
      <c r="V32" s="217"/>
      <c r="W32" s="217"/>
      <c r="X32" s="217"/>
      <c r="Y32" s="217"/>
      <c r="Z32" s="217"/>
      <c r="AA32" s="217"/>
      <c r="AB32" s="217"/>
      <c r="AC32" s="217"/>
      <c r="AD32" s="217"/>
      <c r="AE32" s="217"/>
      <c r="AF32" s="217"/>
      <c r="AG32" s="217"/>
      <c r="AH32" s="217"/>
      <c r="AI32" s="217"/>
      <c r="AJ32" s="217"/>
      <c r="AK32" s="217"/>
      <c r="AL32" s="5"/>
    </row>
    <row r="33" spans="1:38" x14ac:dyDescent="0.2">
      <c r="C33" s="217"/>
      <c r="D33" s="217"/>
      <c r="E33" s="217"/>
      <c r="F33" s="217"/>
      <c r="G33" s="217"/>
      <c r="H33" s="217"/>
      <c r="I33" s="217"/>
      <c r="J33" s="217"/>
      <c r="K33" s="217"/>
      <c r="L33" s="217"/>
      <c r="M33" s="217"/>
      <c r="N33" s="217"/>
      <c r="O33" s="217"/>
      <c r="P33" s="217"/>
      <c r="Q33" s="217"/>
      <c r="R33" s="217"/>
      <c r="S33" s="217"/>
      <c r="T33" s="217"/>
      <c r="U33" s="217"/>
      <c r="V33" s="217"/>
      <c r="W33" s="217"/>
      <c r="X33" s="217"/>
      <c r="Y33" s="217"/>
      <c r="Z33" s="217"/>
      <c r="AA33" s="217"/>
      <c r="AB33" s="217"/>
      <c r="AC33" s="217"/>
      <c r="AD33" s="217"/>
      <c r="AE33" s="217"/>
      <c r="AF33" s="217"/>
      <c r="AG33" s="217"/>
      <c r="AH33" s="217"/>
      <c r="AI33" s="217"/>
      <c r="AJ33" s="217"/>
      <c r="AK33" s="217"/>
      <c r="AL33" s="5"/>
    </row>
    <row r="34" spans="1:38" x14ac:dyDescent="0.2">
      <c r="A34">
        <v>18</v>
      </c>
      <c r="B34" t="s">
        <v>395</v>
      </c>
      <c r="C34" s="107" t="s">
        <v>509</v>
      </c>
    </row>
    <row r="35" spans="1:38" ht="12.75" customHeight="1" x14ac:dyDescent="0.2">
      <c r="A35">
        <v>19</v>
      </c>
      <c r="B35" t="s">
        <v>395</v>
      </c>
      <c r="C35" s="217" t="s">
        <v>496</v>
      </c>
      <c r="D35" s="217"/>
      <c r="E35" s="217"/>
      <c r="F35" s="217"/>
      <c r="G35" s="217"/>
      <c r="H35" s="217"/>
      <c r="I35" s="217"/>
      <c r="J35" s="217"/>
      <c r="K35" s="217"/>
      <c r="L35" s="217"/>
      <c r="M35" s="217"/>
      <c r="N35" s="217"/>
      <c r="O35" s="217"/>
      <c r="P35" s="217"/>
      <c r="Q35" s="217"/>
      <c r="R35" s="217"/>
      <c r="S35" s="217"/>
      <c r="T35" s="217"/>
      <c r="U35" s="217"/>
      <c r="V35" s="217"/>
      <c r="W35" s="217"/>
      <c r="X35" s="217"/>
      <c r="Y35" s="217"/>
      <c r="Z35" s="217"/>
      <c r="AA35" s="217"/>
      <c r="AB35" s="217"/>
      <c r="AC35" s="217"/>
      <c r="AD35" s="217"/>
      <c r="AE35" s="217"/>
      <c r="AF35" s="217"/>
      <c r="AG35" s="217"/>
      <c r="AH35" s="217"/>
      <c r="AI35" s="217"/>
      <c r="AJ35" s="217"/>
      <c r="AK35" s="217"/>
      <c r="AL35" s="5"/>
    </row>
    <row r="36" spans="1:38" x14ac:dyDescent="0.2">
      <c r="C36" s="217"/>
      <c r="D36" s="217"/>
      <c r="E36" s="217"/>
      <c r="F36" s="217"/>
      <c r="G36" s="217"/>
      <c r="H36" s="217"/>
      <c r="I36" s="217"/>
      <c r="J36" s="217"/>
      <c r="K36" s="217"/>
      <c r="L36" s="217"/>
      <c r="M36" s="217"/>
      <c r="N36" s="217"/>
      <c r="O36" s="217"/>
      <c r="P36" s="217"/>
      <c r="Q36" s="217"/>
      <c r="R36" s="217"/>
      <c r="S36" s="217"/>
      <c r="T36" s="217"/>
      <c r="U36" s="217"/>
      <c r="V36" s="217"/>
      <c r="W36" s="217"/>
      <c r="X36" s="217"/>
      <c r="Y36" s="217"/>
      <c r="Z36" s="217"/>
      <c r="AA36" s="217"/>
      <c r="AB36" s="217"/>
      <c r="AC36" s="217"/>
      <c r="AD36" s="217"/>
      <c r="AE36" s="217"/>
      <c r="AF36" s="217"/>
      <c r="AG36" s="217"/>
      <c r="AH36" s="217"/>
      <c r="AI36" s="217"/>
      <c r="AJ36" s="217"/>
      <c r="AK36" s="217"/>
      <c r="AL36" s="5"/>
    </row>
    <row r="37" spans="1:38" x14ac:dyDescent="0.2">
      <c r="C37" s="217"/>
      <c r="D37" s="217"/>
      <c r="E37" s="217"/>
      <c r="F37" s="217"/>
      <c r="G37" s="217"/>
      <c r="H37" s="217"/>
      <c r="I37" s="217"/>
      <c r="J37" s="217"/>
      <c r="K37" s="217"/>
      <c r="L37" s="217"/>
      <c r="M37" s="217"/>
      <c r="N37" s="217"/>
      <c r="O37" s="217"/>
      <c r="P37" s="217"/>
      <c r="Q37" s="217"/>
      <c r="R37" s="217"/>
      <c r="S37" s="217"/>
      <c r="T37" s="217"/>
      <c r="U37" s="217"/>
      <c r="V37" s="217"/>
      <c r="W37" s="217"/>
      <c r="X37" s="217"/>
      <c r="Y37" s="217"/>
      <c r="Z37" s="217"/>
      <c r="AA37" s="217"/>
      <c r="AB37" s="217"/>
      <c r="AC37" s="217"/>
      <c r="AD37" s="217"/>
      <c r="AE37" s="217"/>
      <c r="AF37" s="217"/>
      <c r="AG37" s="217"/>
      <c r="AH37" s="217"/>
      <c r="AI37" s="217"/>
      <c r="AJ37" s="217"/>
      <c r="AK37" s="217"/>
      <c r="AL37" s="5"/>
    </row>
    <row r="38" spans="1:38" ht="12.75" customHeight="1" x14ac:dyDescent="0.2">
      <c r="A38">
        <v>20</v>
      </c>
      <c r="B38" t="s">
        <v>395</v>
      </c>
      <c r="C38" s="217" t="s">
        <v>497</v>
      </c>
      <c r="D38" s="217"/>
      <c r="E38" s="217"/>
      <c r="F38" s="217"/>
      <c r="G38" s="217"/>
      <c r="H38" s="217"/>
      <c r="I38" s="217"/>
      <c r="J38" s="217"/>
      <c r="K38" s="217"/>
      <c r="L38" s="217"/>
      <c r="M38" s="217"/>
      <c r="N38" s="217"/>
      <c r="O38" s="217"/>
      <c r="P38" s="217"/>
      <c r="Q38" s="217"/>
      <c r="R38" s="217"/>
      <c r="S38" s="217"/>
      <c r="T38" s="217"/>
      <c r="U38" s="217"/>
      <c r="V38" s="217"/>
      <c r="W38" s="217"/>
      <c r="X38" s="217"/>
      <c r="Y38" s="217"/>
      <c r="Z38" s="217"/>
      <c r="AA38" s="217"/>
      <c r="AB38" s="217"/>
      <c r="AC38" s="217"/>
      <c r="AD38" s="217"/>
      <c r="AE38" s="217"/>
      <c r="AF38" s="217"/>
      <c r="AG38" s="217"/>
      <c r="AH38" s="217"/>
      <c r="AI38" s="217"/>
      <c r="AJ38" s="217"/>
      <c r="AK38" s="217"/>
      <c r="AL38" s="5"/>
    </row>
    <row r="39" spans="1:38" x14ac:dyDescent="0.2">
      <c r="C39" s="217"/>
      <c r="D39" s="217"/>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7"/>
      <c r="AI39" s="217"/>
      <c r="AJ39" s="217"/>
      <c r="AK39" s="217"/>
      <c r="AL39" s="5"/>
    </row>
    <row r="40" spans="1:38" x14ac:dyDescent="0.2">
      <c r="C40" s="217"/>
      <c r="D40" s="217"/>
      <c r="E40" s="217"/>
      <c r="F40" s="217"/>
      <c r="G40" s="217"/>
      <c r="H40" s="217"/>
      <c r="I40" s="217"/>
      <c r="J40" s="217"/>
      <c r="K40" s="217"/>
      <c r="L40" s="217"/>
      <c r="M40" s="217"/>
      <c r="N40" s="217"/>
      <c r="O40" s="217"/>
      <c r="P40" s="217"/>
      <c r="Q40" s="217"/>
      <c r="R40" s="217"/>
      <c r="S40" s="217"/>
      <c r="T40" s="217"/>
      <c r="U40" s="217"/>
      <c r="V40" s="217"/>
      <c r="W40" s="217"/>
      <c r="X40" s="217"/>
      <c r="Y40" s="217"/>
      <c r="Z40" s="217"/>
      <c r="AA40" s="217"/>
      <c r="AB40" s="217"/>
      <c r="AC40" s="217"/>
      <c r="AD40" s="217"/>
      <c r="AE40" s="217"/>
      <c r="AF40" s="217"/>
      <c r="AG40" s="217"/>
      <c r="AH40" s="217"/>
      <c r="AI40" s="217"/>
      <c r="AJ40" s="217"/>
      <c r="AK40" s="217"/>
      <c r="AL40" s="5"/>
    </row>
    <row r="41" spans="1:38" x14ac:dyDescent="0.2">
      <c r="C41" s="217"/>
      <c r="D41" s="217"/>
      <c r="E41" s="217"/>
      <c r="F41" s="217"/>
      <c r="G41" s="217"/>
      <c r="H41" s="217"/>
      <c r="I41" s="217"/>
      <c r="J41" s="217"/>
      <c r="K41" s="217"/>
      <c r="L41" s="217"/>
      <c r="M41" s="217"/>
      <c r="N41" s="217"/>
      <c r="O41" s="217"/>
      <c r="P41" s="217"/>
      <c r="Q41" s="217"/>
      <c r="R41" s="217"/>
      <c r="S41" s="217"/>
      <c r="T41" s="217"/>
      <c r="U41" s="217"/>
      <c r="V41" s="217"/>
      <c r="W41" s="217"/>
      <c r="X41" s="217"/>
      <c r="Y41" s="217"/>
      <c r="Z41" s="217"/>
      <c r="AA41" s="217"/>
      <c r="AB41" s="217"/>
      <c r="AC41" s="217"/>
      <c r="AD41" s="217"/>
      <c r="AE41" s="217"/>
      <c r="AF41" s="217"/>
      <c r="AG41" s="217"/>
      <c r="AH41" s="217"/>
      <c r="AI41" s="217"/>
      <c r="AJ41" s="217"/>
      <c r="AK41" s="217"/>
      <c r="AL41" s="5"/>
    </row>
    <row r="42" spans="1:38" x14ac:dyDescent="0.2">
      <c r="A42">
        <v>21</v>
      </c>
      <c r="B42" t="s">
        <v>395</v>
      </c>
      <c r="C42" t="s">
        <v>498</v>
      </c>
    </row>
    <row r="43" spans="1:38" x14ac:dyDescent="0.2">
      <c r="A43">
        <v>22</v>
      </c>
      <c r="B43" t="s">
        <v>395</v>
      </c>
      <c r="C43" t="s">
        <v>499</v>
      </c>
    </row>
    <row r="44" spans="1:38" x14ac:dyDescent="0.2">
      <c r="A44">
        <v>23</v>
      </c>
      <c r="B44" t="s">
        <v>395</v>
      </c>
      <c r="C44" s="217" t="s">
        <v>510</v>
      </c>
      <c r="D44" s="217"/>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7"/>
      <c r="AI44" s="217"/>
      <c r="AJ44" s="217"/>
      <c r="AK44" s="217"/>
    </row>
    <row r="45" spans="1:38" x14ac:dyDescent="0.2">
      <c r="C45" s="217"/>
      <c r="D45" s="217"/>
      <c r="E45" s="217"/>
      <c r="F45" s="217"/>
      <c r="G45" s="217"/>
      <c r="H45" s="217"/>
      <c r="I45" s="217"/>
      <c r="J45" s="217"/>
      <c r="K45" s="217"/>
      <c r="L45" s="217"/>
      <c r="M45" s="217"/>
      <c r="N45" s="217"/>
      <c r="O45" s="217"/>
      <c r="P45" s="217"/>
      <c r="Q45" s="217"/>
      <c r="R45" s="217"/>
      <c r="S45" s="217"/>
      <c r="T45" s="217"/>
      <c r="U45" s="217"/>
      <c r="V45" s="217"/>
      <c r="W45" s="217"/>
      <c r="X45" s="217"/>
      <c r="Y45" s="217"/>
      <c r="Z45" s="217"/>
      <c r="AA45" s="217"/>
      <c r="AB45" s="217"/>
      <c r="AC45" s="217"/>
      <c r="AD45" s="217"/>
      <c r="AE45" s="217"/>
      <c r="AF45" s="217"/>
      <c r="AG45" s="217"/>
      <c r="AH45" s="217"/>
      <c r="AI45" s="217"/>
      <c r="AJ45" s="217"/>
      <c r="AK45" s="217"/>
    </row>
    <row r="46" spans="1:38" x14ac:dyDescent="0.2">
      <c r="A46">
        <v>24</v>
      </c>
      <c r="B46" t="s">
        <v>395</v>
      </c>
      <c r="C46" t="s">
        <v>511</v>
      </c>
    </row>
    <row r="47" spans="1:38" ht="12.75" customHeight="1" x14ac:dyDescent="0.2">
      <c r="A47">
        <v>25</v>
      </c>
      <c r="B47" t="s">
        <v>395</v>
      </c>
      <c r="C47" s="217" t="s">
        <v>512</v>
      </c>
      <c r="D47" s="217"/>
      <c r="E47" s="217"/>
      <c r="F47" s="217"/>
      <c r="G47" s="217"/>
      <c r="H47" s="217"/>
      <c r="I47" s="217"/>
      <c r="J47" s="217"/>
      <c r="K47" s="217"/>
      <c r="L47" s="217"/>
      <c r="M47" s="217"/>
      <c r="N47" s="217"/>
      <c r="O47" s="217"/>
      <c r="P47" s="217"/>
      <c r="Q47" s="217"/>
      <c r="R47" s="217"/>
      <c r="S47" s="217"/>
      <c r="T47" s="217"/>
      <c r="U47" s="217"/>
      <c r="V47" s="217"/>
      <c r="W47" s="217"/>
      <c r="X47" s="217"/>
      <c r="Y47" s="217"/>
      <c r="Z47" s="217"/>
      <c r="AA47" s="217"/>
      <c r="AB47" s="217"/>
      <c r="AC47" s="217"/>
      <c r="AD47" s="217"/>
      <c r="AE47" s="217"/>
      <c r="AF47" s="217"/>
      <c r="AG47" s="217"/>
      <c r="AH47" s="217"/>
      <c r="AI47" s="217"/>
      <c r="AJ47" s="217"/>
      <c r="AK47" s="217"/>
      <c r="AL47" s="5"/>
    </row>
    <row r="48" spans="1:38" x14ac:dyDescent="0.2">
      <c r="C48" s="217"/>
      <c r="D48" s="217"/>
      <c r="E48" s="217"/>
      <c r="F48" s="217"/>
      <c r="G48" s="217"/>
      <c r="H48" s="217"/>
      <c r="I48" s="217"/>
      <c r="J48" s="217"/>
      <c r="K48" s="217"/>
      <c r="L48" s="217"/>
      <c r="M48" s="217"/>
      <c r="N48" s="217"/>
      <c r="O48" s="217"/>
      <c r="P48" s="217"/>
      <c r="Q48" s="217"/>
      <c r="R48" s="217"/>
      <c r="S48" s="217"/>
      <c r="T48" s="217"/>
      <c r="U48" s="217"/>
      <c r="V48" s="217"/>
      <c r="W48" s="217"/>
      <c r="X48" s="217"/>
      <c r="Y48" s="217"/>
      <c r="Z48" s="217"/>
      <c r="AA48" s="217"/>
      <c r="AB48" s="217"/>
      <c r="AC48" s="217"/>
      <c r="AD48" s="217"/>
      <c r="AE48" s="217"/>
      <c r="AF48" s="217"/>
      <c r="AG48" s="217"/>
      <c r="AH48" s="217"/>
      <c r="AI48" s="217"/>
      <c r="AJ48" s="217"/>
      <c r="AK48" s="217"/>
      <c r="AL48" s="5"/>
    </row>
    <row r="49" spans="1:38" x14ac:dyDescent="0.2">
      <c r="C49" s="217"/>
      <c r="D49" s="217"/>
      <c r="E49" s="217"/>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c r="AE49" s="217"/>
      <c r="AF49" s="217"/>
      <c r="AG49" s="217"/>
      <c r="AH49" s="217"/>
      <c r="AI49" s="217"/>
      <c r="AJ49" s="217"/>
      <c r="AK49" s="217"/>
      <c r="AL49" s="5"/>
    </row>
    <row r="50" spans="1:38" x14ac:dyDescent="0.2">
      <c r="C50" s="217"/>
      <c r="D50" s="217"/>
      <c r="E50" s="217"/>
      <c r="F50" s="217"/>
      <c r="G50" s="217"/>
      <c r="H50" s="217"/>
      <c r="I50" s="217"/>
      <c r="J50" s="217"/>
      <c r="K50" s="217"/>
      <c r="L50" s="217"/>
      <c r="M50" s="217"/>
      <c r="N50" s="217"/>
      <c r="O50" s="217"/>
      <c r="P50" s="217"/>
      <c r="Q50" s="217"/>
      <c r="R50" s="217"/>
      <c r="S50" s="217"/>
      <c r="T50" s="217"/>
      <c r="U50" s="217"/>
      <c r="V50" s="217"/>
      <c r="W50" s="217"/>
      <c r="X50" s="217"/>
      <c r="Y50" s="217"/>
      <c r="Z50" s="217"/>
      <c r="AA50" s="217"/>
      <c r="AB50" s="217"/>
      <c r="AC50" s="217"/>
      <c r="AD50" s="217"/>
      <c r="AE50" s="217"/>
      <c r="AF50" s="217"/>
      <c r="AG50" s="217"/>
      <c r="AH50" s="217"/>
      <c r="AI50" s="217"/>
      <c r="AJ50" s="217"/>
      <c r="AK50" s="217"/>
      <c r="AL50" s="5"/>
    </row>
    <row r="51" spans="1:38" x14ac:dyDescent="0.2">
      <c r="AG51" t="s">
        <v>3217</v>
      </c>
    </row>
    <row r="52" spans="1:38" x14ac:dyDescent="0.2">
      <c r="A52" t="s">
        <v>336</v>
      </c>
      <c r="E52" s="267" t="str">
        <f>_xlfn.CONCAT(Data!B2,", ",Data!B3," ",Data!B4)</f>
        <v xml:space="preserve">,  </v>
      </c>
      <c r="F52" s="267"/>
      <c r="G52" s="267"/>
      <c r="H52" s="267"/>
      <c r="I52" s="267"/>
      <c r="J52" s="267"/>
      <c r="K52" s="267"/>
      <c r="L52" s="267"/>
      <c r="M52" s="267"/>
      <c r="N52" s="267"/>
      <c r="O52" s="267"/>
      <c r="P52" s="267"/>
      <c r="Q52" s="267"/>
      <c r="R52" s="267"/>
      <c r="S52" s="267"/>
      <c r="T52" s="267"/>
      <c r="U52" s="267"/>
      <c r="V52" s="267"/>
      <c r="W52" s="267"/>
      <c r="Y52" t="s">
        <v>371</v>
      </c>
      <c r="AA52" s="269">
        <f>Data!B14</f>
        <v>0</v>
      </c>
      <c r="AB52" s="267"/>
      <c r="AC52" s="267"/>
      <c r="AD52" s="267"/>
      <c r="AE52" s="267"/>
      <c r="AF52" s="267"/>
      <c r="AG52" s="267"/>
      <c r="AH52" s="267"/>
    </row>
    <row r="54" spans="1:38" ht="12.75" customHeight="1" x14ac:dyDescent="0.2">
      <c r="A54">
        <v>26</v>
      </c>
      <c r="B54" t="s">
        <v>395</v>
      </c>
      <c r="C54" s="217" t="s">
        <v>513</v>
      </c>
      <c r="D54" s="217"/>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7"/>
      <c r="AI54" s="217"/>
      <c r="AJ54" s="217"/>
      <c r="AK54" s="5"/>
      <c r="AL54" s="5"/>
    </row>
    <row r="55" spans="1:38" x14ac:dyDescent="0.2">
      <c r="C55" s="217"/>
      <c r="D55" s="217"/>
      <c r="E55" s="217"/>
      <c r="F55" s="217"/>
      <c r="G55" s="217"/>
      <c r="H55" s="217"/>
      <c r="I55" s="217"/>
      <c r="J55" s="217"/>
      <c r="K55" s="217"/>
      <c r="L55" s="217"/>
      <c r="M55" s="217"/>
      <c r="N55" s="217"/>
      <c r="O55" s="217"/>
      <c r="P55" s="217"/>
      <c r="Q55" s="217"/>
      <c r="R55" s="217"/>
      <c r="S55" s="217"/>
      <c r="T55" s="217"/>
      <c r="U55" s="217"/>
      <c r="V55" s="217"/>
      <c r="W55" s="217"/>
      <c r="X55" s="217"/>
      <c r="Y55" s="217"/>
      <c r="Z55" s="217"/>
      <c r="AA55" s="217"/>
      <c r="AB55" s="217"/>
      <c r="AC55" s="217"/>
      <c r="AD55" s="217"/>
      <c r="AE55" s="217"/>
      <c r="AF55" s="217"/>
      <c r="AG55" s="217"/>
      <c r="AH55" s="217"/>
      <c r="AI55" s="217"/>
      <c r="AJ55" s="217"/>
      <c r="AK55" s="5"/>
      <c r="AL55" s="5"/>
    </row>
    <row r="57" spans="1:38" x14ac:dyDescent="0.2">
      <c r="A57" s="541" t="s">
        <v>514</v>
      </c>
      <c r="B57" s="541"/>
      <c r="C57" s="541"/>
      <c r="D57" s="541"/>
      <c r="E57" s="541"/>
      <c r="F57" s="541"/>
      <c r="G57" s="541"/>
      <c r="H57" s="541"/>
      <c r="I57" s="541"/>
      <c r="J57" s="541"/>
      <c r="K57" s="541"/>
      <c r="L57" s="541"/>
      <c r="M57" s="541"/>
      <c r="N57" s="541"/>
      <c r="O57" s="541"/>
      <c r="P57" s="541"/>
      <c r="Q57" s="541"/>
      <c r="R57" s="541"/>
      <c r="S57" s="541"/>
      <c r="T57" s="541"/>
      <c r="U57" s="541"/>
      <c r="V57" s="541"/>
      <c r="W57" s="541"/>
      <c r="X57" s="541"/>
      <c r="Y57" s="541"/>
      <c r="Z57" s="541"/>
      <c r="AA57" s="541"/>
      <c r="AB57" s="541"/>
      <c r="AC57" s="541"/>
      <c r="AD57" s="541"/>
      <c r="AE57" s="541"/>
      <c r="AF57" s="541"/>
      <c r="AG57" s="541"/>
      <c r="AH57" s="541"/>
      <c r="AI57" s="541"/>
      <c r="AJ57" s="541"/>
    </row>
    <row r="58" spans="1:38" x14ac:dyDescent="0.2">
      <c r="A58" s="541" t="s">
        <v>515</v>
      </c>
      <c r="B58" s="541"/>
      <c r="C58" s="541"/>
      <c r="D58" s="541"/>
      <c r="E58" s="541"/>
      <c r="F58" s="541"/>
      <c r="G58" s="541"/>
      <c r="H58" s="541"/>
      <c r="I58" s="541"/>
      <c r="J58" s="541"/>
      <c r="K58" s="541"/>
      <c r="L58" s="541"/>
      <c r="M58" s="541"/>
      <c r="N58" s="541"/>
      <c r="O58" s="541"/>
      <c r="P58" s="541"/>
      <c r="Q58" s="541"/>
      <c r="R58" s="541"/>
      <c r="S58" s="541"/>
      <c r="T58" s="541"/>
      <c r="U58" s="541"/>
      <c r="V58" s="541"/>
      <c r="W58" s="541"/>
      <c r="X58" s="541"/>
      <c r="Y58" s="541"/>
      <c r="Z58" s="541"/>
      <c r="AA58" s="541"/>
      <c r="AB58" s="541"/>
      <c r="AC58" s="541"/>
      <c r="AD58" s="541"/>
      <c r="AE58" s="541"/>
      <c r="AF58" s="541"/>
      <c r="AG58" s="541"/>
      <c r="AH58" s="541"/>
      <c r="AI58" s="541"/>
      <c r="AJ58" s="541"/>
    </row>
    <row r="59" spans="1:38" x14ac:dyDescent="0.2">
      <c r="A59" s="541" t="s">
        <v>516</v>
      </c>
      <c r="B59" s="541"/>
      <c r="C59" s="541"/>
      <c r="D59" s="541"/>
      <c r="E59" s="541"/>
      <c r="F59" s="541"/>
      <c r="G59" s="541"/>
      <c r="H59" s="541"/>
      <c r="I59" s="541"/>
      <c r="J59" s="541"/>
      <c r="K59" s="541"/>
      <c r="L59" s="541"/>
      <c r="M59" s="541"/>
      <c r="N59" s="541"/>
      <c r="O59" s="541"/>
      <c r="P59" s="541"/>
      <c r="Q59" s="541"/>
      <c r="R59" s="541"/>
      <c r="S59" s="541"/>
      <c r="T59" s="541"/>
      <c r="U59" s="541"/>
      <c r="V59" s="541"/>
      <c r="W59" s="541"/>
      <c r="X59" s="541"/>
      <c r="Y59" s="541"/>
      <c r="Z59" s="541"/>
      <c r="AA59" s="541"/>
      <c r="AB59" s="541"/>
      <c r="AC59" s="541"/>
      <c r="AD59" s="541"/>
      <c r="AE59" s="541"/>
      <c r="AF59" s="541"/>
      <c r="AG59" s="541"/>
      <c r="AH59" s="541"/>
      <c r="AI59" s="541"/>
      <c r="AJ59" s="541"/>
    </row>
    <row r="60" spans="1:38" x14ac:dyDescent="0.2">
      <c r="A60" s="541" t="s">
        <v>517</v>
      </c>
      <c r="B60" s="541"/>
      <c r="C60" s="541"/>
      <c r="D60" s="541"/>
      <c r="E60" s="541"/>
      <c r="F60" s="541"/>
      <c r="G60" s="541"/>
      <c r="H60" s="541"/>
      <c r="I60" s="541"/>
      <c r="J60" s="541"/>
      <c r="K60" s="541"/>
      <c r="L60" s="541"/>
      <c r="M60" s="541"/>
      <c r="N60" s="541"/>
      <c r="O60" s="541"/>
      <c r="P60" s="541"/>
      <c r="Q60" s="541"/>
      <c r="R60" s="541"/>
      <c r="S60" s="541"/>
      <c r="T60" s="541"/>
      <c r="U60" s="541"/>
      <c r="V60" s="541"/>
      <c r="W60" s="541"/>
      <c r="X60" s="541"/>
      <c r="Y60" s="541"/>
      <c r="Z60" s="541"/>
      <c r="AA60" s="541"/>
      <c r="AB60" s="541"/>
      <c r="AC60" s="541"/>
      <c r="AD60" s="541"/>
      <c r="AE60" s="541"/>
      <c r="AF60" s="541"/>
      <c r="AG60" s="541"/>
      <c r="AH60" s="541"/>
      <c r="AI60" s="541"/>
      <c r="AJ60" s="541"/>
    </row>
    <row r="61" spans="1:38" x14ac:dyDescent="0.2">
      <c r="A61" s="541" t="s">
        <v>518</v>
      </c>
      <c r="B61" s="541"/>
      <c r="C61" s="541"/>
      <c r="D61" s="541"/>
      <c r="E61" s="541"/>
      <c r="F61" s="541"/>
      <c r="G61" s="541"/>
      <c r="H61" s="541"/>
      <c r="I61" s="541"/>
      <c r="J61" s="541"/>
      <c r="K61" s="541"/>
      <c r="L61" s="541"/>
      <c r="M61" s="541"/>
      <c r="N61" s="541"/>
      <c r="O61" s="541"/>
      <c r="P61" s="541"/>
      <c r="Q61" s="541"/>
      <c r="R61" s="541"/>
      <c r="S61" s="541"/>
      <c r="T61" s="541"/>
      <c r="U61" s="541"/>
      <c r="V61" s="541"/>
      <c r="W61" s="541"/>
      <c r="X61" s="541"/>
      <c r="Y61" s="541"/>
      <c r="Z61" s="541"/>
      <c r="AA61" s="541"/>
      <c r="AB61" s="541"/>
      <c r="AC61" s="541"/>
      <c r="AD61" s="541"/>
      <c r="AE61" s="541"/>
      <c r="AF61" s="541"/>
      <c r="AG61" s="541"/>
      <c r="AH61" s="541"/>
      <c r="AI61" s="541"/>
      <c r="AJ61" s="541"/>
    </row>
    <row r="62" spans="1:38" x14ac:dyDescent="0.2">
      <c r="A62" s="541" t="s">
        <v>519</v>
      </c>
      <c r="B62" s="541"/>
      <c r="C62" s="541"/>
      <c r="D62" s="541"/>
      <c r="E62" s="541"/>
      <c r="F62" s="541"/>
      <c r="G62" s="541"/>
      <c r="H62" s="541"/>
      <c r="I62" s="541"/>
      <c r="J62" s="541"/>
      <c r="K62" s="541"/>
      <c r="L62" s="541"/>
      <c r="M62" s="541"/>
      <c r="N62" s="541"/>
      <c r="O62" s="541"/>
      <c r="P62" s="541"/>
      <c r="Q62" s="541"/>
      <c r="R62" s="541"/>
      <c r="S62" s="541"/>
      <c r="T62" s="541"/>
      <c r="U62" s="541"/>
      <c r="V62" s="541"/>
      <c r="W62" s="541"/>
      <c r="X62" s="541"/>
      <c r="Y62" s="541"/>
      <c r="Z62" s="541"/>
      <c r="AA62" s="541"/>
      <c r="AB62" s="541"/>
      <c r="AC62" s="541"/>
      <c r="AD62" s="541"/>
      <c r="AE62" s="541"/>
      <c r="AF62" s="541"/>
      <c r="AG62" s="541"/>
      <c r="AH62" s="541"/>
      <c r="AI62" s="541"/>
      <c r="AJ62" s="541"/>
    </row>
    <row r="63" spans="1:38" x14ac:dyDescent="0.2">
      <c r="A63" s="541" t="s">
        <v>520</v>
      </c>
      <c r="B63" s="541"/>
      <c r="C63" s="541"/>
      <c r="D63" s="541"/>
      <c r="E63" s="541"/>
      <c r="F63" s="541"/>
      <c r="G63" s="541"/>
      <c r="H63" s="541"/>
      <c r="I63" s="541"/>
      <c r="J63" s="541"/>
      <c r="K63" s="541"/>
      <c r="L63" s="541"/>
      <c r="M63" s="541"/>
      <c r="N63" s="541"/>
      <c r="O63" s="541"/>
      <c r="P63" s="541"/>
      <c r="Q63" s="541"/>
      <c r="R63" s="541"/>
      <c r="S63" s="541"/>
      <c r="T63" s="541"/>
      <c r="U63" s="541"/>
      <c r="V63" s="541"/>
      <c r="W63" s="541"/>
      <c r="X63" s="541"/>
      <c r="Y63" s="541"/>
      <c r="Z63" s="541"/>
      <c r="AA63" s="541"/>
      <c r="AB63" s="541"/>
      <c r="AC63" s="541"/>
      <c r="AD63" s="541"/>
      <c r="AE63" s="541"/>
      <c r="AF63" s="541"/>
      <c r="AG63" s="541"/>
      <c r="AH63" s="541"/>
      <c r="AI63" s="541"/>
      <c r="AJ63" s="541"/>
    </row>
    <row r="64" spans="1:38" x14ac:dyDescent="0.2">
      <c r="A64" s="541" t="s">
        <v>521</v>
      </c>
      <c r="B64" s="541"/>
      <c r="C64" s="541"/>
      <c r="D64" s="541"/>
      <c r="E64" s="541"/>
      <c r="F64" s="541"/>
      <c r="G64" s="541"/>
      <c r="H64" s="541"/>
      <c r="I64" s="541"/>
      <c r="J64" s="541"/>
      <c r="K64" s="541"/>
      <c r="L64" s="541"/>
      <c r="M64" s="541"/>
      <c r="N64" s="541"/>
      <c r="O64" s="541"/>
      <c r="P64" s="541"/>
      <c r="Q64" s="541"/>
      <c r="R64" s="541"/>
      <c r="S64" s="541"/>
      <c r="T64" s="541"/>
      <c r="U64" s="541"/>
      <c r="V64" s="541"/>
      <c r="W64" s="541"/>
      <c r="X64" s="541"/>
      <c r="Y64" s="541"/>
      <c r="Z64" s="541"/>
      <c r="AA64" s="541"/>
      <c r="AB64" s="541"/>
      <c r="AC64" s="541"/>
      <c r="AD64" s="541"/>
      <c r="AE64" s="541"/>
      <c r="AF64" s="541"/>
      <c r="AG64" s="541"/>
      <c r="AH64" s="541"/>
      <c r="AI64" s="541"/>
      <c r="AJ64" s="541"/>
    </row>
    <row r="67" spans="1:36" x14ac:dyDescent="0.2">
      <c r="A67" s="217" t="s">
        <v>522</v>
      </c>
      <c r="B67" s="217"/>
      <c r="C67" s="217"/>
      <c r="D67" s="217"/>
      <c r="E67" s="217"/>
      <c r="F67" s="217"/>
      <c r="G67" s="217"/>
      <c r="H67" s="217"/>
      <c r="I67" s="217"/>
      <c r="J67" s="217"/>
      <c r="K67" s="217"/>
      <c r="L67" s="217"/>
      <c r="M67" s="217"/>
      <c r="N67" s="217"/>
      <c r="O67" s="217"/>
      <c r="P67" s="217"/>
      <c r="Q67" s="217"/>
      <c r="R67" s="217"/>
      <c r="S67" s="217"/>
      <c r="T67" s="217"/>
      <c r="U67" s="217"/>
      <c r="V67" s="217"/>
      <c r="W67" s="217"/>
      <c r="X67" s="217"/>
      <c r="Y67" s="217"/>
      <c r="Z67" s="217"/>
      <c r="AA67" s="217"/>
      <c r="AB67" s="217"/>
      <c r="AC67" s="217"/>
      <c r="AD67" s="217"/>
      <c r="AE67" s="217"/>
      <c r="AF67" s="217"/>
      <c r="AG67" s="217"/>
      <c r="AH67" s="217"/>
      <c r="AI67" s="217"/>
      <c r="AJ67" s="217"/>
    </row>
    <row r="68" spans="1:36" x14ac:dyDescent="0.2">
      <c r="A68" s="217"/>
      <c r="B68" s="217"/>
      <c r="C68" s="217"/>
      <c r="D68" s="217"/>
      <c r="E68" s="217"/>
      <c r="F68" s="217"/>
      <c r="G68" s="217"/>
      <c r="H68" s="217"/>
      <c r="I68" s="217"/>
      <c r="J68" s="217"/>
      <c r="K68" s="217"/>
      <c r="L68" s="217"/>
      <c r="M68" s="217"/>
      <c r="N68" s="217"/>
      <c r="O68" s="217"/>
      <c r="P68" s="217"/>
      <c r="Q68" s="217"/>
      <c r="R68" s="217"/>
      <c r="S68" s="217"/>
      <c r="T68" s="217"/>
      <c r="U68" s="217"/>
      <c r="V68" s="217"/>
      <c r="W68" s="217"/>
      <c r="X68" s="217"/>
      <c r="Y68" s="217"/>
      <c r="Z68" s="217"/>
      <c r="AA68" s="217"/>
      <c r="AB68" s="217"/>
      <c r="AC68" s="217"/>
      <c r="AD68" s="217"/>
      <c r="AE68" s="217"/>
      <c r="AF68" s="217"/>
      <c r="AG68" s="217"/>
      <c r="AH68" s="217"/>
      <c r="AI68" s="217"/>
      <c r="AJ68" s="217"/>
    </row>
    <row r="88" spans="1:16" ht="3" customHeight="1" x14ac:dyDescent="0.2"/>
    <row r="95" spans="1:16" x14ac:dyDescent="0.2">
      <c r="A95" s="240"/>
      <c r="B95" s="240"/>
      <c r="C95" s="240"/>
      <c r="D95" s="240"/>
      <c r="E95" s="240"/>
      <c r="F95" s="240"/>
      <c r="G95" s="240"/>
      <c r="H95" s="240"/>
      <c r="I95" s="240"/>
      <c r="J95" s="240"/>
      <c r="K95" s="240"/>
      <c r="L95" s="240"/>
      <c r="M95" s="240"/>
      <c r="N95" s="240"/>
      <c r="O95" s="240"/>
      <c r="P95" s="240"/>
    </row>
    <row r="96" spans="1:16" x14ac:dyDescent="0.2">
      <c r="A96" s="240"/>
      <c r="B96" s="240"/>
      <c r="C96" s="240"/>
      <c r="D96" s="240"/>
      <c r="E96" s="240"/>
      <c r="F96" s="240"/>
      <c r="G96" s="240"/>
      <c r="H96" s="240"/>
      <c r="I96" s="240"/>
      <c r="J96" s="240"/>
      <c r="K96" s="240"/>
      <c r="L96" s="240"/>
      <c r="M96" s="240"/>
      <c r="N96" s="240"/>
      <c r="O96" s="240"/>
      <c r="P96" s="240"/>
    </row>
    <row r="97" spans="1:31" x14ac:dyDescent="0.2">
      <c r="A97" s="266"/>
      <c r="B97" s="266"/>
      <c r="C97" s="266"/>
      <c r="D97" s="266"/>
      <c r="E97" s="266"/>
      <c r="F97" s="266"/>
      <c r="G97" s="266"/>
      <c r="H97" s="266"/>
      <c r="I97" s="266"/>
      <c r="J97" s="266"/>
      <c r="K97" s="266"/>
      <c r="L97" s="266"/>
      <c r="M97" s="266"/>
      <c r="N97" s="266"/>
      <c r="O97" s="266"/>
      <c r="P97" s="266"/>
      <c r="R97" s="269">
        <f>Data!B34</f>
        <v>0</v>
      </c>
      <c r="S97" s="267"/>
      <c r="T97" s="267"/>
      <c r="U97" s="267"/>
      <c r="V97" s="267"/>
      <c r="W97" s="267"/>
      <c r="X97" s="267"/>
      <c r="Y97" s="267"/>
    </row>
    <row r="98" spans="1:31" x14ac:dyDescent="0.2">
      <c r="A98" t="s">
        <v>367</v>
      </c>
      <c r="R98" t="s">
        <v>368</v>
      </c>
    </row>
    <row r="99" spans="1:31" x14ac:dyDescent="0.2">
      <c r="A99" s="240"/>
      <c r="B99" s="240"/>
      <c r="C99" s="240"/>
      <c r="D99" s="240"/>
      <c r="E99" s="240"/>
      <c r="F99" s="240"/>
      <c r="G99" s="240"/>
      <c r="H99" s="240"/>
      <c r="I99" s="240"/>
      <c r="J99" s="240"/>
      <c r="K99" s="240"/>
      <c r="L99" s="240"/>
      <c r="M99" s="240"/>
      <c r="N99" s="240"/>
      <c r="O99" s="240"/>
      <c r="P99" s="240"/>
    </row>
    <row r="100" spans="1:31" x14ac:dyDescent="0.2">
      <c r="A100" s="240"/>
      <c r="B100" s="240"/>
      <c r="C100" s="240"/>
      <c r="D100" s="240"/>
      <c r="E100" s="240"/>
      <c r="F100" s="240"/>
      <c r="G100" s="240"/>
      <c r="H100" s="240"/>
      <c r="I100" s="240"/>
      <c r="J100" s="240"/>
      <c r="K100" s="240"/>
      <c r="L100" s="240"/>
      <c r="M100" s="240"/>
      <c r="N100" s="240"/>
      <c r="O100" s="240"/>
      <c r="P100" s="240"/>
    </row>
    <row r="101" spans="1:31" x14ac:dyDescent="0.2">
      <c r="A101" s="266"/>
      <c r="B101" s="266"/>
      <c r="C101" s="266"/>
      <c r="D101" s="266"/>
      <c r="E101" s="266"/>
      <c r="F101" s="266"/>
      <c r="G101" s="266"/>
      <c r="H101" s="266"/>
      <c r="I101" s="266"/>
      <c r="J101" s="266"/>
      <c r="K101" s="266"/>
      <c r="L101" s="266"/>
      <c r="M101" s="266"/>
      <c r="N101" s="266"/>
      <c r="O101" s="266"/>
      <c r="P101" s="266"/>
      <c r="R101" s="267">
        <f>Data!B175</f>
        <v>0</v>
      </c>
      <c r="S101" s="267"/>
      <c r="T101" s="267"/>
      <c r="U101" s="267"/>
      <c r="V101" s="267"/>
      <c r="W101" s="267"/>
      <c r="X101" s="267"/>
      <c r="Y101" s="267"/>
      <c r="Z101" s="267"/>
      <c r="AA101" s="267"/>
      <c r="AB101" s="267"/>
      <c r="AC101" s="267"/>
      <c r="AD101" s="267"/>
      <c r="AE101" s="267"/>
    </row>
    <row r="102" spans="1:31" x14ac:dyDescent="0.2">
      <c r="A102" t="s">
        <v>2881</v>
      </c>
      <c r="R102" t="s">
        <v>1465</v>
      </c>
    </row>
  </sheetData>
  <mergeCells count="31">
    <mergeCell ref="C35:AK37"/>
    <mergeCell ref="C38:AK41"/>
    <mergeCell ref="C44:AK45"/>
    <mergeCell ref="E52:W52"/>
    <mergeCell ref="AA52:AH52"/>
    <mergeCell ref="C47:AK50"/>
    <mergeCell ref="C54:AJ55"/>
    <mergeCell ref="A99:P101"/>
    <mergeCell ref="R101:AE101"/>
    <mergeCell ref="A61:AJ61"/>
    <mergeCell ref="A62:AJ62"/>
    <mergeCell ref="A63:AJ63"/>
    <mergeCell ref="A64:AJ64"/>
    <mergeCell ref="A67:AJ68"/>
    <mergeCell ref="A95:P97"/>
    <mergeCell ref="R97:Y97"/>
    <mergeCell ref="A58:AJ58"/>
    <mergeCell ref="A59:AJ59"/>
    <mergeCell ref="A60:AJ60"/>
    <mergeCell ref="A57:AJ57"/>
    <mergeCell ref="C24:AK25"/>
    <mergeCell ref="C32:AK33"/>
    <mergeCell ref="E2:W2"/>
    <mergeCell ref="AA2:AH2"/>
    <mergeCell ref="C17:AK18"/>
    <mergeCell ref="C19:AK20"/>
    <mergeCell ref="C5:AK6"/>
    <mergeCell ref="C7:AK8"/>
    <mergeCell ref="A3:AK3"/>
    <mergeCell ref="C29:AK30"/>
    <mergeCell ref="C22:AK23"/>
  </mergeCells>
  <pageMargins left="0.25" right="0.25" top="0.75" bottom="0.75" header="0.3" footer="0.3"/>
  <pageSetup orientation="portrait" r:id="rId1"/>
  <headerFooter>
    <oddHeader>&amp;L&amp;G&amp;RStatement of Client's Rights
2 Page Document</oddHeader>
    <oddFooter>&amp;LDS&amp;C3088 Mercer University Drive Suite 100 Atlanta, GA 30341
678-310-6305 Fax 404-935-6110&amp;RPP.M</oddFooter>
  </headerFooter>
  <rowBreaks count="1" manualBreakCount="1">
    <brk id="50" max="16383" man="1"/>
  </rowBreaks>
  <legacyDrawingHF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11">
    <tabColor theme="4" tint="-0.249977111117893"/>
  </sheetPr>
  <dimension ref="A2:AM51"/>
  <sheetViews>
    <sheetView showZeros="0" view="pageLayout" topLeftCell="A19" zoomScaleNormal="100" workbookViewId="0">
      <selection sqref="A1:AM51"/>
    </sheetView>
  </sheetViews>
  <sheetFormatPr defaultColWidth="2.7109375" defaultRowHeight="12.75" x14ac:dyDescent="0.2"/>
  <cols>
    <col min="1" max="1" width="3" customWidth="1"/>
  </cols>
  <sheetData>
    <row r="2" spans="1:39" x14ac:dyDescent="0.2">
      <c r="A2" t="s">
        <v>336</v>
      </c>
      <c r="E2" s="267" t="str">
        <f>_xlfn.CONCAT(Data!B2,", ",Data!B3," ",Data!B4)</f>
        <v xml:space="preserve">,  </v>
      </c>
      <c r="F2" s="267"/>
      <c r="G2" s="267"/>
      <c r="H2" s="267"/>
      <c r="I2" s="267"/>
      <c r="J2" s="267"/>
      <c r="K2" s="267"/>
      <c r="L2" s="267"/>
      <c r="M2" s="267"/>
      <c r="N2" s="267"/>
      <c r="O2" s="267"/>
      <c r="P2" s="267"/>
      <c r="Q2" s="267"/>
      <c r="R2" s="267"/>
      <c r="S2" s="267"/>
      <c r="T2" s="267"/>
      <c r="U2" s="267"/>
      <c r="V2" s="267"/>
      <c r="W2" s="267"/>
      <c r="Y2" t="s">
        <v>371</v>
      </c>
      <c r="AA2" s="269">
        <f>Data!B14</f>
        <v>0</v>
      </c>
      <c r="AB2" s="267"/>
      <c r="AC2" s="267"/>
      <c r="AD2" s="267"/>
      <c r="AE2" s="267"/>
      <c r="AF2" s="267"/>
      <c r="AG2" s="267"/>
      <c r="AH2" s="267"/>
    </row>
    <row r="4" spans="1:39" x14ac:dyDescent="0.2">
      <c r="A4" s="340" t="s">
        <v>457</v>
      </c>
      <c r="B4" s="340"/>
      <c r="C4" s="340"/>
      <c r="D4" s="340"/>
      <c r="E4" s="340"/>
      <c r="F4" s="340"/>
      <c r="G4" s="340"/>
      <c r="H4" s="340"/>
      <c r="I4" s="340"/>
      <c r="J4" s="340"/>
      <c r="K4" s="340"/>
      <c r="L4" s="340"/>
      <c r="M4" s="340"/>
      <c r="N4" s="340"/>
      <c r="O4" s="340"/>
      <c r="P4" s="340"/>
      <c r="Q4" s="340"/>
      <c r="R4" s="340"/>
      <c r="S4" s="340"/>
      <c r="T4" s="340"/>
      <c r="U4" s="340"/>
      <c r="V4" s="340"/>
      <c r="W4" s="340"/>
      <c r="X4" s="340"/>
      <c r="Y4" s="340"/>
      <c r="Z4" s="340"/>
      <c r="AA4" s="340"/>
      <c r="AB4" s="340"/>
      <c r="AC4" s="340"/>
      <c r="AD4" s="340"/>
      <c r="AE4" s="340"/>
      <c r="AF4" s="340"/>
      <c r="AG4" s="340"/>
      <c r="AH4" s="340"/>
      <c r="AI4" s="340"/>
      <c r="AJ4" s="340"/>
      <c r="AK4" s="340"/>
      <c r="AL4" s="340"/>
    </row>
    <row r="6" spans="1:39" x14ac:dyDescent="0.2">
      <c r="A6">
        <v>1</v>
      </c>
      <c r="B6" t="s">
        <v>395</v>
      </c>
      <c r="C6" t="s">
        <v>458</v>
      </c>
    </row>
    <row r="7" spans="1:39" ht="12.75" customHeight="1" x14ac:dyDescent="0.2">
      <c r="A7">
        <v>2</v>
      </c>
      <c r="B7" t="s">
        <v>395</v>
      </c>
      <c r="C7" s="217" t="s">
        <v>459</v>
      </c>
      <c r="D7" s="217"/>
      <c r="E7" s="217"/>
      <c r="F7" s="217"/>
      <c r="G7" s="217"/>
      <c r="H7" s="217"/>
      <c r="I7" s="217"/>
      <c r="J7" s="217"/>
      <c r="K7" s="217"/>
      <c r="L7" s="217"/>
      <c r="M7" s="217"/>
      <c r="N7" s="217"/>
      <c r="O7" s="217"/>
      <c r="P7" s="217"/>
      <c r="Q7" s="217"/>
      <c r="R7" s="217"/>
      <c r="S7" s="217"/>
      <c r="T7" s="217"/>
      <c r="U7" s="217"/>
      <c r="V7" s="217"/>
      <c r="W7" s="217"/>
      <c r="X7" s="217"/>
      <c r="Y7" s="217"/>
      <c r="Z7" s="217"/>
      <c r="AA7" s="217"/>
      <c r="AB7" s="217"/>
      <c r="AC7" s="217"/>
      <c r="AD7" s="217"/>
      <c r="AE7" s="217"/>
      <c r="AF7" s="217"/>
      <c r="AG7" s="217"/>
      <c r="AH7" s="217"/>
      <c r="AI7" s="217"/>
      <c r="AJ7" s="217"/>
      <c r="AK7" s="217"/>
      <c r="AL7" s="217"/>
      <c r="AM7" s="5"/>
    </row>
    <row r="8" spans="1:39" x14ac:dyDescent="0.2">
      <c r="C8" s="217"/>
      <c r="D8" s="217"/>
      <c r="E8" s="217"/>
      <c r="F8" s="217"/>
      <c r="G8" s="217"/>
      <c r="H8" s="217"/>
      <c r="I8" s="217"/>
      <c r="J8" s="217"/>
      <c r="K8" s="217"/>
      <c r="L8" s="217"/>
      <c r="M8" s="217"/>
      <c r="N8" s="217"/>
      <c r="O8" s="217"/>
      <c r="P8" s="217"/>
      <c r="Q8" s="217"/>
      <c r="R8" s="217"/>
      <c r="S8" s="217"/>
      <c r="T8" s="217"/>
      <c r="U8" s="217"/>
      <c r="V8" s="217"/>
      <c r="W8" s="217"/>
      <c r="X8" s="217"/>
      <c r="Y8" s="217"/>
      <c r="Z8" s="217"/>
      <c r="AA8" s="217"/>
      <c r="AB8" s="217"/>
      <c r="AC8" s="217"/>
      <c r="AD8" s="217"/>
      <c r="AE8" s="217"/>
      <c r="AF8" s="217"/>
      <c r="AG8" s="217"/>
      <c r="AH8" s="217"/>
      <c r="AI8" s="217"/>
      <c r="AJ8" s="217"/>
      <c r="AK8" s="217"/>
      <c r="AL8" s="217"/>
      <c r="AM8" s="5"/>
    </row>
    <row r="9" spans="1:39" ht="12.75" customHeight="1" x14ac:dyDescent="0.2">
      <c r="A9">
        <v>3</v>
      </c>
      <c r="B9" t="s">
        <v>395</v>
      </c>
      <c r="C9" s="217" t="s">
        <v>460</v>
      </c>
      <c r="D9" s="217"/>
      <c r="E9" s="217"/>
      <c r="F9" s="217"/>
      <c r="G9" s="217"/>
      <c r="H9" s="217"/>
      <c r="I9" s="217"/>
      <c r="J9" s="217"/>
      <c r="K9" s="217"/>
      <c r="L9" s="217"/>
      <c r="M9" s="217"/>
      <c r="N9" s="217"/>
      <c r="O9" s="217"/>
      <c r="P9" s="217"/>
      <c r="Q9" s="217"/>
      <c r="R9" s="217"/>
      <c r="S9" s="217"/>
      <c r="T9" s="217"/>
      <c r="U9" s="217"/>
      <c r="V9" s="217"/>
      <c r="W9" s="217"/>
      <c r="X9" s="217"/>
      <c r="Y9" s="217"/>
      <c r="Z9" s="217"/>
      <c r="AA9" s="217"/>
      <c r="AB9" s="217"/>
      <c r="AC9" s="217"/>
      <c r="AD9" s="217"/>
      <c r="AE9" s="217"/>
      <c r="AF9" s="217"/>
      <c r="AG9" s="217"/>
      <c r="AH9" s="217"/>
      <c r="AI9" s="217"/>
      <c r="AJ9" s="217"/>
      <c r="AK9" s="217"/>
      <c r="AL9" s="217"/>
      <c r="AM9" s="5"/>
    </row>
    <row r="10" spans="1:39" x14ac:dyDescent="0.2">
      <c r="C10" s="217"/>
      <c r="D10" s="217"/>
      <c r="E10" s="217"/>
      <c r="F10" s="217"/>
      <c r="G10" s="217"/>
      <c r="H10" s="217"/>
      <c r="I10" s="217"/>
      <c r="J10" s="217"/>
      <c r="K10" s="217"/>
      <c r="L10" s="217"/>
      <c r="M10" s="217"/>
      <c r="N10" s="217"/>
      <c r="O10" s="217"/>
      <c r="P10" s="217"/>
      <c r="Q10" s="217"/>
      <c r="R10" s="217"/>
      <c r="S10" s="217"/>
      <c r="T10" s="217"/>
      <c r="U10" s="217"/>
      <c r="V10" s="217"/>
      <c r="W10" s="217"/>
      <c r="X10" s="217"/>
      <c r="Y10" s="217"/>
      <c r="Z10" s="217"/>
      <c r="AA10" s="217"/>
      <c r="AB10" s="217"/>
      <c r="AC10" s="217"/>
      <c r="AD10" s="217"/>
      <c r="AE10" s="217"/>
      <c r="AF10" s="217"/>
      <c r="AG10" s="217"/>
      <c r="AH10" s="217"/>
      <c r="AI10" s="217"/>
      <c r="AJ10" s="217"/>
      <c r="AK10" s="217"/>
      <c r="AL10" s="217"/>
      <c r="AM10" s="5"/>
    </row>
    <row r="11" spans="1:39" x14ac:dyDescent="0.2">
      <c r="C11" s="217"/>
      <c r="D11" s="217"/>
      <c r="E11" s="217"/>
      <c r="F11" s="217"/>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c r="AE11" s="217"/>
      <c r="AF11" s="217"/>
      <c r="AG11" s="217"/>
      <c r="AH11" s="217"/>
      <c r="AI11" s="217"/>
      <c r="AJ11" s="217"/>
      <c r="AK11" s="217"/>
      <c r="AL11" s="217"/>
      <c r="AM11" s="5"/>
    </row>
    <row r="12" spans="1:39" ht="12.75" customHeight="1" x14ac:dyDescent="0.2">
      <c r="A12">
        <v>4</v>
      </c>
      <c r="B12" t="s">
        <v>395</v>
      </c>
      <c r="C12" s="217" t="s">
        <v>461</v>
      </c>
      <c r="D12" s="217"/>
      <c r="E12" s="217"/>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217"/>
      <c r="AM12" s="5"/>
    </row>
    <row r="13" spans="1:39" x14ac:dyDescent="0.2">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5"/>
    </row>
    <row r="14" spans="1:39" x14ac:dyDescent="0.2">
      <c r="C14" t="s">
        <v>462</v>
      </c>
      <c r="D14" s="217" t="s">
        <v>475</v>
      </c>
      <c r="E14" s="217"/>
      <c r="F14" s="217"/>
      <c r="G14" s="217"/>
      <c r="H14" s="217"/>
      <c r="I14" s="217"/>
      <c r="J14" s="217"/>
      <c r="K14" s="217"/>
      <c r="L14" s="217"/>
      <c r="M14" s="217"/>
      <c r="N14" s="217"/>
      <c r="O14" s="217"/>
      <c r="P14" s="217"/>
      <c r="Q14" s="217"/>
      <c r="R14" s="217"/>
      <c r="S14" s="217"/>
      <c r="T14" s="217"/>
      <c r="U14" s="217"/>
      <c r="V14" s="217"/>
      <c r="W14" s="217"/>
      <c r="X14" s="217"/>
      <c r="Y14" s="217"/>
      <c r="Z14" s="217"/>
      <c r="AA14" s="217"/>
      <c r="AB14" s="217"/>
      <c r="AC14" s="217"/>
      <c r="AD14" s="217"/>
      <c r="AE14" s="217"/>
      <c r="AF14" s="217"/>
      <c r="AG14" s="217"/>
      <c r="AH14" s="217"/>
      <c r="AI14" s="217"/>
      <c r="AJ14" s="217"/>
      <c r="AK14" s="217"/>
      <c r="AL14" s="217"/>
    </row>
    <row r="15" spans="1:39" x14ac:dyDescent="0.2">
      <c r="D15" s="217"/>
      <c r="E15" s="217"/>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c r="AE15" s="217"/>
      <c r="AF15" s="217"/>
      <c r="AG15" s="217"/>
      <c r="AH15" s="217"/>
      <c r="AI15" s="217"/>
      <c r="AJ15" s="217"/>
      <c r="AK15" s="217"/>
      <c r="AL15" s="217"/>
    </row>
    <row r="16" spans="1:39" x14ac:dyDescent="0.2">
      <c r="C16" t="s">
        <v>463</v>
      </c>
      <c r="D16" t="s">
        <v>464</v>
      </c>
    </row>
    <row r="17" spans="1:39" x14ac:dyDescent="0.2">
      <c r="C17" t="s">
        <v>465</v>
      </c>
      <c r="D17" t="s">
        <v>466</v>
      </c>
    </row>
    <row r="18" spans="1:39" x14ac:dyDescent="0.2">
      <c r="C18" t="s">
        <v>467</v>
      </c>
      <c r="D18" t="s">
        <v>468</v>
      </c>
    </row>
    <row r="19" spans="1:39" x14ac:dyDescent="0.2">
      <c r="C19" t="s">
        <v>469</v>
      </c>
      <c r="D19" t="s">
        <v>470</v>
      </c>
    </row>
    <row r="20" spans="1:39" x14ac:dyDescent="0.2">
      <c r="A20">
        <v>5</v>
      </c>
      <c r="B20" t="s">
        <v>395</v>
      </c>
      <c r="C20" t="s">
        <v>476</v>
      </c>
    </row>
    <row r="21" spans="1:39" x14ac:dyDescent="0.2">
      <c r="A21">
        <v>6</v>
      </c>
      <c r="B21" t="s">
        <v>395</v>
      </c>
      <c r="C21" t="s">
        <v>471</v>
      </c>
    </row>
    <row r="22" spans="1:39" x14ac:dyDescent="0.2">
      <c r="A22">
        <v>7</v>
      </c>
      <c r="B22" t="s">
        <v>395</v>
      </c>
      <c r="C22" t="s">
        <v>472</v>
      </c>
    </row>
    <row r="23" spans="1:39" x14ac:dyDescent="0.2">
      <c r="A23">
        <v>8</v>
      </c>
      <c r="B23" t="s">
        <v>395</v>
      </c>
      <c r="C23" s="217" t="s">
        <v>479</v>
      </c>
      <c r="D23" s="217"/>
      <c r="E23" s="217"/>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c r="AE23" s="217"/>
      <c r="AF23" s="217"/>
      <c r="AG23" s="217"/>
      <c r="AH23" s="217"/>
      <c r="AI23" s="217"/>
      <c r="AJ23" s="217"/>
      <c r="AK23" s="217"/>
      <c r="AL23" s="217"/>
    </row>
    <row r="24" spans="1:39" x14ac:dyDescent="0.2">
      <c r="C24" s="217"/>
      <c r="D24" s="217"/>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7"/>
      <c r="AI24" s="217"/>
      <c r="AJ24" s="217"/>
      <c r="AK24" s="217"/>
      <c r="AL24" s="217"/>
    </row>
    <row r="25" spans="1:39" x14ac:dyDescent="0.2">
      <c r="A25">
        <v>9</v>
      </c>
      <c r="B25" t="s">
        <v>395</v>
      </c>
      <c r="C25" s="217" t="s">
        <v>477</v>
      </c>
      <c r="D25" s="217"/>
      <c r="E25" s="217"/>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c r="AE25" s="217"/>
      <c r="AF25" s="217"/>
      <c r="AG25" s="217"/>
      <c r="AH25" s="217"/>
      <c r="AI25" s="217"/>
      <c r="AJ25" s="217"/>
      <c r="AK25" s="217"/>
      <c r="AL25" s="217"/>
    </row>
    <row r="26" spans="1:39" x14ac:dyDescent="0.2">
      <c r="C26" s="217"/>
      <c r="D26" s="217"/>
      <c r="E26" s="217"/>
      <c r="F26" s="217"/>
      <c r="G26" s="217"/>
      <c r="H26" s="217"/>
      <c r="I26" s="217"/>
      <c r="J26" s="217"/>
      <c r="K26" s="217"/>
      <c r="L26" s="217"/>
      <c r="M26" s="217"/>
      <c r="N26" s="217"/>
      <c r="O26" s="217"/>
      <c r="P26" s="217"/>
      <c r="Q26" s="217"/>
      <c r="R26" s="217"/>
      <c r="S26" s="217"/>
      <c r="T26" s="217"/>
      <c r="U26" s="217"/>
      <c r="V26" s="217"/>
      <c r="W26" s="217"/>
      <c r="X26" s="217"/>
      <c r="Y26" s="217"/>
      <c r="Z26" s="217"/>
      <c r="AA26" s="217"/>
      <c r="AB26" s="217"/>
      <c r="AC26" s="217"/>
      <c r="AD26" s="217"/>
      <c r="AE26" s="217"/>
      <c r="AF26" s="217"/>
      <c r="AG26" s="217"/>
      <c r="AH26" s="217"/>
      <c r="AI26" s="217"/>
      <c r="AJ26" s="217"/>
      <c r="AK26" s="217"/>
      <c r="AL26" s="217"/>
    </row>
    <row r="27" spans="1:39" x14ac:dyDescent="0.2">
      <c r="A27">
        <v>10</v>
      </c>
      <c r="B27" t="s">
        <v>395</v>
      </c>
      <c r="C27" t="s">
        <v>473</v>
      </c>
    </row>
    <row r="28" spans="1:39" x14ac:dyDescent="0.2">
      <c r="A28">
        <v>11</v>
      </c>
      <c r="B28" t="s">
        <v>395</v>
      </c>
      <c r="C28" t="s">
        <v>474</v>
      </c>
    </row>
    <row r="30" spans="1:39" ht="12.75" customHeight="1" x14ac:dyDescent="0.25">
      <c r="A30" s="542" t="s">
        <v>478</v>
      </c>
      <c r="B30" s="542"/>
      <c r="C30" s="542"/>
      <c r="D30" s="542"/>
      <c r="E30" s="542"/>
      <c r="F30" s="542"/>
      <c r="G30" s="542"/>
      <c r="H30" s="542"/>
      <c r="I30" s="542"/>
      <c r="J30" s="542"/>
      <c r="K30" s="542"/>
      <c r="L30" s="542"/>
      <c r="M30" s="542"/>
      <c r="N30" s="542"/>
      <c r="O30" s="542"/>
      <c r="P30" s="542"/>
      <c r="Q30" s="542"/>
      <c r="R30" s="542"/>
      <c r="S30" s="542"/>
      <c r="T30" s="542"/>
      <c r="U30" s="542"/>
      <c r="V30" s="542"/>
      <c r="W30" s="542"/>
      <c r="X30" s="542"/>
      <c r="Y30" s="542"/>
      <c r="Z30" s="542"/>
      <c r="AA30" s="542"/>
      <c r="AB30" s="542"/>
      <c r="AC30" s="542"/>
      <c r="AD30" s="542"/>
      <c r="AE30" s="542"/>
      <c r="AF30" s="542"/>
      <c r="AG30" s="542"/>
      <c r="AH30" s="542"/>
      <c r="AI30" s="542"/>
      <c r="AJ30" s="542"/>
      <c r="AK30" s="542"/>
      <c r="AL30" s="542"/>
      <c r="AM30" s="13"/>
    </row>
    <row r="31" spans="1:39" ht="12.75" customHeight="1" x14ac:dyDescent="0.25">
      <c r="A31" s="542"/>
      <c r="B31" s="542"/>
      <c r="C31" s="542"/>
      <c r="D31" s="542"/>
      <c r="E31" s="542"/>
      <c r="F31" s="542"/>
      <c r="G31" s="542"/>
      <c r="H31" s="542"/>
      <c r="I31" s="542"/>
      <c r="J31" s="542"/>
      <c r="K31" s="542"/>
      <c r="L31" s="542"/>
      <c r="M31" s="542"/>
      <c r="N31" s="542"/>
      <c r="O31" s="542"/>
      <c r="P31" s="542"/>
      <c r="Q31" s="542"/>
      <c r="R31" s="542"/>
      <c r="S31" s="542"/>
      <c r="T31" s="542"/>
      <c r="U31" s="542"/>
      <c r="V31" s="542"/>
      <c r="W31" s="542"/>
      <c r="X31" s="542"/>
      <c r="Y31" s="542"/>
      <c r="Z31" s="542"/>
      <c r="AA31" s="542"/>
      <c r="AB31" s="542"/>
      <c r="AC31" s="542"/>
      <c r="AD31" s="542"/>
      <c r="AE31" s="542"/>
      <c r="AF31" s="542"/>
      <c r="AG31" s="542"/>
      <c r="AH31" s="542"/>
      <c r="AI31" s="542"/>
      <c r="AJ31" s="542"/>
      <c r="AK31" s="542"/>
      <c r="AL31" s="542"/>
      <c r="AM31" s="13"/>
    </row>
    <row r="32" spans="1:39" ht="12.75" customHeight="1" x14ac:dyDescent="0.25">
      <c r="A32" s="542"/>
      <c r="B32" s="542"/>
      <c r="C32" s="542"/>
      <c r="D32" s="542"/>
      <c r="E32" s="542"/>
      <c r="F32" s="542"/>
      <c r="G32" s="542"/>
      <c r="H32" s="542"/>
      <c r="I32" s="542"/>
      <c r="J32" s="542"/>
      <c r="K32" s="542"/>
      <c r="L32" s="542"/>
      <c r="M32" s="542"/>
      <c r="N32" s="542"/>
      <c r="O32" s="542"/>
      <c r="P32" s="542"/>
      <c r="Q32" s="542"/>
      <c r="R32" s="542"/>
      <c r="S32" s="542"/>
      <c r="T32" s="542"/>
      <c r="U32" s="542"/>
      <c r="V32" s="542"/>
      <c r="W32" s="542"/>
      <c r="X32" s="542"/>
      <c r="Y32" s="542"/>
      <c r="Z32" s="542"/>
      <c r="AA32" s="542"/>
      <c r="AB32" s="542"/>
      <c r="AC32" s="542"/>
      <c r="AD32" s="542"/>
      <c r="AE32" s="542"/>
      <c r="AF32" s="542"/>
      <c r="AG32" s="542"/>
      <c r="AH32" s="542"/>
      <c r="AI32" s="542"/>
      <c r="AJ32" s="542"/>
      <c r="AK32" s="542"/>
      <c r="AL32" s="542"/>
      <c r="AM32" s="13"/>
    </row>
    <row r="34" spans="1:38" x14ac:dyDescent="0.2">
      <c r="A34" s="217" t="s">
        <v>3373</v>
      </c>
      <c r="B34" s="217"/>
      <c r="C34" s="217"/>
      <c r="D34" s="217"/>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7"/>
      <c r="AI34" s="217"/>
      <c r="AJ34" s="217"/>
      <c r="AK34" s="217"/>
      <c r="AL34" s="217"/>
    </row>
    <row r="35" spans="1:38" x14ac:dyDescent="0.2">
      <c r="A35" s="217"/>
      <c r="B35" s="217"/>
      <c r="C35" s="217"/>
      <c r="D35" s="217"/>
      <c r="E35" s="217"/>
      <c r="F35" s="217"/>
      <c r="G35" s="217"/>
      <c r="H35" s="217"/>
      <c r="I35" s="217"/>
      <c r="J35" s="217"/>
      <c r="K35" s="217"/>
      <c r="L35" s="217"/>
      <c r="M35" s="217"/>
      <c r="N35" s="217"/>
      <c r="O35" s="217"/>
      <c r="P35" s="217"/>
      <c r="Q35" s="217"/>
      <c r="R35" s="217"/>
      <c r="S35" s="217"/>
      <c r="T35" s="217"/>
      <c r="U35" s="217"/>
      <c r="V35" s="217"/>
      <c r="W35" s="217"/>
      <c r="X35" s="217"/>
      <c r="Y35" s="217"/>
      <c r="Z35" s="217"/>
      <c r="AA35" s="217"/>
      <c r="AB35" s="217"/>
      <c r="AC35" s="217"/>
      <c r="AD35" s="217"/>
      <c r="AE35" s="217"/>
      <c r="AF35" s="217"/>
      <c r="AG35" s="217"/>
      <c r="AH35" s="217"/>
      <c r="AI35" s="217"/>
      <c r="AJ35" s="217"/>
      <c r="AK35" s="217"/>
      <c r="AL35" s="217"/>
    </row>
    <row r="36" spans="1:38" x14ac:dyDescent="0.2">
      <c r="A36" s="217"/>
      <c r="B36" s="217"/>
      <c r="C36" s="217"/>
      <c r="D36" s="217"/>
      <c r="E36" s="217"/>
      <c r="F36" s="217"/>
      <c r="G36" s="217"/>
      <c r="H36" s="217"/>
      <c r="I36" s="217"/>
      <c r="J36" s="217"/>
      <c r="K36" s="217"/>
      <c r="L36" s="217"/>
      <c r="M36" s="217"/>
      <c r="N36" s="217"/>
      <c r="O36" s="217"/>
      <c r="P36" s="217"/>
      <c r="Q36" s="217"/>
      <c r="R36" s="217"/>
      <c r="S36" s="217"/>
      <c r="T36" s="217"/>
      <c r="U36" s="217"/>
      <c r="V36" s="217"/>
      <c r="W36" s="217"/>
      <c r="X36" s="217"/>
      <c r="Y36" s="217"/>
      <c r="Z36" s="217"/>
      <c r="AA36" s="217"/>
      <c r="AB36" s="217"/>
      <c r="AC36" s="217"/>
      <c r="AD36" s="217"/>
      <c r="AE36" s="217"/>
      <c r="AF36" s="217"/>
      <c r="AG36" s="217"/>
      <c r="AH36" s="217"/>
      <c r="AI36" s="217"/>
      <c r="AJ36" s="217"/>
      <c r="AK36" s="217"/>
      <c r="AL36" s="217"/>
    </row>
    <row r="37" spans="1:38" x14ac:dyDescent="0.2">
      <c r="A37" s="217"/>
      <c r="B37" s="217"/>
      <c r="C37" s="217"/>
      <c r="D37" s="217"/>
      <c r="E37" s="217"/>
      <c r="F37" s="217"/>
      <c r="G37" s="217"/>
      <c r="H37" s="217"/>
      <c r="I37" s="217"/>
      <c r="J37" s="217"/>
      <c r="K37" s="217"/>
      <c r="L37" s="217"/>
      <c r="M37" s="217"/>
      <c r="N37" s="217"/>
      <c r="O37" s="217"/>
      <c r="P37" s="217"/>
      <c r="Q37" s="217"/>
      <c r="R37" s="217"/>
      <c r="S37" s="217"/>
      <c r="T37" s="217"/>
      <c r="U37" s="217"/>
      <c r="V37" s="217"/>
      <c r="W37" s="217"/>
      <c r="X37" s="217"/>
      <c r="Y37" s="217"/>
      <c r="Z37" s="217"/>
      <c r="AA37" s="217"/>
      <c r="AB37" s="217"/>
      <c r="AC37" s="217"/>
      <c r="AD37" s="217"/>
      <c r="AE37" s="217"/>
      <c r="AF37" s="217"/>
      <c r="AG37" s="217"/>
      <c r="AH37" s="217"/>
      <c r="AI37" s="217"/>
      <c r="AJ37" s="217"/>
      <c r="AK37" s="217"/>
      <c r="AL37" s="217"/>
    </row>
    <row r="44" spans="1:38" x14ac:dyDescent="0.2">
      <c r="A44" s="240"/>
      <c r="B44" s="240"/>
      <c r="C44" s="240"/>
      <c r="D44" s="240"/>
      <c r="E44" s="240"/>
      <c r="F44" s="240"/>
      <c r="G44" s="240"/>
      <c r="H44" s="240"/>
      <c r="I44" s="240"/>
      <c r="J44" s="240"/>
      <c r="K44" s="240"/>
      <c r="L44" s="240"/>
      <c r="M44" s="240"/>
      <c r="N44" s="240"/>
      <c r="O44" s="240"/>
      <c r="P44" s="240"/>
    </row>
    <row r="45" spans="1:38" x14ac:dyDescent="0.2">
      <c r="A45" s="240"/>
      <c r="B45" s="240"/>
      <c r="C45" s="240"/>
      <c r="D45" s="240"/>
      <c r="E45" s="240"/>
      <c r="F45" s="240"/>
      <c r="G45" s="240"/>
      <c r="H45" s="240"/>
      <c r="I45" s="240"/>
      <c r="J45" s="240"/>
      <c r="K45" s="240"/>
      <c r="L45" s="240"/>
      <c r="M45" s="240"/>
      <c r="N45" s="240"/>
      <c r="O45" s="240"/>
      <c r="P45" s="240"/>
    </row>
    <row r="46" spans="1:38" x14ac:dyDescent="0.2">
      <c r="A46" s="266"/>
      <c r="B46" s="266"/>
      <c r="C46" s="266"/>
      <c r="D46" s="266"/>
      <c r="E46" s="266"/>
      <c r="F46" s="266"/>
      <c r="G46" s="266"/>
      <c r="H46" s="266"/>
      <c r="I46" s="266"/>
      <c r="J46" s="266"/>
      <c r="K46" s="266"/>
      <c r="L46" s="266"/>
      <c r="M46" s="266"/>
      <c r="N46" s="266"/>
      <c r="O46" s="266"/>
      <c r="P46" s="266"/>
      <c r="R46" s="269">
        <f>Data!B34</f>
        <v>0</v>
      </c>
      <c r="S46" s="267"/>
      <c r="T46" s="267"/>
      <c r="U46" s="267"/>
      <c r="V46" s="267"/>
      <c r="W46" s="267"/>
      <c r="X46" s="267"/>
      <c r="Y46" s="267"/>
    </row>
    <row r="47" spans="1:38" x14ac:dyDescent="0.2">
      <c r="A47" t="s">
        <v>367</v>
      </c>
      <c r="R47" t="s">
        <v>368</v>
      </c>
    </row>
    <row r="48" spans="1:38" x14ac:dyDescent="0.2">
      <c r="A48" s="240"/>
      <c r="B48" s="240"/>
      <c r="C48" s="240"/>
      <c r="D48" s="240"/>
      <c r="E48" s="240"/>
      <c r="F48" s="240"/>
      <c r="G48" s="240"/>
      <c r="H48" s="240"/>
      <c r="I48" s="240"/>
      <c r="J48" s="240"/>
      <c r="K48" s="240"/>
      <c r="L48" s="240"/>
      <c r="M48" s="240"/>
      <c r="N48" s="240"/>
      <c r="O48" s="240"/>
      <c r="P48" s="240"/>
    </row>
    <row r="49" spans="1:31" x14ac:dyDescent="0.2">
      <c r="A49" s="240"/>
      <c r="B49" s="240"/>
      <c r="C49" s="240"/>
      <c r="D49" s="240"/>
      <c r="E49" s="240"/>
      <c r="F49" s="240"/>
      <c r="G49" s="240"/>
      <c r="H49" s="240"/>
      <c r="I49" s="240"/>
      <c r="J49" s="240"/>
      <c r="K49" s="240"/>
      <c r="L49" s="240"/>
      <c r="M49" s="240"/>
      <c r="N49" s="240"/>
      <c r="O49" s="240"/>
      <c r="P49" s="240"/>
    </row>
    <row r="50" spans="1:31" x14ac:dyDescent="0.2">
      <c r="A50" s="266"/>
      <c r="B50" s="266"/>
      <c r="C50" s="266"/>
      <c r="D50" s="266"/>
      <c r="E50" s="266"/>
      <c r="F50" s="266"/>
      <c r="G50" s="266"/>
      <c r="H50" s="266"/>
      <c r="I50" s="266"/>
      <c r="J50" s="266"/>
      <c r="K50" s="266"/>
      <c r="L50" s="266"/>
      <c r="M50" s="266"/>
      <c r="N50" s="266"/>
      <c r="O50" s="266"/>
      <c r="P50" s="266"/>
      <c r="R50" s="267">
        <f>Data!B175</f>
        <v>0</v>
      </c>
      <c r="S50" s="267"/>
      <c r="T50" s="267"/>
      <c r="U50" s="267"/>
      <c r="V50" s="267"/>
      <c r="W50" s="267"/>
      <c r="X50" s="267"/>
      <c r="Y50" s="267"/>
      <c r="Z50" s="267"/>
      <c r="AA50" s="267"/>
      <c r="AB50" s="267"/>
      <c r="AC50" s="267"/>
      <c r="AD50" s="267"/>
      <c r="AE50" s="267"/>
    </row>
    <row r="51" spans="1:31" x14ac:dyDescent="0.2">
      <c r="A51" t="s">
        <v>2881</v>
      </c>
      <c r="R51" t="s">
        <v>1465</v>
      </c>
    </row>
  </sheetData>
  <mergeCells count="15">
    <mergeCell ref="A48:P50"/>
    <mergeCell ref="R50:AE50"/>
    <mergeCell ref="A30:AL32"/>
    <mergeCell ref="C23:AL24"/>
    <mergeCell ref="D14:AL15"/>
    <mergeCell ref="C25:AL26"/>
    <mergeCell ref="A34:AL37"/>
    <mergeCell ref="A44:P46"/>
    <mergeCell ref="R46:Y46"/>
    <mergeCell ref="C12:AL13"/>
    <mergeCell ref="E2:W2"/>
    <mergeCell ref="AA2:AH2"/>
    <mergeCell ref="A4:AL4"/>
    <mergeCell ref="C9:AL11"/>
    <mergeCell ref="C7:AL8"/>
  </mergeCells>
  <pageMargins left="0.25" right="0.25" top="0.75" bottom="0.75" header="0.3" footer="0.3"/>
  <pageSetup orientation="portrait" r:id="rId1"/>
  <headerFooter>
    <oddHeader>&amp;L&amp;G&amp;RStatement of Client's Responsibilities</oddHeader>
    <oddFooter>&amp;LDS&amp;C3088 Mercer University Drive Suite 100 Atlanta, GA 30341
678-310-6305 Fax 404-935-6110&amp;RPP.M</oddFooter>
  </headerFooter>
  <legacyDrawingHF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13">
    <tabColor theme="4" tint="-0.249977111117893"/>
  </sheetPr>
  <dimension ref="A1:AL99"/>
  <sheetViews>
    <sheetView showZeros="0" view="pageLayout" topLeftCell="A76" zoomScaleNormal="100" workbookViewId="0">
      <selection activeCell="Z2" sqref="Z2:AG2"/>
    </sheetView>
  </sheetViews>
  <sheetFormatPr defaultColWidth="2.7109375" defaultRowHeight="12.75" x14ac:dyDescent="0.2"/>
  <sheetData>
    <row r="1" spans="1:38" x14ac:dyDescent="0.2">
      <c r="AF1" t="s">
        <v>3216</v>
      </c>
    </row>
    <row r="2" spans="1:38" x14ac:dyDescent="0.2">
      <c r="A2" t="s">
        <v>342</v>
      </c>
      <c r="D2" s="267" t="str">
        <f>_xlfn.CONCAT(Data!B2,", ",Data!B3," ",Data!B4)</f>
        <v xml:space="preserve">,  </v>
      </c>
      <c r="E2" s="267"/>
      <c r="F2" s="267"/>
      <c r="G2" s="267"/>
      <c r="H2" s="267"/>
      <c r="I2" s="267"/>
      <c r="J2" s="267"/>
      <c r="K2" s="267"/>
      <c r="L2" s="267"/>
      <c r="M2" s="267"/>
      <c r="N2" s="267"/>
      <c r="O2" s="267"/>
      <c r="P2" s="267"/>
      <c r="Q2" s="267"/>
      <c r="R2" s="267"/>
      <c r="S2" s="267"/>
      <c r="T2" s="267"/>
      <c r="U2" s="267"/>
      <c r="V2" s="267"/>
      <c r="X2" t="s">
        <v>371</v>
      </c>
      <c r="Z2" s="269">
        <f>Data!B14</f>
        <v>0</v>
      </c>
      <c r="AA2" s="267"/>
      <c r="AB2" s="267"/>
      <c r="AC2" s="267"/>
      <c r="AD2" s="267"/>
      <c r="AE2" s="267"/>
      <c r="AF2" s="267"/>
      <c r="AG2" s="267"/>
    </row>
    <row r="4" spans="1:38" ht="12.75" customHeight="1" x14ac:dyDescent="0.2">
      <c r="A4" s="260" t="s">
        <v>523</v>
      </c>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c r="AE4" s="260"/>
      <c r="AF4" s="260"/>
      <c r="AG4" s="260"/>
      <c r="AH4" s="260"/>
      <c r="AI4" s="260"/>
      <c r="AJ4" s="260"/>
      <c r="AK4" s="260"/>
      <c r="AL4" s="14"/>
    </row>
    <row r="5" spans="1:38" x14ac:dyDescent="0.2">
      <c r="A5" s="260"/>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c r="AE5" s="260"/>
      <c r="AF5" s="260"/>
      <c r="AG5" s="260"/>
      <c r="AH5" s="260"/>
      <c r="AI5" s="260"/>
      <c r="AJ5" s="260"/>
      <c r="AK5" s="260"/>
      <c r="AL5" s="14"/>
    </row>
    <row r="6" spans="1:38" x14ac:dyDescent="0.2">
      <c r="A6" s="260"/>
      <c r="B6" s="260"/>
      <c r="C6" s="260"/>
      <c r="D6" s="260"/>
      <c r="E6" s="260"/>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c r="AE6" s="260"/>
      <c r="AF6" s="260"/>
      <c r="AG6" s="260"/>
      <c r="AH6" s="260"/>
      <c r="AI6" s="260"/>
      <c r="AJ6" s="260"/>
      <c r="AK6" s="260"/>
      <c r="AL6" s="14"/>
    </row>
    <row r="7" spans="1:38" x14ac:dyDescent="0.2">
      <c r="A7" s="260"/>
      <c r="B7" s="260"/>
      <c r="C7" s="260"/>
      <c r="D7" s="260"/>
      <c r="E7" s="260"/>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c r="AE7" s="260"/>
      <c r="AF7" s="260"/>
      <c r="AG7" s="260"/>
      <c r="AH7" s="260"/>
      <c r="AI7" s="260"/>
      <c r="AJ7" s="260"/>
      <c r="AK7" s="260"/>
      <c r="AL7" s="14"/>
    </row>
    <row r="8" spans="1:38" ht="14.25" x14ac:dyDescent="0.2">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row>
    <row r="9" spans="1:38" ht="14.25" customHeight="1" x14ac:dyDescent="0.2">
      <c r="A9" s="12">
        <v>1</v>
      </c>
      <c r="B9" s="12" t="s">
        <v>395</v>
      </c>
      <c r="C9" s="260" t="s">
        <v>524</v>
      </c>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60"/>
    </row>
    <row r="10" spans="1:38" ht="14.25" x14ac:dyDescent="0.2">
      <c r="A10" s="12"/>
      <c r="B10" s="12"/>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c r="AE10" s="260"/>
      <c r="AF10" s="260"/>
      <c r="AG10" s="260"/>
      <c r="AH10" s="260"/>
      <c r="AI10" s="260"/>
      <c r="AJ10" s="260"/>
      <c r="AK10" s="260"/>
      <c r="AL10" s="260"/>
    </row>
    <row r="11" spans="1:38" ht="14.25" x14ac:dyDescent="0.2">
      <c r="A11" s="12"/>
      <c r="B11" s="12"/>
      <c r="C11" s="260"/>
      <c r="D11" s="260"/>
      <c r="E11" s="260"/>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c r="AE11" s="260"/>
      <c r="AF11" s="260"/>
      <c r="AG11" s="260"/>
      <c r="AH11" s="260"/>
      <c r="AI11" s="260"/>
      <c r="AJ11" s="260"/>
      <c r="AK11" s="260"/>
      <c r="AL11" s="260"/>
    </row>
    <row r="12" spans="1:38" ht="14.25" x14ac:dyDescent="0.2">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row>
    <row r="13" spans="1:38" ht="14.25" customHeight="1" x14ac:dyDescent="0.2">
      <c r="A13" s="12">
        <v>2</v>
      </c>
      <c r="B13" s="12" t="s">
        <v>395</v>
      </c>
      <c r="C13" s="260" t="s">
        <v>525</v>
      </c>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c r="AE13" s="260"/>
      <c r="AF13" s="260"/>
      <c r="AG13" s="260"/>
      <c r="AH13" s="260"/>
      <c r="AI13" s="260"/>
      <c r="AJ13" s="260"/>
      <c r="AK13" s="260"/>
      <c r="AL13" s="260"/>
    </row>
    <row r="14" spans="1:38" ht="14.25" x14ac:dyDescent="0.2">
      <c r="A14" s="12"/>
      <c r="B14" s="12"/>
      <c r="C14" s="260"/>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c r="AE14" s="260"/>
      <c r="AF14" s="260"/>
      <c r="AG14" s="260"/>
      <c r="AH14" s="260"/>
      <c r="AI14" s="260"/>
      <c r="AJ14" s="260"/>
      <c r="AK14" s="260"/>
      <c r="AL14" s="260"/>
    </row>
    <row r="15" spans="1:38" ht="14.25" x14ac:dyDescent="0.2">
      <c r="A15" s="12"/>
      <c r="B15" s="12"/>
      <c r="C15" s="260"/>
      <c r="D15" s="260"/>
      <c r="E15" s="260"/>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c r="AE15" s="260"/>
      <c r="AF15" s="260"/>
      <c r="AG15" s="260"/>
      <c r="AH15" s="260"/>
      <c r="AI15" s="260"/>
      <c r="AJ15" s="260"/>
      <c r="AK15" s="260"/>
      <c r="AL15" s="260"/>
    </row>
    <row r="16" spans="1:38" ht="14.25" x14ac:dyDescent="0.2">
      <c r="A16" s="12"/>
      <c r="B16" s="12"/>
      <c r="C16" s="260"/>
      <c r="D16" s="260"/>
      <c r="E16" s="260"/>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c r="AE16" s="260"/>
      <c r="AF16" s="260"/>
      <c r="AG16" s="260"/>
      <c r="AH16" s="260"/>
      <c r="AI16" s="260"/>
      <c r="AJ16" s="260"/>
      <c r="AK16" s="260"/>
      <c r="AL16" s="260"/>
    </row>
    <row r="17" spans="1:38" ht="14.25" x14ac:dyDescent="0.2">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row>
    <row r="18" spans="1:38" ht="14.25" customHeight="1" x14ac:dyDescent="0.2">
      <c r="A18" s="12">
        <v>3</v>
      </c>
      <c r="B18" s="12" t="s">
        <v>395</v>
      </c>
      <c r="C18" s="260" t="s">
        <v>526</v>
      </c>
      <c r="D18" s="260"/>
      <c r="E18" s="260"/>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c r="AE18" s="260"/>
      <c r="AF18" s="260"/>
      <c r="AG18" s="260"/>
      <c r="AH18" s="260"/>
      <c r="AI18" s="260"/>
      <c r="AJ18" s="260"/>
      <c r="AK18" s="260"/>
      <c r="AL18" s="260"/>
    </row>
    <row r="19" spans="1:38" ht="14.25" x14ac:dyDescent="0.2">
      <c r="A19" s="12"/>
      <c r="B19" s="12"/>
      <c r="C19" s="260"/>
      <c r="D19" s="260"/>
      <c r="E19" s="260"/>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c r="AE19" s="260"/>
      <c r="AF19" s="260"/>
      <c r="AG19" s="260"/>
      <c r="AH19" s="260"/>
      <c r="AI19" s="260"/>
      <c r="AJ19" s="260"/>
      <c r="AK19" s="260"/>
      <c r="AL19" s="260"/>
    </row>
    <row r="20" spans="1:38" ht="14.25" x14ac:dyDescent="0.2">
      <c r="A20" s="12"/>
      <c r="B20" s="12"/>
      <c r="C20" s="260"/>
      <c r="D20" s="260"/>
      <c r="E20" s="260"/>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c r="AE20" s="260"/>
      <c r="AF20" s="260"/>
      <c r="AG20" s="260"/>
      <c r="AH20" s="260"/>
      <c r="AI20" s="260"/>
      <c r="AJ20" s="260"/>
      <c r="AK20" s="260"/>
      <c r="AL20" s="260"/>
    </row>
    <row r="21" spans="1:38" ht="14.25" x14ac:dyDescent="0.2">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row>
    <row r="22" spans="1:38" ht="14.25" x14ac:dyDescent="0.2">
      <c r="A22" s="12">
        <v>4</v>
      </c>
      <c r="B22" s="12" t="s">
        <v>395</v>
      </c>
      <c r="C22" s="260" t="s">
        <v>527</v>
      </c>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c r="AE22" s="260"/>
      <c r="AF22" s="260"/>
      <c r="AG22" s="260"/>
      <c r="AH22" s="260"/>
      <c r="AI22" s="260"/>
      <c r="AJ22" s="260"/>
      <c r="AK22" s="260"/>
      <c r="AL22" s="260"/>
    </row>
    <row r="23" spans="1:38" ht="14.25" x14ac:dyDescent="0.2">
      <c r="A23" s="12"/>
      <c r="B23" s="12"/>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c r="AE23" s="260"/>
      <c r="AF23" s="260"/>
      <c r="AG23" s="260"/>
      <c r="AH23" s="260"/>
      <c r="AI23" s="260"/>
      <c r="AJ23" s="260"/>
      <c r="AK23" s="260"/>
      <c r="AL23" s="260"/>
    </row>
    <row r="24" spans="1:38" ht="14.25" x14ac:dyDescent="0.2">
      <c r="A24" s="12"/>
      <c r="B24" s="12"/>
      <c r="C24" s="260"/>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c r="AE24" s="260"/>
      <c r="AF24" s="260"/>
      <c r="AG24" s="260"/>
      <c r="AH24" s="260"/>
      <c r="AI24" s="260"/>
      <c r="AJ24" s="260"/>
      <c r="AK24" s="260"/>
      <c r="AL24" s="260"/>
    </row>
    <row r="25" spans="1:38" ht="14.25" x14ac:dyDescent="0.2">
      <c r="A25" s="12"/>
      <c r="B25" s="12"/>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c r="AE25" s="260"/>
      <c r="AF25" s="260"/>
      <c r="AG25" s="260"/>
      <c r="AH25" s="260"/>
      <c r="AI25" s="260"/>
      <c r="AJ25" s="260"/>
      <c r="AK25" s="260"/>
      <c r="AL25" s="260"/>
    </row>
    <row r="26" spans="1:38" ht="14.25" x14ac:dyDescent="0.2">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row>
    <row r="27" spans="1:38" ht="14.25" x14ac:dyDescent="0.2">
      <c r="A27" s="12">
        <v>5</v>
      </c>
      <c r="B27" s="12" t="s">
        <v>395</v>
      </c>
      <c r="C27" s="260" t="s">
        <v>528</v>
      </c>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row>
    <row r="28" spans="1:38" ht="14.25" x14ac:dyDescent="0.2">
      <c r="A28" s="12"/>
      <c r="B28" s="12"/>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c r="AE28" s="260"/>
      <c r="AF28" s="260"/>
      <c r="AG28" s="260"/>
      <c r="AH28" s="260"/>
      <c r="AI28" s="260"/>
      <c r="AJ28" s="260"/>
      <c r="AK28" s="260"/>
      <c r="AL28" s="260"/>
    </row>
    <row r="29" spans="1:38" ht="14.25" x14ac:dyDescent="0.2">
      <c r="A29" s="12"/>
      <c r="B29" s="12"/>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c r="AE29" s="260"/>
      <c r="AF29" s="260"/>
      <c r="AG29" s="260"/>
      <c r="AH29" s="260"/>
      <c r="AI29" s="260"/>
      <c r="AJ29" s="260"/>
      <c r="AK29" s="260"/>
      <c r="AL29" s="260"/>
    </row>
    <row r="30" spans="1:38" ht="14.25" x14ac:dyDescent="0.2">
      <c r="A30" s="12"/>
      <c r="B30" s="12"/>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c r="AE30" s="260"/>
      <c r="AF30" s="260"/>
      <c r="AG30" s="260"/>
      <c r="AH30" s="260"/>
      <c r="AI30" s="260"/>
      <c r="AJ30" s="260"/>
      <c r="AK30" s="260"/>
      <c r="AL30" s="260"/>
    </row>
    <row r="31" spans="1:38" ht="14.25" x14ac:dyDescent="0.2">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row>
    <row r="32" spans="1:38" ht="14.25" x14ac:dyDescent="0.2">
      <c r="A32" s="12">
        <v>6</v>
      </c>
      <c r="B32" s="12" t="s">
        <v>395</v>
      </c>
      <c r="C32" s="260" t="s">
        <v>529</v>
      </c>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c r="AE32" s="260"/>
      <c r="AF32" s="260"/>
      <c r="AG32" s="260"/>
      <c r="AH32" s="260"/>
      <c r="AI32" s="260"/>
      <c r="AJ32" s="260"/>
      <c r="AK32" s="260"/>
      <c r="AL32" s="260"/>
    </row>
    <row r="33" spans="1:38" ht="14.25" x14ac:dyDescent="0.2">
      <c r="A33" s="12"/>
      <c r="B33" s="12"/>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c r="AE33" s="260"/>
      <c r="AF33" s="260"/>
      <c r="AG33" s="260"/>
      <c r="AH33" s="260"/>
      <c r="AI33" s="260"/>
      <c r="AJ33" s="260"/>
      <c r="AK33" s="260"/>
      <c r="AL33" s="260"/>
    </row>
    <row r="34" spans="1:38" ht="14.25" x14ac:dyDescent="0.2">
      <c r="A34" s="12"/>
      <c r="B34" s="12"/>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c r="AE34" s="260"/>
      <c r="AF34" s="260"/>
      <c r="AG34" s="260"/>
      <c r="AH34" s="260"/>
      <c r="AI34" s="260"/>
      <c r="AJ34" s="260"/>
      <c r="AK34" s="260"/>
      <c r="AL34" s="260"/>
    </row>
    <row r="35" spans="1:38" ht="14.25" x14ac:dyDescent="0.2">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row>
    <row r="36" spans="1:38" ht="14.25" x14ac:dyDescent="0.2">
      <c r="A36" s="12">
        <v>7</v>
      </c>
      <c r="B36" s="12" t="s">
        <v>395</v>
      </c>
      <c r="C36" s="260" t="s">
        <v>530</v>
      </c>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c r="AE36" s="260"/>
      <c r="AF36" s="260"/>
      <c r="AG36" s="260"/>
      <c r="AH36" s="260"/>
      <c r="AI36" s="260"/>
      <c r="AJ36" s="260"/>
      <c r="AK36" s="260"/>
      <c r="AL36" s="260"/>
    </row>
    <row r="37" spans="1:38" ht="14.25" x14ac:dyDescent="0.2">
      <c r="A37" s="12"/>
      <c r="B37" s="12"/>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c r="AI37" s="260"/>
      <c r="AJ37" s="260"/>
      <c r="AK37" s="260"/>
      <c r="AL37" s="260"/>
    </row>
    <row r="38" spans="1:38" ht="14.25" x14ac:dyDescent="0.2">
      <c r="A38" s="12"/>
      <c r="B38" s="12"/>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0"/>
      <c r="AF38" s="260"/>
      <c r="AG38" s="260"/>
      <c r="AH38" s="260"/>
      <c r="AI38" s="260"/>
      <c r="AJ38" s="260"/>
      <c r="AK38" s="260"/>
      <c r="AL38" s="260"/>
    </row>
    <row r="39" spans="1:38" ht="14.25" x14ac:dyDescent="0.2">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row>
    <row r="40" spans="1:38" ht="14.25" x14ac:dyDescent="0.2">
      <c r="A40" s="12">
        <v>8</v>
      </c>
      <c r="B40" s="12" t="s">
        <v>395</v>
      </c>
      <c r="C40" s="260" t="s">
        <v>531</v>
      </c>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c r="AE40" s="260"/>
      <c r="AF40" s="260"/>
      <c r="AG40" s="260"/>
      <c r="AH40" s="260"/>
      <c r="AI40" s="260"/>
      <c r="AJ40" s="260"/>
      <c r="AK40" s="260"/>
      <c r="AL40" s="260"/>
    </row>
    <row r="41" spans="1:38" ht="14.25" x14ac:dyDescent="0.2">
      <c r="A41" s="12"/>
      <c r="B41" s="12"/>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c r="AE41" s="260"/>
      <c r="AF41" s="260"/>
      <c r="AG41" s="260"/>
      <c r="AH41" s="260"/>
      <c r="AI41" s="260"/>
      <c r="AJ41" s="260"/>
      <c r="AK41" s="260"/>
      <c r="AL41" s="260"/>
    </row>
    <row r="43" spans="1:38" x14ac:dyDescent="0.2">
      <c r="A43" s="294" t="s">
        <v>335</v>
      </c>
      <c r="B43" s="294"/>
      <c r="C43" s="294"/>
      <c r="D43" s="294"/>
      <c r="E43" s="294"/>
      <c r="F43" s="294"/>
      <c r="G43" s="294"/>
      <c r="H43" s="294"/>
      <c r="I43" s="294"/>
      <c r="J43" s="294"/>
      <c r="K43" s="294"/>
      <c r="L43" s="294"/>
      <c r="M43" s="294"/>
      <c r="N43" s="294"/>
      <c r="O43" s="294"/>
      <c r="P43" s="294"/>
      <c r="Q43" s="294"/>
      <c r="R43" s="294"/>
      <c r="S43" s="294"/>
      <c r="T43" s="294"/>
      <c r="U43" s="294"/>
      <c r="V43" s="294"/>
      <c r="W43" s="294"/>
      <c r="X43" s="294"/>
      <c r="Y43" s="294"/>
      <c r="Z43" s="294"/>
      <c r="AA43" s="294"/>
      <c r="AB43" s="294"/>
      <c r="AC43" s="294"/>
      <c r="AD43" s="294"/>
      <c r="AE43" s="294"/>
      <c r="AF43" s="294"/>
      <c r="AG43" s="294"/>
      <c r="AH43" s="294"/>
      <c r="AI43" s="294"/>
      <c r="AJ43" s="294"/>
      <c r="AK43" s="294"/>
      <c r="AL43" s="103"/>
    </row>
    <row r="44" spans="1:38" ht="12.75" customHeight="1" x14ac:dyDescent="0.2">
      <c r="A44" s="217" t="s">
        <v>532</v>
      </c>
      <c r="B44" s="217"/>
      <c r="C44" s="217"/>
      <c r="D44" s="217"/>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7"/>
      <c r="AI44" s="217"/>
      <c r="AJ44" s="217"/>
      <c r="AK44" s="217"/>
      <c r="AL44" s="217"/>
    </row>
    <row r="45" spans="1:38" x14ac:dyDescent="0.2">
      <c r="A45" s="217"/>
      <c r="B45" s="217"/>
      <c r="C45" s="217"/>
      <c r="D45" s="217"/>
      <c r="E45" s="217"/>
      <c r="F45" s="217"/>
      <c r="G45" s="217"/>
      <c r="H45" s="217"/>
      <c r="I45" s="217"/>
      <c r="J45" s="217"/>
      <c r="K45" s="217"/>
      <c r="L45" s="217"/>
      <c r="M45" s="217"/>
      <c r="N45" s="217"/>
      <c r="O45" s="217"/>
      <c r="P45" s="217"/>
      <c r="Q45" s="217"/>
      <c r="R45" s="217"/>
      <c r="S45" s="217"/>
      <c r="T45" s="217"/>
      <c r="U45" s="217"/>
      <c r="V45" s="217"/>
      <c r="W45" s="217"/>
      <c r="X45" s="217"/>
      <c r="Y45" s="217"/>
      <c r="Z45" s="217"/>
      <c r="AA45" s="217"/>
      <c r="AB45" s="217"/>
      <c r="AC45" s="217"/>
      <c r="AD45" s="217"/>
      <c r="AE45" s="217"/>
      <c r="AF45" s="217"/>
      <c r="AG45" s="217"/>
      <c r="AH45" s="217"/>
      <c r="AI45" s="217"/>
      <c r="AJ45" s="217"/>
      <c r="AK45" s="217"/>
      <c r="AL45" s="217"/>
    </row>
    <row r="47" spans="1:38" x14ac:dyDescent="0.2">
      <c r="A47" t="s">
        <v>533</v>
      </c>
    </row>
    <row r="49" spans="1:38" x14ac:dyDescent="0.2">
      <c r="AF49" t="s">
        <v>3217</v>
      </c>
    </row>
    <row r="50" spans="1:38" x14ac:dyDescent="0.2">
      <c r="A50" t="s">
        <v>336</v>
      </c>
      <c r="E50" s="276" t="str">
        <f>_xlfn.CONCAT(Data!B2,", ",Data!B3," ",Data!B4)</f>
        <v xml:space="preserve">,  </v>
      </c>
      <c r="F50" s="276"/>
      <c r="G50" s="276"/>
      <c r="H50" s="276"/>
      <c r="I50" s="276"/>
      <c r="J50" s="276"/>
      <c r="K50" s="276"/>
      <c r="L50" s="276"/>
      <c r="M50" s="276"/>
      <c r="N50" s="276"/>
      <c r="O50" s="276"/>
      <c r="P50" s="276"/>
      <c r="Q50" s="276"/>
      <c r="R50" s="276"/>
      <c r="S50" s="276"/>
      <c r="T50" s="276"/>
      <c r="U50" s="276"/>
      <c r="V50" s="276"/>
      <c r="W50" s="276"/>
      <c r="X50" s="276"/>
      <c r="Z50" t="s">
        <v>337</v>
      </c>
      <c r="AD50" s="269">
        <f>Data!B14</f>
        <v>0</v>
      </c>
      <c r="AE50" s="267"/>
      <c r="AF50" s="267"/>
      <c r="AG50" s="267"/>
      <c r="AH50" s="267"/>
      <c r="AI50" s="267"/>
      <c r="AJ50" s="267"/>
      <c r="AK50" s="267"/>
    </row>
    <row r="52" spans="1:38" x14ac:dyDescent="0.2">
      <c r="A52" s="294" t="s">
        <v>534</v>
      </c>
      <c r="B52" s="294"/>
      <c r="C52" s="294"/>
      <c r="D52" s="294"/>
      <c r="E52" s="294"/>
      <c r="F52" s="294"/>
      <c r="G52" s="294"/>
      <c r="H52" s="294"/>
      <c r="I52" s="294"/>
      <c r="J52" s="294"/>
      <c r="K52" s="294"/>
      <c r="L52" s="294"/>
      <c r="M52" s="294"/>
      <c r="N52" s="294"/>
      <c r="O52" s="294"/>
      <c r="P52" s="294"/>
      <c r="Q52" s="294"/>
      <c r="R52" s="294"/>
      <c r="S52" s="294"/>
      <c r="T52" s="294"/>
      <c r="U52" s="294"/>
      <c r="V52" s="294"/>
      <c r="W52" s="294"/>
      <c r="X52" s="294"/>
      <c r="Y52" s="294"/>
      <c r="Z52" s="294"/>
      <c r="AA52" s="294"/>
      <c r="AB52" s="294"/>
      <c r="AC52" s="294"/>
      <c r="AD52" s="294"/>
      <c r="AE52" s="294"/>
      <c r="AF52" s="294"/>
      <c r="AG52" s="294"/>
      <c r="AH52" s="294"/>
      <c r="AI52" s="294"/>
      <c r="AJ52" s="294"/>
      <c r="AK52" s="294"/>
      <c r="AL52" s="103"/>
    </row>
    <row r="53" spans="1:38" x14ac:dyDescent="0.2">
      <c r="A53" s="217" t="s">
        <v>535</v>
      </c>
      <c r="B53" s="217"/>
      <c r="C53" s="217"/>
      <c r="D53" s="217"/>
      <c r="E53" s="217"/>
      <c r="F53" s="217"/>
      <c r="G53" s="217"/>
      <c r="H53" s="217"/>
      <c r="I53" s="217"/>
      <c r="J53" s="217"/>
      <c r="K53" s="217"/>
      <c r="L53" s="217"/>
      <c r="M53" s="217"/>
      <c r="N53" s="217"/>
      <c r="O53" s="217"/>
      <c r="P53" s="217"/>
      <c r="Q53" s="217"/>
      <c r="R53" s="217"/>
      <c r="S53" s="217"/>
      <c r="T53" s="217"/>
      <c r="U53" s="217"/>
      <c r="V53" s="217"/>
      <c r="W53" s="217"/>
      <c r="X53" s="217"/>
      <c r="Y53" s="217"/>
      <c r="Z53" s="217"/>
      <c r="AA53" s="217"/>
      <c r="AB53" s="217"/>
      <c r="AC53" s="217"/>
      <c r="AD53" s="217"/>
      <c r="AE53" s="217"/>
      <c r="AF53" s="217"/>
      <c r="AG53" s="217"/>
      <c r="AH53" s="217"/>
      <c r="AI53" s="217"/>
      <c r="AJ53" s="217"/>
      <c r="AK53" s="217"/>
      <c r="AL53" s="217"/>
    </row>
    <row r="54" spans="1:38" x14ac:dyDescent="0.2">
      <c r="A54" s="217"/>
      <c r="B54" s="217"/>
      <c r="C54" s="217"/>
      <c r="D54" s="217"/>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7"/>
      <c r="AI54" s="217"/>
      <c r="AJ54" s="217"/>
      <c r="AK54" s="217"/>
      <c r="AL54" s="217"/>
    </row>
    <row r="55" spans="1:38" x14ac:dyDescent="0.2">
      <c r="A55" s="217"/>
      <c r="B55" s="217"/>
      <c r="C55" s="217"/>
      <c r="D55" s="217"/>
      <c r="E55" s="217"/>
      <c r="F55" s="217"/>
      <c r="G55" s="217"/>
      <c r="H55" s="217"/>
      <c r="I55" s="217"/>
      <c r="J55" s="217"/>
      <c r="K55" s="217"/>
      <c r="L55" s="217"/>
      <c r="M55" s="217"/>
      <c r="N55" s="217"/>
      <c r="O55" s="217"/>
      <c r="P55" s="217"/>
      <c r="Q55" s="217"/>
      <c r="R55" s="217"/>
      <c r="S55" s="217"/>
      <c r="T55" s="217"/>
      <c r="U55" s="217"/>
      <c r="V55" s="217"/>
      <c r="W55" s="217"/>
      <c r="X55" s="217"/>
      <c r="Y55" s="217"/>
      <c r="Z55" s="217"/>
      <c r="AA55" s="217"/>
      <c r="AB55" s="217"/>
      <c r="AC55" s="217"/>
      <c r="AD55" s="217"/>
      <c r="AE55" s="217"/>
      <c r="AF55" s="217"/>
      <c r="AG55" s="217"/>
      <c r="AH55" s="217"/>
      <c r="AI55" s="217"/>
      <c r="AJ55" s="217"/>
      <c r="AK55" s="217"/>
      <c r="AL55" s="217"/>
    </row>
    <row r="57" spans="1:38" x14ac:dyDescent="0.2">
      <c r="A57" t="s">
        <v>536</v>
      </c>
      <c r="G57" t="s">
        <v>537</v>
      </c>
      <c r="L57" t="s">
        <v>538</v>
      </c>
      <c r="P57" t="s">
        <v>539</v>
      </c>
      <c r="U57" t="s">
        <v>540</v>
      </c>
      <c r="AA57" t="s">
        <v>541</v>
      </c>
      <c r="AG57" t="s">
        <v>542</v>
      </c>
    </row>
    <row r="59" spans="1:38" x14ac:dyDescent="0.2">
      <c r="A59" s="294" t="s">
        <v>543</v>
      </c>
      <c r="B59" s="294"/>
      <c r="C59" s="294"/>
      <c r="D59" s="294"/>
      <c r="E59" s="294"/>
      <c r="F59" s="294"/>
      <c r="G59" s="294"/>
      <c r="H59" s="294"/>
      <c r="I59" s="294"/>
      <c r="J59" s="294"/>
      <c r="K59" s="294"/>
      <c r="L59" s="294"/>
      <c r="M59" s="294"/>
      <c r="N59" s="294"/>
      <c r="O59" s="294"/>
      <c r="P59" s="294"/>
      <c r="Q59" s="294"/>
      <c r="R59" s="294"/>
      <c r="S59" s="294"/>
      <c r="T59" s="294"/>
      <c r="U59" s="294"/>
      <c r="V59" s="294"/>
      <c r="W59" s="294"/>
      <c r="X59" s="294"/>
      <c r="Y59" s="294"/>
      <c r="Z59" s="294"/>
      <c r="AA59" s="294"/>
      <c r="AB59" s="294"/>
      <c r="AC59" s="294"/>
      <c r="AD59" s="294"/>
      <c r="AE59" s="294"/>
      <c r="AF59" s="294"/>
      <c r="AG59" s="294"/>
      <c r="AH59" s="294"/>
      <c r="AI59" s="294"/>
      <c r="AJ59" s="294"/>
      <c r="AK59" s="294"/>
      <c r="AL59" s="103"/>
    </row>
    <row r="60" spans="1:38" ht="12.75" customHeight="1" x14ac:dyDescent="0.2">
      <c r="A60" s="217" t="s">
        <v>544</v>
      </c>
      <c r="B60" s="217"/>
      <c r="C60" s="217"/>
      <c r="D60" s="217"/>
      <c r="E60" s="217"/>
      <c r="F60" s="217"/>
      <c r="G60" s="217"/>
      <c r="H60" s="217"/>
      <c r="I60" s="217"/>
      <c r="J60" s="217"/>
      <c r="K60" s="217"/>
      <c r="L60" s="217"/>
      <c r="M60" s="217"/>
      <c r="N60" s="217"/>
      <c r="O60" s="217"/>
      <c r="P60" s="217"/>
      <c r="Q60" s="217"/>
      <c r="R60" s="217"/>
      <c r="S60" s="217"/>
      <c r="T60" s="217"/>
      <c r="U60" s="217"/>
      <c r="V60" s="217"/>
      <c r="W60" s="217"/>
      <c r="X60" s="217"/>
      <c r="Y60" s="217"/>
      <c r="Z60" s="217"/>
      <c r="AA60" s="217"/>
      <c r="AB60" s="217"/>
      <c r="AC60" s="217"/>
      <c r="AD60" s="217"/>
      <c r="AE60" s="217"/>
      <c r="AF60" s="217"/>
      <c r="AG60" s="217"/>
      <c r="AH60" s="217"/>
      <c r="AI60" s="217"/>
      <c r="AJ60" s="217"/>
      <c r="AK60" s="217"/>
      <c r="AL60" s="217"/>
    </row>
    <row r="61" spans="1:38" x14ac:dyDescent="0.2">
      <c r="A61" s="217"/>
      <c r="B61" s="217"/>
      <c r="C61" s="217"/>
      <c r="D61" s="217"/>
      <c r="E61" s="217"/>
      <c r="F61" s="217"/>
      <c r="G61" s="217"/>
      <c r="H61" s="217"/>
      <c r="I61" s="217"/>
      <c r="J61" s="217"/>
      <c r="K61" s="217"/>
      <c r="L61" s="217"/>
      <c r="M61" s="217"/>
      <c r="N61" s="217"/>
      <c r="O61" s="217"/>
      <c r="P61" s="217"/>
      <c r="Q61" s="217"/>
      <c r="R61" s="217"/>
      <c r="S61" s="217"/>
      <c r="T61" s="217"/>
      <c r="U61" s="217"/>
      <c r="V61" s="217"/>
      <c r="W61" s="217"/>
      <c r="X61" s="217"/>
      <c r="Y61" s="217"/>
      <c r="Z61" s="217"/>
      <c r="AA61" s="217"/>
      <c r="AB61" s="217"/>
      <c r="AC61" s="217"/>
      <c r="AD61" s="217"/>
      <c r="AE61" s="217"/>
      <c r="AF61" s="217"/>
      <c r="AG61" s="217"/>
      <c r="AH61" s="217"/>
      <c r="AI61" s="217"/>
      <c r="AJ61" s="217"/>
      <c r="AK61" s="217"/>
      <c r="AL61" s="217"/>
    </row>
    <row r="62" spans="1:38" x14ac:dyDescent="0.2">
      <c r="A62" s="217"/>
      <c r="B62" s="217"/>
      <c r="C62" s="217"/>
      <c r="D62" s="217"/>
      <c r="E62" s="217"/>
      <c r="F62" s="217"/>
      <c r="G62" s="217"/>
      <c r="H62" s="217"/>
      <c r="I62" s="217"/>
      <c r="J62" s="217"/>
      <c r="K62" s="217"/>
      <c r="L62" s="217"/>
      <c r="M62" s="217"/>
      <c r="N62" s="217"/>
      <c r="O62" s="217"/>
      <c r="P62" s="217"/>
      <c r="Q62" s="217"/>
      <c r="R62" s="217"/>
      <c r="S62" s="217"/>
      <c r="T62" s="217"/>
      <c r="U62" s="217"/>
      <c r="V62" s="217"/>
      <c r="W62" s="217"/>
      <c r="X62" s="217"/>
      <c r="Y62" s="217"/>
      <c r="Z62" s="217"/>
      <c r="AA62" s="217"/>
      <c r="AB62" s="217"/>
      <c r="AC62" s="217"/>
      <c r="AD62" s="217"/>
      <c r="AE62" s="217"/>
      <c r="AF62" s="217"/>
      <c r="AG62" s="217"/>
      <c r="AH62" s="217"/>
      <c r="AI62" s="217"/>
      <c r="AJ62" s="217"/>
      <c r="AK62" s="217"/>
      <c r="AL62" s="217"/>
    </row>
    <row r="63" spans="1:38" x14ac:dyDescent="0.2">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row>
    <row r="64" spans="1:38" x14ac:dyDescent="0.2">
      <c r="A64" s="294" t="s">
        <v>545</v>
      </c>
      <c r="B64" s="294"/>
      <c r="C64" s="294"/>
      <c r="D64" s="294"/>
      <c r="E64" s="294"/>
      <c r="F64" s="294"/>
      <c r="G64" s="294"/>
      <c r="H64" s="294"/>
      <c r="I64" s="294"/>
      <c r="J64" s="294"/>
      <c r="K64" s="294"/>
      <c r="L64" s="294"/>
      <c r="M64" s="294"/>
      <c r="N64" s="294"/>
      <c r="O64" s="294"/>
      <c r="T64" s="294" t="s">
        <v>546</v>
      </c>
      <c r="U64" s="294"/>
      <c r="V64" s="294"/>
      <c r="W64" s="294"/>
      <c r="X64" s="294"/>
      <c r="Y64" s="294"/>
      <c r="Z64" s="294"/>
      <c r="AA64" s="294"/>
      <c r="AB64" s="294"/>
      <c r="AC64" s="294"/>
      <c r="AD64" s="294"/>
      <c r="AE64" s="294"/>
      <c r="AF64" s="294"/>
      <c r="AG64" s="294"/>
      <c r="AH64" s="294"/>
      <c r="AI64" s="294"/>
      <c r="AJ64" s="294"/>
      <c r="AK64" s="294"/>
    </row>
    <row r="65" spans="1:38" x14ac:dyDescent="0.2">
      <c r="A65" t="s">
        <v>547</v>
      </c>
      <c r="T65" t="s">
        <v>548</v>
      </c>
    </row>
    <row r="66" spans="1:38" x14ac:dyDescent="0.2">
      <c r="A66" t="s">
        <v>549</v>
      </c>
      <c r="T66" t="s">
        <v>550</v>
      </c>
    </row>
    <row r="67" spans="1:38" x14ac:dyDescent="0.2">
      <c r="A67" t="s">
        <v>551</v>
      </c>
      <c r="T67" t="s">
        <v>552</v>
      </c>
    </row>
    <row r="68" spans="1:38" x14ac:dyDescent="0.2">
      <c r="A68" t="s">
        <v>553</v>
      </c>
      <c r="T68" t="s">
        <v>554</v>
      </c>
    </row>
    <row r="69" spans="1:38" x14ac:dyDescent="0.2">
      <c r="A69" t="s">
        <v>555</v>
      </c>
      <c r="T69" t="s">
        <v>556</v>
      </c>
    </row>
    <row r="70" spans="1:38" x14ac:dyDescent="0.2">
      <c r="A70" t="s">
        <v>557</v>
      </c>
      <c r="T70" t="s">
        <v>558</v>
      </c>
    </row>
    <row r="71" spans="1:38" x14ac:dyDescent="0.2">
      <c r="A71" t="s">
        <v>559</v>
      </c>
      <c r="T71" t="s">
        <v>560</v>
      </c>
    </row>
    <row r="72" spans="1:38" x14ac:dyDescent="0.2">
      <c r="A72" t="s">
        <v>561</v>
      </c>
      <c r="T72" t="s">
        <v>562</v>
      </c>
    </row>
    <row r="73" spans="1:38" x14ac:dyDescent="0.2">
      <c r="A73" t="s">
        <v>563</v>
      </c>
      <c r="T73" t="s">
        <v>564</v>
      </c>
    </row>
    <row r="74" spans="1:38" x14ac:dyDescent="0.2">
      <c r="A74" t="s">
        <v>565</v>
      </c>
      <c r="T74" t="s">
        <v>566</v>
      </c>
    </row>
    <row r="75" spans="1:38" x14ac:dyDescent="0.2">
      <c r="A75" t="s">
        <v>567</v>
      </c>
      <c r="T75" t="s">
        <v>568</v>
      </c>
    </row>
    <row r="78" spans="1:38" ht="12.75" customHeight="1" x14ac:dyDescent="0.2">
      <c r="A78" s="217" t="s">
        <v>3374</v>
      </c>
      <c r="B78" s="217"/>
      <c r="C78" s="217"/>
      <c r="D78" s="217"/>
      <c r="E78" s="217"/>
      <c r="F78" s="217"/>
      <c r="G78" s="217"/>
      <c r="H78" s="217"/>
      <c r="I78" s="217"/>
      <c r="J78" s="217"/>
      <c r="K78" s="217"/>
      <c r="L78" s="217"/>
      <c r="M78" s="217"/>
      <c r="N78" s="217"/>
      <c r="O78" s="217"/>
      <c r="P78" s="217"/>
      <c r="Q78" s="217"/>
      <c r="R78" s="217"/>
      <c r="S78" s="217"/>
      <c r="T78" s="217"/>
      <c r="U78" s="217"/>
      <c r="V78" s="217"/>
      <c r="W78" s="217"/>
      <c r="X78" s="217"/>
      <c r="Y78" s="217"/>
      <c r="Z78" s="217"/>
      <c r="AA78" s="217"/>
      <c r="AB78" s="217"/>
      <c r="AC78" s="217"/>
      <c r="AD78" s="217"/>
      <c r="AE78" s="217"/>
      <c r="AF78" s="217"/>
      <c r="AG78" s="217"/>
      <c r="AH78" s="217"/>
      <c r="AI78" s="217"/>
      <c r="AJ78" s="217"/>
      <c r="AK78" s="217"/>
      <c r="AL78" s="217"/>
    </row>
    <row r="79" spans="1:38" x14ac:dyDescent="0.2">
      <c r="A79" s="217"/>
      <c r="B79" s="217"/>
      <c r="C79" s="217"/>
      <c r="D79" s="217"/>
      <c r="E79" s="217"/>
      <c r="F79" s="217"/>
      <c r="G79" s="217"/>
      <c r="H79" s="217"/>
      <c r="I79" s="217"/>
      <c r="J79" s="217"/>
      <c r="K79" s="217"/>
      <c r="L79" s="217"/>
      <c r="M79" s="217"/>
      <c r="N79" s="217"/>
      <c r="O79" s="217"/>
      <c r="P79" s="217"/>
      <c r="Q79" s="217"/>
      <c r="R79" s="217"/>
      <c r="S79" s="217"/>
      <c r="T79" s="217"/>
      <c r="U79" s="217"/>
      <c r="V79" s="217"/>
      <c r="W79" s="217"/>
      <c r="X79" s="217"/>
      <c r="Y79" s="217"/>
      <c r="Z79" s="217"/>
      <c r="AA79" s="217"/>
      <c r="AB79" s="217"/>
      <c r="AC79" s="217"/>
      <c r="AD79" s="217"/>
      <c r="AE79" s="217"/>
      <c r="AF79" s="217"/>
      <c r="AG79" s="217"/>
      <c r="AH79" s="217"/>
      <c r="AI79" s="217"/>
      <c r="AJ79" s="217"/>
      <c r="AK79" s="217"/>
      <c r="AL79" s="217"/>
    </row>
    <row r="80" spans="1:38" x14ac:dyDescent="0.2">
      <c r="A80" s="217"/>
      <c r="B80" s="217"/>
      <c r="C80" s="217"/>
      <c r="D80" s="217"/>
      <c r="E80" s="217"/>
      <c r="F80" s="217"/>
      <c r="G80" s="217"/>
      <c r="H80" s="217"/>
      <c r="I80" s="217"/>
      <c r="J80" s="217"/>
      <c r="K80" s="217"/>
      <c r="L80" s="217"/>
      <c r="M80" s="217"/>
      <c r="N80" s="217"/>
      <c r="O80" s="217"/>
      <c r="P80" s="217"/>
      <c r="Q80" s="217"/>
      <c r="R80" s="217"/>
      <c r="S80" s="217"/>
      <c r="T80" s="217"/>
      <c r="U80" s="217"/>
      <c r="V80" s="217"/>
      <c r="W80" s="217"/>
      <c r="X80" s="217"/>
      <c r="Y80" s="217"/>
      <c r="Z80" s="217"/>
      <c r="AA80" s="217"/>
      <c r="AB80" s="217"/>
      <c r="AC80" s="217"/>
      <c r="AD80" s="217"/>
      <c r="AE80" s="217"/>
      <c r="AF80" s="217"/>
      <c r="AG80" s="217"/>
      <c r="AH80" s="217"/>
      <c r="AI80" s="217"/>
      <c r="AJ80" s="217"/>
      <c r="AK80" s="217"/>
      <c r="AL80" s="217"/>
    </row>
    <row r="92" spans="1:25" x14ac:dyDescent="0.2">
      <c r="A92" s="240"/>
      <c r="B92" s="240"/>
      <c r="C92" s="240"/>
      <c r="D92" s="240"/>
      <c r="E92" s="240"/>
      <c r="F92" s="240"/>
      <c r="G92" s="240"/>
      <c r="H92" s="240"/>
      <c r="I92" s="240"/>
      <c r="J92" s="240"/>
      <c r="K92" s="240"/>
      <c r="L92" s="240"/>
      <c r="M92" s="240"/>
      <c r="N92" s="240"/>
      <c r="O92" s="240"/>
      <c r="P92" s="240"/>
    </row>
    <row r="93" spans="1:25" x14ac:dyDescent="0.2">
      <c r="A93" s="240"/>
      <c r="B93" s="240"/>
      <c r="C93" s="240"/>
      <c r="D93" s="240"/>
      <c r="E93" s="240"/>
      <c r="F93" s="240"/>
      <c r="G93" s="240"/>
      <c r="H93" s="240"/>
      <c r="I93" s="240"/>
      <c r="J93" s="240"/>
      <c r="K93" s="240"/>
      <c r="L93" s="240"/>
      <c r="M93" s="240"/>
      <c r="N93" s="240"/>
      <c r="O93" s="240"/>
      <c r="P93" s="240"/>
    </row>
    <row r="94" spans="1:25" x14ac:dyDescent="0.2">
      <c r="A94" s="266"/>
      <c r="B94" s="266"/>
      <c r="C94" s="266"/>
      <c r="D94" s="266"/>
      <c r="E94" s="266"/>
      <c r="F94" s="266"/>
      <c r="G94" s="266"/>
      <c r="H94" s="266"/>
      <c r="I94" s="266"/>
      <c r="J94" s="266"/>
      <c r="K94" s="266"/>
      <c r="L94" s="266"/>
      <c r="M94" s="266"/>
      <c r="N94" s="266"/>
      <c r="O94" s="266"/>
      <c r="P94" s="266"/>
      <c r="R94" s="269">
        <f>Data!B34</f>
        <v>0</v>
      </c>
      <c r="S94" s="267"/>
      <c r="T94" s="267"/>
      <c r="U94" s="267"/>
      <c r="V94" s="267"/>
      <c r="W94" s="267"/>
      <c r="X94" s="267"/>
      <c r="Y94" s="267"/>
    </row>
    <row r="95" spans="1:25" x14ac:dyDescent="0.2">
      <c r="A95" t="s">
        <v>367</v>
      </c>
      <c r="R95" t="s">
        <v>368</v>
      </c>
    </row>
    <row r="96" spans="1:25" x14ac:dyDescent="0.2">
      <c r="A96" s="240"/>
      <c r="B96" s="240"/>
      <c r="C96" s="240"/>
      <c r="D96" s="240"/>
      <c r="E96" s="240"/>
      <c r="F96" s="240"/>
      <c r="G96" s="240"/>
      <c r="H96" s="240"/>
      <c r="I96" s="240"/>
      <c r="J96" s="240"/>
      <c r="K96" s="240"/>
      <c r="L96" s="240"/>
      <c r="M96" s="240"/>
      <c r="N96" s="240"/>
      <c r="O96" s="240"/>
      <c r="P96" s="240"/>
    </row>
    <row r="97" spans="1:31" x14ac:dyDescent="0.2">
      <c r="A97" s="240"/>
      <c r="B97" s="240"/>
      <c r="C97" s="240"/>
      <c r="D97" s="240"/>
      <c r="E97" s="240"/>
      <c r="F97" s="240"/>
      <c r="G97" s="240"/>
      <c r="H97" s="240"/>
      <c r="I97" s="240"/>
      <c r="J97" s="240"/>
      <c r="K97" s="240"/>
      <c r="L97" s="240"/>
      <c r="M97" s="240"/>
      <c r="N97" s="240"/>
      <c r="O97" s="240"/>
      <c r="P97" s="240"/>
    </row>
    <row r="98" spans="1:31" x14ac:dyDescent="0.2">
      <c r="A98" s="266"/>
      <c r="B98" s="266"/>
      <c r="C98" s="266"/>
      <c r="D98" s="266"/>
      <c r="E98" s="266"/>
      <c r="F98" s="266"/>
      <c r="G98" s="266"/>
      <c r="H98" s="266"/>
      <c r="I98" s="266"/>
      <c r="J98" s="266"/>
      <c r="K98" s="266"/>
      <c r="L98" s="266"/>
      <c r="M98" s="266"/>
      <c r="N98" s="266"/>
      <c r="O98" s="266"/>
      <c r="P98" s="266"/>
      <c r="R98" s="267">
        <f>Data!B175</f>
        <v>0</v>
      </c>
      <c r="S98" s="267"/>
      <c r="T98" s="267"/>
      <c r="U98" s="267"/>
      <c r="V98" s="267"/>
      <c r="W98" s="267"/>
      <c r="X98" s="267"/>
      <c r="Y98" s="267"/>
      <c r="Z98" s="267"/>
      <c r="AA98" s="267"/>
      <c r="AB98" s="267"/>
      <c r="AC98" s="267"/>
      <c r="AD98" s="267"/>
      <c r="AE98" s="267"/>
    </row>
    <row r="99" spans="1:31" x14ac:dyDescent="0.2">
      <c r="A99" t="s">
        <v>2881</v>
      </c>
      <c r="R99" t="s">
        <v>1465</v>
      </c>
    </row>
  </sheetData>
  <mergeCells count="26">
    <mergeCell ref="A92:P94"/>
    <mergeCell ref="R94:Y94"/>
    <mergeCell ref="A96:P98"/>
    <mergeCell ref="R98:AE98"/>
    <mergeCell ref="A60:AL62"/>
    <mergeCell ref="A64:O64"/>
    <mergeCell ref="T64:AK64"/>
    <mergeCell ref="A52:AK52"/>
    <mergeCell ref="A59:AK59"/>
    <mergeCell ref="A78:AL80"/>
    <mergeCell ref="A44:AL45"/>
    <mergeCell ref="A53:AL55"/>
    <mergeCell ref="E50:X50"/>
    <mergeCell ref="AD50:AK50"/>
    <mergeCell ref="A43:AK43"/>
    <mergeCell ref="C22:AL25"/>
    <mergeCell ref="C27:AL30"/>
    <mergeCell ref="C32:AL34"/>
    <mergeCell ref="C36:AL38"/>
    <mergeCell ref="C40:AL41"/>
    <mergeCell ref="A4:AK7"/>
    <mergeCell ref="C9:AL11"/>
    <mergeCell ref="C13:AL16"/>
    <mergeCell ref="C18:AL20"/>
    <mergeCell ref="D2:V2"/>
    <mergeCell ref="Z2:AG2"/>
  </mergeCells>
  <pageMargins left="0.25" right="0.25" top="0.75" bottom="0.75" header="0.3" footer="0.3"/>
  <pageSetup orientation="portrait" r:id="rId1"/>
  <headerFooter>
    <oddHeader>&amp;L&amp;G&amp;RProsper Home Care Service Policies
2 Page Document</oddHeader>
    <oddFooter>&amp;LDS&amp;C3088 Mercer University Drive Suite 100 Atlanta, GA 30341
678-310-6305 Fax 404-935-6110&amp;RPP.M</oddFooter>
  </headerFooter>
  <legacyDrawingHF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15">
    <tabColor theme="4" tint="-0.249977111117893"/>
  </sheetPr>
  <dimension ref="A2:AL51"/>
  <sheetViews>
    <sheetView showZeros="0" view="pageLayout" topLeftCell="A25" zoomScaleNormal="100" workbookViewId="0">
      <selection activeCell="R46" sqref="R46:Y46"/>
    </sheetView>
  </sheetViews>
  <sheetFormatPr defaultColWidth="2.7109375" defaultRowHeight="12.75" x14ac:dyDescent="0.2"/>
  <sheetData>
    <row r="2" spans="1:38" x14ac:dyDescent="0.2">
      <c r="A2" t="s">
        <v>336</v>
      </c>
      <c r="F2" s="267" t="str">
        <f>_xlfn.CONCAT(Data!B2,", ",Data!B3," ",Data!B4)</f>
        <v xml:space="preserve">,  </v>
      </c>
      <c r="G2" s="267"/>
      <c r="H2" s="267"/>
      <c r="I2" s="267"/>
      <c r="J2" s="267"/>
      <c r="K2" s="267"/>
      <c r="L2" s="267"/>
      <c r="M2" s="267"/>
      <c r="N2" s="267"/>
      <c r="O2" s="267"/>
      <c r="P2" s="267"/>
      <c r="Q2" s="267"/>
      <c r="R2" s="267"/>
      <c r="S2" s="267"/>
      <c r="T2" s="267"/>
      <c r="U2" s="267"/>
      <c r="W2" t="s">
        <v>580</v>
      </c>
      <c r="Y2" s="269">
        <f>Data!B14</f>
        <v>0</v>
      </c>
      <c r="Z2" s="267"/>
      <c r="AA2" s="267"/>
      <c r="AB2" s="267"/>
      <c r="AC2" s="267"/>
      <c r="AD2" s="267"/>
      <c r="AE2" s="267"/>
    </row>
    <row r="4" spans="1:38" x14ac:dyDescent="0.2">
      <c r="A4" t="s">
        <v>581</v>
      </c>
      <c r="I4" s="267">
        <f>Data!B326</f>
        <v>0</v>
      </c>
      <c r="J4" s="267"/>
      <c r="K4" s="267"/>
      <c r="L4" s="267"/>
      <c r="N4" t="s">
        <v>582</v>
      </c>
      <c r="S4" s="269">
        <f>Data!B33</f>
        <v>0</v>
      </c>
      <c r="T4" s="267"/>
      <c r="U4" s="267"/>
      <c r="V4" s="267"/>
      <c r="W4" s="267"/>
      <c r="X4" s="267"/>
      <c r="Y4" s="267"/>
      <c r="AA4" t="s">
        <v>583</v>
      </c>
      <c r="AF4" s="267">
        <f>Data!B185</f>
        <v>0</v>
      </c>
      <c r="AG4" s="267"/>
      <c r="AH4" s="267"/>
      <c r="AI4" s="267"/>
      <c r="AJ4" s="267"/>
      <c r="AK4" s="267"/>
      <c r="AL4" s="267"/>
    </row>
    <row r="6" spans="1:38" x14ac:dyDescent="0.2">
      <c r="A6" t="s">
        <v>584</v>
      </c>
      <c r="S6" s="4"/>
      <c r="T6" s="4"/>
      <c r="U6" s="233">
        <f>Data!B317</f>
        <v>0</v>
      </c>
      <c r="V6" s="233"/>
      <c r="W6" s="233"/>
      <c r="X6" s="233"/>
      <c r="Y6" s="233"/>
    </row>
    <row r="7" spans="1:38" x14ac:dyDescent="0.2">
      <c r="A7" t="s">
        <v>585</v>
      </c>
      <c r="E7" s="233">
        <f>Data!B318</f>
        <v>0</v>
      </c>
      <c r="F7" s="233"/>
      <c r="G7" s="233"/>
      <c r="H7" s="233"/>
      <c r="I7" s="233"/>
      <c r="J7" s="233"/>
      <c r="K7" s="233"/>
      <c r="L7" s="233"/>
      <c r="M7" s="233"/>
      <c r="N7" s="233"/>
      <c r="O7" s="233"/>
      <c r="P7" s="233"/>
      <c r="Q7" s="233"/>
      <c r="R7" s="233"/>
      <c r="S7" s="233"/>
      <c r="T7" s="233"/>
      <c r="U7" s="233"/>
      <c r="V7" s="233"/>
      <c r="W7" s="233"/>
      <c r="X7" s="233"/>
      <c r="Y7" s="233"/>
      <c r="Z7" s="233"/>
      <c r="AA7" s="233"/>
      <c r="AB7" s="233"/>
      <c r="AC7" s="233"/>
      <c r="AD7" s="233"/>
      <c r="AE7" s="233"/>
      <c r="AF7" s="233"/>
      <c r="AG7" s="233"/>
      <c r="AH7" s="233"/>
      <c r="AI7" s="233"/>
      <c r="AJ7" s="233"/>
      <c r="AK7" s="233"/>
    </row>
    <row r="9" spans="1:38" x14ac:dyDescent="0.2">
      <c r="A9" t="s">
        <v>586</v>
      </c>
      <c r="V9" s="233">
        <f>Data!B319</f>
        <v>0</v>
      </c>
      <c r="W9" s="233"/>
      <c r="X9" s="233"/>
      <c r="Y9" s="233"/>
    </row>
    <row r="10" spans="1:38" x14ac:dyDescent="0.2">
      <c r="A10" t="s">
        <v>587</v>
      </c>
      <c r="E10" s="233" t="str">
        <f>_xlfn.CONCAT(Data!B320,IF(Data!B321="","",", "&amp;Data!B321),IF(Data!B319="No","N/A",""))</f>
        <v/>
      </c>
      <c r="F10" s="233"/>
      <c r="G10" s="233"/>
      <c r="H10" s="233"/>
      <c r="I10" s="233"/>
      <c r="J10" s="233"/>
      <c r="K10" s="233"/>
      <c r="L10" s="233"/>
      <c r="M10" s="233"/>
      <c r="N10" s="233"/>
      <c r="O10" s="233"/>
      <c r="P10" s="233"/>
      <c r="Q10" s="233"/>
      <c r="R10" s="233"/>
      <c r="S10" s="233"/>
      <c r="T10" s="233"/>
      <c r="U10" s="233"/>
      <c r="V10" s="233"/>
      <c r="W10" s="233"/>
      <c r="X10" s="233"/>
      <c r="Y10" s="233"/>
      <c r="Z10" s="233"/>
      <c r="AA10" s="233"/>
      <c r="AB10" s="233"/>
      <c r="AC10" s="233"/>
      <c r="AD10" s="233"/>
      <c r="AE10" s="233"/>
      <c r="AF10" s="233"/>
      <c r="AG10" s="233"/>
      <c r="AH10" s="233"/>
      <c r="AI10" s="233"/>
      <c r="AJ10" s="233"/>
      <c r="AK10" s="233"/>
    </row>
    <row r="12" spans="1:38" x14ac:dyDescent="0.2">
      <c r="A12" t="s">
        <v>588</v>
      </c>
    </row>
    <row r="13" spans="1:38" x14ac:dyDescent="0.2">
      <c r="A13" t="s">
        <v>3375</v>
      </c>
    </row>
    <row r="14" spans="1:38" x14ac:dyDescent="0.2">
      <c r="A14" t="s">
        <v>589</v>
      </c>
    </row>
    <row r="15" spans="1:38" x14ac:dyDescent="0.2">
      <c r="A15" t="s">
        <v>590</v>
      </c>
    </row>
    <row r="16" spans="1:38" x14ac:dyDescent="0.2">
      <c r="A16" t="s">
        <v>591</v>
      </c>
    </row>
    <row r="17" spans="1:35" x14ac:dyDescent="0.2">
      <c r="A17" t="s">
        <v>592</v>
      </c>
    </row>
    <row r="19" spans="1:35" x14ac:dyDescent="0.2">
      <c r="A19" s="291" t="s">
        <v>593</v>
      </c>
      <c r="B19" s="291"/>
      <c r="C19" s="291"/>
      <c r="D19" s="291"/>
      <c r="E19" s="291"/>
      <c r="F19" s="291"/>
      <c r="G19" s="291"/>
      <c r="H19" s="291"/>
      <c r="I19" s="291"/>
      <c r="J19" s="291"/>
      <c r="K19" s="291"/>
      <c r="L19" s="291"/>
      <c r="M19" s="291"/>
      <c r="N19" s="291"/>
      <c r="O19" s="291"/>
      <c r="U19" s="291" t="s">
        <v>596</v>
      </c>
      <c r="V19" s="291"/>
      <c r="W19" s="291"/>
      <c r="X19" s="291"/>
      <c r="Y19" s="291"/>
      <c r="Z19" s="291"/>
      <c r="AA19" s="291"/>
      <c r="AB19" s="291"/>
      <c r="AC19" s="291"/>
      <c r="AD19" s="291"/>
      <c r="AE19" s="291"/>
      <c r="AF19" s="291"/>
      <c r="AG19" s="291"/>
      <c r="AH19" s="291"/>
      <c r="AI19" s="291"/>
    </row>
    <row r="20" spans="1:35" x14ac:dyDescent="0.2">
      <c r="A20" t="s">
        <v>594</v>
      </c>
      <c r="E20" s="233">
        <f>Data!B322</f>
        <v>0</v>
      </c>
      <c r="F20" s="233"/>
      <c r="G20" s="233"/>
      <c r="H20" s="233"/>
      <c r="I20" s="233"/>
      <c r="J20" s="233"/>
      <c r="K20" s="233"/>
      <c r="L20" s="233"/>
      <c r="M20" s="233"/>
      <c r="N20" s="233"/>
      <c r="O20" s="233"/>
      <c r="U20" t="s">
        <v>594</v>
      </c>
      <c r="Y20" s="233">
        <f>Data!B324</f>
        <v>0</v>
      </c>
      <c r="Z20" s="233"/>
      <c r="AA20" s="233"/>
      <c r="AB20" s="233"/>
      <c r="AC20" s="233"/>
      <c r="AD20" s="233"/>
      <c r="AE20" s="233"/>
      <c r="AF20" s="233"/>
      <c r="AG20" s="233"/>
      <c r="AH20" s="233"/>
      <c r="AI20" s="233"/>
    </row>
    <row r="22" spans="1:35" x14ac:dyDescent="0.2">
      <c r="A22" t="s">
        <v>595</v>
      </c>
      <c r="D22" s="255" t="str">
        <f>_xlfn.CONCAT(Data!B323,IF(Data!B322="PCP Determination",Data!B87&amp;" "&amp;Data!B93,""))</f>
        <v/>
      </c>
      <c r="E22" s="255"/>
      <c r="F22" s="255"/>
      <c r="G22" s="255"/>
      <c r="H22" s="255"/>
      <c r="I22" s="255"/>
      <c r="J22" s="255"/>
      <c r="K22" s="255"/>
      <c r="L22" s="255"/>
      <c r="M22" s="255"/>
      <c r="N22" s="255"/>
      <c r="O22" s="255"/>
      <c r="U22" t="s">
        <v>595</v>
      </c>
      <c r="X22" s="255" t="str">
        <f>_xlfn.CONCAT(Data!B325,IF(Data!B322="PCP Determination"," "&amp;Data!B87&amp;" "&amp;Data!B93,""))</f>
        <v/>
      </c>
      <c r="Y22" s="255"/>
      <c r="Z22" s="255"/>
      <c r="AA22" s="255"/>
      <c r="AB22" s="255"/>
      <c r="AC22" s="255"/>
      <c r="AD22" s="255"/>
      <c r="AE22" s="255"/>
      <c r="AF22" s="255"/>
      <c r="AG22" s="255"/>
      <c r="AH22" s="255"/>
      <c r="AI22" s="255"/>
    </row>
    <row r="23" spans="1:35" x14ac:dyDescent="0.2">
      <c r="D23" s="255"/>
      <c r="E23" s="255"/>
      <c r="F23" s="255"/>
      <c r="G23" s="255"/>
      <c r="H23" s="255"/>
      <c r="I23" s="255"/>
      <c r="J23" s="255"/>
      <c r="K23" s="255"/>
      <c r="L23" s="255"/>
      <c r="M23" s="255"/>
      <c r="N23" s="255"/>
      <c r="O23" s="255"/>
      <c r="X23" s="255"/>
      <c r="Y23" s="255"/>
      <c r="Z23" s="255"/>
      <c r="AA23" s="255"/>
      <c r="AB23" s="255"/>
      <c r="AC23" s="255"/>
      <c r="AD23" s="255"/>
      <c r="AE23" s="255"/>
      <c r="AF23" s="255"/>
      <c r="AG23" s="255"/>
      <c r="AH23" s="255"/>
      <c r="AI23" s="255"/>
    </row>
    <row r="24" spans="1:35" x14ac:dyDescent="0.2">
      <c r="D24" s="255"/>
      <c r="E24" s="255"/>
      <c r="F24" s="255"/>
      <c r="G24" s="255"/>
      <c r="H24" s="255"/>
      <c r="I24" s="255"/>
      <c r="J24" s="255"/>
      <c r="K24" s="255"/>
      <c r="L24" s="255"/>
      <c r="M24" s="255"/>
      <c r="N24" s="255"/>
      <c r="O24" s="255"/>
      <c r="X24" s="255"/>
      <c r="Y24" s="255"/>
      <c r="Z24" s="255"/>
      <c r="AA24" s="255"/>
      <c r="AB24" s="255"/>
      <c r="AC24" s="255"/>
      <c r="AD24" s="255"/>
      <c r="AE24" s="255"/>
      <c r="AF24" s="255"/>
      <c r="AG24" s="255"/>
      <c r="AH24" s="255"/>
      <c r="AI24" s="255"/>
    </row>
    <row r="25" spans="1:35" x14ac:dyDescent="0.2">
      <c r="D25" s="255"/>
      <c r="E25" s="255"/>
      <c r="F25" s="255"/>
      <c r="G25" s="255"/>
      <c r="H25" s="255"/>
      <c r="I25" s="255"/>
      <c r="J25" s="255"/>
      <c r="K25" s="255"/>
      <c r="L25" s="255"/>
      <c r="M25" s="255"/>
      <c r="N25" s="255"/>
      <c r="O25" s="255"/>
      <c r="X25" s="255"/>
      <c r="Y25" s="255"/>
      <c r="Z25" s="255"/>
      <c r="AA25" s="255"/>
      <c r="AB25" s="255"/>
      <c r="AC25" s="255"/>
      <c r="AD25" s="255"/>
      <c r="AE25" s="255"/>
      <c r="AF25" s="255"/>
      <c r="AG25" s="255"/>
      <c r="AH25" s="255"/>
      <c r="AI25" s="255"/>
    </row>
    <row r="44" spans="1:25" x14ac:dyDescent="0.2">
      <c r="A44" s="240"/>
      <c r="B44" s="240"/>
      <c r="C44" s="240"/>
      <c r="D44" s="240"/>
      <c r="E44" s="240"/>
      <c r="F44" s="240"/>
      <c r="G44" s="240"/>
      <c r="H44" s="240"/>
      <c r="I44" s="240"/>
      <c r="J44" s="240"/>
      <c r="K44" s="240"/>
      <c r="L44" s="240"/>
      <c r="M44" s="240"/>
      <c r="N44" s="240"/>
      <c r="O44" s="240"/>
      <c r="P44" s="240"/>
    </row>
    <row r="45" spans="1:25" x14ac:dyDescent="0.2">
      <c r="A45" s="240"/>
      <c r="B45" s="240"/>
      <c r="C45" s="240"/>
      <c r="D45" s="240"/>
      <c r="E45" s="240"/>
      <c r="F45" s="240"/>
      <c r="G45" s="240"/>
      <c r="H45" s="240"/>
      <c r="I45" s="240"/>
      <c r="J45" s="240"/>
      <c r="K45" s="240"/>
      <c r="L45" s="240"/>
      <c r="M45" s="240"/>
      <c r="N45" s="240"/>
      <c r="O45" s="240"/>
      <c r="P45" s="240"/>
    </row>
    <row r="46" spans="1:25" x14ac:dyDescent="0.2">
      <c r="A46" s="266"/>
      <c r="B46" s="266"/>
      <c r="C46" s="266"/>
      <c r="D46" s="266"/>
      <c r="E46" s="266"/>
      <c r="F46" s="266"/>
      <c r="G46" s="266"/>
      <c r="H46" s="266"/>
      <c r="I46" s="266"/>
      <c r="J46" s="266"/>
      <c r="K46" s="266"/>
      <c r="L46" s="266"/>
      <c r="M46" s="266"/>
      <c r="N46" s="266"/>
      <c r="O46" s="266"/>
      <c r="P46" s="266"/>
      <c r="R46" s="269">
        <f>Data!B34</f>
        <v>0</v>
      </c>
      <c r="S46" s="267"/>
      <c r="T46" s="267"/>
      <c r="U46" s="267"/>
      <c r="V46" s="267"/>
      <c r="W46" s="267"/>
      <c r="X46" s="267"/>
      <c r="Y46" s="267"/>
    </row>
    <row r="47" spans="1:25" x14ac:dyDescent="0.2">
      <c r="A47" t="s">
        <v>367</v>
      </c>
      <c r="R47" t="s">
        <v>368</v>
      </c>
    </row>
    <row r="48" spans="1:25" x14ac:dyDescent="0.2">
      <c r="A48" s="240"/>
      <c r="B48" s="240"/>
      <c r="C48" s="240"/>
      <c r="D48" s="240"/>
      <c r="E48" s="240"/>
      <c r="F48" s="240"/>
      <c r="G48" s="240"/>
      <c r="H48" s="240"/>
      <c r="I48" s="240"/>
      <c r="J48" s="240"/>
      <c r="K48" s="240"/>
      <c r="L48" s="240"/>
      <c r="M48" s="240"/>
      <c r="N48" s="240"/>
      <c r="O48" s="240"/>
      <c r="P48" s="240"/>
    </row>
    <row r="49" spans="1:31" x14ac:dyDescent="0.2">
      <c r="A49" s="240"/>
      <c r="B49" s="240"/>
      <c r="C49" s="240"/>
      <c r="D49" s="240"/>
      <c r="E49" s="240"/>
      <c r="F49" s="240"/>
      <c r="G49" s="240"/>
      <c r="H49" s="240"/>
      <c r="I49" s="240"/>
      <c r="J49" s="240"/>
      <c r="K49" s="240"/>
      <c r="L49" s="240"/>
      <c r="M49" s="240"/>
      <c r="N49" s="240"/>
      <c r="O49" s="240"/>
      <c r="P49" s="240"/>
    </row>
    <row r="50" spans="1:31" x14ac:dyDescent="0.2">
      <c r="A50" s="266"/>
      <c r="B50" s="266"/>
      <c r="C50" s="266"/>
      <c r="D50" s="266"/>
      <c r="E50" s="266"/>
      <c r="F50" s="266"/>
      <c r="G50" s="266"/>
      <c r="H50" s="266"/>
      <c r="I50" s="266"/>
      <c r="J50" s="266"/>
      <c r="K50" s="266"/>
      <c r="L50" s="266"/>
      <c r="M50" s="266"/>
      <c r="N50" s="266"/>
      <c r="O50" s="266"/>
      <c r="P50" s="266"/>
      <c r="R50" s="267">
        <f>Data!B175</f>
        <v>0</v>
      </c>
      <c r="S50" s="267"/>
      <c r="T50" s="267"/>
      <c r="U50" s="267"/>
      <c r="V50" s="267"/>
      <c r="W50" s="267"/>
      <c r="X50" s="267"/>
      <c r="Y50" s="267"/>
      <c r="Z50" s="267"/>
      <c r="AA50" s="267"/>
      <c r="AB50" s="267"/>
      <c r="AC50" s="267"/>
      <c r="AD50" s="267"/>
      <c r="AE50" s="267"/>
    </row>
    <row r="51" spans="1:31" x14ac:dyDescent="0.2">
      <c r="A51" t="s">
        <v>2881</v>
      </c>
      <c r="R51" t="s">
        <v>1465</v>
      </c>
    </row>
  </sheetData>
  <mergeCells count="19">
    <mergeCell ref="U6:Y6"/>
    <mergeCell ref="A44:P46"/>
    <mergeCell ref="R46:Y46"/>
    <mergeCell ref="A48:P50"/>
    <mergeCell ref="R50:AE50"/>
    <mergeCell ref="E7:AK7"/>
    <mergeCell ref="V9:Y9"/>
    <mergeCell ref="E10:AK10"/>
    <mergeCell ref="E20:O20"/>
    <mergeCell ref="A19:O19"/>
    <mergeCell ref="U19:AI19"/>
    <mergeCell ref="Y20:AI20"/>
    <mergeCell ref="D22:O25"/>
    <mergeCell ref="X22:AI25"/>
    <mergeCell ref="F2:U2"/>
    <mergeCell ref="Y2:AE2"/>
    <mergeCell ref="S4:Y4"/>
    <mergeCell ref="I4:L4"/>
    <mergeCell ref="AF4:AL4"/>
  </mergeCells>
  <pageMargins left="0.25" right="0.25" top="0.75" bottom="0.75" header="0.3" footer="0.3"/>
  <pageSetup orientation="portrait" r:id="rId1"/>
  <headerFooter>
    <oddHeader>&amp;L&amp;G&amp;RDischarge Planning</oddHeader>
    <oddFooter>&amp;LDS&amp;C3088 Mercer University Drive Suite 100 Atlanta, GA 30341
678-310-6305 Fax 404-935-6110&amp;RPP.M</oddFooter>
  </headerFooter>
  <legacyDrawingHF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16">
    <tabColor theme="4" tint="-0.249977111117893"/>
  </sheetPr>
  <dimension ref="A2:AM48"/>
  <sheetViews>
    <sheetView showZeros="0" view="pageLayout" topLeftCell="A25" zoomScaleNormal="100" workbookViewId="0">
      <selection activeCell="H10" sqref="H10:Q10"/>
    </sheetView>
  </sheetViews>
  <sheetFormatPr defaultColWidth="2.7109375" defaultRowHeight="12.75" x14ac:dyDescent="0.2"/>
  <sheetData>
    <row r="2" spans="1:39" x14ac:dyDescent="0.2">
      <c r="A2" t="s">
        <v>336</v>
      </c>
      <c r="F2" s="267" t="str">
        <f>_xlfn.CONCAT(Data!B2,", ",Data!B3," ",Data!B4)</f>
        <v xml:space="preserve">,  </v>
      </c>
      <c r="G2" s="267"/>
      <c r="H2" s="267"/>
      <c r="I2" s="267"/>
      <c r="J2" s="267"/>
      <c r="K2" s="267"/>
      <c r="L2" s="267"/>
      <c r="M2" s="267"/>
      <c r="N2" s="267"/>
      <c r="O2" s="267"/>
      <c r="P2" s="267"/>
      <c r="Q2" s="267"/>
      <c r="R2" s="267"/>
      <c r="S2" s="267"/>
      <c r="T2" s="267"/>
      <c r="U2" s="267"/>
      <c r="V2" s="267"/>
      <c r="W2" s="267"/>
      <c r="Y2" t="s">
        <v>371</v>
      </c>
      <c r="AA2" s="269">
        <f>Data!B14</f>
        <v>0</v>
      </c>
      <c r="AB2" s="267"/>
      <c r="AC2" s="267"/>
      <c r="AD2" s="267"/>
      <c r="AE2" s="267"/>
      <c r="AF2" s="267"/>
      <c r="AG2" s="267"/>
    </row>
    <row r="4" spans="1:39" ht="12.75" customHeight="1" x14ac:dyDescent="0.2">
      <c r="A4" s="260" t="s">
        <v>598</v>
      </c>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c r="AE4" s="260"/>
      <c r="AF4" s="260"/>
      <c r="AG4" s="260"/>
      <c r="AH4" s="260"/>
      <c r="AI4" s="260"/>
      <c r="AJ4" s="260"/>
      <c r="AK4" s="260"/>
      <c r="AL4" s="260"/>
      <c r="AM4" s="5"/>
    </row>
    <row r="5" spans="1:39" x14ac:dyDescent="0.2">
      <c r="A5" s="260"/>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c r="AE5" s="260"/>
      <c r="AF5" s="260"/>
      <c r="AG5" s="260"/>
      <c r="AH5" s="260"/>
      <c r="AI5" s="260"/>
      <c r="AJ5" s="260"/>
      <c r="AK5" s="260"/>
      <c r="AL5" s="260"/>
      <c r="AM5" s="5"/>
    </row>
    <row r="6" spans="1:39" x14ac:dyDescent="0.2">
      <c r="A6" s="260"/>
      <c r="B6" s="260"/>
      <c r="C6" s="260"/>
      <c r="D6" s="260"/>
      <c r="E6" s="260"/>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c r="AE6" s="260"/>
      <c r="AF6" s="260"/>
      <c r="AG6" s="260"/>
      <c r="AH6" s="260"/>
      <c r="AI6" s="260"/>
      <c r="AJ6" s="260"/>
      <c r="AK6" s="260"/>
      <c r="AL6" s="260"/>
      <c r="AM6" s="5"/>
    </row>
    <row r="7" spans="1:39" x14ac:dyDescent="0.2">
      <c r="A7" s="260"/>
      <c r="B7" s="260"/>
      <c r="C7" s="260"/>
      <c r="D7" s="260"/>
      <c r="E7" s="260"/>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c r="AE7" s="260"/>
      <c r="AF7" s="260"/>
      <c r="AG7" s="260"/>
      <c r="AH7" s="260"/>
      <c r="AI7" s="260"/>
      <c r="AJ7" s="260"/>
      <c r="AK7" s="260"/>
      <c r="AL7" s="260"/>
      <c r="AM7" s="5"/>
    </row>
    <row r="8" spans="1:39" x14ac:dyDescent="0.2">
      <c r="A8" s="260"/>
      <c r="B8" s="260"/>
      <c r="C8" s="260"/>
      <c r="D8" s="260"/>
      <c r="E8" s="260"/>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c r="AE8" s="260"/>
      <c r="AF8" s="260"/>
      <c r="AG8" s="260"/>
      <c r="AH8" s="260"/>
      <c r="AI8" s="260"/>
      <c r="AJ8" s="260"/>
      <c r="AK8" s="260"/>
      <c r="AL8" s="260"/>
      <c r="AM8" s="5"/>
    </row>
    <row r="9" spans="1:39" x14ac:dyDescent="0.2">
      <c r="A9" s="260"/>
      <c r="B9" s="260"/>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60"/>
    </row>
    <row r="10" spans="1:39" x14ac:dyDescent="0.2">
      <c r="A10" t="s">
        <v>599</v>
      </c>
      <c r="H10" s="219" t="str">
        <f>_xlfn.CONCAT(IF(Data!B222=TRUE,"Lives Alone",""),IF(Data!B223=TRUE,"Lives with family",""),IF(Data!B224=TRUE,"Lives with others",""),IF(Data!B225=TRUE,"Lives in a staffed facility",""))</f>
        <v/>
      </c>
      <c r="I10" s="219"/>
      <c r="J10" s="219"/>
      <c r="K10" s="219"/>
      <c r="L10" s="219"/>
      <c r="M10" s="219"/>
      <c r="N10" s="219"/>
      <c r="O10" s="219"/>
      <c r="P10" s="219"/>
      <c r="Q10" s="219"/>
      <c r="S10" t="s">
        <v>600</v>
      </c>
      <c r="X10" s="233" t="str">
        <f>_xlfn.CONCAT(IF(Data!B218=TRUE,"House",""),IF(Data!B219=TRUE,"Apartment",""),IF(Data!B220=TRUE,"Trailer",""),IF(Data!B221=TRUE,"Staffed Facility",""))</f>
        <v/>
      </c>
      <c r="Y10" s="233"/>
      <c r="Z10" s="233"/>
      <c r="AA10" s="233"/>
      <c r="AB10" s="233"/>
      <c r="AC10" s="233"/>
      <c r="AD10" s="233"/>
      <c r="AE10" s="233"/>
      <c r="AF10" s="233"/>
    </row>
    <row r="11" spans="1:39" x14ac:dyDescent="0.2">
      <c r="A11" t="s">
        <v>601</v>
      </c>
      <c r="H11" s="219">
        <f>Data!B232</f>
        <v>0</v>
      </c>
      <c r="I11" s="219"/>
      <c r="J11" s="219"/>
      <c r="K11" s="219"/>
      <c r="L11" s="16"/>
      <c r="M11" s="16"/>
      <c r="N11" s="16"/>
      <c r="O11" s="16"/>
      <c r="P11" s="16"/>
      <c r="Q11" s="16"/>
      <c r="S11" t="s">
        <v>602</v>
      </c>
      <c r="Z11" s="290">
        <f>Data!B172</f>
        <v>0</v>
      </c>
      <c r="AA11" s="290"/>
      <c r="AB11" s="290"/>
      <c r="AC11" s="290"/>
      <c r="AD11" s="290"/>
      <c r="AE11" s="290"/>
      <c r="AF11" s="290"/>
      <c r="AG11" s="290"/>
      <c r="AH11" s="290"/>
      <c r="AI11" s="290"/>
    </row>
    <row r="13" spans="1:39" ht="14.25" x14ac:dyDescent="0.2">
      <c r="A13" s="261" t="s">
        <v>603</v>
      </c>
      <c r="B13" s="261"/>
      <c r="C13" s="261"/>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c r="AB13" s="261"/>
      <c r="AC13" s="261"/>
      <c r="AD13" s="261"/>
      <c r="AE13" s="261"/>
      <c r="AF13" s="261"/>
      <c r="AG13" s="261"/>
      <c r="AH13" s="261"/>
      <c r="AI13" s="261"/>
      <c r="AJ13" s="261"/>
      <c r="AK13" s="261"/>
      <c r="AL13" s="261"/>
      <c r="AM13" s="17"/>
    </row>
    <row r="14" spans="1:39" ht="14.25" customHeight="1" x14ac:dyDescent="0.2">
      <c r="A14" s="260" t="s">
        <v>604</v>
      </c>
      <c r="B14" s="260"/>
      <c r="C14" s="260"/>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c r="AE14" s="260"/>
      <c r="AF14" s="260"/>
      <c r="AG14" s="260"/>
      <c r="AH14" s="260"/>
      <c r="AI14" s="260"/>
      <c r="AJ14" s="260"/>
      <c r="AK14" s="260"/>
      <c r="AL14" s="260"/>
      <c r="AM14" s="18"/>
    </row>
    <row r="15" spans="1:39" ht="14.25" customHeight="1" x14ac:dyDescent="0.2">
      <c r="A15" s="260"/>
      <c r="B15" s="260"/>
      <c r="C15" s="260"/>
      <c r="D15" s="260"/>
      <c r="E15" s="260"/>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c r="AE15" s="260"/>
      <c r="AF15" s="260"/>
      <c r="AG15" s="260"/>
      <c r="AH15" s="260"/>
      <c r="AI15" s="260"/>
      <c r="AJ15" s="260"/>
      <c r="AK15" s="260"/>
      <c r="AL15" s="260"/>
      <c r="AM15" s="18"/>
    </row>
    <row r="16" spans="1:39" ht="14.25" customHeight="1" x14ac:dyDescent="0.2">
      <c r="A16" s="260"/>
      <c r="B16" s="260"/>
      <c r="C16" s="260"/>
      <c r="D16" s="260"/>
      <c r="E16" s="260"/>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c r="AE16" s="260"/>
      <c r="AF16" s="260"/>
      <c r="AG16" s="260"/>
      <c r="AH16" s="260"/>
      <c r="AI16" s="260"/>
      <c r="AJ16" s="260"/>
      <c r="AK16" s="260"/>
      <c r="AL16" s="260"/>
      <c r="AM16" s="18"/>
    </row>
    <row r="17" spans="1:39" ht="22.5" customHeight="1" x14ac:dyDescent="0.2">
      <c r="A17" s="260"/>
      <c r="B17" s="260"/>
      <c r="C17" s="260"/>
      <c r="D17" s="260"/>
      <c r="E17" s="260"/>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c r="AE17" s="260"/>
      <c r="AF17" s="260"/>
      <c r="AG17" s="260"/>
      <c r="AH17" s="260"/>
      <c r="AI17" s="260"/>
      <c r="AJ17" s="260"/>
      <c r="AK17" s="260"/>
      <c r="AL17" s="260"/>
      <c r="AM17" s="18"/>
    </row>
    <row r="18" spans="1:39" ht="14.25" x14ac:dyDescent="0.2">
      <c r="AM18" s="11"/>
    </row>
    <row r="19" spans="1:39" ht="14.25" customHeight="1" x14ac:dyDescent="0.2">
      <c r="A19" s="217" t="s">
        <v>605</v>
      </c>
      <c r="B19" s="217"/>
      <c r="C19" s="217"/>
      <c r="D19" s="217"/>
      <c r="E19" s="217"/>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7"/>
      <c r="AI19" s="217"/>
      <c r="AJ19" s="217"/>
      <c r="AK19" s="217"/>
      <c r="AL19" s="217"/>
      <c r="AM19" s="18"/>
    </row>
    <row r="20" spans="1:39" ht="14.25" customHeight="1" x14ac:dyDescent="0.2">
      <c r="A20" s="217"/>
      <c r="B20" s="217"/>
      <c r="C20" s="217"/>
      <c r="D20" s="217"/>
      <c r="E20" s="217"/>
      <c r="F20" s="217"/>
      <c r="G20" s="217"/>
      <c r="H20" s="217"/>
      <c r="I20" s="217"/>
      <c r="J20" s="217"/>
      <c r="K20" s="217"/>
      <c r="L20" s="217"/>
      <c r="M20" s="217"/>
      <c r="N20" s="217"/>
      <c r="O20" s="217"/>
      <c r="P20" s="217"/>
      <c r="Q20" s="217"/>
      <c r="R20" s="217"/>
      <c r="S20" s="217"/>
      <c r="T20" s="217"/>
      <c r="U20" s="217"/>
      <c r="V20" s="217"/>
      <c r="W20" s="217"/>
      <c r="X20" s="217"/>
      <c r="Y20" s="217"/>
      <c r="Z20" s="217"/>
      <c r="AA20" s="217"/>
      <c r="AB20" s="217"/>
      <c r="AC20" s="217"/>
      <c r="AD20" s="217"/>
      <c r="AE20" s="217"/>
      <c r="AF20" s="217"/>
      <c r="AG20" s="217"/>
      <c r="AH20" s="217"/>
      <c r="AI20" s="217"/>
      <c r="AJ20" s="217"/>
      <c r="AK20" s="217"/>
      <c r="AL20" s="217"/>
      <c r="AM20" s="18"/>
    </row>
    <row r="21" spans="1:39" ht="14.25" customHeight="1" x14ac:dyDescent="0.2">
      <c r="A21" s="217"/>
      <c r="B21" s="217"/>
      <c r="C21" s="217"/>
      <c r="D21" s="217"/>
      <c r="E21" s="217"/>
      <c r="F21" s="217"/>
      <c r="G21" s="217"/>
      <c r="H21" s="217"/>
      <c r="I21" s="217"/>
      <c r="J21" s="217"/>
      <c r="K21" s="217"/>
      <c r="L21" s="217"/>
      <c r="M21" s="217"/>
      <c r="N21" s="217"/>
      <c r="O21" s="217"/>
      <c r="P21" s="217"/>
      <c r="Q21" s="217"/>
      <c r="R21" s="217"/>
      <c r="S21" s="217"/>
      <c r="T21" s="217"/>
      <c r="U21" s="217"/>
      <c r="V21" s="217"/>
      <c r="W21" s="217"/>
      <c r="X21" s="217"/>
      <c r="Y21" s="217"/>
      <c r="Z21" s="217"/>
      <c r="AA21" s="217"/>
      <c r="AB21" s="217"/>
      <c r="AC21" s="217"/>
      <c r="AD21" s="217"/>
      <c r="AE21" s="217"/>
      <c r="AF21" s="217"/>
      <c r="AG21" s="217"/>
      <c r="AH21" s="217"/>
      <c r="AI21" s="217"/>
      <c r="AJ21" s="217"/>
      <c r="AK21" s="217"/>
      <c r="AL21" s="217"/>
      <c r="AM21" s="18"/>
    </row>
    <row r="22" spans="1:39" ht="14.25" x14ac:dyDescent="0.2">
      <c r="AM22" s="11"/>
    </row>
    <row r="23" spans="1:39" ht="14.25" customHeight="1" x14ac:dyDescent="0.2">
      <c r="A23" s="217" t="s">
        <v>606</v>
      </c>
      <c r="B23" s="217"/>
      <c r="C23" s="217"/>
      <c r="D23" s="217"/>
      <c r="E23" s="217"/>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c r="AE23" s="217"/>
      <c r="AF23" s="217"/>
      <c r="AG23" s="217"/>
      <c r="AH23" s="217"/>
      <c r="AI23" s="217"/>
      <c r="AJ23" s="217"/>
      <c r="AK23" s="217"/>
      <c r="AL23" s="217"/>
      <c r="AM23" s="18"/>
    </row>
    <row r="24" spans="1:39" ht="14.25" customHeight="1" x14ac:dyDescent="0.2">
      <c r="A24" s="217"/>
      <c r="B24" s="217"/>
      <c r="C24" s="217"/>
      <c r="D24" s="217"/>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7"/>
      <c r="AI24" s="217"/>
      <c r="AJ24" s="217"/>
      <c r="AK24" s="217"/>
      <c r="AL24" s="217"/>
      <c r="AM24" s="18"/>
    </row>
    <row r="25" spans="1:39" ht="14.25" x14ac:dyDescent="0.2">
      <c r="AM25" s="11"/>
    </row>
    <row r="26" spans="1:39" ht="12.75" customHeight="1" x14ac:dyDescent="0.2">
      <c r="A26" s="217" t="s">
        <v>607</v>
      </c>
      <c r="B26" s="217"/>
      <c r="C26" s="217"/>
      <c r="D26" s="217"/>
      <c r="E26" s="217"/>
      <c r="F26" s="217"/>
      <c r="G26" s="217"/>
      <c r="H26" s="217"/>
      <c r="I26" s="217"/>
      <c r="J26" s="217"/>
      <c r="K26" s="217"/>
      <c r="L26" s="217"/>
      <c r="M26" s="217"/>
      <c r="N26" s="217"/>
      <c r="O26" s="217"/>
      <c r="P26" s="217"/>
      <c r="Q26" s="217"/>
      <c r="R26" s="217"/>
      <c r="S26" s="217"/>
      <c r="T26" s="217"/>
      <c r="U26" s="217"/>
      <c r="V26" s="217"/>
      <c r="W26" s="217"/>
      <c r="X26" s="217"/>
      <c r="Y26" s="217"/>
      <c r="Z26" s="217"/>
      <c r="AA26" s="217"/>
      <c r="AB26" s="217"/>
      <c r="AC26" s="217"/>
      <c r="AD26" s="217"/>
      <c r="AE26" s="217"/>
      <c r="AF26" s="217"/>
      <c r="AG26" s="217"/>
      <c r="AH26" s="217"/>
      <c r="AI26" s="217"/>
      <c r="AJ26" s="217"/>
      <c r="AK26" s="217"/>
      <c r="AL26" s="217"/>
      <c r="AM26" s="18"/>
    </row>
    <row r="27" spans="1:39" ht="12.75" customHeight="1" x14ac:dyDescent="0.2">
      <c r="A27" s="217"/>
      <c r="B27" s="217"/>
      <c r="C27" s="217"/>
      <c r="D27" s="217"/>
      <c r="E27" s="217"/>
      <c r="F27" s="217"/>
      <c r="G27" s="217"/>
      <c r="H27" s="217"/>
      <c r="I27" s="217"/>
      <c r="J27" s="217"/>
      <c r="K27" s="217"/>
      <c r="L27" s="217"/>
      <c r="M27" s="217"/>
      <c r="N27" s="217"/>
      <c r="O27" s="217"/>
      <c r="P27" s="217"/>
      <c r="Q27" s="217"/>
      <c r="R27" s="217"/>
      <c r="S27" s="217"/>
      <c r="T27" s="217"/>
      <c r="U27" s="217"/>
      <c r="V27" s="217"/>
      <c r="W27" s="217"/>
      <c r="X27" s="217"/>
      <c r="Y27" s="217"/>
      <c r="Z27" s="217"/>
      <c r="AA27" s="217"/>
      <c r="AB27" s="217"/>
      <c r="AC27" s="217"/>
      <c r="AD27" s="217"/>
      <c r="AE27" s="217"/>
      <c r="AF27" s="217"/>
      <c r="AG27" s="217"/>
      <c r="AH27" s="217"/>
      <c r="AI27" s="217"/>
      <c r="AJ27" s="217"/>
      <c r="AK27" s="217"/>
      <c r="AL27" s="217"/>
      <c r="AM27" s="18"/>
    </row>
    <row r="28" spans="1:39" ht="12.75" customHeight="1" x14ac:dyDescent="0.2">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18"/>
    </row>
    <row r="29" spans="1:39" ht="18" x14ac:dyDescent="0.25">
      <c r="D29" t="s">
        <v>609</v>
      </c>
      <c r="W29" s="284" t="str">
        <f>_xlfn.CONCAT(IF(Data!B310=TRUE,"Level 1",""),IF(Data!B311=TRUE,"Level 2",""),IF(Data!B312=TRUE,"Level 3",""),IF(Data!B313=TRUE,"Level 4",""),,"")</f>
        <v/>
      </c>
      <c r="X29" s="284"/>
      <c r="Y29" s="284"/>
      <c r="Z29" s="284"/>
      <c r="AA29" s="284"/>
      <c r="AB29" s="284"/>
      <c r="AC29" s="284"/>
      <c r="AD29" s="284"/>
      <c r="AE29" s="284"/>
      <c r="AF29" s="284"/>
    </row>
    <row r="32" spans="1:39" ht="12.75" customHeight="1" x14ac:dyDescent="0.2">
      <c r="A32" s="285" t="s">
        <v>608</v>
      </c>
      <c r="B32" s="285"/>
      <c r="C32" s="285"/>
      <c r="D32" s="285"/>
      <c r="E32" s="285"/>
      <c r="F32" s="285"/>
      <c r="G32" s="285"/>
      <c r="H32" s="285"/>
      <c r="I32" s="285"/>
      <c r="J32" s="285"/>
      <c r="K32" s="285"/>
      <c r="L32" s="285"/>
      <c r="M32" s="285"/>
      <c r="N32" s="285"/>
      <c r="O32" s="285"/>
      <c r="P32" s="285"/>
      <c r="Q32" s="285"/>
      <c r="R32" s="285"/>
      <c r="S32" s="285"/>
      <c r="T32" s="285"/>
      <c r="U32" s="285"/>
      <c r="V32" s="285"/>
      <c r="W32" s="285"/>
      <c r="X32" s="285"/>
      <c r="Y32" s="285"/>
      <c r="Z32" s="285"/>
      <c r="AA32" s="285"/>
      <c r="AB32" s="285"/>
      <c r="AC32" s="285"/>
      <c r="AD32" s="285"/>
      <c r="AE32" s="285"/>
      <c r="AF32" s="285"/>
      <c r="AG32" s="285"/>
      <c r="AH32" s="285"/>
      <c r="AI32" s="285"/>
      <c r="AJ32" s="285"/>
      <c r="AK32" s="285"/>
      <c r="AL32" s="10"/>
      <c r="AM32" s="10"/>
    </row>
    <row r="33" spans="1:39" x14ac:dyDescent="0.2">
      <c r="A33" s="285"/>
      <c r="B33" s="285"/>
      <c r="C33" s="285"/>
      <c r="D33" s="285"/>
      <c r="E33" s="285"/>
      <c r="F33" s="285"/>
      <c r="G33" s="285"/>
      <c r="H33" s="285"/>
      <c r="I33" s="285"/>
      <c r="J33" s="285"/>
      <c r="K33" s="285"/>
      <c r="L33" s="285"/>
      <c r="M33" s="285"/>
      <c r="N33" s="285"/>
      <c r="O33" s="285"/>
      <c r="P33" s="285"/>
      <c r="Q33" s="285"/>
      <c r="R33" s="285"/>
      <c r="S33" s="285"/>
      <c r="T33" s="285"/>
      <c r="U33" s="285"/>
      <c r="V33" s="285"/>
      <c r="W33" s="285"/>
      <c r="X33" s="285"/>
      <c r="Y33" s="285"/>
      <c r="Z33" s="285"/>
      <c r="AA33" s="285"/>
      <c r="AB33" s="285"/>
      <c r="AC33" s="285"/>
      <c r="AD33" s="285"/>
      <c r="AE33" s="285"/>
      <c r="AF33" s="285"/>
      <c r="AG33" s="285"/>
      <c r="AH33" s="285"/>
      <c r="AI33" s="285"/>
      <c r="AJ33" s="285"/>
      <c r="AK33" s="285"/>
      <c r="AL33" s="10"/>
      <c r="AM33" s="10"/>
    </row>
    <row r="41" spans="1:39" x14ac:dyDescent="0.2">
      <c r="A41" s="240"/>
      <c r="B41" s="240"/>
      <c r="C41" s="240"/>
      <c r="D41" s="240"/>
      <c r="E41" s="240"/>
      <c r="F41" s="240"/>
      <c r="G41" s="240"/>
      <c r="H41" s="240"/>
      <c r="I41" s="240"/>
      <c r="J41" s="240"/>
      <c r="K41" s="240"/>
      <c r="L41" s="240"/>
      <c r="M41" s="240"/>
      <c r="N41" s="240"/>
      <c r="O41" s="240"/>
      <c r="P41" s="240"/>
    </row>
    <row r="42" spans="1:39" x14ac:dyDescent="0.2">
      <c r="A42" s="240"/>
      <c r="B42" s="240"/>
      <c r="C42" s="240"/>
      <c r="D42" s="240"/>
      <c r="E42" s="240"/>
      <c r="F42" s="240"/>
      <c r="G42" s="240"/>
      <c r="H42" s="240"/>
      <c r="I42" s="240"/>
      <c r="J42" s="240"/>
      <c r="K42" s="240"/>
      <c r="L42" s="240"/>
      <c r="M42" s="240"/>
      <c r="N42" s="240"/>
      <c r="O42" s="240"/>
      <c r="P42" s="240"/>
    </row>
    <row r="43" spans="1:39" x14ac:dyDescent="0.2">
      <c r="A43" s="266"/>
      <c r="B43" s="266"/>
      <c r="C43" s="266"/>
      <c r="D43" s="266"/>
      <c r="E43" s="266"/>
      <c r="F43" s="266"/>
      <c r="G43" s="266"/>
      <c r="H43" s="266"/>
      <c r="I43" s="266"/>
      <c r="J43" s="266"/>
      <c r="K43" s="266"/>
      <c r="L43" s="266"/>
      <c r="M43" s="266"/>
      <c r="N43" s="266"/>
      <c r="O43" s="266"/>
      <c r="P43" s="266"/>
      <c r="R43" s="269">
        <f>Data!B34</f>
        <v>0</v>
      </c>
      <c r="S43" s="267"/>
      <c r="T43" s="267"/>
      <c r="U43" s="267"/>
      <c r="V43" s="267"/>
      <c r="W43" s="267"/>
      <c r="X43" s="267"/>
      <c r="Y43" s="267"/>
    </row>
    <row r="44" spans="1:39" x14ac:dyDescent="0.2">
      <c r="A44" t="s">
        <v>367</v>
      </c>
      <c r="R44" t="s">
        <v>368</v>
      </c>
    </row>
    <row r="45" spans="1:39" x14ac:dyDescent="0.2">
      <c r="A45" s="240"/>
      <c r="B45" s="240"/>
      <c r="C45" s="240"/>
      <c r="D45" s="240"/>
      <c r="E45" s="240"/>
      <c r="F45" s="240"/>
      <c r="G45" s="240"/>
      <c r="H45" s="240"/>
      <c r="I45" s="240"/>
      <c r="J45" s="240"/>
      <c r="K45" s="240"/>
      <c r="L45" s="240"/>
      <c r="M45" s="240"/>
      <c r="N45" s="240"/>
      <c r="O45" s="240"/>
      <c r="P45" s="240"/>
    </row>
    <row r="46" spans="1:39" x14ac:dyDescent="0.2">
      <c r="A46" s="240"/>
      <c r="B46" s="240"/>
      <c r="C46" s="240"/>
      <c r="D46" s="240"/>
      <c r="E46" s="240"/>
      <c r="F46" s="240"/>
      <c r="G46" s="240"/>
      <c r="H46" s="240"/>
      <c r="I46" s="240"/>
      <c r="J46" s="240"/>
      <c r="K46" s="240"/>
      <c r="L46" s="240"/>
      <c r="M46" s="240"/>
      <c r="N46" s="240"/>
      <c r="O46" s="240"/>
      <c r="P46" s="240"/>
    </row>
    <row r="47" spans="1:39" x14ac:dyDescent="0.2">
      <c r="A47" s="266"/>
      <c r="B47" s="266"/>
      <c r="C47" s="266"/>
      <c r="D47" s="266"/>
      <c r="E47" s="266"/>
      <c r="F47" s="266"/>
      <c r="G47" s="266"/>
      <c r="H47" s="266"/>
      <c r="I47" s="266"/>
      <c r="J47" s="266"/>
      <c r="K47" s="266"/>
      <c r="L47" s="266"/>
      <c r="M47" s="266"/>
      <c r="N47" s="266"/>
      <c r="O47" s="266"/>
      <c r="P47" s="266"/>
      <c r="R47" s="267">
        <f>Data!B175</f>
        <v>0</v>
      </c>
      <c r="S47" s="267"/>
      <c r="T47" s="267"/>
      <c r="U47" s="267"/>
      <c r="V47" s="267"/>
      <c r="W47" s="267"/>
      <c r="X47" s="267"/>
      <c r="Y47" s="267"/>
      <c r="Z47" s="267"/>
      <c r="AA47" s="267"/>
      <c r="AB47" s="267"/>
      <c r="AC47" s="267"/>
      <c r="AD47" s="267"/>
      <c r="AE47" s="267"/>
    </row>
    <row r="48" spans="1:39" x14ac:dyDescent="0.2">
      <c r="A48" t="s">
        <v>2881</v>
      </c>
      <c r="R48" t="s">
        <v>1465</v>
      </c>
    </row>
  </sheetData>
  <mergeCells count="18">
    <mergeCell ref="A45:P47"/>
    <mergeCell ref="R47:AE47"/>
    <mergeCell ref="A23:AL24"/>
    <mergeCell ref="A26:AL27"/>
    <mergeCell ref="W29:AF29"/>
    <mergeCell ref="A41:P43"/>
    <mergeCell ref="R43:Y43"/>
    <mergeCell ref="A32:AK33"/>
    <mergeCell ref="A14:AL17"/>
    <mergeCell ref="A19:AL21"/>
    <mergeCell ref="F2:W2"/>
    <mergeCell ref="AA2:AG2"/>
    <mergeCell ref="H10:Q10"/>
    <mergeCell ref="X10:AF10"/>
    <mergeCell ref="A13:AL13"/>
    <mergeCell ref="A4:AL9"/>
    <mergeCell ref="H11:K11"/>
    <mergeCell ref="Z11:AI11"/>
  </mergeCells>
  <pageMargins left="0.25" right="0.25" top="0.75" bottom="0.75" header="0.3" footer="0.3"/>
  <pageSetup orientation="portrait" r:id="rId1"/>
  <headerFooter>
    <oddHeader>&amp;L&amp;G&amp;RDisaster Plan Triage Level</oddHeader>
    <oddFooter>&amp;LDS&amp;C3088 Mercer University Drive Suite 100 Atlanta, GA 30341
678-310-6305 Fax 404-935-6110&amp;RPP.M</oddFooter>
  </headerFooter>
  <legacyDrawingHF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20">
    <tabColor theme="4" tint="-0.249977111117893"/>
  </sheetPr>
  <dimension ref="A2:AN30"/>
  <sheetViews>
    <sheetView showZeros="0" view="pageLayout" zoomScaleNormal="100" workbookViewId="0">
      <selection sqref="A1:AM43"/>
    </sheetView>
  </sheetViews>
  <sheetFormatPr defaultColWidth="2.7109375" defaultRowHeight="14.25" customHeight="1" x14ac:dyDescent="0.2"/>
  <sheetData>
    <row r="2" spans="1:40" ht="14.25" customHeight="1" x14ac:dyDescent="0.2">
      <c r="A2" t="s">
        <v>336</v>
      </c>
      <c r="F2" s="233" t="str">
        <f>_xlfn.CONCAT(Data!B2,", ",Data!B3," ",Data!B4)</f>
        <v xml:space="preserve">,  </v>
      </c>
      <c r="G2" s="233"/>
      <c r="H2" s="233"/>
      <c r="I2" s="233"/>
      <c r="J2" s="233"/>
      <c r="K2" s="233"/>
      <c r="L2" s="233"/>
      <c r="M2" s="233"/>
      <c r="N2" s="233"/>
      <c r="O2" s="233"/>
      <c r="P2" s="233"/>
      <c r="Q2" s="233"/>
      <c r="R2" s="233"/>
      <c r="S2" s="233"/>
      <c r="T2" s="233"/>
      <c r="U2" s="233"/>
      <c r="X2" t="s">
        <v>371</v>
      </c>
      <c r="Z2" s="218">
        <f>Data!B14</f>
        <v>0</v>
      </c>
      <c r="AA2" s="219"/>
      <c r="AB2" s="219"/>
      <c r="AC2" s="219"/>
      <c r="AD2" s="219"/>
      <c r="AE2" s="219"/>
      <c r="AF2" s="219"/>
      <c r="AG2" s="219"/>
    </row>
    <row r="4" spans="1:40" ht="14.25" customHeight="1" x14ac:dyDescent="0.2">
      <c r="A4" t="s">
        <v>582</v>
      </c>
      <c r="F4" s="218">
        <f>Data!B33</f>
        <v>0</v>
      </c>
      <c r="G4" s="219"/>
      <c r="H4" s="219"/>
      <c r="I4" s="219"/>
      <c r="J4" s="219"/>
      <c r="K4" s="219"/>
      <c r="X4" t="s">
        <v>639</v>
      </c>
      <c r="AD4" s="218">
        <f>Data!B35</f>
        <v>0</v>
      </c>
      <c r="AE4" s="219"/>
      <c r="AF4" s="219"/>
      <c r="AG4" s="219"/>
      <c r="AH4" s="219"/>
      <c r="AI4" s="219"/>
    </row>
    <row r="6" spans="1:40" ht="14.25" customHeight="1" x14ac:dyDescent="0.2">
      <c r="A6" t="s">
        <v>633</v>
      </c>
      <c r="M6" s="7"/>
      <c r="N6" s="7" t="s">
        <v>634</v>
      </c>
      <c r="O6" s="7"/>
      <c r="P6" s="7"/>
      <c r="X6" t="s">
        <v>635</v>
      </c>
      <c r="AD6" s="7" t="s">
        <v>79</v>
      </c>
      <c r="AE6" s="7"/>
      <c r="AF6" s="7"/>
      <c r="AG6" s="7"/>
      <c r="AH6" s="7"/>
      <c r="AI6" s="7"/>
      <c r="AJ6" s="7"/>
      <c r="AK6" s="7"/>
      <c r="AL6" s="7"/>
      <c r="AM6" s="7"/>
      <c r="AN6" s="7"/>
    </row>
    <row r="8" spans="1:40" ht="14.25" customHeight="1" x14ac:dyDescent="0.2">
      <c r="A8" t="s">
        <v>636</v>
      </c>
      <c r="K8" s="219">
        <f>Data!B458</f>
        <v>0</v>
      </c>
      <c r="L8" s="219"/>
      <c r="M8" s="219"/>
      <c r="N8" s="219"/>
      <c r="O8" s="219"/>
      <c r="P8" s="219"/>
      <c r="Q8" s="219"/>
      <c r="AB8" s="7"/>
      <c r="AC8" s="7"/>
      <c r="AD8" s="7"/>
      <c r="AE8" s="7"/>
      <c r="AF8" s="7"/>
    </row>
    <row r="10" spans="1:40" ht="14.25" customHeight="1" x14ac:dyDescent="0.2">
      <c r="A10" t="s">
        <v>637</v>
      </c>
      <c r="L10" s="219" t="str">
        <f>IF(Data!B890=TRUE,"No","Yes")</f>
        <v>Yes</v>
      </c>
      <c r="M10" s="219"/>
      <c r="N10" s="219"/>
      <c r="O10" s="219"/>
      <c r="T10" t="s">
        <v>638</v>
      </c>
      <c r="AC10" s="219" t="s">
        <v>634</v>
      </c>
      <c r="AD10" s="219"/>
      <c r="AE10" s="219"/>
      <c r="AF10" s="219"/>
    </row>
    <row r="12" spans="1:40" ht="14.25" customHeight="1" x14ac:dyDescent="0.2">
      <c r="A12" t="s">
        <v>640</v>
      </c>
    </row>
    <row r="13" spans="1:40" ht="14.25" customHeight="1" x14ac:dyDescent="0.2">
      <c r="AC13" s="21" t="s">
        <v>649</v>
      </c>
      <c r="AD13" t="s">
        <v>634</v>
      </c>
      <c r="AH13" t="s">
        <v>1</v>
      </c>
    </row>
    <row r="14" spans="1:40" ht="14.25" customHeight="1" x14ac:dyDescent="0.2">
      <c r="F14" t="s">
        <v>641</v>
      </c>
      <c r="S14" s="22"/>
      <c r="T14" s="22"/>
      <c r="U14" s="22"/>
      <c r="V14" s="22"/>
      <c r="W14" s="22"/>
      <c r="X14" s="22"/>
      <c r="Y14" s="22"/>
      <c r="Z14" s="22"/>
      <c r="AA14" s="22"/>
      <c r="AB14" s="22"/>
      <c r="AC14" s="21" t="s">
        <v>649</v>
      </c>
      <c r="AD14" t="s">
        <v>634</v>
      </c>
      <c r="AH14" t="s">
        <v>1</v>
      </c>
    </row>
    <row r="15" spans="1:40" ht="14.25" customHeight="1" x14ac:dyDescent="0.2">
      <c r="F15" t="s">
        <v>642</v>
      </c>
      <c r="U15" s="22"/>
      <c r="V15" s="22"/>
      <c r="W15" s="22"/>
      <c r="X15" s="22"/>
      <c r="Y15" s="22"/>
      <c r="Z15" s="22"/>
      <c r="AA15" s="22"/>
      <c r="AB15" s="22"/>
      <c r="AC15" s="21" t="s">
        <v>649</v>
      </c>
      <c r="AD15" t="s">
        <v>634</v>
      </c>
      <c r="AH15" t="s">
        <v>1</v>
      </c>
    </row>
    <row r="16" spans="1:40" ht="14.25" customHeight="1" x14ac:dyDescent="0.2">
      <c r="F16" t="s">
        <v>643</v>
      </c>
      <c r="P16" s="22"/>
      <c r="Q16" s="22"/>
      <c r="R16" s="22"/>
      <c r="S16" s="22"/>
      <c r="T16" s="22"/>
      <c r="U16" s="22"/>
      <c r="V16" s="22"/>
      <c r="W16" s="22"/>
      <c r="X16" s="22"/>
      <c r="Y16" s="22"/>
      <c r="Z16" s="22"/>
      <c r="AA16" s="22"/>
      <c r="AB16" s="22"/>
      <c r="AC16" s="21" t="s">
        <v>649</v>
      </c>
      <c r="AD16" t="s">
        <v>634</v>
      </c>
      <c r="AH16" t="s">
        <v>1</v>
      </c>
    </row>
    <row r="17" spans="1:39" ht="14.25" customHeight="1" x14ac:dyDescent="0.2">
      <c r="F17" t="s">
        <v>644</v>
      </c>
      <c r="R17" s="22"/>
      <c r="S17" s="22"/>
      <c r="T17" s="22"/>
      <c r="U17" s="22"/>
      <c r="V17" s="22"/>
      <c r="W17" s="22"/>
      <c r="X17" s="22"/>
      <c r="Y17" s="22"/>
      <c r="Z17" s="22"/>
      <c r="AA17" s="22"/>
      <c r="AB17" s="22"/>
      <c r="AC17" s="21" t="s">
        <v>649</v>
      </c>
      <c r="AD17" t="s">
        <v>634</v>
      </c>
      <c r="AH17" t="s">
        <v>1</v>
      </c>
    </row>
    <row r="18" spans="1:39" ht="14.25" customHeight="1" x14ac:dyDescent="0.2">
      <c r="F18" t="s">
        <v>645</v>
      </c>
      <c r="T18" s="22"/>
      <c r="U18" s="22"/>
      <c r="V18" s="22"/>
      <c r="W18" s="22"/>
      <c r="X18" s="22"/>
      <c r="Y18" s="22"/>
      <c r="AA18" s="22"/>
      <c r="AB18" s="22"/>
      <c r="AC18" s="21" t="s">
        <v>649</v>
      </c>
      <c r="AD18" t="s">
        <v>634</v>
      </c>
      <c r="AH18" t="s">
        <v>1</v>
      </c>
    </row>
    <row r="19" spans="1:39" ht="14.25" customHeight="1" x14ac:dyDescent="0.2">
      <c r="F19" t="s">
        <v>646</v>
      </c>
      <c r="AA19" s="22"/>
      <c r="AB19" s="22"/>
      <c r="AC19" s="21" t="s">
        <v>649</v>
      </c>
      <c r="AD19" t="s">
        <v>634</v>
      </c>
      <c r="AH19" t="s">
        <v>1</v>
      </c>
    </row>
    <row r="20" spans="1:39" ht="14.25" customHeight="1" x14ac:dyDescent="0.2">
      <c r="F20" t="s">
        <v>647</v>
      </c>
      <c r="V20" s="22"/>
      <c r="W20" s="22"/>
      <c r="X20" s="22"/>
      <c r="Y20" s="22"/>
      <c r="Z20" s="22"/>
      <c r="AA20" s="22"/>
      <c r="AB20" s="22"/>
      <c r="AC20" s="21" t="s">
        <v>649</v>
      </c>
      <c r="AD20" t="s">
        <v>634</v>
      </c>
      <c r="AH20" t="s">
        <v>1</v>
      </c>
    </row>
    <row r="21" spans="1:39" ht="14.25" customHeight="1" x14ac:dyDescent="0.2">
      <c r="F21" t="s">
        <v>648</v>
      </c>
      <c r="N21" s="22"/>
      <c r="O21" s="22"/>
      <c r="P21" s="22"/>
      <c r="Q21" s="22"/>
      <c r="R21" s="22"/>
      <c r="S21" s="22"/>
      <c r="T21" s="22"/>
      <c r="U21" s="22"/>
      <c r="V21" s="22"/>
      <c r="W21" s="22"/>
      <c r="X21" s="22"/>
      <c r="Y21" s="22"/>
      <c r="Z21" s="22"/>
      <c r="AA21" s="22"/>
      <c r="AB21" s="22"/>
      <c r="AC21" s="21" t="str">
        <f>IF(Data!B1019="No","","P")</f>
        <v>P</v>
      </c>
      <c r="AD21" t="s">
        <v>634</v>
      </c>
      <c r="AG21" s="21" t="str">
        <f>IF(Data!B1019="No","P","")</f>
        <v/>
      </c>
      <c r="AH21" t="s">
        <v>1</v>
      </c>
    </row>
    <row r="23" spans="1:39" ht="14.25" customHeight="1" x14ac:dyDescent="0.2">
      <c r="A23" s="543" t="str">
        <f>_xlfn.CONCAT(IF(Data!B1715=TRUE,"Client is safe to be alone.",""),IF(Data!B1714=TRUE,"Client is safe to be alone but is recommended to have supervision from friends/family due to cognitive/mobility deficits.",""),IF(Data!B876=TRUE,"Client is not safe to be alone.  Family/friends should provide supervision when caregiver is not scheduled.",""))</f>
        <v/>
      </c>
      <c r="B23" s="543"/>
      <c r="C23" s="543"/>
      <c r="D23" s="543"/>
      <c r="E23" s="543"/>
      <c r="F23" s="543"/>
      <c r="G23" s="543"/>
      <c r="H23" s="543"/>
      <c r="I23" s="543"/>
      <c r="J23" s="543"/>
      <c r="K23" s="543"/>
      <c r="L23" s="543"/>
      <c r="M23" s="543"/>
      <c r="N23" s="543"/>
      <c r="O23" s="543"/>
      <c r="P23" s="543"/>
      <c r="Q23" s="543"/>
      <c r="R23" s="543"/>
      <c r="S23" s="543"/>
      <c r="T23" s="543"/>
      <c r="U23" s="543"/>
      <c r="V23" s="543"/>
      <c r="W23" s="543"/>
      <c r="X23" s="543"/>
      <c r="Y23" s="543"/>
      <c r="Z23" s="543"/>
      <c r="AA23" s="543"/>
      <c r="AB23" s="543"/>
      <c r="AC23" s="543"/>
      <c r="AD23" s="543"/>
      <c r="AE23" s="543"/>
      <c r="AF23" s="543"/>
      <c r="AG23" s="543"/>
      <c r="AH23" s="543"/>
      <c r="AI23" s="543"/>
      <c r="AJ23" s="543"/>
      <c r="AK23" s="543"/>
      <c r="AL23" s="543"/>
      <c r="AM23" s="543"/>
    </row>
    <row r="27" spans="1:39" ht="14.25" customHeight="1" x14ac:dyDescent="0.2">
      <c r="S27" s="240"/>
      <c r="T27" s="240"/>
      <c r="U27" s="240"/>
      <c r="V27" s="240"/>
      <c r="W27" s="240"/>
      <c r="X27" s="240"/>
      <c r="Y27" s="240"/>
      <c r="Z27" s="240"/>
      <c r="AA27" s="240"/>
      <c r="AB27" s="240"/>
      <c r="AC27" s="240"/>
      <c r="AD27" s="240"/>
      <c r="AE27" s="240"/>
      <c r="AF27" s="240"/>
      <c r="AG27" s="240"/>
      <c r="AH27" s="240"/>
      <c r="AI27" s="240"/>
      <c r="AJ27" s="240"/>
      <c r="AK27" s="240"/>
    </row>
    <row r="28" spans="1:39" ht="14.25" customHeight="1" x14ac:dyDescent="0.2">
      <c r="S28" s="240"/>
      <c r="T28" s="240"/>
      <c r="U28" s="240"/>
      <c r="V28" s="240"/>
      <c r="W28" s="240"/>
      <c r="X28" s="240"/>
      <c r="Y28" s="240"/>
      <c r="Z28" s="240"/>
      <c r="AA28" s="240"/>
      <c r="AB28" s="240"/>
      <c r="AC28" s="240"/>
      <c r="AD28" s="240"/>
      <c r="AE28" s="240"/>
      <c r="AF28" s="240"/>
      <c r="AG28" s="240"/>
      <c r="AH28" s="240"/>
      <c r="AI28" s="240"/>
      <c r="AJ28" s="240"/>
      <c r="AK28" s="240"/>
    </row>
    <row r="29" spans="1:39" ht="14.25" customHeight="1" x14ac:dyDescent="0.2">
      <c r="A29" s="276">
        <f>Data!B175</f>
        <v>0</v>
      </c>
      <c r="B29" s="276"/>
      <c r="C29" s="276"/>
      <c r="D29" s="276"/>
      <c r="E29" s="276"/>
      <c r="F29" s="276"/>
      <c r="G29" s="276"/>
      <c r="H29" s="276"/>
      <c r="I29" s="276"/>
      <c r="J29" s="276"/>
      <c r="K29" s="276"/>
      <c r="L29" s="276"/>
      <c r="M29" s="276"/>
      <c r="N29" s="276"/>
      <c r="O29" s="276"/>
      <c r="P29" s="276"/>
      <c r="S29" s="266"/>
      <c r="T29" s="266"/>
      <c r="U29" s="266"/>
      <c r="V29" s="266"/>
      <c r="W29" s="266"/>
      <c r="X29" s="266"/>
      <c r="Y29" s="266"/>
      <c r="Z29" s="266"/>
      <c r="AA29" s="266"/>
      <c r="AB29" s="266"/>
      <c r="AC29" s="266"/>
      <c r="AD29" s="266"/>
      <c r="AE29" s="266"/>
      <c r="AF29" s="266"/>
      <c r="AG29" s="266"/>
      <c r="AH29" s="266"/>
      <c r="AI29" s="266"/>
      <c r="AJ29" s="266"/>
      <c r="AK29" s="266"/>
    </row>
    <row r="30" spans="1:39" ht="14.25" customHeight="1" x14ac:dyDescent="0.2">
      <c r="A30" t="s">
        <v>369</v>
      </c>
      <c r="S30" t="s">
        <v>370</v>
      </c>
    </row>
  </sheetData>
  <mergeCells count="10">
    <mergeCell ref="A29:P29"/>
    <mergeCell ref="S27:AK29"/>
    <mergeCell ref="F2:U2"/>
    <mergeCell ref="Z2:AG2"/>
    <mergeCell ref="F4:K4"/>
    <mergeCell ref="K8:Q8"/>
    <mergeCell ref="L10:O10"/>
    <mergeCell ref="AC10:AF10"/>
    <mergeCell ref="AD4:AI4"/>
    <mergeCell ref="A23:AM23"/>
  </mergeCells>
  <pageMargins left="0.25" right="0.25" top="0.75" bottom="0.75" header="0.3" footer="0.3"/>
  <pageSetup orientation="portrait" r:id="rId1"/>
  <headerFooter>
    <oddHeader>&amp;L&amp;G&amp;RAdmission to Services</oddHeader>
    <oddFooter>&amp;LINT.DS&amp;C3088 Mercer University Drive Suite 100 Atlanta, GA 30341
678-310-6305 Fax 404-935-6110&amp;RM</oddFooter>
  </headerFooter>
  <legacyDrawingHF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62785-F7E2-44BF-BF46-E41F1048DF39}">
  <sheetPr codeName="Sheet83">
    <tabColor rgb="FFFFFF00"/>
  </sheetPr>
  <dimension ref="A2:AL45"/>
  <sheetViews>
    <sheetView showZeros="0" view="pageLayout" topLeftCell="A16" zoomScaleNormal="100" workbookViewId="0">
      <selection activeCell="N26" sqref="N26:AG26"/>
    </sheetView>
  </sheetViews>
  <sheetFormatPr defaultColWidth="2.7109375" defaultRowHeight="12.75" x14ac:dyDescent="0.2"/>
  <sheetData>
    <row r="2" spans="1:37" x14ac:dyDescent="0.2">
      <c r="A2" t="s">
        <v>336</v>
      </c>
      <c r="F2" s="240" t="str">
        <f>_xlfn.CONCAT(Data!B2,", ",Data!B3," ",Data!B4)</f>
        <v xml:space="preserve">,  </v>
      </c>
      <c r="G2" s="240"/>
      <c r="H2" s="240"/>
      <c r="I2" s="240"/>
      <c r="J2" s="240"/>
      <c r="K2" s="240"/>
      <c r="L2" s="240"/>
      <c r="M2" s="240"/>
      <c r="N2" s="240"/>
      <c r="O2" s="240"/>
      <c r="P2" s="240"/>
      <c r="Q2" s="240"/>
      <c r="R2" s="240"/>
      <c r="S2" s="240"/>
      <c r="T2" s="240"/>
      <c r="U2" s="240"/>
      <c r="V2" s="240"/>
      <c r="W2" s="240"/>
      <c r="Y2" t="s">
        <v>582</v>
      </c>
      <c r="AE2" s="350">
        <f>Data!B34</f>
        <v>0</v>
      </c>
      <c r="AF2" s="295"/>
      <c r="AG2" s="295"/>
      <c r="AH2" s="295"/>
      <c r="AI2" s="295"/>
      <c r="AJ2" s="295"/>
      <c r="AK2" s="295"/>
    </row>
    <row r="5" spans="1:37" x14ac:dyDescent="0.2">
      <c r="A5" s="217" t="s">
        <v>3452</v>
      </c>
      <c r="B5" s="217"/>
      <c r="C5" s="217"/>
      <c r="D5" s="217"/>
      <c r="E5" s="217"/>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c r="AE5" s="217"/>
      <c r="AF5" s="217"/>
      <c r="AG5" s="217"/>
      <c r="AH5" s="217"/>
      <c r="AI5" s="217"/>
      <c r="AJ5" s="217"/>
      <c r="AK5" s="217"/>
    </row>
    <row r="6" spans="1:37" x14ac:dyDescent="0.2">
      <c r="A6" s="217"/>
      <c r="B6" s="217"/>
      <c r="C6" s="217"/>
      <c r="D6" s="217"/>
      <c r="E6" s="217"/>
      <c r="F6" s="217"/>
      <c r="G6" s="217"/>
      <c r="H6" s="217"/>
      <c r="I6" s="217"/>
      <c r="J6" s="217"/>
      <c r="K6" s="217"/>
      <c r="L6" s="217"/>
      <c r="M6" s="217"/>
      <c r="N6" s="217"/>
      <c r="O6" s="217"/>
      <c r="P6" s="217"/>
      <c r="Q6" s="217"/>
      <c r="R6" s="217"/>
      <c r="S6" s="217"/>
      <c r="T6" s="217"/>
      <c r="U6" s="217"/>
      <c r="V6" s="217"/>
      <c r="W6" s="217"/>
      <c r="X6" s="217"/>
      <c r="Y6" s="217"/>
      <c r="Z6" s="217"/>
      <c r="AA6" s="217"/>
      <c r="AB6" s="217"/>
      <c r="AC6" s="217"/>
      <c r="AD6" s="217"/>
      <c r="AE6" s="217"/>
      <c r="AF6" s="217"/>
      <c r="AG6" s="217"/>
      <c r="AH6" s="217"/>
      <c r="AI6" s="217"/>
      <c r="AJ6" s="217"/>
      <c r="AK6" s="217"/>
    </row>
    <row r="7" spans="1:37" x14ac:dyDescent="0.2">
      <c r="A7" s="217"/>
      <c r="B7" s="217"/>
      <c r="C7" s="217"/>
      <c r="D7" s="217"/>
      <c r="E7" s="217"/>
      <c r="F7" s="217"/>
      <c r="G7" s="217"/>
      <c r="H7" s="217"/>
      <c r="I7" s="217"/>
      <c r="J7" s="217"/>
      <c r="K7" s="217"/>
      <c r="L7" s="217"/>
      <c r="M7" s="217"/>
      <c r="N7" s="217"/>
      <c r="O7" s="217"/>
      <c r="P7" s="217"/>
      <c r="Q7" s="217"/>
      <c r="R7" s="217"/>
      <c r="S7" s="217"/>
      <c r="T7" s="217"/>
      <c r="U7" s="217"/>
      <c r="V7" s="217"/>
      <c r="W7" s="217"/>
      <c r="X7" s="217"/>
      <c r="Y7" s="217"/>
      <c r="Z7" s="217"/>
      <c r="AA7" s="217"/>
      <c r="AB7" s="217"/>
      <c r="AC7" s="217"/>
      <c r="AD7" s="217"/>
      <c r="AE7" s="217"/>
      <c r="AF7" s="217"/>
      <c r="AG7" s="217"/>
      <c r="AH7" s="217"/>
      <c r="AI7" s="217"/>
      <c r="AJ7" s="217"/>
      <c r="AK7" s="217"/>
    </row>
    <row r="8" spans="1:37" x14ac:dyDescent="0.2">
      <c r="A8" s="217"/>
      <c r="B8" s="217"/>
      <c r="C8" s="217"/>
      <c r="D8" s="217"/>
      <c r="E8" s="217"/>
      <c r="F8" s="217"/>
      <c r="G8" s="217"/>
      <c r="H8" s="217"/>
      <c r="I8" s="217"/>
      <c r="J8" s="217"/>
      <c r="K8" s="217"/>
      <c r="L8" s="217"/>
      <c r="M8" s="217"/>
      <c r="N8" s="217"/>
      <c r="O8" s="217"/>
      <c r="P8" s="217"/>
      <c r="Q8" s="217"/>
      <c r="R8" s="217"/>
      <c r="S8" s="217"/>
      <c r="T8" s="217"/>
      <c r="U8" s="217"/>
      <c r="V8" s="217"/>
      <c r="W8" s="217"/>
      <c r="X8" s="217"/>
      <c r="Y8" s="217"/>
      <c r="Z8" s="217"/>
      <c r="AA8" s="217"/>
      <c r="AB8" s="217"/>
      <c r="AC8" s="217"/>
      <c r="AD8" s="217"/>
      <c r="AE8" s="217"/>
      <c r="AF8" s="217"/>
      <c r="AG8" s="217"/>
      <c r="AH8" s="217"/>
      <c r="AI8" s="217"/>
      <c r="AJ8" s="217"/>
      <c r="AK8" s="217"/>
    </row>
    <row r="10" spans="1:37" x14ac:dyDescent="0.2">
      <c r="C10" t="s">
        <v>3456</v>
      </c>
      <c r="Q10" t="s">
        <v>2958</v>
      </c>
    </row>
    <row r="11" spans="1:37" x14ac:dyDescent="0.2">
      <c r="C11" t="s">
        <v>3453</v>
      </c>
      <c r="Q11" t="s">
        <v>3464</v>
      </c>
    </row>
    <row r="12" spans="1:37" x14ac:dyDescent="0.2">
      <c r="C12" t="s">
        <v>3454</v>
      </c>
    </row>
    <row r="13" spans="1:37" x14ac:dyDescent="0.2">
      <c r="C13" t="s">
        <v>3455</v>
      </c>
    </row>
    <row r="15" spans="1:37" x14ac:dyDescent="0.2">
      <c r="A15" s="217" t="s">
        <v>3457</v>
      </c>
      <c r="B15" s="217"/>
      <c r="C15" s="217"/>
      <c r="D15" s="217"/>
      <c r="E15" s="217"/>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c r="AE15" s="217"/>
      <c r="AF15" s="217"/>
      <c r="AG15" s="217"/>
      <c r="AH15" s="217"/>
      <c r="AI15" s="217"/>
      <c r="AJ15" s="217"/>
      <c r="AK15" s="217"/>
    </row>
    <row r="16" spans="1:37" x14ac:dyDescent="0.2">
      <c r="A16" s="217"/>
      <c r="B16" s="217"/>
      <c r="C16" s="217"/>
      <c r="D16" s="217"/>
      <c r="E16" s="217"/>
      <c r="F16" s="217"/>
      <c r="G16" s="217"/>
      <c r="H16" s="217"/>
      <c r="I16" s="217"/>
      <c r="J16" s="217"/>
      <c r="K16" s="217"/>
      <c r="L16" s="217"/>
      <c r="M16" s="217"/>
      <c r="N16" s="217"/>
      <c r="O16" s="217"/>
      <c r="P16" s="217"/>
      <c r="Q16" s="217"/>
      <c r="R16" s="217"/>
      <c r="S16" s="217"/>
      <c r="T16" s="217"/>
      <c r="U16" s="217"/>
      <c r="V16" s="217"/>
      <c r="W16" s="217"/>
      <c r="X16" s="217"/>
      <c r="Y16" s="217"/>
      <c r="Z16" s="217"/>
      <c r="AA16" s="217"/>
      <c r="AB16" s="217"/>
      <c r="AC16" s="217"/>
      <c r="AD16" s="217"/>
      <c r="AE16" s="217"/>
      <c r="AF16" s="217"/>
      <c r="AG16" s="217"/>
      <c r="AH16" s="217"/>
      <c r="AI16" s="217"/>
      <c r="AJ16" s="217"/>
      <c r="AK16" s="217"/>
    </row>
    <row r="18" spans="1:37" x14ac:dyDescent="0.2">
      <c r="A18" s="217" t="s">
        <v>3465</v>
      </c>
      <c r="B18" s="217"/>
      <c r="C18" s="217"/>
      <c r="D18" s="217"/>
      <c r="E18" s="217"/>
      <c r="F18" s="217"/>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c r="AE18" s="217"/>
      <c r="AF18" s="217"/>
      <c r="AG18" s="217"/>
      <c r="AH18" s="217"/>
      <c r="AI18" s="217"/>
      <c r="AJ18" s="217"/>
      <c r="AK18" s="217"/>
    </row>
    <row r="19" spans="1:37" x14ac:dyDescent="0.2">
      <c r="A19" s="217"/>
      <c r="B19" s="217"/>
      <c r="C19" s="217"/>
      <c r="D19" s="217"/>
      <c r="E19" s="217"/>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7"/>
      <c r="AI19" s="217"/>
      <c r="AJ19" s="217"/>
      <c r="AK19" s="217"/>
    </row>
    <row r="20" spans="1:37" x14ac:dyDescent="0.2">
      <c r="A20" s="217"/>
      <c r="B20" s="217"/>
      <c r="C20" s="217"/>
      <c r="D20" s="217"/>
      <c r="E20" s="217"/>
      <c r="F20" s="217"/>
      <c r="G20" s="217"/>
      <c r="H20" s="217"/>
      <c r="I20" s="217"/>
      <c r="J20" s="217"/>
      <c r="K20" s="217"/>
      <c r="L20" s="217"/>
      <c r="M20" s="217"/>
      <c r="N20" s="217"/>
      <c r="O20" s="217"/>
      <c r="P20" s="217"/>
      <c r="Q20" s="217"/>
      <c r="R20" s="217"/>
      <c r="S20" s="217"/>
      <c r="T20" s="217"/>
      <c r="U20" s="217"/>
      <c r="V20" s="217"/>
      <c r="W20" s="217"/>
      <c r="X20" s="217"/>
      <c r="Y20" s="217"/>
      <c r="Z20" s="217"/>
      <c r="AA20" s="217"/>
      <c r="AB20" s="217"/>
      <c r="AC20" s="217"/>
      <c r="AD20" s="217"/>
      <c r="AE20" s="217"/>
      <c r="AF20" s="217"/>
      <c r="AG20" s="217"/>
      <c r="AH20" s="217"/>
      <c r="AI20" s="217"/>
      <c r="AJ20" s="217"/>
      <c r="AK20" s="217"/>
    </row>
    <row r="22" spans="1:37" x14ac:dyDescent="0.2">
      <c r="A22" s="217" t="s">
        <v>3463</v>
      </c>
      <c r="B22" s="217"/>
      <c r="C22" s="217"/>
      <c r="D22" s="217"/>
      <c r="E22" s="217"/>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c r="AE22" s="217"/>
      <c r="AF22" s="217"/>
      <c r="AG22" s="217"/>
      <c r="AH22" s="217"/>
      <c r="AI22" s="217"/>
      <c r="AJ22" s="217"/>
      <c r="AK22" s="217"/>
    </row>
    <row r="23" spans="1:37" x14ac:dyDescent="0.2">
      <c r="A23" s="217"/>
      <c r="B23" s="217"/>
      <c r="C23" s="217"/>
      <c r="D23" s="217"/>
      <c r="E23" s="217"/>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c r="AE23" s="217"/>
      <c r="AF23" s="217"/>
      <c r="AG23" s="217"/>
      <c r="AH23" s="217"/>
      <c r="AI23" s="217"/>
      <c r="AJ23" s="217"/>
      <c r="AK23" s="217"/>
    </row>
    <row r="24" spans="1:37" x14ac:dyDescent="0.2">
      <c r="A24" s="217"/>
      <c r="B24" s="217"/>
      <c r="C24" s="217"/>
      <c r="D24" s="217"/>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7"/>
      <c r="AI24" s="217"/>
      <c r="AJ24" s="217"/>
      <c r="AK24" s="217"/>
    </row>
    <row r="26" spans="1:37" x14ac:dyDescent="0.2">
      <c r="C26" t="s">
        <v>3458</v>
      </c>
      <c r="N26" s="310">
        <f>Data!B1808</f>
        <v>0</v>
      </c>
      <c r="O26" s="310"/>
      <c r="P26" s="310"/>
      <c r="Q26" s="310"/>
      <c r="R26" s="310"/>
      <c r="S26" s="310"/>
      <c r="T26" s="310"/>
      <c r="U26" s="310"/>
      <c r="V26" s="310"/>
      <c r="W26" s="310"/>
      <c r="X26" s="310"/>
      <c r="Y26" s="310"/>
      <c r="Z26" s="310"/>
      <c r="AA26" s="310"/>
      <c r="AB26" s="310"/>
      <c r="AC26" s="310"/>
      <c r="AD26" s="310"/>
      <c r="AE26" s="310"/>
      <c r="AF26" s="310"/>
      <c r="AG26" s="310"/>
    </row>
    <row r="27" spans="1:37" x14ac:dyDescent="0.2">
      <c r="C27" t="s">
        <v>3459</v>
      </c>
      <c r="N27" s="310">
        <f>Data!B1809</f>
        <v>0</v>
      </c>
      <c r="O27" s="310"/>
      <c r="P27" s="310"/>
      <c r="Q27" s="310"/>
      <c r="R27" s="310"/>
      <c r="S27" s="310"/>
      <c r="T27" s="310"/>
      <c r="U27" s="310"/>
      <c r="V27" s="310"/>
      <c r="W27" s="310"/>
      <c r="X27" s="310"/>
      <c r="Y27" s="310"/>
      <c r="Z27" s="310"/>
      <c r="AA27" s="310"/>
      <c r="AB27" s="310"/>
      <c r="AC27" s="310"/>
      <c r="AD27" s="310"/>
      <c r="AE27" s="310"/>
      <c r="AF27" s="310"/>
      <c r="AG27" s="310"/>
    </row>
    <row r="28" spans="1:37" x14ac:dyDescent="0.2">
      <c r="C28" t="s">
        <v>3460</v>
      </c>
      <c r="N28" s="310">
        <f>Data!B1810</f>
        <v>0</v>
      </c>
      <c r="O28" s="310"/>
      <c r="P28" s="310"/>
      <c r="Q28" s="310"/>
      <c r="R28" s="310"/>
      <c r="S28" s="310"/>
      <c r="T28" s="310"/>
      <c r="U28" s="310"/>
      <c r="V28" s="310"/>
      <c r="W28" s="310"/>
      <c r="X28" s="310"/>
      <c r="Y28" s="310"/>
      <c r="Z28" s="310"/>
      <c r="AA28" s="310"/>
      <c r="AB28" s="310"/>
      <c r="AC28" s="310"/>
      <c r="AD28" s="310"/>
      <c r="AE28" s="310"/>
      <c r="AF28" s="310"/>
      <c r="AG28" s="310"/>
    </row>
    <row r="29" spans="1:37" x14ac:dyDescent="0.2">
      <c r="C29" t="s">
        <v>3461</v>
      </c>
      <c r="N29" s="310">
        <f>Data!B1811</f>
        <v>0</v>
      </c>
      <c r="O29" s="310"/>
      <c r="P29" s="310"/>
      <c r="Q29" s="310"/>
      <c r="R29" s="310"/>
      <c r="S29" s="310"/>
      <c r="T29" s="310"/>
      <c r="U29" s="310"/>
      <c r="V29" s="310"/>
      <c r="W29" s="310"/>
      <c r="X29" s="310"/>
      <c r="Y29" s="310"/>
      <c r="Z29" s="310"/>
      <c r="AA29" s="310"/>
      <c r="AB29" s="310"/>
      <c r="AC29" s="310"/>
      <c r="AD29" s="310"/>
      <c r="AE29" s="310"/>
      <c r="AF29" s="310"/>
      <c r="AG29" s="310"/>
    </row>
    <row r="30" spans="1:37" x14ac:dyDescent="0.2">
      <c r="C30" t="s">
        <v>3462</v>
      </c>
      <c r="N30" s="310">
        <f>Data!B1812</f>
        <v>0</v>
      </c>
      <c r="O30" s="310"/>
      <c r="P30" s="310"/>
      <c r="Q30" s="310"/>
      <c r="R30" s="310"/>
      <c r="S30" s="310"/>
      <c r="T30" s="310"/>
      <c r="U30" s="310"/>
      <c r="V30" s="310"/>
      <c r="W30" s="310"/>
      <c r="X30" s="310"/>
      <c r="Y30" s="310"/>
      <c r="Z30" s="310"/>
      <c r="AA30" s="310"/>
      <c r="AB30" s="310"/>
      <c r="AC30" s="310"/>
      <c r="AD30" s="310"/>
      <c r="AE30" s="310"/>
      <c r="AF30" s="310"/>
      <c r="AG30" s="310"/>
    </row>
    <row r="39" spans="1:38" x14ac:dyDescent="0.2">
      <c r="A39" s="34"/>
      <c r="B39" s="34"/>
      <c r="C39" s="34"/>
      <c r="D39" s="34"/>
      <c r="E39" s="34"/>
      <c r="F39" s="34"/>
      <c r="G39" s="34"/>
      <c r="H39" s="34"/>
      <c r="I39" s="34"/>
      <c r="J39" s="34"/>
      <c r="K39" s="34"/>
      <c r="L39" s="34"/>
      <c r="M39" s="34"/>
      <c r="N39" s="34"/>
      <c r="O39" s="34"/>
      <c r="Q39" s="269">
        <f>Data!B34</f>
        <v>0</v>
      </c>
      <c r="R39" s="267"/>
      <c r="S39" s="267"/>
      <c r="T39" s="267"/>
      <c r="U39" s="267"/>
      <c r="V39" s="267"/>
      <c r="X39" s="34"/>
      <c r="Y39" s="34"/>
      <c r="Z39" s="34"/>
      <c r="AA39" s="34"/>
      <c r="AB39" s="34"/>
      <c r="AC39" s="34"/>
      <c r="AD39" s="34"/>
      <c r="AE39" s="34"/>
      <c r="AF39" s="34"/>
      <c r="AG39" s="34"/>
      <c r="AH39" s="34"/>
      <c r="AI39" s="34"/>
      <c r="AJ39" s="34"/>
      <c r="AK39" s="34"/>
      <c r="AL39" s="34"/>
    </row>
    <row r="40" spans="1:38" x14ac:dyDescent="0.2">
      <c r="A40" t="s">
        <v>944</v>
      </c>
      <c r="Q40" t="s">
        <v>368</v>
      </c>
      <c r="X40" t="s">
        <v>2959</v>
      </c>
    </row>
    <row r="44" spans="1:38" x14ac:dyDescent="0.2">
      <c r="A44" s="34"/>
      <c r="B44" s="34"/>
      <c r="C44" s="34"/>
      <c r="D44" s="34"/>
      <c r="E44" s="34"/>
      <c r="F44" s="34"/>
      <c r="G44" s="34"/>
      <c r="H44" s="34"/>
      <c r="I44" s="34"/>
      <c r="J44" s="34"/>
      <c r="K44" s="34"/>
      <c r="L44" s="34"/>
      <c r="M44" s="34"/>
      <c r="N44" s="34"/>
      <c r="O44" s="34"/>
      <c r="Q44" s="276">
        <f>Data!B175</f>
        <v>0</v>
      </c>
      <c r="R44" s="276"/>
      <c r="S44" s="276"/>
      <c r="T44" s="276"/>
      <c r="U44" s="276"/>
      <c r="V44" s="276"/>
      <c r="W44" s="276"/>
      <c r="X44" s="276"/>
      <c r="Y44" s="276"/>
      <c r="Z44" s="276"/>
      <c r="AA44" s="276"/>
    </row>
    <row r="45" spans="1:38" x14ac:dyDescent="0.2">
      <c r="A45" t="s">
        <v>2889</v>
      </c>
      <c r="Q45" t="s">
        <v>1465</v>
      </c>
    </row>
  </sheetData>
  <mergeCells count="13">
    <mergeCell ref="Q39:V39"/>
    <mergeCell ref="Q44:AA44"/>
    <mergeCell ref="A18:AK20"/>
    <mergeCell ref="A22:AK24"/>
    <mergeCell ref="N26:AG26"/>
    <mergeCell ref="N27:AG27"/>
    <mergeCell ref="N28:AG28"/>
    <mergeCell ref="N29:AG29"/>
    <mergeCell ref="F2:W2"/>
    <mergeCell ref="AE2:AK2"/>
    <mergeCell ref="A5:AK8"/>
    <mergeCell ref="A15:AK16"/>
    <mergeCell ref="N30:AG30"/>
  </mergeCells>
  <pageMargins left="0.25" right="0.25" top="0.75" bottom="0.75" header="0.3" footer="0.3"/>
  <pageSetup orientation="portrait" verticalDpi="1200" r:id="rId1"/>
  <headerFooter>
    <oddHeader>&amp;L&amp;G&amp;RLong Term Care Policy Information</oddHeader>
    <oddFooter>&amp;LPS&amp;C3088 Mercer University Drive Suite 100 Atlanta, GA 30341
678-310-6305 Fax 404-935-6110&amp;RPP</oddFooter>
  </headerFooter>
  <legacyDrawingHF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19">
    <tabColor theme="4" tint="-0.249977111117893"/>
  </sheetPr>
  <dimension ref="A1:AO35"/>
  <sheetViews>
    <sheetView showZeros="0" view="pageLayout" zoomScaleNormal="100" workbookViewId="0">
      <selection activeCell="A16" sqref="A16:AN16"/>
    </sheetView>
  </sheetViews>
  <sheetFormatPr defaultColWidth="2.7109375" defaultRowHeight="18" x14ac:dyDescent="0.25"/>
  <cols>
    <col min="1" max="38" width="2.5703125" style="19" customWidth="1"/>
    <col min="39" max="16384" width="2.7109375" style="19"/>
  </cols>
  <sheetData>
    <row r="1" spans="1:41" x14ac:dyDescent="0.25">
      <c r="A1" s="19" t="s">
        <v>336</v>
      </c>
      <c r="G1" s="553" t="str">
        <f>_xlfn.CONCAT(Data!B2,", ",Data!B3," ",Data!B4)</f>
        <v xml:space="preserve">,  </v>
      </c>
      <c r="H1" s="553"/>
      <c r="I1" s="553"/>
      <c r="J1" s="553"/>
      <c r="K1" s="553"/>
      <c r="L1" s="553"/>
      <c r="M1" s="553"/>
      <c r="N1" s="553"/>
      <c r="O1" s="553"/>
      <c r="P1" s="553"/>
      <c r="Q1" s="553"/>
      <c r="R1" s="553"/>
      <c r="S1" s="553"/>
      <c r="T1" s="553"/>
      <c r="U1" s="553"/>
      <c r="V1" s="553"/>
      <c r="W1" s="553"/>
      <c r="X1" s="553"/>
      <c r="Y1" s="553"/>
      <c r="Z1" s="19" t="s">
        <v>582</v>
      </c>
      <c r="AG1" s="94"/>
      <c r="AH1" s="554">
        <f>Data!B33</f>
        <v>0</v>
      </c>
      <c r="AI1" s="554"/>
      <c r="AJ1" s="554"/>
      <c r="AK1" s="554"/>
      <c r="AL1" s="554"/>
      <c r="AM1" s="554"/>
      <c r="AN1" s="94"/>
      <c r="AO1" s="94"/>
    </row>
    <row r="2" spans="1:41" x14ac:dyDescent="0.25">
      <c r="A2" s="19" t="s">
        <v>570</v>
      </c>
      <c r="H2" s="553" t="str">
        <f>IF(Data!B39="","N/A",Data!B39)</f>
        <v>N/A</v>
      </c>
      <c r="I2" s="553"/>
      <c r="J2" s="553"/>
      <c r="K2" s="553"/>
      <c r="L2" s="553"/>
      <c r="M2" s="553"/>
      <c r="N2" s="553"/>
      <c r="O2" s="553"/>
      <c r="P2" s="553"/>
      <c r="Q2" s="553"/>
      <c r="R2" s="553"/>
      <c r="S2" s="553"/>
      <c r="T2" s="553"/>
      <c r="U2" s="553"/>
      <c r="W2" s="19" t="s">
        <v>620</v>
      </c>
      <c r="AA2" s="95"/>
      <c r="AB2" s="548" t="str">
        <f>IF(Data!B40="","N/A",Data!B40)</f>
        <v>N/A</v>
      </c>
      <c r="AC2" s="548"/>
      <c r="AD2" s="548"/>
      <c r="AE2" s="548"/>
      <c r="AF2" s="548"/>
      <c r="AG2" s="548"/>
      <c r="AH2" s="548"/>
      <c r="AI2" s="548"/>
      <c r="AJ2" s="548"/>
      <c r="AK2" s="548"/>
      <c r="AL2" s="548"/>
    </row>
    <row r="3" spans="1:41" x14ac:dyDescent="0.25">
      <c r="A3" s="19" t="s">
        <v>571</v>
      </c>
      <c r="I3" s="547">
        <f>Data!B87</f>
        <v>0</v>
      </c>
      <c r="J3" s="547"/>
      <c r="K3" s="547"/>
      <c r="L3" s="547"/>
      <c r="M3" s="547"/>
      <c r="N3" s="547"/>
      <c r="O3" s="547"/>
      <c r="P3" s="547"/>
      <c r="Q3" s="547"/>
      <c r="R3" s="547"/>
      <c r="S3" s="547"/>
      <c r="T3" s="547"/>
      <c r="U3" s="547"/>
      <c r="W3" s="19" t="s">
        <v>348</v>
      </c>
      <c r="AA3" s="548">
        <f>Data!B93</f>
        <v>0</v>
      </c>
      <c r="AB3" s="548"/>
      <c r="AC3" s="548"/>
      <c r="AD3" s="548"/>
      <c r="AE3" s="548"/>
      <c r="AF3" s="548"/>
      <c r="AG3" s="548"/>
      <c r="AH3" s="548"/>
      <c r="AI3" s="548"/>
      <c r="AJ3" s="548"/>
      <c r="AK3" s="548"/>
      <c r="AL3" s="548"/>
    </row>
    <row r="4" spans="1:41" x14ac:dyDescent="0.25">
      <c r="A4" s="19" t="s">
        <v>572</v>
      </c>
      <c r="I4" s="547">
        <f>Data!B409</f>
        <v>0</v>
      </c>
      <c r="J4" s="547"/>
      <c r="K4" s="547"/>
      <c r="L4" s="547"/>
      <c r="M4" s="547"/>
      <c r="N4" s="547"/>
      <c r="O4" s="547"/>
      <c r="P4" s="547"/>
      <c r="Q4" s="547"/>
      <c r="R4" s="547"/>
      <c r="S4" s="547"/>
      <c r="T4" s="547"/>
      <c r="U4" s="547"/>
      <c r="W4" s="19" t="s">
        <v>348</v>
      </c>
      <c r="AA4" s="548">
        <f>Data!B410</f>
        <v>0</v>
      </c>
      <c r="AB4" s="548"/>
      <c r="AC4" s="548"/>
      <c r="AD4" s="548"/>
      <c r="AE4" s="548"/>
      <c r="AF4" s="548"/>
      <c r="AG4" s="548"/>
      <c r="AH4" s="548"/>
      <c r="AI4" s="548"/>
      <c r="AJ4" s="548"/>
      <c r="AK4" s="548"/>
      <c r="AL4" s="548"/>
    </row>
    <row r="5" spans="1:41" ht="18" customHeight="1" x14ac:dyDescent="0.25">
      <c r="A5" s="549" t="s">
        <v>621</v>
      </c>
      <c r="B5" s="549"/>
      <c r="C5" s="549"/>
      <c r="D5" s="549"/>
      <c r="E5" s="549"/>
      <c r="F5" s="549"/>
      <c r="G5" s="549"/>
      <c r="H5" s="549"/>
      <c r="I5" s="549"/>
      <c r="J5" s="549"/>
      <c r="K5" s="549"/>
      <c r="L5" s="549"/>
      <c r="M5" s="549"/>
      <c r="N5" s="549"/>
      <c r="O5" s="549"/>
      <c r="P5" s="549"/>
      <c r="Q5" s="549"/>
      <c r="R5" s="549"/>
      <c r="S5" s="549"/>
      <c r="T5" s="549"/>
      <c r="U5" s="549"/>
      <c r="V5" s="549"/>
      <c r="W5" s="549"/>
      <c r="X5" s="549"/>
      <c r="Z5" s="550">
        <v>911</v>
      </c>
      <c r="AA5" s="550"/>
      <c r="AB5" s="550"/>
      <c r="AC5" s="550"/>
      <c r="AD5" s="550"/>
      <c r="AE5" s="550"/>
      <c r="AF5" s="550"/>
      <c r="AG5" s="550"/>
      <c r="AH5" s="550"/>
      <c r="AI5" s="550"/>
      <c r="AJ5" s="550"/>
      <c r="AK5" s="550"/>
      <c r="AL5" s="550"/>
      <c r="AM5" s="550"/>
    </row>
    <row r="6" spans="1:41" ht="18" customHeight="1" x14ac:dyDescent="0.25">
      <c r="A6" s="549"/>
      <c r="B6" s="549"/>
      <c r="C6" s="549"/>
      <c r="D6" s="549"/>
      <c r="E6" s="549"/>
      <c r="F6" s="549"/>
      <c r="G6" s="549"/>
      <c r="H6" s="549"/>
      <c r="I6" s="549"/>
      <c r="J6" s="549"/>
      <c r="K6" s="549"/>
      <c r="L6" s="549"/>
      <c r="M6" s="549"/>
      <c r="N6" s="549"/>
      <c r="O6" s="549"/>
      <c r="P6" s="549"/>
      <c r="Q6" s="549"/>
      <c r="R6" s="549"/>
      <c r="S6" s="549"/>
      <c r="T6" s="549"/>
      <c r="U6" s="549"/>
      <c r="V6" s="549"/>
      <c r="W6" s="549"/>
      <c r="X6" s="549"/>
      <c r="Z6" s="550"/>
      <c r="AA6" s="550"/>
      <c r="AB6" s="550"/>
      <c r="AC6" s="550"/>
      <c r="AD6" s="550"/>
      <c r="AE6" s="550"/>
      <c r="AF6" s="550"/>
      <c r="AG6" s="550"/>
      <c r="AH6" s="550"/>
      <c r="AI6" s="550"/>
      <c r="AJ6" s="550"/>
      <c r="AK6" s="550"/>
      <c r="AL6" s="550"/>
      <c r="AM6" s="550"/>
    </row>
    <row r="7" spans="1:41" ht="18" customHeight="1" x14ac:dyDescent="0.25">
      <c r="A7" s="549"/>
      <c r="B7" s="549"/>
      <c r="C7" s="549"/>
      <c r="D7" s="549"/>
      <c r="E7" s="549"/>
      <c r="F7" s="549"/>
      <c r="G7" s="549"/>
      <c r="H7" s="549"/>
      <c r="I7" s="549"/>
      <c r="J7" s="549"/>
      <c r="K7" s="549"/>
      <c r="L7" s="549"/>
      <c r="M7" s="549"/>
      <c r="N7" s="549"/>
      <c r="O7" s="549"/>
      <c r="P7" s="549"/>
      <c r="Q7" s="549"/>
      <c r="R7" s="549"/>
      <c r="S7" s="549"/>
      <c r="T7" s="549"/>
      <c r="U7" s="549"/>
      <c r="V7" s="549"/>
      <c r="W7" s="549"/>
      <c r="X7" s="549"/>
      <c r="Z7" s="550"/>
      <c r="AA7" s="550"/>
      <c r="AB7" s="550"/>
      <c r="AC7" s="550"/>
      <c r="AD7" s="550"/>
      <c r="AE7" s="550"/>
      <c r="AF7" s="550"/>
      <c r="AG7" s="550"/>
      <c r="AH7" s="550"/>
      <c r="AI7" s="550"/>
      <c r="AJ7" s="550"/>
      <c r="AK7" s="550"/>
      <c r="AL7" s="550"/>
      <c r="AM7" s="550"/>
    </row>
    <row r="8" spans="1:41" x14ac:dyDescent="0.25">
      <c r="A8" s="19" t="s">
        <v>3231</v>
      </c>
      <c r="I8" s="551" t="str">
        <f>IF(Data!B1012=TRUE,Data!B1013,"N/A")</f>
        <v>N/A</v>
      </c>
      <c r="J8" s="551"/>
      <c r="K8" s="551"/>
      <c r="L8" s="551"/>
      <c r="M8" s="551"/>
      <c r="N8" s="551"/>
      <c r="O8" s="551"/>
      <c r="P8" s="551"/>
      <c r="Q8" s="551"/>
      <c r="R8" s="551"/>
      <c r="S8" s="551"/>
      <c r="T8" s="551"/>
      <c r="U8" s="551"/>
      <c r="V8" s="551"/>
      <c r="W8" s="551"/>
      <c r="X8" s="551"/>
      <c r="Y8" s="551"/>
      <c r="Z8" s="551"/>
      <c r="AA8" s="551"/>
      <c r="AB8" s="551"/>
      <c r="AC8" s="551"/>
      <c r="AD8" s="551"/>
      <c r="AE8" s="551"/>
      <c r="AF8" s="551"/>
      <c r="AG8" s="551"/>
      <c r="AH8" s="551"/>
      <c r="AI8" s="551"/>
      <c r="AJ8" s="551"/>
      <c r="AK8" s="551"/>
      <c r="AL8" s="551"/>
      <c r="AM8" s="551"/>
    </row>
    <row r="9" spans="1:41" x14ac:dyDescent="0.25">
      <c r="A9" s="552" t="s">
        <v>3482</v>
      </c>
      <c r="B9" s="552"/>
      <c r="C9" s="552"/>
      <c r="D9" s="552"/>
      <c r="E9" s="552"/>
      <c r="F9" s="552"/>
      <c r="G9" s="552"/>
      <c r="H9" s="552"/>
      <c r="I9" s="552"/>
      <c r="J9" s="552"/>
      <c r="K9" s="552"/>
      <c r="L9" s="552"/>
      <c r="M9" s="552"/>
      <c r="N9" s="552"/>
      <c r="O9" s="552"/>
      <c r="P9" s="552"/>
      <c r="Q9" s="552"/>
      <c r="R9" s="552"/>
      <c r="S9" s="552"/>
      <c r="T9" s="552"/>
      <c r="U9" s="552"/>
      <c r="V9" s="552"/>
      <c r="W9" s="552"/>
      <c r="X9" s="552"/>
      <c r="Y9" s="552"/>
      <c r="Z9" s="552"/>
      <c r="AA9" s="552"/>
      <c r="AB9" s="552"/>
      <c r="AC9" s="552"/>
      <c r="AD9" s="552"/>
      <c r="AE9" s="552"/>
      <c r="AF9" s="552"/>
      <c r="AG9" s="552"/>
      <c r="AH9" s="552"/>
      <c r="AI9" s="552"/>
      <c r="AJ9" s="552"/>
      <c r="AK9" s="552"/>
      <c r="AL9" s="552"/>
      <c r="AM9" s="552"/>
      <c r="AN9" s="552"/>
    </row>
    <row r="10" spans="1:41" x14ac:dyDescent="0.25">
      <c r="A10" s="545" t="s">
        <v>622</v>
      </c>
      <c r="B10" s="545"/>
      <c r="C10" s="545"/>
      <c r="D10" s="545"/>
      <c r="E10" s="545"/>
      <c r="F10" s="545"/>
      <c r="G10" s="545"/>
      <c r="H10" s="545"/>
      <c r="I10" s="545"/>
      <c r="J10" s="545"/>
      <c r="K10" s="545"/>
      <c r="L10" s="545"/>
      <c r="M10" s="545"/>
      <c r="N10" s="545"/>
      <c r="O10" s="545"/>
      <c r="P10" s="545"/>
      <c r="Q10" s="545"/>
      <c r="R10" s="545"/>
      <c r="S10" s="545"/>
      <c r="T10" s="545"/>
      <c r="U10" s="545"/>
      <c r="V10" s="545"/>
      <c r="W10" s="545"/>
      <c r="X10" s="545"/>
      <c r="Y10" s="545"/>
      <c r="Z10" s="545"/>
      <c r="AA10" s="545"/>
      <c r="AB10" s="545"/>
      <c r="AC10" s="545"/>
      <c r="AD10" s="545"/>
      <c r="AE10" s="545"/>
      <c r="AF10" s="545"/>
      <c r="AG10" s="545"/>
      <c r="AH10" s="545"/>
      <c r="AI10" s="545"/>
      <c r="AJ10" s="545"/>
      <c r="AK10" s="545"/>
      <c r="AL10" s="545"/>
      <c r="AM10" s="545"/>
      <c r="AN10" s="545"/>
    </row>
    <row r="11" spans="1:41" ht="19.5" x14ac:dyDescent="0.25">
      <c r="A11" s="546" t="s">
        <v>3227</v>
      </c>
      <c r="B11" s="546"/>
      <c r="C11" s="546"/>
      <c r="D11" s="546"/>
      <c r="E11" s="546"/>
      <c r="F11" s="546"/>
      <c r="G11" s="546"/>
      <c r="H11" s="546"/>
      <c r="I11" s="546"/>
      <c r="J11" s="546"/>
      <c r="K11" s="546"/>
      <c r="L11" s="546"/>
      <c r="M11" s="546"/>
      <c r="N11" s="546"/>
      <c r="O11" s="546"/>
      <c r="P11" s="546"/>
      <c r="Q11" s="546"/>
      <c r="R11" s="546"/>
      <c r="S11" s="546"/>
      <c r="T11" s="546"/>
      <c r="U11" s="546"/>
      <c r="V11" s="546"/>
      <c r="W11" s="546"/>
      <c r="X11" s="546"/>
      <c r="Y11" s="43"/>
      <c r="Z11" s="546" t="str">
        <f>_xlfn.CONCAT(IF(Data!E2="American","678-310-6305",""),IF(Data!E2="Augusta","706-504-3770",""),IF(Data!E2="Korean","404-971-8812",""),IF(Data!E2="Nepalese","404-673-2089",""))</f>
        <v/>
      </c>
      <c r="AA11" s="546"/>
      <c r="AB11" s="546"/>
      <c r="AC11" s="546"/>
      <c r="AD11" s="546"/>
      <c r="AE11" s="546"/>
      <c r="AF11" s="546"/>
      <c r="AG11" s="546"/>
      <c r="AH11" s="546"/>
      <c r="AI11" s="546"/>
      <c r="AJ11" s="546"/>
      <c r="AK11" s="546"/>
      <c r="AL11" s="546"/>
      <c r="AM11" s="546"/>
    </row>
    <row r="12" spans="1:41" ht="19.5" x14ac:dyDescent="0.25">
      <c r="A12" s="546"/>
      <c r="B12" s="546"/>
      <c r="C12" s="546"/>
      <c r="D12" s="546"/>
      <c r="E12" s="546"/>
      <c r="F12" s="546"/>
      <c r="G12" s="546"/>
      <c r="H12" s="546"/>
      <c r="I12" s="546"/>
      <c r="J12" s="546"/>
      <c r="K12" s="546"/>
      <c r="L12" s="546"/>
      <c r="M12" s="546"/>
      <c r="N12" s="546"/>
      <c r="O12" s="546"/>
      <c r="P12" s="546"/>
      <c r="Q12" s="546"/>
      <c r="R12" s="546"/>
      <c r="S12" s="546"/>
      <c r="T12" s="546"/>
      <c r="U12" s="546"/>
      <c r="V12" s="546"/>
      <c r="W12" s="546"/>
      <c r="X12" s="546"/>
      <c r="Y12" s="43"/>
      <c r="Z12" s="546"/>
      <c r="AA12" s="546"/>
      <c r="AB12" s="546"/>
      <c r="AC12" s="546"/>
      <c r="AD12" s="546"/>
      <c r="AE12" s="546"/>
      <c r="AF12" s="546"/>
      <c r="AG12" s="546"/>
      <c r="AH12" s="546"/>
      <c r="AI12" s="546"/>
      <c r="AJ12" s="546"/>
      <c r="AK12" s="546"/>
      <c r="AL12" s="546"/>
      <c r="AM12" s="546"/>
    </row>
    <row r="13" spans="1:41" ht="19.5" x14ac:dyDescent="0.25">
      <c r="A13" s="546" t="s">
        <v>3228</v>
      </c>
      <c r="B13" s="546"/>
      <c r="C13" s="546"/>
      <c r="D13" s="546"/>
      <c r="E13" s="546"/>
      <c r="F13" s="546"/>
      <c r="G13" s="546"/>
      <c r="H13" s="546"/>
      <c r="I13" s="546"/>
      <c r="J13" s="546"/>
      <c r="K13" s="546"/>
      <c r="L13" s="546"/>
      <c r="M13" s="546"/>
      <c r="N13" s="546"/>
      <c r="O13" s="546"/>
      <c r="P13" s="546"/>
      <c r="Q13" s="546"/>
      <c r="R13" s="546"/>
      <c r="S13" s="546"/>
      <c r="T13" s="546"/>
      <c r="U13" s="546"/>
      <c r="V13" s="546"/>
      <c r="W13" s="546"/>
      <c r="X13" s="546"/>
      <c r="Y13" s="43"/>
      <c r="Z13" s="546" t="s">
        <v>3229</v>
      </c>
      <c r="AA13" s="546"/>
      <c r="AB13" s="546"/>
      <c r="AC13" s="546"/>
      <c r="AD13" s="546"/>
      <c r="AE13" s="546"/>
      <c r="AF13" s="546"/>
      <c r="AG13" s="546"/>
      <c r="AH13" s="546"/>
      <c r="AI13" s="546"/>
      <c r="AJ13" s="546"/>
      <c r="AK13" s="546"/>
      <c r="AL13" s="546"/>
      <c r="AM13" s="546"/>
    </row>
    <row r="14" spans="1:41" ht="19.5" x14ac:dyDescent="0.25">
      <c r="A14" s="546"/>
      <c r="B14" s="546"/>
      <c r="C14" s="546"/>
      <c r="D14" s="546"/>
      <c r="E14" s="546"/>
      <c r="F14" s="546"/>
      <c r="G14" s="546"/>
      <c r="H14" s="546"/>
      <c r="I14" s="546"/>
      <c r="J14" s="546"/>
      <c r="K14" s="546"/>
      <c r="L14" s="546"/>
      <c r="M14" s="546"/>
      <c r="N14" s="546"/>
      <c r="O14" s="546"/>
      <c r="P14" s="546"/>
      <c r="Q14" s="546"/>
      <c r="R14" s="546"/>
      <c r="S14" s="546"/>
      <c r="T14" s="546"/>
      <c r="U14" s="546"/>
      <c r="V14" s="546"/>
      <c r="W14" s="546"/>
      <c r="X14" s="546"/>
      <c r="Y14" s="43"/>
      <c r="Z14" s="546"/>
      <c r="AA14" s="546"/>
      <c r="AB14" s="546"/>
      <c r="AC14" s="546"/>
      <c r="AD14" s="546"/>
      <c r="AE14" s="546"/>
      <c r="AF14" s="546"/>
      <c r="AG14" s="546"/>
      <c r="AH14" s="546"/>
      <c r="AI14" s="546"/>
      <c r="AJ14" s="546"/>
      <c r="AK14" s="546"/>
      <c r="AL14" s="546"/>
      <c r="AM14" s="546"/>
    </row>
    <row r="15" spans="1:41" ht="19.350000000000001" customHeight="1" x14ac:dyDescent="0.25">
      <c r="A15" s="545" t="s">
        <v>3230</v>
      </c>
      <c r="B15" s="545"/>
      <c r="C15" s="545"/>
      <c r="D15" s="545"/>
      <c r="E15" s="545"/>
      <c r="F15" s="545"/>
      <c r="G15" s="545"/>
      <c r="H15" s="545"/>
      <c r="I15" s="545"/>
      <c r="J15" s="545"/>
      <c r="K15" s="545"/>
      <c r="L15" s="545"/>
      <c r="M15" s="545"/>
      <c r="N15" s="545"/>
      <c r="O15" s="545"/>
      <c r="P15" s="545"/>
      <c r="Q15" s="545"/>
      <c r="R15" s="545"/>
      <c r="S15" s="545"/>
      <c r="T15" s="545"/>
      <c r="U15" s="545"/>
      <c r="V15" s="545"/>
      <c r="W15" s="545"/>
      <c r="X15" s="545"/>
      <c r="Y15" s="545"/>
      <c r="Z15" s="545"/>
      <c r="AA15" s="545"/>
      <c r="AB15" s="545"/>
      <c r="AC15" s="545"/>
      <c r="AD15" s="545"/>
      <c r="AE15" s="545"/>
      <c r="AF15" s="545"/>
      <c r="AG15" s="545"/>
      <c r="AH15" s="545"/>
      <c r="AI15" s="545"/>
      <c r="AJ15" s="545"/>
      <c r="AK15" s="545"/>
      <c r="AL15" s="545"/>
      <c r="AM15" s="545"/>
      <c r="AN15" s="545"/>
    </row>
    <row r="16" spans="1:41" x14ac:dyDescent="0.25">
      <c r="A16" s="541" t="str">
        <f>IF(OR(Data!B917=TRUE,Data!B929=TRUE),"AT RISK FOR SKIN BREAKDOWN","")&amp;IF(Data!B917=TRUE," -Bedbound","")&amp;IF(Data!B929=TRUE," -Chairbound","")&amp;IF(Data!B1610="Yes","  **LATEX ALLERGY**","")&amp;IF(AND(Data!B1644="Yes",Data!B1645="Yes"),"**DNR ON FILE**","")</f>
        <v/>
      </c>
      <c r="B16" s="541"/>
      <c r="C16" s="541"/>
      <c r="D16" s="541"/>
      <c r="E16" s="541"/>
      <c r="F16" s="541"/>
      <c r="G16" s="541"/>
      <c r="H16" s="541"/>
      <c r="I16" s="541"/>
      <c r="J16" s="541"/>
      <c r="K16" s="541"/>
      <c r="L16" s="541"/>
      <c r="M16" s="541"/>
      <c r="N16" s="541"/>
      <c r="O16" s="541"/>
      <c r="P16" s="541"/>
      <c r="Q16" s="541"/>
      <c r="R16" s="541"/>
      <c r="S16" s="541"/>
      <c r="T16" s="541"/>
      <c r="U16" s="541"/>
      <c r="V16" s="541"/>
      <c r="W16" s="541"/>
      <c r="X16" s="541"/>
      <c r="Y16" s="541"/>
      <c r="Z16" s="541"/>
      <c r="AA16" s="541"/>
      <c r="AB16" s="541"/>
      <c r="AC16" s="541"/>
      <c r="AD16" s="541"/>
      <c r="AE16" s="541"/>
      <c r="AF16" s="541"/>
      <c r="AG16" s="541"/>
      <c r="AH16" s="541"/>
      <c r="AI16" s="541"/>
      <c r="AJ16" s="541"/>
      <c r="AK16" s="541"/>
      <c r="AL16" s="541"/>
      <c r="AM16" s="541"/>
      <c r="AN16" s="541"/>
    </row>
    <row r="17" spans="1:41" ht="19.350000000000001" customHeight="1" x14ac:dyDescent="0.25">
      <c r="A17" s="143"/>
      <c r="B17" s="144"/>
      <c r="C17" s="144"/>
      <c r="D17" s="144"/>
      <c r="E17" s="145" t="s">
        <v>575</v>
      </c>
      <c r="F17" s="562" t="str">
        <f>IF(Data!B417=FALSE,Data!B414&amp;". ","No med allergy. ")&amp;IF(Data!B418=FALSE," "&amp;Data!B415&amp;". ","No food allergy. ")&amp;IF(Data!B419=FALSE," "&amp;Data!B416&amp;". ","No environment allergy. ")</f>
        <v xml:space="preserve">.  .  . </v>
      </c>
      <c r="G17" s="562"/>
      <c r="H17" s="562"/>
      <c r="I17" s="562"/>
      <c r="J17" s="562"/>
      <c r="K17" s="562"/>
      <c r="L17" s="562"/>
      <c r="M17" s="562"/>
      <c r="N17" s="562"/>
      <c r="O17" s="562"/>
      <c r="P17" s="562"/>
      <c r="Q17" s="562"/>
      <c r="R17" s="562"/>
      <c r="S17" s="562"/>
      <c r="T17" s="562"/>
      <c r="U17" s="562"/>
      <c r="V17" s="562"/>
      <c r="W17" s="562"/>
      <c r="X17" s="562"/>
      <c r="Y17" s="562"/>
      <c r="Z17" s="562"/>
      <c r="AA17" s="562"/>
      <c r="AB17" s="562"/>
      <c r="AC17" s="562"/>
      <c r="AD17" s="562"/>
      <c r="AE17" s="562"/>
      <c r="AF17" s="562"/>
      <c r="AG17" s="562"/>
      <c r="AH17" s="562"/>
      <c r="AI17" s="562"/>
      <c r="AJ17" s="562"/>
      <c r="AK17" s="562"/>
      <c r="AL17" s="562"/>
      <c r="AM17" s="562"/>
      <c r="AN17" s="562"/>
    </row>
    <row r="18" spans="1:41" ht="19.350000000000001" customHeight="1" x14ac:dyDescent="0.25">
      <c r="A18" s="144"/>
      <c r="B18" s="145"/>
      <c r="C18" s="216"/>
      <c r="D18" s="216"/>
      <c r="E18" s="216"/>
      <c r="F18" s="216"/>
      <c r="G18" s="216"/>
      <c r="H18" s="216"/>
      <c r="I18" s="216"/>
      <c r="J18" s="216"/>
      <c r="K18" s="216"/>
      <c r="L18" s="216"/>
      <c r="M18" s="216"/>
      <c r="N18" s="216"/>
      <c r="O18" s="216"/>
      <c r="P18" s="216"/>
      <c r="Q18" s="216"/>
      <c r="R18" s="216"/>
      <c r="S18" s="216"/>
      <c r="T18" s="216"/>
      <c r="U18" s="216"/>
      <c r="V18" s="216"/>
      <c r="W18" s="216"/>
      <c r="X18" s="216"/>
      <c r="Y18" s="216"/>
      <c r="Z18" s="216"/>
      <c r="AA18" s="216"/>
      <c r="AB18" s="216"/>
      <c r="AC18" s="216"/>
      <c r="AD18" s="216"/>
      <c r="AE18" s="216"/>
      <c r="AF18" s="216"/>
      <c r="AG18" s="216"/>
      <c r="AH18" s="216"/>
      <c r="AI18" s="216"/>
      <c r="AJ18" s="216"/>
      <c r="AK18" s="216"/>
      <c r="AL18" s="216"/>
      <c r="AM18" s="216"/>
      <c r="AN18" s="216"/>
    </row>
    <row r="19" spans="1:41" ht="19.350000000000001" customHeight="1" x14ac:dyDescent="0.25">
      <c r="A19" s="144"/>
      <c r="B19" s="144"/>
      <c r="C19" s="216"/>
      <c r="D19" s="216"/>
      <c r="E19" s="216"/>
      <c r="F19" s="216"/>
      <c r="G19" s="216"/>
      <c r="H19" s="216"/>
      <c r="I19" s="216"/>
      <c r="J19" s="216"/>
      <c r="K19" s="216"/>
      <c r="L19" s="216"/>
      <c r="M19" s="216"/>
      <c r="N19" s="216"/>
      <c r="O19" s="216"/>
      <c r="P19" s="216"/>
      <c r="Q19" s="216"/>
      <c r="R19" s="216"/>
      <c r="S19" s="216"/>
      <c r="T19" s="216"/>
      <c r="U19" s="216"/>
      <c r="V19" s="216"/>
      <c r="W19" s="216"/>
      <c r="X19" s="216"/>
      <c r="Y19" s="216"/>
      <c r="Z19" s="216"/>
      <c r="AA19" s="216"/>
      <c r="AB19" s="216"/>
      <c r="AC19" s="216"/>
      <c r="AD19" s="216"/>
      <c r="AE19" s="216"/>
      <c r="AF19" s="216"/>
      <c r="AG19" s="216"/>
      <c r="AH19" s="216"/>
      <c r="AI19" s="216"/>
      <c r="AJ19" s="216"/>
      <c r="AK19" s="216"/>
      <c r="AL19" s="216"/>
      <c r="AM19" s="216"/>
      <c r="AN19" s="216"/>
    </row>
    <row r="20" spans="1:41" x14ac:dyDescent="0.25">
      <c r="A20" s="19" t="s">
        <v>623</v>
      </c>
      <c r="N20" s="553">
        <f>Data!B43</f>
        <v>0</v>
      </c>
      <c r="O20" s="553"/>
      <c r="P20" s="553"/>
      <c r="Q20" s="553"/>
      <c r="R20" s="553"/>
      <c r="S20" s="553"/>
      <c r="T20" s="553"/>
      <c r="U20" s="553"/>
      <c r="V20" s="553"/>
      <c r="W20" s="553"/>
      <c r="X20" s="553"/>
      <c r="Y20" s="553"/>
      <c r="Z20" s="553"/>
      <c r="AA20" s="553"/>
      <c r="AC20" s="19" t="s">
        <v>348</v>
      </c>
      <c r="AG20" s="544" t="str">
        <f>IF(Data!B45="","No home phone","H: "&amp;TEXT(Data!B45,"(###) ###-####"))</f>
        <v>No home phone</v>
      </c>
      <c r="AH20" s="544"/>
      <c r="AI20" s="544"/>
      <c r="AJ20" s="544"/>
      <c r="AK20" s="544"/>
      <c r="AL20" s="544"/>
      <c r="AM20" s="544"/>
      <c r="AN20" s="544"/>
    </row>
    <row r="21" spans="1:41" x14ac:dyDescent="0.25">
      <c r="AG21" s="547" t="str">
        <f>IF(Data!B46="","No cell phone","C: "&amp;TEXT(Data!B46,"(###) ###-####"))</f>
        <v>No cell phone</v>
      </c>
      <c r="AH21" s="547"/>
      <c r="AI21" s="547"/>
      <c r="AJ21" s="547"/>
      <c r="AK21" s="547"/>
      <c r="AL21" s="547"/>
      <c r="AM21" s="547"/>
      <c r="AN21" s="547"/>
    </row>
    <row r="22" spans="1:41" x14ac:dyDescent="0.25">
      <c r="A22" s="545" t="s">
        <v>120</v>
      </c>
      <c r="B22" s="545"/>
      <c r="C22" s="545"/>
      <c r="D22" s="545"/>
      <c r="E22" s="545"/>
      <c r="F22" s="545"/>
      <c r="G22" s="545"/>
      <c r="H22" s="545"/>
      <c r="I22" s="545"/>
      <c r="J22" s="545"/>
      <c r="K22" s="545"/>
      <c r="L22" s="545"/>
      <c r="M22" s="545"/>
      <c r="N22" s="545"/>
      <c r="O22" s="545"/>
      <c r="P22" s="545"/>
      <c r="Q22" s="545"/>
      <c r="R22" s="545"/>
      <c r="S22" s="545"/>
      <c r="T22" s="545"/>
      <c r="U22" s="545"/>
      <c r="V22" s="545"/>
      <c r="W22" s="545"/>
      <c r="X22" s="545"/>
      <c r="Y22" s="545"/>
      <c r="Z22" s="545"/>
      <c r="AA22" s="545"/>
      <c r="AB22" s="545"/>
      <c r="AC22" s="545"/>
      <c r="AD22" s="545"/>
      <c r="AE22" s="545"/>
      <c r="AF22" s="545"/>
      <c r="AG22" s="545"/>
      <c r="AH22" s="545"/>
      <c r="AI22" s="545"/>
      <c r="AJ22" s="545"/>
      <c r="AK22" s="545"/>
      <c r="AL22" s="545"/>
      <c r="AM22" s="545"/>
      <c r="AN22" s="545"/>
    </row>
    <row r="23" spans="1:41" x14ac:dyDescent="0.25">
      <c r="A23" t="s">
        <v>2894</v>
      </c>
      <c r="G23" s="240">
        <f>Data!E361</f>
        <v>0</v>
      </c>
      <c r="H23" s="240"/>
      <c r="I23" s="240"/>
      <c r="J23" s="240"/>
      <c r="K23" s="240"/>
      <c r="L23" s="240"/>
      <c r="M23" s="240"/>
      <c r="N23" s="240"/>
      <c r="O23" s="240"/>
      <c r="P23" s="240"/>
      <c r="Q23" s="240"/>
      <c r="R23" s="240"/>
      <c r="S23" s="240"/>
      <c r="T23" s="240"/>
      <c r="U23" s="240"/>
      <c r="V23" s="240"/>
      <c r="W23" s="240"/>
      <c r="X23" s="240"/>
      <c r="Y23" s="240"/>
      <c r="Z23" s="240"/>
      <c r="AA23" s="240"/>
      <c r="AB23" s="240"/>
      <c r="AC23" s="240"/>
      <c r="AD23" s="240"/>
      <c r="AE23" s="240"/>
      <c r="AF23" s="240"/>
      <c r="AG23" s="240"/>
      <c r="AH23" s="240"/>
      <c r="AI23" s="240"/>
      <c r="AJ23" s="240"/>
      <c r="AK23" s="240"/>
      <c r="AL23" s="240"/>
      <c r="AM23" s="240"/>
    </row>
    <row r="24" spans="1:41" x14ac:dyDescent="0.25">
      <c r="C24" s="557" t="s">
        <v>630</v>
      </c>
      <c r="D24" s="557"/>
      <c r="E24" s="557"/>
      <c r="F24" s="557"/>
      <c r="G24" s="557"/>
      <c r="H24" s="557" t="s">
        <v>624</v>
      </c>
      <c r="I24" s="557"/>
      <c r="J24" s="557"/>
      <c r="K24" s="557"/>
      <c r="L24" s="557"/>
      <c r="M24" s="557" t="s">
        <v>625</v>
      </c>
      <c r="N24" s="557"/>
      <c r="O24" s="557"/>
      <c r="P24" s="557"/>
      <c r="Q24" s="557"/>
      <c r="R24" s="557" t="s">
        <v>626</v>
      </c>
      <c r="S24" s="557"/>
      <c r="T24" s="557"/>
      <c r="U24" s="557"/>
      <c r="V24" s="557"/>
      <c r="W24" s="557" t="s">
        <v>627</v>
      </c>
      <c r="X24" s="557"/>
      <c r="Y24" s="557"/>
      <c r="Z24" s="557"/>
      <c r="AA24" s="557"/>
      <c r="AB24" s="557" t="s">
        <v>628</v>
      </c>
      <c r="AC24" s="557"/>
      <c r="AD24" s="557"/>
      <c r="AE24" s="557"/>
      <c r="AF24" s="557"/>
      <c r="AG24" s="557" t="s">
        <v>629</v>
      </c>
      <c r="AH24" s="557"/>
      <c r="AI24" s="557"/>
      <c r="AJ24" s="557"/>
      <c r="AK24" s="557"/>
    </row>
    <row r="25" spans="1:41" x14ac:dyDescent="0.25">
      <c r="C25" s="555" t="str">
        <f>_xlfn.CONCAT(Data!B367,IF(Data!B380="","",", "&amp;Data!B381),IF(Data!B394="","",", "&amp;Data!B394))</f>
        <v/>
      </c>
      <c r="D25" s="555"/>
      <c r="E25" s="555"/>
      <c r="F25" s="555"/>
      <c r="G25" s="555"/>
      <c r="H25" s="555" t="str">
        <f>_xlfn.CONCAT(Data!B369,IF(Data!B383="","",", "&amp;Data!B383),IF(Data!B397="","",", "&amp;Data!B397))</f>
        <v/>
      </c>
      <c r="I25" s="555"/>
      <c r="J25" s="555"/>
      <c r="K25" s="555"/>
      <c r="L25" s="555"/>
      <c r="M25" s="555" t="str">
        <f>_xlfn.CONCAT(Data!B371,IF(Data!B385="","",", "&amp;Data!B385),IF(Data!B399="","",", "&amp;Data!B399))</f>
        <v/>
      </c>
      <c r="N25" s="555"/>
      <c r="O25" s="555"/>
      <c r="P25" s="555"/>
      <c r="Q25" s="555"/>
      <c r="R25" s="555" t="str">
        <f>_xlfn.CONCAT(Data!B373,IF(Data!B387="","",", "&amp;Data!B387),IF(Data!B401="","",", "&amp;Data!B401))</f>
        <v/>
      </c>
      <c r="S25" s="555"/>
      <c r="T25" s="555"/>
      <c r="U25" s="555"/>
      <c r="V25" s="555"/>
      <c r="W25" s="555" t="str">
        <f>_xlfn.CONCAT(Data!B375,IF(Data!B389="","",", "&amp;Data!B389),IF(Data!B403="","",", "&amp;Data!B403))</f>
        <v/>
      </c>
      <c r="X25" s="555"/>
      <c r="Y25" s="555"/>
      <c r="Z25" s="555"/>
      <c r="AA25" s="555"/>
      <c r="AB25" s="555" t="str">
        <f>_xlfn.CONCAT(Data!B377,IF(Data!B391="","",", "&amp;Data!B391),IF(Data!B405="","",", "&amp;Data!B405))</f>
        <v/>
      </c>
      <c r="AC25" s="555"/>
      <c r="AD25" s="555"/>
      <c r="AE25" s="555"/>
      <c r="AF25" s="555"/>
      <c r="AG25" s="555" t="str">
        <f>_xlfn.CONCAT(Data!B379,IF(Data!B393="","",", "&amp;Data!B393),IF(Data!B407="","",", "&amp;Data!B407))</f>
        <v/>
      </c>
      <c r="AH25" s="555"/>
      <c r="AI25" s="555"/>
      <c r="AJ25" s="555"/>
      <c r="AK25" s="555"/>
    </row>
    <row r="26" spans="1:41" x14ac:dyDescent="0.25">
      <c r="C26" s="555"/>
      <c r="D26" s="555"/>
      <c r="E26" s="555"/>
      <c r="F26" s="555"/>
      <c r="G26" s="555"/>
      <c r="H26" s="555"/>
      <c r="I26" s="555"/>
      <c r="J26" s="555"/>
      <c r="K26" s="555"/>
      <c r="L26" s="555"/>
      <c r="M26" s="555"/>
      <c r="N26" s="555"/>
      <c r="O26" s="555"/>
      <c r="P26" s="555"/>
      <c r="Q26" s="555"/>
      <c r="R26" s="555"/>
      <c r="S26" s="555"/>
      <c r="T26" s="555"/>
      <c r="U26" s="555"/>
      <c r="V26" s="555"/>
      <c r="W26" s="555"/>
      <c r="X26" s="555"/>
      <c r="Y26" s="555"/>
      <c r="Z26" s="555"/>
      <c r="AA26" s="555"/>
      <c r="AB26" s="555"/>
      <c r="AC26" s="555"/>
      <c r="AD26" s="555"/>
      <c r="AE26" s="555"/>
      <c r="AF26" s="555"/>
      <c r="AG26" s="555"/>
      <c r="AH26" s="555"/>
      <c r="AI26" s="555"/>
      <c r="AJ26" s="555"/>
      <c r="AK26" s="555"/>
    </row>
    <row r="27" spans="1:41" x14ac:dyDescent="0.25">
      <c r="C27" s="555"/>
      <c r="D27" s="555"/>
      <c r="E27" s="555"/>
      <c r="F27" s="555"/>
      <c r="G27" s="555"/>
      <c r="H27" s="555"/>
      <c r="I27" s="555"/>
      <c r="J27" s="555"/>
      <c r="K27" s="555"/>
      <c r="L27" s="555"/>
      <c r="M27" s="555"/>
      <c r="N27" s="555"/>
      <c r="O27" s="555"/>
      <c r="P27" s="555"/>
      <c r="Q27" s="555"/>
      <c r="R27" s="555"/>
      <c r="S27" s="555"/>
      <c r="T27" s="555"/>
      <c r="U27" s="555"/>
      <c r="V27" s="555"/>
      <c r="W27" s="555"/>
      <c r="X27" s="555"/>
      <c r="Y27" s="555"/>
      <c r="Z27" s="555"/>
      <c r="AA27" s="555"/>
      <c r="AB27" s="555"/>
      <c r="AC27" s="555"/>
      <c r="AD27" s="555"/>
      <c r="AE27" s="555"/>
      <c r="AF27" s="555"/>
      <c r="AG27" s="555"/>
      <c r="AH27" s="555"/>
      <c r="AI27" s="555"/>
      <c r="AJ27" s="555"/>
      <c r="AK27" s="555"/>
    </row>
    <row r="28" spans="1:41" x14ac:dyDescent="0.25">
      <c r="C28" s="555"/>
      <c r="D28" s="555"/>
      <c r="E28" s="555"/>
      <c r="F28" s="555"/>
      <c r="G28" s="555"/>
      <c r="H28" s="555"/>
      <c r="I28" s="555"/>
      <c r="J28" s="555"/>
      <c r="K28" s="555"/>
      <c r="L28" s="555"/>
      <c r="M28" s="555"/>
      <c r="N28" s="555"/>
      <c r="O28" s="555"/>
      <c r="P28" s="555"/>
      <c r="Q28" s="555"/>
      <c r="R28" s="555"/>
      <c r="S28" s="555"/>
      <c r="T28" s="555"/>
      <c r="U28" s="555"/>
      <c r="V28" s="555"/>
      <c r="W28" s="555"/>
      <c r="X28" s="555"/>
      <c r="Y28" s="555"/>
      <c r="Z28" s="555"/>
      <c r="AA28" s="555"/>
      <c r="AB28" s="555"/>
      <c r="AC28" s="555"/>
      <c r="AD28" s="555"/>
      <c r="AE28" s="555"/>
      <c r="AF28" s="555"/>
      <c r="AG28" s="555"/>
      <c r="AH28" s="555"/>
      <c r="AI28" s="555"/>
      <c r="AJ28" s="555"/>
      <c r="AK28" s="555"/>
    </row>
    <row r="29" spans="1:41" x14ac:dyDescent="0.25">
      <c r="T29" s="19" t="s">
        <v>631</v>
      </c>
      <c r="AE29" s="20"/>
      <c r="AF29" s="558">
        <f>Data!G407</f>
        <v>0</v>
      </c>
      <c r="AG29" s="559"/>
      <c r="AH29" s="559"/>
      <c r="AI29" s="559"/>
      <c r="AJ29" s="559"/>
      <c r="AK29" s="559"/>
    </row>
    <row r="30" spans="1:41" x14ac:dyDescent="0.25">
      <c r="AD30" s="552"/>
      <c r="AE30" s="552"/>
      <c r="AF30" s="552"/>
      <c r="AG30" s="552"/>
      <c r="AH30" s="552"/>
      <c r="AI30" s="552"/>
    </row>
    <row r="31" spans="1:41" ht="35.25" customHeight="1" x14ac:dyDescent="0.25">
      <c r="A31" s="556" t="str">
        <f>IF(Data!B185="Medicaid","Days and hours cannot change without case manager approval. Times may be altered per client's request with 72 hours notice.","Days/Hours/Times can be altered with 72 hours notice from "&amp;IF(Data!B355=FALSE,"family.","client."))</f>
        <v>Days/Hours/Times can be altered with 72 hours notice from family.</v>
      </c>
      <c r="B31" s="556"/>
      <c r="C31" s="556"/>
      <c r="D31" s="556"/>
      <c r="E31" s="556"/>
      <c r="F31" s="556"/>
      <c r="G31" s="556"/>
      <c r="H31" s="556"/>
      <c r="I31" s="556"/>
      <c r="J31" s="556"/>
      <c r="K31" s="556"/>
      <c r="L31" s="556"/>
      <c r="M31" s="556"/>
      <c r="N31" s="556"/>
      <c r="O31" s="556"/>
      <c r="P31" s="556"/>
      <c r="Q31" s="556"/>
      <c r="R31" s="556"/>
      <c r="S31" s="556"/>
      <c r="T31" s="556"/>
      <c r="U31" s="556"/>
      <c r="V31" s="556"/>
      <c r="W31" s="556"/>
      <c r="X31" s="556"/>
      <c r="Y31" s="556"/>
      <c r="Z31" s="556"/>
      <c r="AA31" s="556"/>
      <c r="AB31" s="556"/>
      <c r="AC31" s="556"/>
      <c r="AD31" s="556"/>
      <c r="AE31" s="556"/>
      <c r="AF31" s="556"/>
      <c r="AG31" s="556"/>
      <c r="AH31" s="556"/>
      <c r="AI31" s="556"/>
      <c r="AJ31" s="556"/>
      <c r="AK31" s="556"/>
      <c r="AL31" s="556"/>
      <c r="AM31" s="104"/>
      <c r="AN31" s="104"/>
      <c r="AO31" s="104"/>
    </row>
    <row r="33" spans="1:40" x14ac:dyDescent="0.25">
      <c r="A33" s="561" t="s">
        <v>632</v>
      </c>
      <c r="B33" s="561"/>
      <c r="C33" s="561"/>
      <c r="D33" s="561"/>
      <c r="E33" s="561"/>
      <c r="F33" s="561"/>
      <c r="G33" s="561"/>
      <c r="H33" s="561"/>
      <c r="I33" s="561"/>
      <c r="J33" s="561"/>
      <c r="K33" s="561"/>
      <c r="L33" s="561"/>
      <c r="M33" s="561"/>
      <c r="N33" s="561"/>
      <c r="O33" s="561"/>
      <c r="P33" s="561"/>
      <c r="Q33" s="561"/>
      <c r="R33" s="561"/>
      <c r="S33" s="561"/>
      <c r="T33" s="561"/>
      <c r="U33" s="561"/>
      <c r="V33" s="561"/>
      <c r="W33" s="561"/>
      <c r="X33" s="561"/>
      <c r="Y33" s="561"/>
      <c r="Z33" s="561"/>
      <c r="AA33" s="561"/>
      <c r="AB33" s="561"/>
      <c r="AC33" s="561"/>
      <c r="AD33" s="561"/>
      <c r="AE33" s="561"/>
      <c r="AF33" s="561"/>
      <c r="AG33" s="561"/>
      <c r="AH33" s="561"/>
      <c r="AI33" s="561"/>
      <c r="AJ33" s="561"/>
      <c r="AK33" s="561"/>
      <c r="AL33" s="561"/>
      <c r="AM33" s="561"/>
      <c r="AN33" s="561"/>
    </row>
    <row r="35" spans="1:40" x14ac:dyDescent="0.25">
      <c r="A35" s="563">
        <f>IF(Data!B1653="",Data!B34,Data!B1653)</f>
        <v>0</v>
      </c>
      <c r="B35" s="560"/>
      <c r="C35" s="560"/>
      <c r="D35" s="560"/>
      <c r="E35" s="560"/>
      <c r="F35" s="560"/>
      <c r="G35" s="560"/>
      <c r="H35" s="560"/>
      <c r="K35" s="560"/>
      <c r="L35" s="560"/>
      <c r="M35" s="560"/>
      <c r="N35" s="560"/>
      <c r="O35" s="560"/>
      <c r="P35" s="560"/>
      <c r="Q35" s="560"/>
      <c r="R35" s="560"/>
      <c r="T35" s="560"/>
      <c r="U35" s="560"/>
      <c r="V35" s="560"/>
      <c r="W35" s="560"/>
      <c r="X35" s="560"/>
      <c r="Y35" s="560"/>
      <c r="Z35" s="560"/>
      <c r="AA35" s="560"/>
      <c r="AD35" s="560"/>
      <c r="AE35" s="560"/>
      <c r="AF35" s="560"/>
      <c r="AG35" s="560"/>
      <c r="AH35" s="560"/>
      <c r="AI35" s="560"/>
      <c r="AJ35" s="560"/>
      <c r="AK35" s="560"/>
    </row>
  </sheetData>
  <mergeCells count="48">
    <mergeCell ref="AD35:AK35"/>
    <mergeCell ref="A33:AN33"/>
    <mergeCell ref="A15:AN15"/>
    <mergeCell ref="A16:AN16"/>
    <mergeCell ref="F17:AN17"/>
    <mergeCell ref="A35:H35"/>
    <mergeCell ref="K35:R35"/>
    <mergeCell ref="T35:AA35"/>
    <mergeCell ref="C25:G28"/>
    <mergeCell ref="H25:L28"/>
    <mergeCell ref="M25:Q28"/>
    <mergeCell ref="R25:V28"/>
    <mergeCell ref="AG21:AN21"/>
    <mergeCell ref="N20:AA20"/>
    <mergeCell ref="C18:AN19"/>
    <mergeCell ref="G23:AM23"/>
    <mergeCell ref="A22:AN22"/>
    <mergeCell ref="W25:AA28"/>
    <mergeCell ref="A31:AL31"/>
    <mergeCell ref="AB25:AF28"/>
    <mergeCell ref="C24:G24"/>
    <mergeCell ref="W24:AA24"/>
    <mergeCell ref="AB24:AF24"/>
    <mergeCell ref="AG25:AK28"/>
    <mergeCell ref="AD30:AI30"/>
    <mergeCell ref="AF29:AK29"/>
    <mergeCell ref="AG24:AK24"/>
    <mergeCell ref="H24:L24"/>
    <mergeCell ref="M24:Q24"/>
    <mergeCell ref="R24:V24"/>
    <mergeCell ref="G1:Y1"/>
    <mergeCell ref="H2:U2"/>
    <mergeCell ref="AB2:AL2"/>
    <mergeCell ref="I3:U3"/>
    <mergeCell ref="AH1:AM1"/>
    <mergeCell ref="AG20:AN20"/>
    <mergeCell ref="A10:AN10"/>
    <mergeCell ref="A11:X12"/>
    <mergeCell ref="I4:U4"/>
    <mergeCell ref="AA3:AL3"/>
    <mergeCell ref="AA4:AL4"/>
    <mergeCell ref="A5:X7"/>
    <mergeCell ref="Z5:AM7"/>
    <mergeCell ref="Z11:AM12"/>
    <mergeCell ref="I8:AM8"/>
    <mergeCell ref="A13:X14"/>
    <mergeCell ref="Z13:AM14"/>
    <mergeCell ref="A9:AN9"/>
  </mergeCells>
  <pageMargins left="0.25" right="0.25" top="0.75" bottom="0.75" header="0.3" footer="0.3"/>
  <pageSetup orientation="portrait" r:id="rId1"/>
  <headerFooter>
    <oddHeader>&amp;L&amp;G&amp;CPlace on client's refrigerator!</oddHeader>
    <oddFooter>&amp;LINT&amp;C3088 Mercer University Drive Suite 100 Atlanta, GA 30341
678-310-6305 Fax 404-935-6110&amp;RPP.M</oddFooter>
  </headerFooter>
  <legacyDrawingHF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CE8FD-1465-4D79-B77F-9CC247A4859A}">
  <sheetPr codeName="Sheet74">
    <tabColor theme="4" tint="-0.249977111117893"/>
  </sheetPr>
  <dimension ref="A1:AO35"/>
  <sheetViews>
    <sheetView showZeros="0" view="pageLayout" topLeftCell="A16" zoomScaleNormal="100" workbookViewId="0">
      <selection activeCell="AF29" sqref="AF29:AK29"/>
    </sheetView>
  </sheetViews>
  <sheetFormatPr defaultColWidth="2.7109375" defaultRowHeight="18" x14ac:dyDescent="0.25"/>
  <cols>
    <col min="1" max="38" width="2.5703125" style="19" customWidth="1"/>
    <col min="39" max="16384" width="2.7109375" style="19"/>
  </cols>
  <sheetData>
    <row r="1" spans="1:41" x14ac:dyDescent="0.25">
      <c r="A1" s="19" t="s">
        <v>336</v>
      </c>
      <c r="G1" s="553" t="str">
        <f>_xlfn.CONCAT(Data!B2,", ",Data!B3," ",Data!B4)</f>
        <v xml:space="preserve">,  </v>
      </c>
      <c r="H1" s="553"/>
      <c r="I1" s="553"/>
      <c r="J1" s="553"/>
      <c r="K1" s="553"/>
      <c r="L1" s="553"/>
      <c r="M1" s="553"/>
      <c r="N1" s="553"/>
      <c r="O1" s="553"/>
      <c r="P1" s="553"/>
      <c r="Q1" s="553"/>
      <c r="R1" s="553"/>
      <c r="S1" s="553"/>
      <c r="T1" s="553"/>
      <c r="U1" s="553"/>
      <c r="V1" s="553"/>
      <c r="W1" s="553"/>
      <c r="X1" s="553"/>
      <c r="Y1" s="553"/>
      <c r="Z1" s="19" t="s">
        <v>582</v>
      </c>
      <c r="AG1" s="94"/>
      <c r="AH1" s="554">
        <f>Data!B33</f>
        <v>0</v>
      </c>
      <c r="AI1" s="554"/>
      <c r="AJ1" s="554"/>
      <c r="AK1" s="554"/>
      <c r="AL1" s="554"/>
      <c r="AM1" s="554"/>
      <c r="AN1" s="94"/>
      <c r="AO1" s="94"/>
    </row>
    <row r="2" spans="1:41" x14ac:dyDescent="0.25">
      <c r="A2" s="19" t="s">
        <v>570</v>
      </c>
      <c r="H2" s="553" t="str">
        <f>IF(Data!B39="","N/A",Data!B39)</f>
        <v>N/A</v>
      </c>
      <c r="I2" s="553"/>
      <c r="J2" s="553"/>
      <c r="K2" s="553"/>
      <c r="L2" s="553"/>
      <c r="M2" s="553"/>
      <c r="N2" s="553"/>
      <c r="O2" s="553"/>
      <c r="P2" s="553"/>
      <c r="Q2" s="553"/>
      <c r="R2" s="553"/>
      <c r="S2" s="553"/>
      <c r="T2" s="553"/>
      <c r="U2" s="553"/>
      <c r="W2" s="19" t="s">
        <v>620</v>
      </c>
      <c r="AA2" s="95"/>
      <c r="AB2" s="548" t="str">
        <f>IF(Data!B40="","N/A",Data!B40)</f>
        <v>N/A</v>
      </c>
      <c r="AC2" s="548"/>
      <c r="AD2" s="548"/>
      <c r="AE2" s="548"/>
      <c r="AF2" s="548"/>
      <c r="AG2" s="548"/>
      <c r="AH2" s="548"/>
      <c r="AI2" s="548"/>
      <c r="AJ2" s="548"/>
      <c r="AK2" s="548"/>
      <c r="AL2" s="548"/>
    </row>
    <row r="3" spans="1:41" x14ac:dyDescent="0.25">
      <c r="A3" s="19" t="s">
        <v>571</v>
      </c>
      <c r="I3" s="547">
        <f>Data!B87</f>
        <v>0</v>
      </c>
      <c r="J3" s="547"/>
      <c r="K3" s="547"/>
      <c r="L3" s="547"/>
      <c r="M3" s="547"/>
      <c r="N3" s="547"/>
      <c r="O3" s="547"/>
      <c r="P3" s="547"/>
      <c r="Q3" s="547"/>
      <c r="R3" s="547"/>
      <c r="S3" s="547"/>
      <c r="T3" s="547"/>
      <c r="U3" s="547"/>
      <c r="W3" s="19" t="s">
        <v>348</v>
      </c>
      <c r="AA3" s="548">
        <f>Data!B93</f>
        <v>0</v>
      </c>
      <c r="AB3" s="548"/>
      <c r="AC3" s="548"/>
      <c r="AD3" s="548"/>
      <c r="AE3" s="548"/>
      <c r="AF3" s="548"/>
      <c r="AG3" s="548"/>
      <c r="AH3" s="548"/>
      <c r="AI3" s="548"/>
      <c r="AJ3" s="548"/>
      <c r="AK3" s="548"/>
      <c r="AL3" s="548"/>
    </row>
    <row r="4" spans="1:41" x14ac:dyDescent="0.25">
      <c r="A4" s="19" t="s">
        <v>572</v>
      </c>
      <c r="I4" s="547">
        <f>Data!B409</f>
        <v>0</v>
      </c>
      <c r="J4" s="547"/>
      <c r="K4" s="547"/>
      <c r="L4" s="547"/>
      <c r="M4" s="547"/>
      <c r="N4" s="547"/>
      <c r="O4" s="547"/>
      <c r="P4" s="547"/>
      <c r="Q4" s="547"/>
      <c r="R4" s="547"/>
      <c r="S4" s="547"/>
      <c r="T4" s="547"/>
      <c r="U4" s="547"/>
      <c r="W4" s="19" t="s">
        <v>348</v>
      </c>
      <c r="AA4" s="548">
        <f>Data!B410</f>
        <v>0</v>
      </c>
      <c r="AB4" s="548"/>
      <c r="AC4" s="548"/>
      <c r="AD4" s="548"/>
      <c r="AE4" s="548"/>
      <c r="AF4" s="548"/>
      <c r="AG4" s="548"/>
      <c r="AH4" s="548"/>
      <c r="AI4" s="548"/>
      <c r="AJ4" s="548"/>
      <c r="AK4" s="548"/>
      <c r="AL4" s="548"/>
    </row>
    <row r="5" spans="1:41" ht="18" customHeight="1" x14ac:dyDescent="0.25">
      <c r="A5" s="549" t="s">
        <v>621</v>
      </c>
      <c r="B5" s="549"/>
      <c r="C5" s="549"/>
      <c r="D5" s="549"/>
      <c r="E5" s="549"/>
      <c r="F5" s="549"/>
      <c r="G5" s="549"/>
      <c r="H5" s="549"/>
      <c r="I5" s="549"/>
      <c r="J5" s="549"/>
      <c r="K5" s="549"/>
      <c r="L5" s="549"/>
      <c r="M5" s="549"/>
      <c r="N5" s="549"/>
      <c r="O5" s="549"/>
      <c r="P5" s="549"/>
      <c r="Q5" s="549"/>
      <c r="R5" s="549"/>
      <c r="S5" s="549"/>
      <c r="T5" s="549"/>
      <c r="U5" s="549"/>
      <c r="V5" s="549"/>
      <c r="W5" s="549"/>
      <c r="X5" s="549"/>
      <c r="Z5" s="550">
        <v>911</v>
      </c>
      <c r="AA5" s="550"/>
      <c r="AB5" s="550"/>
      <c r="AC5" s="550"/>
      <c r="AD5" s="550"/>
      <c r="AE5" s="550"/>
      <c r="AF5" s="550"/>
      <c r="AG5" s="550"/>
      <c r="AH5" s="550"/>
      <c r="AI5" s="550"/>
      <c r="AJ5" s="550"/>
      <c r="AK5" s="550"/>
      <c r="AL5" s="550"/>
      <c r="AM5" s="550"/>
    </row>
    <row r="6" spans="1:41" ht="18" customHeight="1" x14ac:dyDescent="0.25">
      <c r="A6" s="549"/>
      <c r="B6" s="549"/>
      <c r="C6" s="549"/>
      <c r="D6" s="549"/>
      <c r="E6" s="549"/>
      <c r="F6" s="549"/>
      <c r="G6" s="549"/>
      <c r="H6" s="549"/>
      <c r="I6" s="549"/>
      <c r="J6" s="549"/>
      <c r="K6" s="549"/>
      <c r="L6" s="549"/>
      <c r="M6" s="549"/>
      <c r="N6" s="549"/>
      <c r="O6" s="549"/>
      <c r="P6" s="549"/>
      <c r="Q6" s="549"/>
      <c r="R6" s="549"/>
      <c r="S6" s="549"/>
      <c r="T6" s="549"/>
      <c r="U6" s="549"/>
      <c r="V6" s="549"/>
      <c r="W6" s="549"/>
      <c r="X6" s="549"/>
      <c r="Z6" s="550"/>
      <c r="AA6" s="550"/>
      <c r="AB6" s="550"/>
      <c r="AC6" s="550"/>
      <c r="AD6" s="550"/>
      <c r="AE6" s="550"/>
      <c r="AF6" s="550"/>
      <c r="AG6" s="550"/>
      <c r="AH6" s="550"/>
      <c r="AI6" s="550"/>
      <c r="AJ6" s="550"/>
      <c r="AK6" s="550"/>
      <c r="AL6" s="550"/>
      <c r="AM6" s="550"/>
    </row>
    <row r="7" spans="1:41" ht="18" customHeight="1" x14ac:dyDescent="0.25">
      <c r="A7" s="549"/>
      <c r="B7" s="549"/>
      <c r="C7" s="549"/>
      <c r="D7" s="549"/>
      <c r="E7" s="549"/>
      <c r="F7" s="549"/>
      <c r="G7" s="549"/>
      <c r="H7" s="549"/>
      <c r="I7" s="549"/>
      <c r="J7" s="549"/>
      <c r="K7" s="549"/>
      <c r="L7" s="549"/>
      <c r="M7" s="549"/>
      <c r="N7" s="549"/>
      <c r="O7" s="549"/>
      <c r="P7" s="549"/>
      <c r="Q7" s="549"/>
      <c r="R7" s="549"/>
      <c r="S7" s="549"/>
      <c r="T7" s="549"/>
      <c r="U7" s="549"/>
      <c r="V7" s="549"/>
      <c r="W7" s="549"/>
      <c r="X7" s="549"/>
      <c r="Z7" s="550"/>
      <c r="AA7" s="550"/>
      <c r="AB7" s="550"/>
      <c r="AC7" s="550"/>
      <c r="AD7" s="550"/>
      <c r="AE7" s="550"/>
      <c r="AF7" s="550"/>
      <c r="AG7" s="550"/>
      <c r="AH7" s="550"/>
      <c r="AI7" s="550"/>
      <c r="AJ7" s="550"/>
      <c r="AK7" s="550"/>
      <c r="AL7" s="550"/>
      <c r="AM7" s="550"/>
    </row>
    <row r="8" spans="1:41" x14ac:dyDescent="0.25">
      <c r="A8" s="19" t="s">
        <v>3231</v>
      </c>
      <c r="I8" s="551" t="str">
        <f>IF(Data!B1012=TRUE,Data!B1013,"N/A")</f>
        <v>N/A</v>
      </c>
      <c r="J8" s="551"/>
      <c r="K8" s="551"/>
      <c r="L8" s="551"/>
      <c r="M8" s="551"/>
      <c r="N8" s="551"/>
      <c r="O8" s="551"/>
      <c r="P8" s="551"/>
      <c r="Q8" s="551"/>
      <c r="R8" s="551"/>
      <c r="S8" s="551"/>
      <c r="T8" s="551"/>
      <c r="U8" s="551"/>
      <c r="V8" s="551"/>
      <c r="W8" s="551"/>
      <c r="X8" s="551"/>
      <c r="Y8" s="551"/>
      <c r="Z8" s="551"/>
      <c r="AA8" s="551"/>
      <c r="AB8" s="551"/>
      <c r="AC8" s="551"/>
      <c r="AD8" s="551"/>
      <c r="AE8" s="551"/>
      <c r="AF8" s="551"/>
      <c r="AG8" s="551"/>
      <c r="AH8" s="551"/>
      <c r="AI8" s="551"/>
      <c r="AJ8" s="551"/>
      <c r="AK8" s="551"/>
      <c r="AL8" s="551"/>
      <c r="AM8" s="551"/>
    </row>
    <row r="9" spans="1:41" x14ac:dyDescent="0.25">
      <c r="A9" s="552" t="s">
        <v>3482</v>
      </c>
      <c r="B9" s="552"/>
      <c r="C9" s="552"/>
      <c r="D9" s="552"/>
      <c r="E9" s="552"/>
      <c r="F9" s="552"/>
      <c r="G9" s="552"/>
      <c r="H9" s="552"/>
      <c r="I9" s="552"/>
      <c r="J9" s="552"/>
      <c r="K9" s="552"/>
      <c r="L9" s="552"/>
      <c r="M9" s="552"/>
      <c r="N9" s="552"/>
      <c r="O9" s="552"/>
      <c r="P9" s="552"/>
      <c r="Q9" s="552"/>
      <c r="R9" s="552"/>
      <c r="S9" s="552"/>
      <c r="T9" s="552"/>
      <c r="U9" s="552"/>
      <c r="V9" s="552"/>
      <c r="W9" s="552"/>
      <c r="X9" s="552"/>
      <c r="Y9" s="552"/>
      <c r="Z9" s="552"/>
      <c r="AA9" s="552"/>
      <c r="AB9" s="552"/>
      <c r="AC9" s="552"/>
      <c r="AD9" s="552"/>
      <c r="AE9" s="552"/>
      <c r="AF9" s="552"/>
      <c r="AG9" s="552"/>
      <c r="AH9" s="552"/>
      <c r="AI9" s="552"/>
      <c r="AJ9" s="552"/>
      <c r="AK9" s="552"/>
      <c r="AL9" s="552"/>
      <c r="AM9" s="552"/>
      <c r="AN9" s="552"/>
    </row>
    <row r="10" spans="1:41" x14ac:dyDescent="0.25">
      <c r="A10" s="545" t="s">
        <v>622</v>
      </c>
      <c r="B10" s="545"/>
      <c r="C10" s="545"/>
      <c r="D10" s="545"/>
      <c r="E10" s="545"/>
      <c r="F10" s="545"/>
      <c r="G10" s="545"/>
      <c r="H10" s="545"/>
      <c r="I10" s="545"/>
      <c r="J10" s="545"/>
      <c r="K10" s="545"/>
      <c r="L10" s="545"/>
      <c r="M10" s="545"/>
      <c r="N10" s="545"/>
      <c r="O10" s="545"/>
      <c r="P10" s="545"/>
      <c r="Q10" s="545"/>
      <c r="R10" s="545"/>
      <c r="S10" s="545"/>
      <c r="T10" s="545"/>
      <c r="U10" s="545"/>
      <c r="V10" s="545"/>
      <c r="W10" s="545"/>
      <c r="X10" s="545"/>
      <c r="Y10" s="545"/>
      <c r="Z10" s="545"/>
      <c r="AA10" s="545"/>
      <c r="AB10" s="545"/>
      <c r="AC10" s="545"/>
      <c r="AD10" s="545"/>
      <c r="AE10" s="545"/>
      <c r="AF10" s="545"/>
      <c r="AG10" s="545"/>
      <c r="AH10" s="545"/>
      <c r="AI10" s="545"/>
      <c r="AJ10" s="545"/>
      <c r="AK10" s="545"/>
      <c r="AL10" s="545"/>
      <c r="AM10" s="545"/>
      <c r="AN10" s="545"/>
    </row>
    <row r="11" spans="1:41" ht="19.5" x14ac:dyDescent="0.25">
      <c r="A11" s="546" t="s">
        <v>3227</v>
      </c>
      <c r="B11" s="546"/>
      <c r="C11" s="546"/>
      <c r="D11" s="546"/>
      <c r="E11" s="546"/>
      <c r="F11" s="546"/>
      <c r="G11" s="546"/>
      <c r="H11" s="546"/>
      <c r="I11" s="546"/>
      <c r="J11" s="546"/>
      <c r="K11" s="546"/>
      <c r="L11" s="546"/>
      <c r="M11" s="546"/>
      <c r="N11" s="546"/>
      <c r="O11" s="546"/>
      <c r="P11" s="546"/>
      <c r="Q11" s="546"/>
      <c r="R11" s="546"/>
      <c r="S11" s="546"/>
      <c r="T11" s="546"/>
      <c r="U11" s="546"/>
      <c r="V11" s="546"/>
      <c r="W11" s="546"/>
      <c r="X11" s="546"/>
      <c r="Y11" s="43"/>
      <c r="Z11" s="546" t="str">
        <f>_xlfn.CONCAT(IF(Data!E2="American","678-310-6305",""),IF(Data!E2="Augusta","706-504-3770",""),IF(Data!E2="Korean","404-971-8812",""),IF(Data!E2="Nepalese","404-673-2089",""))</f>
        <v/>
      </c>
      <c r="AA11" s="546"/>
      <c r="AB11" s="546"/>
      <c r="AC11" s="546"/>
      <c r="AD11" s="546"/>
      <c r="AE11" s="546"/>
      <c r="AF11" s="546"/>
      <c r="AG11" s="546"/>
      <c r="AH11" s="546"/>
      <c r="AI11" s="546"/>
      <c r="AJ11" s="546"/>
      <c r="AK11" s="546"/>
      <c r="AL11" s="546"/>
      <c r="AM11" s="546"/>
    </row>
    <row r="12" spans="1:41" ht="19.5" x14ac:dyDescent="0.25">
      <c r="A12" s="546"/>
      <c r="B12" s="546"/>
      <c r="C12" s="546"/>
      <c r="D12" s="546"/>
      <c r="E12" s="546"/>
      <c r="F12" s="546"/>
      <c r="G12" s="546"/>
      <c r="H12" s="546"/>
      <c r="I12" s="546"/>
      <c r="J12" s="546"/>
      <c r="K12" s="546"/>
      <c r="L12" s="546"/>
      <c r="M12" s="546"/>
      <c r="N12" s="546"/>
      <c r="O12" s="546"/>
      <c r="P12" s="546"/>
      <c r="Q12" s="546"/>
      <c r="R12" s="546"/>
      <c r="S12" s="546"/>
      <c r="T12" s="546"/>
      <c r="U12" s="546"/>
      <c r="V12" s="546"/>
      <c r="W12" s="546"/>
      <c r="X12" s="546"/>
      <c r="Y12" s="43"/>
      <c r="Z12" s="546"/>
      <c r="AA12" s="546"/>
      <c r="AB12" s="546"/>
      <c r="AC12" s="546"/>
      <c r="AD12" s="546"/>
      <c r="AE12" s="546"/>
      <c r="AF12" s="546"/>
      <c r="AG12" s="546"/>
      <c r="AH12" s="546"/>
      <c r="AI12" s="546"/>
      <c r="AJ12" s="546"/>
      <c r="AK12" s="546"/>
      <c r="AL12" s="546"/>
      <c r="AM12" s="546"/>
    </row>
    <row r="13" spans="1:41" ht="19.5" x14ac:dyDescent="0.25">
      <c r="A13" s="546" t="s">
        <v>3228</v>
      </c>
      <c r="B13" s="546"/>
      <c r="C13" s="546"/>
      <c r="D13" s="546"/>
      <c r="E13" s="546"/>
      <c r="F13" s="546"/>
      <c r="G13" s="546"/>
      <c r="H13" s="546"/>
      <c r="I13" s="546"/>
      <c r="J13" s="546"/>
      <c r="K13" s="546"/>
      <c r="L13" s="546"/>
      <c r="M13" s="546"/>
      <c r="N13" s="546"/>
      <c r="O13" s="546"/>
      <c r="P13" s="546"/>
      <c r="Q13" s="546"/>
      <c r="R13" s="546"/>
      <c r="S13" s="546"/>
      <c r="T13" s="546"/>
      <c r="U13" s="546"/>
      <c r="V13" s="546"/>
      <c r="W13" s="546"/>
      <c r="X13" s="546"/>
      <c r="Y13" s="43"/>
      <c r="Z13" s="546" t="s">
        <v>3229</v>
      </c>
      <c r="AA13" s="546"/>
      <c r="AB13" s="546"/>
      <c r="AC13" s="546"/>
      <c r="AD13" s="546"/>
      <c r="AE13" s="546"/>
      <c r="AF13" s="546"/>
      <c r="AG13" s="546"/>
      <c r="AH13" s="546"/>
      <c r="AI13" s="546"/>
      <c r="AJ13" s="546"/>
      <c r="AK13" s="546"/>
      <c r="AL13" s="546"/>
      <c r="AM13" s="546"/>
    </row>
    <row r="14" spans="1:41" ht="19.5" x14ac:dyDescent="0.25">
      <c r="A14" s="546"/>
      <c r="B14" s="546"/>
      <c r="C14" s="546"/>
      <c r="D14" s="546"/>
      <c r="E14" s="546"/>
      <c r="F14" s="546"/>
      <c r="G14" s="546"/>
      <c r="H14" s="546"/>
      <c r="I14" s="546"/>
      <c r="J14" s="546"/>
      <c r="K14" s="546"/>
      <c r="L14" s="546"/>
      <c r="M14" s="546"/>
      <c r="N14" s="546"/>
      <c r="O14" s="546"/>
      <c r="P14" s="546"/>
      <c r="Q14" s="546"/>
      <c r="R14" s="546"/>
      <c r="S14" s="546"/>
      <c r="T14" s="546"/>
      <c r="U14" s="546"/>
      <c r="V14" s="546"/>
      <c r="W14" s="546"/>
      <c r="X14" s="546"/>
      <c r="Y14" s="43"/>
      <c r="Z14" s="546"/>
      <c r="AA14" s="546"/>
      <c r="AB14" s="546"/>
      <c r="AC14" s="546"/>
      <c r="AD14" s="546"/>
      <c r="AE14" s="546"/>
      <c r="AF14" s="546"/>
      <c r="AG14" s="546"/>
      <c r="AH14" s="546"/>
      <c r="AI14" s="546"/>
      <c r="AJ14" s="546"/>
      <c r="AK14" s="546"/>
      <c r="AL14" s="546"/>
      <c r="AM14" s="546"/>
    </row>
    <row r="15" spans="1:41" ht="19.350000000000001" customHeight="1" x14ac:dyDescent="0.25">
      <c r="A15" s="545" t="s">
        <v>3230</v>
      </c>
      <c r="B15" s="545"/>
      <c r="C15" s="545"/>
      <c r="D15" s="545"/>
      <c r="E15" s="545"/>
      <c r="F15" s="545"/>
      <c r="G15" s="545"/>
      <c r="H15" s="545"/>
      <c r="I15" s="545"/>
      <c r="J15" s="545"/>
      <c r="K15" s="545"/>
      <c r="L15" s="545"/>
      <c r="M15" s="545"/>
      <c r="N15" s="545"/>
      <c r="O15" s="545"/>
      <c r="P15" s="545"/>
      <c r="Q15" s="545"/>
      <c r="R15" s="545"/>
      <c r="S15" s="545"/>
      <c r="T15" s="545"/>
      <c r="U15" s="545"/>
      <c r="V15" s="545"/>
      <c r="W15" s="545"/>
      <c r="X15" s="545"/>
      <c r="Y15" s="545"/>
      <c r="Z15" s="545"/>
      <c r="AA15" s="545"/>
      <c r="AB15" s="545"/>
      <c r="AC15" s="545"/>
      <c r="AD15" s="545"/>
      <c r="AE15" s="545"/>
      <c r="AF15" s="545"/>
      <c r="AG15" s="545"/>
      <c r="AH15" s="545"/>
      <c r="AI15" s="545"/>
      <c r="AJ15" s="545"/>
      <c r="AK15" s="545"/>
      <c r="AL15" s="545"/>
      <c r="AM15" s="545"/>
      <c r="AN15" s="545"/>
    </row>
    <row r="16" spans="1:41" x14ac:dyDescent="0.25">
      <c r="A16" s="541" t="str">
        <f>IF(OR(Data!B917=TRUE,Data!B929=TRUE),"AT RISK FOR SKIN BREAKDOWN","")&amp;IF(Data!B917=TRUE," -Bedbound","")&amp;IF(Data!B929=TRUE," -Chairbound","")&amp;IF(Data!B1610="Yes","  **LATEX ALLERGY**","")&amp;IF(AND(Data!B1644="Yes",Data!B1645="Yes"),"**DNR ON FILE**","")</f>
        <v/>
      </c>
      <c r="B16" s="541"/>
      <c r="C16" s="541"/>
      <c r="D16" s="541"/>
      <c r="E16" s="541"/>
      <c r="F16" s="541"/>
      <c r="G16" s="541"/>
      <c r="H16" s="541"/>
      <c r="I16" s="541"/>
      <c r="J16" s="541"/>
      <c r="K16" s="541"/>
      <c r="L16" s="541"/>
      <c r="M16" s="541"/>
      <c r="N16" s="541"/>
      <c r="O16" s="541"/>
      <c r="P16" s="541"/>
      <c r="Q16" s="541"/>
      <c r="R16" s="541"/>
      <c r="S16" s="541"/>
      <c r="T16" s="541"/>
      <c r="U16" s="541"/>
      <c r="V16" s="541"/>
      <c r="W16" s="541"/>
      <c r="X16" s="541"/>
      <c r="Y16" s="541"/>
      <c r="Z16" s="541"/>
      <c r="AA16" s="541"/>
      <c r="AB16" s="541"/>
      <c r="AC16" s="541"/>
      <c r="AD16" s="541"/>
      <c r="AE16" s="541"/>
      <c r="AF16" s="541"/>
      <c r="AG16" s="541"/>
      <c r="AH16" s="541"/>
      <c r="AI16" s="541"/>
      <c r="AJ16" s="541"/>
      <c r="AK16" s="541"/>
      <c r="AL16" s="541"/>
      <c r="AM16" s="541"/>
      <c r="AN16" s="541"/>
    </row>
    <row r="17" spans="1:41" ht="19.350000000000001" customHeight="1" x14ac:dyDescent="0.25">
      <c r="A17" s="143"/>
      <c r="B17" s="144"/>
      <c r="C17" s="144"/>
      <c r="D17" s="144"/>
      <c r="E17" s="145" t="s">
        <v>575</v>
      </c>
      <c r="F17" s="562" t="str">
        <f>IF(Data!B417=FALSE,Data!B414,"No med allergy. ")&amp;IF(Data!B418=FALSE," "&amp;Data!B415,"No food allergy. ")&amp;IF(Data!B419=FALSE," "&amp;Data!B416,"No environment allergy. ")</f>
        <v xml:space="preserve">  </v>
      </c>
      <c r="G17" s="562"/>
      <c r="H17" s="562"/>
      <c r="I17" s="562"/>
      <c r="J17" s="562"/>
      <c r="K17" s="562"/>
      <c r="L17" s="562"/>
      <c r="M17" s="562"/>
      <c r="N17" s="562"/>
      <c r="O17" s="562"/>
      <c r="P17" s="562"/>
      <c r="Q17" s="562"/>
      <c r="R17" s="562"/>
      <c r="S17" s="562"/>
      <c r="T17" s="562"/>
      <c r="U17" s="562"/>
      <c r="V17" s="562"/>
      <c r="W17" s="562"/>
      <c r="X17" s="562"/>
      <c r="Y17" s="562"/>
      <c r="Z17" s="562"/>
      <c r="AA17" s="562"/>
      <c r="AB17" s="562"/>
      <c r="AC17" s="562"/>
      <c r="AD17" s="562"/>
      <c r="AE17" s="562"/>
      <c r="AF17" s="562"/>
      <c r="AG17" s="562"/>
      <c r="AH17" s="562"/>
      <c r="AI17" s="562"/>
      <c r="AJ17" s="562"/>
      <c r="AK17" s="562"/>
      <c r="AL17" s="562"/>
      <c r="AM17" s="562"/>
      <c r="AN17" s="562"/>
    </row>
    <row r="18" spans="1:41" ht="19.350000000000001" customHeight="1" x14ac:dyDescent="0.25">
      <c r="A18" s="144"/>
      <c r="B18" s="145"/>
      <c r="C18" s="216"/>
      <c r="D18" s="216"/>
      <c r="E18" s="216"/>
      <c r="F18" s="216"/>
      <c r="G18" s="216"/>
      <c r="H18" s="216"/>
      <c r="I18" s="216"/>
      <c r="J18" s="216"/>
      <c r="K18" s="216"/>
      <c r="L18" s="216"/>
      <c r="M18" s="216"/>
      <c r="N18" s="216"/>
      <c r="O18" s="216"/>
      <c r="P18" s="216"/>
      <c r="Q18" s="216"/>
      <c r="R18" s="216"/>
      <c r="S18" s="216"/>
      <c r="T18" s="216"/>
      <c r="U18" s="216"/>
      <c r="V18" s="216"/>
      <c r="W18" s="216"/>
      <c r="X18" s="216"/>
      <c r="Y18" s="216"/>
      <c r="Z18" s="216"/>
      <c r="AA18" s="216"/>
      <c r="AB18" s="216"/>
      <c r="AC18" s="216"/>
      <c r="AD18" s="216"/>
      <c r="AE18" s="216"/>
      <c r="AF18" s="216"/>
      <c r="AG18" s="216"/>
      <c r="AH18" s="216"/>
      <c r="AI18" s="216"/>
      <c r="AJ18" s="216"/>
      <c r="AK18" s="216"/>
      <c r="AL18" s="216"/>
      <c r="AM18" s="216"/>
      <c r="AN18" s="216"/>
    </row>
    <row r="19" spans="1:41" ht="19.350000000000001" customHeight="1" x14ac:dyDescent="0.25">
      <c r="A19" s="144"/>
      <c r="B19" s="144"/>
      <c r="C19" s="216"/>
      <c r="D19" s="216"/>
      <c r="E19" s="216"/>
      <c r="F19" s="216"/>
      <c r="G19" s="216"/>
      <c r="H19" s="216"/>
      <c r="I19" s="216"/>
      <c r="J19" s="216"/>
      <c r="K19" s="216"/>
      <c r="L19" s="216"/>
      <c r="M19" s="216"/>
      <c r="N19" s="216"/>
      <c r="O19" s="216"/>
      <c r="P19" s="216"/>
      <c r="Q19" s="216"/>
      <c r="R19" s="216"/>
      <c r="S19" s="216"/>
      <c r="T19" s="216"/>
      <c r="U19" s="216"/>
      <c r="V19" s="216"/>
      <c r="W19" s="216"/>
      <c r="X19" s="216"/>
      <c r="Y19" s="216"/>
      <c r="Z19" s="216"/>
      <c r="AA19" s="216"/>
      <c r="AB19" s="216"/>
      <c r="AC19" s="216"/>
      <c r="AD19" s="216"/>
      <c r="AE19" s="216"/>
      <c r="AF19" s="216"/>
      <c r="AG19" s="216"/>
      <c r="AH19" s="216"/>
      <c r="AI19" s="216"/>
      <c r="AJ19" s="216"/>
      <c r="AK19" s="216"/>
      <c r="AL19" s="216"/>
      <c r="AM19" s="216"/>
      <c r="AN19" s="216"/>
    </row>
    <row r="20" spans="1:41" x14ac:dyDescent="0.25">
      <c r="A20" s="19" t="s">
        <v>623</v>
      </c>
      <c r="N20" s="553">
        <f>Data!B43</f>
        <v>0</v>
      </c>
      <c r="O20" s="553"/>
      <c r="P20" s="553"/>
      <c r="Q20" s="553"/>
      <c r="R20" s="553"/>
      <c r="S20" s="553"/>
      <c r="T20" s="553"/>
      <c r="U20" s="553"/>
      <c r="V20" s="553"/>
      <c r="W20" s="553"/>
      <c r="X20" s="553"/>
      <c r="Y20" s="553"/>
      <c r="Z20" s="553"/>
      <c r="AA20" s="553"/>
      <c r="AC20" s="19" t="s">
        <v>348</v>
      </c>
      <c r="AG20" s="544" t="str">
        <f>IF(Data!B45="","No home phone","H: "&amp;TEXT(Data!B45,"(###) ###-####"))</f>
        <v>No home phone</v>
      </c>
      <c r="AH20" s="544"/>
      <c r="AI20" s="544"/>
      <c r="AJ20" s="544"/>
      <c r="AK20" s="544"/>
      <c r="AL20" s="544"/>
      <c r="AM20" s="544"/>
      <c r="AN20" s="544"/>
    </row>
    <row r="21" spans="1:41" x14ac:dyDescent="0.25">
      <c r="AG21" s="547" t="str">
        <f>IF(Data!B46="","No cell phone","C: "&amp;TEXT(Data!B46,"(###) ###-####"))</f>
        <v>No cell phone</v>
      </c>
      <c r="AH21" s="547"/>
      <c r="AI21" s="547"/>
      <c r="AJ21" s="547"/>
      <c r="AK21" s="547"/>
      <c r="AL21" s="547"/>
      <c r="AM21" s="547"/>
      <c r="AN21" s="547"/>
    </row>
    <row r="22" spans="1:41" x14ac:dyDescent="0.25">
      <c r="A22" s="545" t="s">
        <v>120</v>
      </c>
      <c r="B22" s="545"/>
      <c r="C22" s="545"/>
      <c r="D22" s="545"/>
      <c r="E22" s="545"/>
      <c r="F22" s="545"/>
      <c r="G22" s="545"/>
      <c r="H22" s="545"/>
      <c r="I22" s="545"/>
      <c r="J22" s="545"/>
      <c r="K22" s="545"/>
      <c r="L22" s="545"/>
      <c r="M22" s="545"/>
      <c r="N22" s="545"/>
      <c r="O22" s="545"/>
      <c r="P22" s="545"/>
      <c r="Q22" s="545"/>
      <c r="R22" s="545"/>
      <c r="S22" s="545"/>
      <c r="T22" s="545"/>
      <c r="U22" s="545"/>
      <c r="V22" s="545"/>
      <c r="W22" s="545"/>
      <c r="X22" s="545"/>
      <c r="Y22" s="545"/>
      <c r="Z22" s="545"/>
      <c r="AA22" s="545"/>
      <c r="AB22" s="545"/>
      <c r="AC22" s="545"/>
      <c r="AD22" s="545"/>
      <c r="AE22" s="545"/>
      <c r="AF22" s="545"/>
      <c r="AG22" s="545"/>
      <c r="AH22" s="545"/>
      <c r="AI22" s="545"/>
      <c r="AJ22" s="545"/>
      <c r="AK22" s="545"/>
      <c r="AL22" s="545"/>
      <c r="AM22" s="545"/>
      <c r="AN22" s="545"/>
    </row>
    <row r="23" spans="1:41" x14ac:dyDescent="0.25">
      <c r="A23" t="s">
        <v>2894</v>
      </c>
      <c r="G23" s="240">
        <f>Data!B1405</f>
        <v>0</v>
      </c>
      <c r="H23" s="240"/>
      <c r="I23" s="240"/>
      <c r="J23" s="240"/>
      <c r="K23" s="240"/>
      <c r="L23" s="240"/>
      <c r="M23" s="240"/>
      <c r="N23" s="240"/>
      <c r="O23" s="240"/>
      <c r="P23" s="240"/>
      <c r="Q23" s="240"/>
      <c r="R23" s="240"/>
      <c r="S23" s="240"/>
      <c r="T23" s="240"/>
      <c r="U23" s="240"/>
      <c r="V23" s="240"/>
      <c r="W23" s="240"/>
      <c r="X23" s="240"/>
      <c r="Y23" s="240"/>
      <c r="Z23" s="240"/>
      <c r="AA23" s="240"/>
      <c r="AB23" s="240"/>
      <c r="AC23" s="240"/>
      <c r="AD23" s="240"/>
      <c r="AE23" s="240"/>
      <c r="AF23" s="240"/>
      <c r="AG23" s="240"/>
      <c r="AH23" s="240"/>
      <c r="AI23" s="240"/>
      <c r="AJ23" s="240"/>
      <c r="AK23" s="240"/>
      <c r="AL23" s="240"/>
      <c r="AM23" s="240"/>
    </row>
    <row r="24" spans="1:41" x14ac:dyDescent="0.25">
      <c r="C24" s="557" t="s">
        <v>630</v>
      </c>
      <c r="D24" s="557"/>
      <c r="E24" s="557"/>
      <c r="F24" s="557"/>
      <c r="G24" s="557"/>
      <c r="H24" s="557" t="s">
        <v>624</v>
      </c>
      <c r="I24" s="557"/>
      <c r="J24" s="557"/>
      <c r="K24" s="557"/>
      <c r="L24" s="557"/>
      <c r="M24" s="557" t="s">
        <v>625</v>
      </c>
      <c r="N24" s="557"/>
      <c r="O24" s="557"/>
      <c r="P24" s="557"/>
      <c r="Q24" s="557"/>
      <c r="R24" s="557" t="s">
        <v>626</v>
      </c>
      <c r="S24" s="557"/>
      <c r="T24" s="557"/>
      <c r="U24" s="557"/>
      <c r="V24" s="557"/>
      <c r="W24" s="557" t="s">
        <v>627</v>
      </c>
      <c r="X24" s="557"/>
      <c r="Y24" s="557"/>
      <c r="Z24" s="557"/>
      <c r="AA24" s="557"/>
      <c r="AB24" s="557" t="s">
        <v>628</v>
      </c>
      <c r="AC24" s="557"/>
      <c r="AD24" s="557"/>
      <c r="AE24" s="557"/>
      <c r="AF24" s="557"/>
      <c r="AG24" s="557" t="s">
        <v>629</v>
      </c>
      <c r="AH24" s="557"/>
      <c r="AI24" s="557"/>
      <c r="AJ24" s="557"/>
      <c r="AK24" s="557"/>
    </row>
    <row r="25" spans="1:41" x14ac:dyDescent="0.25">
      <c r="C25" s="555" t="str">
        <f>_xlfn.CONCAT(Data!B1283,IF(Data!B1297="","",", "&amp;Data!B1297),IF(Data!B1311="","",", "&amp;Data!B1311))</f>
        <v/>
      </c>
      <c r="D25" s="555"/>
      <c r="E25" s="555"/>
      <c r="F25" s="555"/>
      <c r="G25" s="555"/>
      <c r="H25" s="555" t="str">
        <f>_xlfn.CONCAT(Data!B1284,IF(Data!B1298="","",", "&amp;Data!B1298),IF(Data!B1312="","",", "&amp;Data!B1312))</f>
        <v/>
      </c>
      <c r="I25" s="555"/>
      <c r="J25" s="555"/>
      <c r="K25" s="555"/>
      <c r="L25" s="555"/>
      <c r="M25" s="555" t="str">
        <f>_xlfn.CONCAT(Data!B1285,IF(Data!B1299="","",", "&amp;Data!B1299),IF(Data!B1313="","",", "&amp;Data!B1313))</f>
        <v/>
      </c>
      <c r="N25" s="555"/>
      <c r="O25" s="555"/>
      <c r="P25" s="555"/>
      <c r="Q25" s="555"/>
      <c r="R25" s="555" t="str">
        <f>_xlfn.CONCAT(Data!B1286,IF(Data!B1300="","",", "&amp;Data!B1300),IF(Data!B1314="","",", "&amp;Data!B1314))</f>
        <v/>
      </c>
      <c r="S25" s="555"/>
      <c r="T25" s="555"/>
      <c r="U25" s="555"/>
      <c r="V25" s="555"/>
      <c r="W25" s="555" t="str">
        <f>_xlfn.CONCAT(Data!B1287,IF(Data!B1301="","",", "&amp;Data!B1301),IF(Data!B1315="","",", "&amp;Data!B1315))</f>
        <v/>
      </c>
      <c r="X25" s="555"/>
      <c r="Y25" s="555"/>
      <c r="Z25" s="555"/>
      <c r="AA25" s="555"/>
      <c r="AB25" s="555" t="str">
        <f>_xlfn.CONCAT(Data!B1288,IF(Data!B1302="","",", "&amp;Data!B1302),IF(Data!B1316="","",", "&amp;Data!B1316))</f>
        <v/>
      </c>
      <c r="AC25" s="555"/>
      <c r="AD25" s="555"/>
      <c r="AE25" s="555"/>
      <c r="AF25" s="555"/>
      <c r="AG25" s="555" t="str">
        <f>_xlfn.CONCAT(Data!B1289,IF(Data!B1303="","",", "&amp;Data!B1303),IF(Data!B1317="","",", "&amp;Data!B1317))</f>
        <v/>
      </c>
      <c r="AH25" s="555"/>
      <c r="AI25" s="555"/>
      <c r="AJ25" s="555"/>
      <c r="AK25" s="555"/>
    </row>
    <row r="26" spans="1:41" x14ac:dyDescent="0.25">
      <c r="C26" s="555"/>
      <c r="D26" s="555"/>
      <c r="E26" s="555"/>
      <c r="F26" s="555"/>
      <c r="G26" s="555"/>
      <c r="H26" s="555"/>
      <c r="I26" s="555"/>
      <c r="J26" s="555"/>
      <c r="K26" s="555"/>
      <c r="L26" s="555"/>
      <c r="M26" s="555"/>
      <c r="N26" s="555"/>
      <c r="O26" s="555"/>
      <c r="P26" s="555"/>
      <c r="Q26" s="555"/>
      <c r="R26" s="555"/>
      <c r="S26" s="555"/>
      <c r="T26" s="555"/>
      <c r="U26" s="555"/>
      <c r="V26" s="555"/>
      <c r="W26" s="555"/>
      <c r="X26" s="555"/>
      <c r="Y26" s="555"/>
      <c r="Z26" s="555"/>
      <c r="AA26" s="555"/>
      <c r="AB26" s="555"/>
      <c r="AC26" s="555"/>
      <c r="AD26" s="555"/>
      <c r="AE26" s="555"/>
      <c r="AF26" s="555"/>
      <c r="AG26" s="555"/>
      <c r="AH26" s="555"/>
      <c r="AI26" s="555"/>
      <c r="AJ26" s="555"/>
      <c r="AK26" s="555"/>
    </row>
    <row r="27" spans="1:41" x14ac:dyDescent="0.25">
      <c r="C27" s="555"/>
      <c r="D27" s="555"/>
      <c r="E27" s="555"/>
      <c r="F27" s="555"/>
      <c r="G27" s="555"/>
      <c r="H27" s="555"/>
      <c r="I27" s="555"/>
      <c r="J27" s="555"/>
      <c r="K27" s="555"/>
      <c r="L27" s="555"/>
      <c r="M27" s="555"/>
      <c r="N27" s="555"/>
      <c r="O27" s="555"/>
      <c r="P27" s="555"/>
      <c r="Q27" s="555"/>
      <c r="R27" s="555"/>
      <c r="S27" s="555"/>
      <c r="T27" s="555"/>
      <c r="U27" s="555"/>
      <c r="V27" s="555"/>
      <c r="W27" s="555"/>
      <c r="X27" s="555"/>
      <c r="Y27" s="555"/>
      <c r="Z27" s="555"/>
      <c r="AA27" s="555"/>
      <c r="AB27" s="555"/>
      <c r="AC27" s="555"/>
      <c r="AD27" s="555"/>
      <c r="AE27" s="555"/>
      <c r="AF27" s="555"/>
      <c r="AG27" s="555"/>
      <c r="AH27" s="555"/>
      <c r="AI27" s="555"/>
      <c r="AJ27" s="555"/>
      <c r="AK27" s="555"/>
    </row>
    <row r="28" spans="1:41" x14ac:dyDescent="0.25">
      <c r="C28" s="555"/>
      <c r="D28" s="555"/>
      <c r="E28" s="555"/>
      <c r="F28" s="555"/>
      <c r="G28" s="555"/>
      <c r="H28" s="555"/>
      <c r="I28" s="555"/>
      <c r="J28" s="555"/>
      <c r="K28" s="555"/>
      <c r="L28" s="555"/>
      <c r="M28" s="555"/>
      <c r="N28" s="555"/>
      <c r="O28" s="555"/>
      <c r="P28" s="555"/>
      <c r="Q28" s="555"/>
      <c r="R28" s="555"/>
      <c r="S28" s="555"/>
      <c r="T28" s="555"/>
      <c r="U28" s="555"/>
      <c r="V28" s="555"/>
      <c r="W28" s="555"/>
      <c r="X28" s="555"/>
      <c r="Y28" s="555"/>
      <c r="Z28" s="555"/>
      <c r="AA28" s="555"/>
      <c r="AB28" s="555"/>
      <c r="AC28" s="555"/>
      <c r="AD28" s="555"/>
      <c r="AE28" s="555"/>
      <c r="AF28" s="555"/>
      <c r="AG28" s="555"/>
      <c r="AH28" s="555"/>
      <c r="AI28" s="555"/>
      <c r="AJ28" s="555"/>
      <c r="AK28" s="555"/>
    </row>
    <row r="29" spans="1:41" x14ac:dyDescent="0.25">
      <c r="T29" s="19" t="s">
        <v>631</v>
      </c>
      <c r="AE29" s="20"/>
      <c r="AF29" s="558">
        <f>Data!B1409</f>
        <v>0</v>
      </c>
      <c r="AG29" s="559"/>
      <c r="AH29" s="559"/>
      <c r="AI29" s="559"/>
      <c r="AJ29" s="559"/>
      <c r="AK29" s="559"/>
    </row>
    <row r="30" spans="1:41" x14ac:dyDescent="0.25">
      <c r="AD30" s="552"/>
      <c r="AE30" s="552"/>
      <c r="AF30" s="552"/>
      <c r="AG30" s="552"/>
      <c r="AH30" s="552"/>
      <c r="AI30" s="552"/>
    </row>
    <row r="31" spans="1:41" ht="38.25" customHeight="1" x14ac:dyDescent="0.25">
      <c r="A31" s="556" t="str">
        <f>IF(Data!B185="Medicaid","Days and hours cannot change without case manager approval. Times may be altered per client's request with 72 hours notice.","Days/Times/Hours can be altered with 72 hours notice from "&amp;IF(Data!B355=FALSE,"family.","client."))</f>
        <v>Days/Times/Hours can be altered with 72 hours notice from family.</v>
      </c>
      <c r="B31" s="556"/>
      <c r="C31" s="556"/>
      <c r="D31" s="556"/>
      <c r="E31" s="556"/>
      <c r="F31" s="556"/>
      <c r="G31" s="556"/>
      <c r="H31" s="556"/>
      <c r="I31" s="556"/>
      <c r="J31" s="556"/>
      <c r="K31" s="556"/>
      <c r="L31" s="556"/>
      <c r="M31" s="556"/>
      <c r="N31" s="556"/>
      <c r="O31" s="556"/>
      <c r="P31" s="556"/>
      <c r="Q31" s="556"/>
      <c r="R31" s="556"/>
      <c r="S31" s="556"/>
      <c r="T31" s="556"/>
      <c r="U31" s="556"/>
      <c r="V31" s="556"/>
      <c r="W31" s="556"/>
      <c r="X31" s="556"/>
      <c r="Y31" s="556"/>
      <c r="Z31" s="556"/>
      <c r="AA31" s="556"/>
      <c r="AB31" s="556"/>
      <c r="AC31" s="556"/>
      <c r="AD31" s="556"/>
      <c r="AE31" s="556"/>
      <c r="AF31" s="556"/>
      <c r="AG31" s="556"/>
      <c r="AH31" s="556"/>
      <c r="AI31" s="556"/>
      <c r="AJ31" s="556"/>
      <c r="AK31" s="556"/>
      <c r="AL31" s="556"/>
      <c r="AM31" s="104"/>
      <c r="AN31" s="104"/>
      <c r="AO31" s="104"/>
    </row>
    <row r="33" spans="1:40" x14ac:dyDescent="0.25">
      <c r="A33" s="561" t="s">
        <v>632</v>
      </c>
      <c r="B33" s="561"/>
      <c r="C33" s="561"/>
      <c r="D33" s="561"/>
      <c r="E33" s="561"/>
      <c r="F33" s="561"/>
      <c r="G33" s="561"/>
      <c r="H33" s="561"/>
      <c r="I33" s="561"/>
      <c r="J33" s="561"/>
      <c r="K33" s="561"/>
      <c r="L33" s="561"/>
      <c r="M33" s="561"/>
      <c r="N33" s="561"/>
      <c r="O33" s="561"/>
      <c r="P33" s="561"/>
      <c r="Q33" s="561"/>
      <c r="R33" s="561"/>
      <c r="S33" s="561"/>
      <c r="T33" s="561"/>
      <c r="U33" s="561"/>
      <c r="V33" s="561"/>
      <c r="W33" s="561"/>
      <c r="X33" s="561"/>
      <c r="Y33" s="561"/>
      <c r="Z33" s="561"/>
      <c r="AA33" s="561"/>
      <c r="AB33" s="561"/>
      <c r="AC33" s="561"/>
      <c r="AD33" s="561"/>
      <c r="AE33" s="561"/>
      <c r="AF33" s="561"/>
      <c r="AG33" s="561"/>
      <c r="AH33" s="561"/>
      <c r="AI33" s="561"/>
      <c r="AJ33" s="561"/>
      <c r="AK33" s="561"/>
      <c r="AL33" s="561"/>
      <c r="AM33" s="561"/>
      <c r="AN33" s="561"/>
    </row>
    <row r="35" spans="1:40" x14ac:dyDescent="0.25">
      <c r="A35" s="563">
        <f>IF(Data!B1653="",Data!B34,Data!B1653)</f>
        <v>0</v>
      </c>
      <c r="B35" s="560"/>
      <c r="C35" s="560"/>
      <c r="D35" s="560"/>
      <c r="E35" s="560"/>
      <c r="F35" s="560"/>
      <c r="G35" s="560"/>
      <c r="H35" s="560"/>
      <c r="K35" s="560"/>
      <c r="L35" s="560"/>
      <c r="M35" s="560"/>
      <c r="N35" s="560"/>
      <c r="O35" s="560"/>
      <c r="P35" s="560"/>
      <c r="Q35" s="560"/>
      <c r="R35" s="560"/>
      <c r="T35" s="560"/>
      <c r="U35" s="560"/>
      <c r="V35" s="560"/>
      <c r="W35" s="560"/>
      <c r="X35" s="560"/>
      <c r="Y35" s="560"/>
      <c r="Z35" s="560"/>
      <c r="AA35" s="560"/>
      <c r="AD35" s="560"/>
      <c r="AE35" s="560"/>
      <c r="AF35" s="560"/>
      <c r="AG35" s="560"/>
      <c r="AH35" s="560"/>
      <c r="AI35" s="560"/>
      <c r="AJ35" s="560"/>
      <c r="AK35" s="560"/>
    </row>
  </sheetData>
  <mergeCells count="48">
    <mergeCell ref="AF29:AK29"/>
    <mergeCell ref="AD30:AI30"/>
    <mergeCell ref="A31:AL31"/>
    <mergeCell ref="A33:AN33"/>
    <mergeCell ref="A35:H35"/>
    <mergeCell ref="K35:R35"/>
    <mergeCell ref="T35:AA35"/>
    <mergeCell ref="AD35:AK35"/>
    <mergeCell ref="AG24:AK24"/>
    <mergeCell ref="C25:G28"/>
    <mergeCell ref="H25:L28"/>
    <mergeCell ref="M25:Q28"/>
    <mergeCell ref="R25:V28"/>
    <mergeCell ref="W25:AA28"/>
    <mergeCell ref="AB25:AF28"/>
    <mergeCell ref="AG25:AK28"/>
    <mergeCell ref="C24:G24"/>
    <mergeCell ref="H24:L24"/>
    <mergeCell ref="M24:Q24"/>
    <mergeCell ref="R24:V24"/>
    <mergeCell ref="W24:AA24"/>
    <mergeCell ref="AB24:AF24"/>
    <mergeCell ref="G23:AM23"/>
    <mergeCell ref="A11:X12"/>
    <mergeCell ref="Z11:AM12"/>
    <mergeCell ref="A13:X14"/>
    <mergeCell ref="Z13:AM14"/>
    <mergeCell ref="A15:AN15"/>
    <mergeCell ref="A16:AN16"/>
    <mergeCell ref="F17:AN17"/>
    <mergeCell ref="C18:AN19"/>
    <mergeCell ref="N20:AA20"/>
    <mergeCell ref="AG20:AN20"/>
    <mergeCell ref="A22:AN22"/>
    <mergeCell ref="AG21:AN21"/>
    <mergeCell ref="A10:AN10"/>
    <mergeCell ref="G1:Y1"/>
    <mergeCell ref="AH1:AM1"/>
    <mergeCell ref="H2:U2"/>
    <mergeCell ref="AB2:AL2"/>
    <mergeCell ref="I3:U3"/>
    <mergeCell ref="AA3:AL3"/>
    <mergeCell ref="I4:U4"/>
    <mergeCell ref="AA4:AL4"/>
    <mergeCell ref="A5:X7"/>
    <mergeCell ref="Z5:AM7"/>
    <mergeCell ref="I8:AM8"/>
    <mergeCell ref="A9:AN9"/>
  </mergeCells>
  <pageMargins left="0.25" right="0.25" top="0.75" bottom="0.75" header="0.3" footer="0.3"/>
  <pageSetup orientation="portrait" r:id="rId1"/>
  <headerFooter>
    <oddHeader>&amp;L&amp;G&amp;CPlace on client's refrigerator!</oddHeader>
    <oddFooter>&amp;LINT&amp;C3088 Mercer University Drive Suite 100 Atlanta, GA 30341
678-310-6305 Fax 404-935-6110&amp;RPP.M</oddFooter>
  </headerFooter>
  <legacyDrawingHF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4D340-B6EE-428E-B214-856146E592FA}">
  <sheetPr codeName="Sheet82">
    <tabColor rgb="FF7030A0"/>
  </sheetPr>
  <dimension ref="A2:AL47"/>
  <sheetViews>
    <sheetView showZeros="0" view="pageLayout" topLeftCell="A19" zoomScaleNormal="100" workbookViewId="0">
      <selection activeCell="Q41" sqref="Q41:V41"/>
    </sheetView>
  </sheetViews>
  <sheetFormatPr defaultColWidth="2.7109375" defaultRowHeight="12.75" x14ac:dyDescent="0.2"/>
  <sheetData>
    <row r="2" spans="1:38" x14ac:dyDescent="0.2">
      <c r="A2" t="s">
        <v>336</v>
      </c>
      <c r="F2" s="233" t="str">
        <f>_xlfn.CONCAT(Data!B2,", ",Data!B3," ",Data!B4)</f>
        <v xml:space="preserve">,  </v>
      </c>
      <c r="G2" s="233"/>
      <c r="H2" s="233"/>
      <c r="I2" s="233"/>
      <c r="J2" s="233"/>
      <c r="K2" s="233"/>
      <c r="L2" s="233"/>
      <c r="M2" s="233"/>
      <c r="N2" s="233"/>
      <c r="O2" s="233"/>
      <c r="P2" s="233"/>
      <c r="Q2" s="233"/>
      <c r="R2" s="233"/>
      <c r="S2" s="233"/>
      <c r="T2" s="233"/>
      <c r="V2" t="s">
        <v>582</v>
      </c>
      <c r="AA2" s="218">
        <f>Data!B34</f>
        <v>0</v>
      </c>
      <c r="AB2" s="219"/>
      <c r="AC2" s="219"/>
      <c r="AD2" s="219"/>
      <c r="AE2" s="219"/>
      <c r="AF2" s="219"/>
      <c r="AG2" s="219"/>
      <c r="AH2" s="219"/>
      <c r="AI2" s="219"/>
      <c r="AJ2" s="219"/>
    </row>
    <row r="5" spans="1:38" x14ac:dyDescent="0.2">
      <c r="A5" s="260" t="s">
        <v>3444</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c r="AE5" s="260"/>
      <c r="AF5" s="260"/>
      <c r="AG5" s="260"/>
      <c r="AH5" s="260"/>
      <c r="AI5" s="260"/>
      <c r="AJ5" s="260"/>
      <c r="AK5" s="260"/>
      <c r="AL5" s="260"/>
    </row>
    <row r="6" spans="1:38" x14ac:dyDescent="0.2">
      <c r="A6" s="260"/>
      <c r="B6" s="260"/>
      <c r="C6" s="260"/>
      <c r="D6" s="260"/>
      <c r="E6" s="260"/>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c r="AE6" s="260"/>
      <c r="AF6" s="260"/>
      <c r="AG6" s="260"/>
      <c r="AH6" s="260"/>
      <c r="AI6" s="260"/>
      <c r="AJ6" s="260"/>
      <c r="AK6" s="260"/>
      <c r="AL6" s="260"/>
    </row>
    <row r="7" spans="1:38" x14ac:dyDescent="0.2">
      <c r="A7" s="260"/>
      <c r="B7" s="260"/>
      <c r="C7" s="260"/>
      <c r="D7" s="260"/>
      <c r="E7" s="260"/>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c r="AE7" s="260"/>
      <c r="AF7" s="260"/>
      <c r="AG7" s="260"/>
      <c r="AH7" s="260"/>
      <c r="AI7" s="260"/>
      <c r="AJ7" s="260"/>
      <c r="AK7" s="260"/>
      <c r="AL7" s="260"/>
    </row>
    <row r="8" spans="1:38" x14ac:dyDescent="0.2">
      <c r="A8" s="260"/>
      <c r="B8" s="260"/>
      <c r="C8" s="260"/>
      <c r="D8" s="260"/>
      <c r="E8" s="260"/>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c r="AE8" s="260"/>
      <c r="AF8" s="260"/>
      <c r="AG8" s="260"/>
      <c r="AH8" s="260"/>
      <c r="AI8" s="260"/>
      <c r="AJ8" s="260"/>
      <c r="AK8" s="260"/>
      <c r="AL8" s="260"/>
    </row>
    <row r="9" spans="1:38" x14ac:dyDescent="0.2">
      <c r="A9" s="260"/>
      <c r="B9" s="260"/>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60"/>
    </row>
    <row r="10" spans="1:38" x14ac:dyDescent="0.2">
      <c r="A10" s="260"/>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c r="AE10" s="260"/>
      <c r="AF10" s="260"/>
      <c r="AG10" s="260"/>
      <c r="AH10" s="260"/>
      <c r="AI10" s="260"/>
      <c r="AJ10" s="260"/>
      <c r="AK10" s="260"/>
      <c r="AL10" s="260"/>
    </row>
    <row r="12" spans="1:38" x14ac:dyDescent="0.2">
      <c r="A12" t="s">
        <v>3445</v>
      </c>
    </row>
    <row r="14" spans="1:38" x14ac:dyDescent="0.2">
      <c r="A14" s="260" t="s">
        <v>3446</v>
      </c>
      <c r="B14" s="260"/>
      <c r="C14" s="260"/>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c r="AE14" s="260"/>
      <c r="AF14" s="260"/>
      <c r="AG14" s="260"/>
      <c r="AH14" s="260"/>
      <c r="AI14" s="260"/>
      <c r="AJ14" s="260"/>
      <c r="AK14" s="260"/>
      <c r="AL14" s="260"/>
    </row>
    <row r="15" spans="1:38" x14ac:dyDescent="0.2">
      <c r="A15" s="260"/>
      <c r="B15" s="260"/>
      <c r="C15" s="260"/>
      <c r="D15" s="260"/>
      <c r="E15" s="260"/>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c r="AE15" s="260"/>
      <c r="AF15" s="260"/>
      <c r="AG15" s="260"/>
      <c r="AH15" s="260"/>
      <c r="AI15" s="260"/>
      <c r="AJ15" s="260"/>
      <c r="AK15" s="260"/>
      <c r="AL15" s="260"/>
    </row>
    <row r="17" spans="1:38" x14ac:dyDescent="0.2">
      <c r="A17" s="217" t="s">
        <v>3447</v>
      </c>
      <c r="B17" s="217"/>
      <c r="C17" s="217"/>
      <c r="D17" s="217"/>
      <c r="E17" s="217"/>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c r="AE17" s="217"/>
      <c r="AF17" s="217"/>
      <c r="AG17" s="217"/>
      <c r="AH17" s="217"/>
      <c r="AI17" s="217"/>
      <c r="AJ17" s="217"/>
      <c r="AK17" s="217"/>
      <c r="AL17" s="217"/>
    </row>
    <row r="18" spans="1:38" x14ac:dyDescent="0.2">
      <c r="A18" s="217"/>
      <c r="B18" s="217"/>
      <c r="C18" s="217"/>
      <c r="D18" s="217"/>
      <c r="E18" s="217"/>
      <c r="F18" s="217"/>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c r="AE18" s="217"/>
      <c r="AF18" s="217"/>
      <c r="AG18" s="217"/>
      <c r="AH18" s="217"/>
      <c r="AI18" s="217"/>
      <c r="AJ18" s="217"/>
      <c r="AK18" s="217"/>
      <c r="AL18" s="217"/>
    </row>
    <row r="19" spans="1:38" x14ac:dyDescent="0.2">
      <c r="A19" s="217"/>
      <c r="B19" s="217"/>
      <c r="C19" s="217"/>
      <c r="D19" s="217"/>
      <c r="E19" s="217"/>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7"/>
      <c r="AI19" s="217"/>
      <c r="AJ19" s="217"/>
      <c r="AK19" s="217"/>
      <c r="AL19" s="217"/>
    </row>
    <row r="20" spans="1:38" x14ac:dyDescent="0.2">
      <c r="A20" s="217"/>
      <c r="B20" s="217"/>
      <c r="C20" s="217"/>
      <c r="D20" s="217"/>
      <c r="E20" s="217"/>
      <c r="F20" s="217"/>
      <c r="G20" s="217"/>
      <c r="H20" s="217"/>
      <c r="I20" s="217"/>
      <c r="J20" s="217"/>
      <c r="K20" s="217"/>
      <c r="L20" s="217"/>
      <c r="M20" s="217"/>
      <c r="N20" s="217"/>
      <c r="O20" s="217"/>
      <c r="P20" s="217"/>
      <c r="Q20" s="217"/>
      <c r="R20" s="217"/>
      <c r="S20" s="217"/>
      <c r="T20" s="217"/>
      <c r="U20" s="217"/>
      <c r="V20" s="217"/>
      <c r="W20" s="217"/>
      <c r="X20" s="217"/>
      <c r="Y20" s="217"/>
      <c r="Z20" s="217"/>
      <c r="AA20" s="217"/>
      <c r="AB20" s="217"/>
      <c r="AC20" s="217"/>
      <c r="AD20" s="217"/>
      <c r="AE20" s="217"/>
      <c r="AF20" s="217"/>
      <c r="AG20" s="217"/>
      <c r="AH20" s="217"/>
      <c r="AI20" s="217"/>
      <c r="AJ20" s="217"/>
      <c r="AK20" s="217"/>
      <c r="AL20" s="217"/>
    </row>
    <row r="22" spans="1:38" x14ac:dyDescent="0.2">
      <c r="A22" s="217" t="s">
        <v>3448</v>
      </c>
      <c r="B22" s="217"/>
      <c r="C22" s="217"/>
      <c r="D22" s="217"/>
      <c r="E22" s="217"/>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c r="AE22" s="217"/>
      <c r="AF22" s="217"/>
      <c r="AG22" s="217"/>
      <c r="AH22" s="217"/>
      <c r="AI22" s="217"/>
      <c r="AJ22" s="217"/>
      <c r="AK22" s="217"/>
      <c r="AL22" s="217"/>
    </row>
    <row r="23" spans="1:38" x14ac:dyDescent="0.2">
      <c r="A23" s="217"/>
      <c r="B23" s="217"/>
      <c r="C23" s="217"/>
      <c r="D23" s="217"/>
      <c r="E23" s="217"/>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c r="AE23" s="217"/>
      <c r="AF23" s="217"/>
      <c r="AG23" s="217"/>
      <c r="AH23" s="217"/>
      <c r="AI23" s="217"/>
      <c r="AJ23" s="217"/>
      <c r="AK23" s="217"/>
      <c r="AL23" s="217"/>
    </row>
    <row r="25" spans="1:38" x14ac:dyDescent="0.2">
      <c r="A25" s="217" t="s">
        <v>3450</v>
      </c>
      <c r="B25" s="217"/>
      <c r="C25" s="217"/>
      <c r="D25" s="217"/>
      <c r="E25" s="217"/>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c r="AE25" s="217"/>
      <c r="AF25" s="217"/>
      <c r="AG25" s="217"/>
      <c r="AH25" s="217"/>
      <c r="AI25" s="217"/>
      <c r="AJ25" s="217"/>
      <c r="AK25" s="217"/>
      <c r="AL25" s="217"/>
    </row>
    <row r="26" spans="1:38" x14ac:dyDescent="0.2">
      <c r="A26" s="217"/>
      <c r="B26" s="217"/>
      <c r="C26" s="217"/>
      <c r="D26" s="217"/>
      <c r="E26" s="217"/>
      <c r="F26" s="217"/>
      <c r="G26" s="217"/>
      <c r="H26" s="217"/>
      <c r="I26" s="217"/>
      <c r="J26" s="217"/>
      <c r="K26" s="217"/>
      <c r="L26" s="217"/>
      <c r="M26" s="217"/>
      <c r="N26" s="217"/>
      <c r="O26" s="217"/>
      <c r="P26" s="217"/>
      <c r="Q26" s="217"/>
      <c r="R26" s="217"/>
      <c r="S26" s="217"/>
      <c r="T26" s="217"/>
      <c r="U26" s="217"/>
      <c r="V26" s="217"/>
      <c r="W26" s="217"/>
      <c r="X26" s="217"/>
      <c r="Y26" s="217"/>
      <c r="Z26" s="217"/>
      <c r="AA26" s="217"/>
      <c r="AB26" s="217"/>
      <c r="AC26" s="217"/>
      <c r="AD26" s="217"/>
      <c r="AE26" s="217"/>
      <c r="AF26" s="217"/>
      <c r="AG26" s="217"/>
      <c r="AH26" s="217"/>
      <c r="AI26" s="217"/>
      <c r="AJ26" s="217"/>
      <c r="AK26" s="217"/>
      <c r="AL26" s="217"/>
    </row>
    <row r="27" spans="1:38" x14ac:dyDescent="0.2">
      <c r="A27" s="217"/>
      <c r="B27" s="217"/>
      <c r="C27" s="217"/>
      <c r="D27" s="217"/>
      <c r="E27" s="217"/>
      <c r="F27" s="217"/>
      <c r="G27" s="217"/>
      <c r="H27" s="217"/>
      <c r="I27" s="217"/>
      <c r="J27" s="217"/>
      <c r="K27" s="217"/>
      <c r="L27" s="217"/>
      <c r="M27" s="217"/>
      <c r="N27" s="217"/>
      <c r="O27" s="217"/>
      <c r="P27" s="217"/>
      <c r="Q27" s="217"/>
      <c r="R27" s="217"/>
      <c r="S27" s="217"/>
      <c r="T27" s="217"/>
      <c r="U27" s="217"/>
      <c r="V27" s="217"/>
      <c r="W27" s="217"/>
      <c r="X27" s="217"/>
      <c r="Y27" s="217"/>
      <c r="Z27" s="217"/>
      <c r="AA27" s="217"/>
      <c r="AB27" s="217"/>
      <c r="AC27" s="217"/>
      <c r="AD27" s="217"/>
      <c r="AE27" s="217"/>
      <c r="AF27" s="217"/>
      <c r="AG27" s="217"/>
      <c r="AH27" s="217"/>
      <c r="AI27" s="217"/>
      <c r="AJ27" s="217"/>
      <c r="AK27" s="217"/>
      <c r="AL27" s="217"/>
    </row>
    <row r="29" spans="1:38" x14ac:dyDescent="0.2">
      <c r="A29" t="s">
        <v>3449</v>
      </c>
    </row>
    <row r="41" spans="1:38" x14ac:dyDescent="0.2">
      <c r="A41" s="34"/>
      <c r="B41" s="34"/>
      <c r="C41" s="34"/>
      <c r="D41" s="34"/>
      <c r="E41" s="34"/>
      <c r="F41" s="34"/>
      <c r="G41" s="34"/>
      <c r="H41" s="34"/>
      <c r="I41" s="34"/>
      <c r="J41" s="34"/>
      <c r="K41" s="34"/>
      <c r="L41" s="34"/>
      <c r="M41" s="34"/>
      <c r="N41" s="34"/>
      <c r="O41" s="34"/>
      <c r="Q41" s="269">
        <f>Data!B34</f>
        <v>0</v>
      </c>
      <c r="R41" s="267"/>
      <c r="S41" s="267"/>
      <c r="T41" s="267"/>
      <c r="U41" s="267"/>
      <c r="V41" s="267"/>
      <c r="X41" s="34"/>
      <c r="Y41" s="34"/>
      <c r="Z41" s="34"/>
      <c r="AA41" s="34"/>
      <c r="AB41" s="34"/>
      <c r="AC41" s="34"/>
      <c r="AD41" s="34"/>
      <c r="AE41" s="34"/>
      <c r="AF41" s="34"/>
      <c r="AG41" s="34"/>
      <c r="AH41" s="34"/>
      <c r="AI41" s="34"/>
      <c r="AJ41" s="34"/>
      <c r="AK41" s="34"/>
      <c r="AL41" s="34"/>
    </row>
    <row r="42" spans="1:38" x14ac:dyDescent="0.2">
      <c r="A42" t="s">
        <v>944</v>
      </c>
      <c r="Q42" t="s">
        <v>368</v>
      </c>
      <c r="X42" t="s">
        <v>2959</v>
      </c>
    </row>
    <row r="46" spans="1:38" x14ac:dyDescent="0.2">
      <c r="A46" s="34"/>
      <c r="B46" s="34"/>
      <c r="C46" s="34"/>
      <c r="D46" s="34"/>
      <c r="E46" s="34"/>
      <c r="F46" s="34"/>
      <c r="G46" s="34"/>
      <c r="H46" s="34"/>
      <c r="I46" s="34"/>
      <c r="J46" s="34"/>
      <c r="K46" s="34"/>
      <c r="L46" s="34"/>
      <c r="M46" s="34"/>
      <c r="N46" s="34"/>
      <c r="O46" s="34"/>
      <c r="Q46" s="276">
        <f>Data!B175</f>
        <v>0</v>
      </c>
      <c r="R46" s="276"/>
      <c r="S46" s="276"/>
      <c r="T46" s="276"/>
      <c r="U46" s="276"/>
      <c r="V46" s="276"/>
      <c r="W46" s="276"/>
      <c r="X46" s="276"/>
      <c r="Y46" s="276"/>
      <c r="Z46" s="276"/>
      <c r="AA46" s="276"/>
    </row>
    <row r="47" spans="1:38" x14ac:dyDescent="0.2">
      <c r="A47" t="s">
        <v>2889</v>
      </c>
      <c r="Q47" t="s">
        <v>1465</v>
      </c>
    </row>
  </sheetData>
  <mergeCells count="9">
    <mergeCell ref="A25:AL27"/>
    <mergeCell ref="Q41:V41"/>
    <mergeCell ref="Q46:AA46"/>
    <mergeCell ref="F2:T2"/>
    <mergeCell ref="AA2:AJ2"/>
    <mergeCell ref="A5:AL10"/>
    <mergeCell ref="A14:AL15"/>
    <mergeCell ref="A17:AL20"/>
    <mergeCell ref="A22:AL23"/>
  </mergeCells>
  <pageMargins left="0.25" right="0.25" top="0.75" bottom="0.75" header="0.3" footer="0.3"/>
  <pageSetup orientation="portrait" verticalDpi="1200" r:id="rId1"/>
  <headerFooter>
    <oddHeader>&amp;L&amp;G&amp;RAuthorization for The Group</oddHeader>
    <oddFooter>&amp;LPS&amp;C3088 Mercer University Drive Suite 100 Atlanta, GA 30341
678-310-6305 Fax 404-935-6110&amp;RM</oddFooter>
  </headerFooter>
  <legacyDrawingHF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6">
    <tabColor rgb="FFFFFF00"/>
  </sheetPr>
  <dimension ref="A1"/>
  <sheetViews>
    <sheetView view="pageLayout" zoomScaleNormal="100" workbookViewId="0">
      <selection activeCell="A2" sqref="A2:T3"/>
    </sheetView>
  </sheetViews>
  <sheetFormatPr defaultColWidth="2.7109375" defaultRowHeight="12.75" x14ac:dyDescent="0.2"/>
  <sheetData/>
  <pageMargins left="0.25" right="0.25" top="0.75" bottom="0.75" header="0.3" footer="0.3"/>
  <pageSetup orientation="portrait" verticalDpi="1200" r:id="rId1"/>
  <headerFooter>
    <oddHeader>&amp;L&amp;G</oddHeader>
    <oddFooter>&amp;C3088 Mercer University Drive Suite 100 Atlanta, GA 30341
678-310-6305 Fax 404-935-6110</oddFooter>
  </headerFooter>
  <legacyDrawingHF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D5010-0B8D-485A-9239-CB51CF88C9D8}">
  <sheetPr codeName="Sheet79">
    <tabColor theme="5" tint="-0.249977111117893"/>
  </sheetPr>
  <dimension ref="A1:AK50"/>
  <sheetViews>
    <sheetView showZeros="0" view="pageLayout" zoomScaleNormal="100" workbookViewId="0">
      <selection activeCell="A12" sqref="A12:AK15"/>
    </sheetView>
  </sheetViews>
  <sheetFormatPr defaultColWidth="2.7109375" defaultRowHeight="12.75" x14ac:dyDescent="0.2"/>
  <sheetData>
    <row r="1" spans="1:37" x14ac:dyDescent="0.2">
      <c r="A1" t="s">
        <v>336</v>
      </c>
      <c r="E1" s="295" t="str">
        <f>_xlfn.CONCAT(Data!B2,", ",Data!B3," ",Data!B4)</f>
        <v xml:space="preserve">,  </v>
      </c>
      <c r="F1" s="295"/>
      <c r="G1" s="295"/>
      <c r="H1" s="295"/>
      <c r="I1" s="295"/>
      <c r="J1" s="295"/>
      <c r="K1" s="295"/>
      <c r="L1" s="295"/>
      <c r="M1" s="295"/>
      <c r="N1" s="295"/>
      <c r="O1" s="295"/>
      <c r="P1" s="295"/>
      <c r="Q1" s="295"/>
      <c r="R1" s="295"/>
      <c r="S1" s="295"/>
      <c r="T1" s="295"/>
      <c r="U1" s="295"/>
      <c r="V1" s="295"/>
      <c r="X1" t="s">
        <v>337</v>
      </c>
      <c r="AC1" s="350">
        <f>Data!B14</f>
        <v>0</v>
      </c>
      <c r="AD1" s="295"/>
      <c r="AE1" s="295"/>
      <c r="AF1" s="295"/>
      <c r="AG1" s="295"/>
      <c r="AH1" s="295"/>
      <c r="AI1" s="295"/>
      <c r="AJ1" s="295"/>
    </row>
    <row r="2" spans="1:37" x14ac:dyDescent="0.2">
      <c r="A2" t="s">
        <v>3331</v>
      </c>
      <c r="I2" s="350">
        <f>Data!B33</f>
        <v>0</v>
      </c>
      <c r="J2" s="295"/>
      <c r="K2" s="295"/>
      <c r="L2" s="295"/>
      <c r="M2" s="295"/>
      <c r="N2" s="295"/>
      <c r="O2" s="295"/>
      <c r="P2" s="295"/>
      <c r="R2" t="s">
        <v>3332</v>
      </c>
      <c r="Z2" s="350">
        <f>Data!B1742</f>
        <v>0</v>
      </c>
      <c r="AA2" s="295"/>
      <c r="AB2" s="295"/>
      <c r="AC2" s="295"/>
      <c r="AD2" s="295"/>
      <c r="AE2" s="295"/>
      <c r="AF2" s="295"/>
      <c r="AG2" s="295"/>
    </row>
    <row r="4" spans="1:37" x14ac:dyDescent="0.2">
      <c r="A4" s="565" t="s">
        <v>3333</v>
      </c>
      <c r="B4" s="565"/>
      <c r="C4" s="565"/>
      <c r="D4" s="565"/>
      <c r="E4" s="565"/>
      <c r="F4" s="565"/>
      <c r="G4" s="565"/>
      <c r="H4" s="565"/>
      <c r="I4" s="565"/>
      <c r="J4" s="565"/>
      <c r="K4" s="565"/>
      <c r="L4" s="565"/>
      <c r="M4" s="565"/>
      <c r="N4" s="565"/>
      <c r="O4" s="565"/>
      <c r="P4" s="565"/>
      <c r="Q4" s="565"/>
      <c r="R4" s="565"/>
      <c r="S4" s="565"/>
      <c r="T4" s="565"/>
      <c r="U4" s="565"/>
      <c r="V4" s="565"/>
      <c r="W4" s="565"/>
      <c r="X4" s="565"/>
      <c r="Y4" s="565"/>
      <c r="Z4" s="565"/>
      <c r="AA4" s="565"/>
      <c r="AB4" s="565"/>
      <c r="AC4" s="565"/>
      <c r="AD4" s="565"/>
      <c r="AE4" s="565"/>
      <c r="AF4" s="565"/>
      <c r="AG4" s="565"/>
      <c r="AH4" s="565"/>
      <c r="AI4" s="565"/>
      <c r="AJ4" s="565"/>
      <c r="AK4" s="565"/>
    </row>
    <row r="6" spans="1:37" x14ac:dyDescent="0.2">
      <c r="A6" s="241" t="s">
        <v>3339</v>
      </c>
      <c r="B6" s="241"/>
      <c r="C6" s="241"/>
      <c r="D6" s="241"/>
      <c r="E6" s="241"/>
      <c r="F6" s="241"/>
      <c r="G6" s="241"/>
      <c r="H6" s="241"/>
      <c r="I6" s="241"/>
      <c r="J6" s="241"/>
      <c r="K6" s="241"/>
      <c r="L6" s="241"/>
      <c r="M6" s="241"/>
      <c r="N6" s="241"/>
      <c r="O6" s="241"/>
      <c r="P6" s="241"/>
      <c r="Q6" s="241"/>
      <c r="R6" s="241"/>
      <c r="S6" s="241"/>
      <c r="T6" s="241"/>
      <c r="U6" s="241"/>
      <c r="V6" s="241"/>
      <c r="W6" s="241"/>
      <c r="X6" s="241"/>
      <c r="Y6" s="241"/>
      <c r="Z6" s="241"/>
      <c r="AA6" s="241"/>
      <c r="AB6" s="241"/>
      <c r="AC6" s="241"/>
      <c r="AD6" s="241"/>
      <c r="AE6" s="241"/>
      <c r="AF6" s="241"/>
      <c r="AG6" s="241"/>
      <c r="AH6" s="241"/>
      <c r="AI6" s="241"/>
      <c r="AJ6" s="241"/>
      <c r="AK6" s="241"/>
    </row>
    <row r="7" spans="1:37" x14ac:dyDescent="0.2">
      <c r="A7" t="s">
        <v>342</v>
      </c>
      <c r="D7" s="378">
        <f>Data!B1732</f>
        <v>0</v>
      </c>
      <c r="E7" s="378"/>
      <c r="F7" s="378"/>
      <c r="G7" s="378"/>
      <c r="H7" s="378"/>
      <c r="I7" s="378"/>
      <c r="J7" s="378"/>
      <c r="K7" s="378"/>
      <c r="L7" s="378"/>
      <c r="M7" s="378"/>
      <c r="N7" s="378"/>
      <c r="O7" s="378"/>
      <c r="P7" s="378"/>
      <c r="Q7" s="378"/>
      <c r="R7" s="378"/>
      <c r="S7" t="s">
        <v>3338</v>
      </c>
      <c r="W7" s="240">
        <f>Data!B1939</f>
        <v>0</v>
      </c>
      <c r="X7" s="240"/>
      <c r="Y7" s="240"/>
      <c r="Z7" s="240"/>
      <c r="AA7" s="240"/>
      <c r="AB7" s="240"/>
      <c r="AC7" s="240"/>
      <c r="AD7" s="240"/>
      <c r="AE7" s="240"/>
      <c r="AF7" s="240"/>
      <c r="AG7" s="240"/>
      <c r="AH7" s="240"/>
      <c r="AI7" s="240"/>
      <c r="AJ7" s="240"/>
    </row>
    <row r="8" spans="1:37" x14ac:dyDescent="0.2">
      <c r="A8" t="s">
        <v>23</v>
      </c>
      <c r="D8" s="295">
        <f>Data!B1733</f>
        <v>0</v>
      </c>
      <c r="E8" s="295"/>
      <c r="F8" s="295"/>
      <c r="G8" s="295"/>
      <c r="H8" s="295"/>
      <c r="I8" s="295"/>
      <c r="J8" s="295"/>
      <c r="K8" s="295"/>
      <c r="L8" s="295"/>
      <c r="M8" s="295"/>
      <c r="N8" s="295"/>
      <c r="O8" s="295"/>
      <c r="P8" s="295"/>
      <c r="Q8" s="295"/>
      <c r="R8" s="295"/>
      <c r="S8" s="295"/>
      <c r="T8" s="295"/>
      <c r="U8" s="295"/>
      <c r="V8" s="295"/>
      <c r="W8" s="295"/>
      <c r="X8" s="295"/>
      <c r="Y8" s="295"/>
      <c r="Z8" s="295"/>
      <c r="AA8" s="295"/>
      <c r="AB8" s="295"/>
      <c r="AC8" s="295"/>
      <c r="AD8" s="295"/>
      <c r="AE8" s="295"/>
      <c r="AF8" s="295"/>
      <c r="AG8" s="295"/>
      <c r="AH8" s="295"/>
      <c r="AI8" s="295"/>
    </row>
    <row r="9" spans="1:37" x14ac:dyDescent="0.2">
      <c r="A9" t="s">
        <v>24</v>
      </c>
      <c r="C9" s="295">
        <f>Data!B1734</f>
        <v>0</v>
      </c>
      <c r="D9" s="295"/>
      <c r="E9" s="295"/>
      <c r="F9" s="295"/>
      <c r="G9" s="295"/>
      <c r="H9" s="295"/>
      <c r="I9" s="295"/>
      <c r="J9" s="295"/>
      <c r="K9" s="295"/>
      <c r="L9" s="295"/>
      <c r="M9" s="295"/>
      <c r="N9" s="295"/>
      <c r="P9" t="s">
        <v>25</v>
      </c>
      <c r="S9" s="295">
        <f>Data!B1735</f>
        <v>0</v>
      </c>
      <c r="T9" s="295"/>
      <c r="U9" s="295"/>
      <c r="V9" s="295"/>
      <c r="W9" s="295"/>
      <c r="X9" s="295"/>
      <c r="Y9" s="295"/>
      <c r="Z9" s="295"/>
      <c r="AB9" t="s">
        <v>26</v>
      </c>
      <c r="AD9" s="295">
        <f>Data!B1736</f>
        <v>0</v>
      </c>
      <c r="AE9" s="295"/>
      <c r="AF9" s="295"/>
      <c r="AG9" s="295"/>
      <c r="AH9" s="295"/>
      <c r="AI9" s="295"/>
    </row>
    <row r="10" spans="1:37" x14ac:dyDescent="0.2">
      <c r="A10" t="s">
        <v>66</v>
      </c>
      <c r="C10" s="564">
        <f>Data!B1737</f>
        <v>0</v>
      </c>
      <c r="D10" s="564"/>
      <c r="E10" s="564"/>
      <c r="F10" s="564"/>
      <c r="G10" s="564"/>
      <c r="H10" s="564"/>
      <c r="I10" s="564"/>
      <c r="J10" s="564"/>
      <c r="K10" s="564"/>
      <c r="L10" s="564"/>
      <c r="M10" s="564"/>
      <c r="N10" s="564"/>
      <c r="O10" s="564"/>
      <c r="P10" s="564"/>
      <c r="R10" t="s">
        <v>61</v>
      </c>
      <c r="T10" s="564">
        <f>Data!B1738</f>
        <v>0</v>
      </c>
      <c r="U10" s="564"/>
      <c r="V10" s="564"/>
      <c r="W10" s="564"/>
      <c r="X10" s="564"/>
      <c r="Y10" s="564"/>
      <c r="Z10" s="564"/>
      <c r="AA10" s="564"/>
      <c r="AB10" s="564"/>
      <c r="AC10" s="564"/>
      <c r="AD10" s="564"/>
      <c r="AE10" s="564"/>
      <c r="AF10" s="564"/>
      <c r="AG10" s="564"/>
    </row>
    <row r="11" spans="1:37" x14ac:dyDescent="0.2">
      <c r="A11" s="241" t="s">
        <v>3340</v>
      </c>
      <c r="B11" s="241"/>
      <c r="C11" s="241"/>
      <c r="D11" s="241"/>
      <c r="E11" s="241"/>
      <c r="F11" s="241"/>
      <c r="G11" s="241"/>
      <c r="H11" s="241"/>
      <c r="I11" s="241"/>
      <c r="J11" s="241"/>
      <c r="K11" s="241"/>
      <c r="L11" s="241"/>
      <c r="M11" s="241"/>
      <c r="N11" s="241"/>
      <c r="O11" s="241"/>
      <c r="P11" s="241"/>
      <c r="Q11" s="241"/>
      <c r="R11" s="241"/>
      <c r="S11" s="241"/>
      <c r="T11" s="241"/>
      <c r="U11" s="241"/>
      <c r="V11" s="241"/>
      <c r="W11" s="241"/>
      <c r="X11" s="241"/>
      <c r="Y11" s="241"/>
      <c r="Z11" s="241"/>
      <c r="AA11" s="241"/>
      <c r="AB11" s="241"/>
      <c r="AC11" s="241"/>
      <c r="AD11" s="241"/>
      <c r="AE11" s="241"/>
      <c r="AF11" s="241"/>
      <c r="AG11" s="241"/>
      <c r="AH11" s="241"/>
      <c r="AI11" s="241"/>
      <c r="AJ11" s="241"/>
      <c r="AK11" s="241"/>
    </row>
    <row r="12" spans="1:37" x14ac:dyDescent="0.2">
      <c r="A12" s="216">
        <f>Data!B1731</f>
        <v>0</v>
      </c>
      <c r="B12" s="216"/>
      <c r="C12" s="216"/>
      <c r="D12" s="216"/>
      <c r="E12" s="216"/>
      <c r="F12" s="216"/>
      <c r="G12" s="216"/>
      <c r="H12" s="216"/>
      <c r="I12" s="216"/>
      <c r="J12" s="216"/>
      <c r="K12" s="216"/>
      <c r="L12" s="216"/>
      <c r="M12" s="216"/>
      <c r="N12" s="216"/>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row>
    <row r="13" spans="1:37" x14ac:dyDescent="0.2">
      <c r="A13" s="216"/>
      <c r="B13" s="216"/>
      <c r="C13" s="216"/>
      <c r="D13" s="216"/>
      <c r="E13" s="216"/>
      <c r="F13" s="216"/>
      <c r="G13" s="216"/>
      <c r="H13" s="216"/>
      <c r="I13" s="216"/>
      <c r="J13" s="216"/>
      <c r="K13" s="216"/>
      <c r="L13" s="216"/>
      <c r="M13" s="216"/>
      <c r="N13" s="216"/>
      <c r="O13" s="216"/>
      <c r="P13" s="216"/>
      <c r="Q13" s="216"/>
      <c r="R13" s="216"/>
      <c r="S13" s="216"/>
      <c r="T13" s="216"/>
      <c r="U13" s="216"/>
      <c r="V13" s="216"/>
      <c r="W13" s="216"/>
      <c r="X13" s="216"/>
      <c r="Y13" s="216"/>
      <c r="Z13" s="216"/>
      <c r="AA13" s="216"/>
      <c r="AB13" s="216"/>
      <c r="AC13" s="216"/>
      <c r="AD13" s="216"/>
      <c r="AE13" s="216"/>
      <c r="AF13" s="216"/>
      <c r="AG13" s="216"/>
      <c r="AH13" s="216"/>
      <c r="AI13" s="216"/>
      <c r="AJ13" s="216"/>
      <c r="AK13" s="216"/>
    </row>
    <row r="14" spans="1:37" x14ac:dyDescent="0.2">
      <c r="A14" s="216"/>
      <c r="B14" s="216"/>
      <c r="C14" s="216"/>
      <c r="D14" s="216"/>
      <c r="E14" s="216"/>
      <c r="F14" s="216"/>
      <c r="G14" s="216"/>
      <c r="H14" s="216"/>
      <c r="I14" s="216"/>
      <c r="J14" s="216"/>
      <c r="K14" s="216"/>
      <c r="L14" s="216"/>
      <c r="M14" s="216"/>
      <c r="N14" s="216"/>
      <c r="O14" s="216"/>
      <c r="P14" s="216"/>
      <c r="Q14" s="216"/>
      <c r="R14" s="216"/>
      <c r="S14" s="216"/>
      <c r="T14" s="216"/>
      <c r="U14" s="216"/>
      <c r="V14" s="216"/>
      <c r="W14" s="216"/>
      <c r="X14" s="216"/>
      <c r="Y14" s="216"/>
      <c r="Z14" s="216"/>
      <c r="AA14" s="216"/>
      <c r="AB14" s="216"/>
      <c r="AC14" s="216"/>
      <c r="AD14" s="216"/>
      <c r="AE14" s="216"/>
      <c r="AF14" s="216"/>
      <c r="AG14" s="216"/>
      <c r="AH14" s="216"/>
      <c r="AI14" s="216"/>
      <c r="AJ14" s="216"/>
      <c r="AK14" s="216"/>
    </row>
    <row r="15" spans="1:37" x14ac:dyDescent="0.2">
      <c r="A15" s="216"/>
      <c r="B15" s="216"/>
      <c r="C15" s="216"/>
      <c r="D15" s="216"/>
      <c r="E15" s="216"/>
      <c r="F15" s="216"/>
      <c r="G15" s="216"/>
      <c r="H15" s="216"/>
      <c r="I15" s="216"/>
      <c r="J15" s="216"/>
      <c r="K15" s="216"/>
      <c r="L15" s="216"/>
      <c r="M15" s="216"/>
      <c r="N15" s="216"/>
      <c r="O15" s="216"/>
      <c r="P15" s="216"/>
      <c r="Q15" s="216"/>
      <c r="R15" s="216"/>
      <c r="S15" s="216"/>
      <c r="T15" s="216"/>
      <c r="U15" s="216"/>
      <c r="V15" s="216"/>
      <c r="W15" s="216"/>
      <c r="X15" s="216"/>
      <c r="Y15" s="216"/>
      <c r="Z15" s="216"/>
      <c r="AA15" s="216"/>
      <c r="AB15" s="216"/>
      <c r="AC15" s="216"/>
      <c r="AD15" s="216"/>
      <c r="AE15" s="216"/>
      <c r="AF15" s="216"/>
      <c r="AG15" s="216"/>
      <c r="AH15" s="216"/>
      <c r="AI15" s="216"/>
      <c r="AJ15" s="216"/>
      <c r="AK15" s="216"/>
    </row>
    <row r="16" spans="1:37" x14ac:dyDescent="0.2">
      <c r="A16" s="241" t="s">
        <v>3341</v>
      </c>
      <c r="B16" s="241"/>
      <c r="C16" s="241"/>
      <c r="D16" s="241"/>
      <c r="E16" s="241"/>
      <c r="F16" s="241"/>
      <c r="G16" s="241"/>
      <c r="H16" s="241"/>
      <c r="I16" s="241"/>
      <c r="J16" s="241"/>
      <c r="K16" s="241"/>
      <c r="L16" s="241"/>
      <c r="M16" s="241"/>
      <c r="N16" s="241"/>
      <c r="O16" s="241"/>
      <c r="P16" s="241"/>
      <c r="Q16" s="241"/>
      <c r="R16" s="241"/>
      <c r="S16" s="241"/>
      <c r="T16" s="241"/>
      <c r="U16" s="241"/>
      <c r="V16" s="241"/>
      <c r="W16" s="241"/>
      <c r="X16" s="241"/>
      <c r="Y16" s="241"/>
      <c r="Z16" s="241"/>
      <c r="AA16" s="241"/>
      <c r="AB16" s="241"/>
      <c r="AC16" s="241"/>
      <c r="AD16" s="241"/>
      <c r="AE16" s="241"/>
      <c r="AF16" s="241"/>
      <c r="AG16" s="241"/>
      <c r="AH16" s="241"/>
      <c r="AI16" s="241"/>
      <c r="AJ16" s="241"/>
      <c r="AK16" s="241"/>
    </row>
    <row r="17" spans="1:37" x14ac:dyDescent="0.2">
      <c r="A17">
        <v>1</v>
      </c>
      <c r="B17" s="295" t="str">
        <f>IF(Data!B1724="","N/A",Data!B1724)</f>
        <v>N/A</v>
      </c>
      <c r="C17" s="295"/>
      <c r="D17" s="295"/>
      <c r="E17" s="295"/>
      <c r="F17" s="295"/>
      <c r="G17" s="295"/>
      <c r="H17" s="295"/>
      <c r="I17" s="295"/>
      <c r="J17" s="295"/>
      <c r="K17" s="295"/>
      <c r="L17" s="295"/>
      <c r="M17" s="295"/>
      <c r="N17" s="295"/>
      <c r="O17" s="295"/>
      <c r="P17" s="295"/>
      <c r="Q17" s="295"/>
      <c r="R17" s="295"/>
      <c r="S17">
        <v>3</v>
      </c>
      <c r="T17" s="295" t="str">
        <f>IF(Data!B1726="","N/A",Data!B1726)</f>
        <v>N/A</v>
      </c>
      <c r="U17" s="295"/>
      <c r="V17" s="295"/>
      <c r="W17" s="295"/>
      <c r="X17" s="295"/>
      <c r="Y17" s="295"/>
      <c r="Z17" s="295"/>
      <c r="AA17" s="295"/>
      <c r="AB17" s="295"/>
      <c r="AC17" s="295"/>
      <c r="AD17" s="295"/>
      <c r="AE17" s="295"/>
      <c r="AF17" s="295"/>
      <c r="AG17" s="295"/>
      <c r="AH17" s="295"/>
      <c r="AI17" s="295"/>
      <c r="AJ17" s="295"/>
    </row>
    <row r="18" spans="1:37" x14ac:dyDescent="0.2">
      <c r="A18">
        <v>2</v>
      </c>
      <c r="B18" s="295" t="str">
        <f>IF(Data!B1725="","N/A",Data!B1725)</f>
        <v>N/A</v>
      </c>
      <c r="C18" s="295"/>
      <c r="D18" s="295"/>
      <c r="E18" s="295"/>
      <c r="F18" s="295"/>
      <c r="G18" s="295"/>
      <c r="H18" s="295"/>
      <c r="I18" s="295"/>
      <c r="J18" s="295"/>
      <c r="K18" s="295"/>
      <c r="L18" s="295"/>
      <c r="M18" s="295"/>
      <c r="N18" s="295"/>
      <c r="O18" s="295"/>
      <c r="P18" s="295"/>
      <c r="Q18" s="295"/>
      <c r="R18" s="295"/>
      <c r="S18">
        <v>4</v>
      </c>
      <c r="T18" s="295" t="str">
        <f>IF(Data!B1730="","N/A",Data!B1730)</f>
        <v>N/A</v>
      </c>
      <c r="U18" s="295"/>
      <c r="V18" s="295"/>
      <c r="W18" s="295"/>
      <c r="X18" s="295"/>
      <c r="Y18" s="295"/>
      <c r="Z18" s="295"/>
      <c r="AA18" s="295"/>
      <c r="AB18" s="295"/>
      <c r="AC18" s="295"/>
      <c r="AD18" s="295"/>
      <c r="AE18" s="295"/>
      <c r="AF18" s="295"/>
      <c r="AG18" s="295"/>
      <c r="AH18" s="295"/>
      <c r="AI18" s="295"/>
      <c r="AJ18" s="295"/>
    </row>
    <row r="19" spans="1:37" x14ac:dyDescent="0.2">
      <c r="A19" s="153" t="s">
        <v>3342</v>
      </c>
    </row>
    <row r="20" spans="1:37" x14ac:dyDescent="0.2">
      <c r="A20" s="241" t="s">
        <v>3343</v>
      </c>
      <c r="B20" s="241"/>
      <c r="C20" s="241"/>
      <c r="D20" s="241"/>
      <c r="E20" s="241"/>
      <c r="F20" s="241"/>
      <c r="G20" s="241"/>
      <c r="H20" s="241"/>
      <c r="I20" s="241"/>
      <c r="J20" s="241"/>
      <c r="K20" s="241"/>
      <c r="L20" s="241"/>
      <c r="M20" s="241"/>
      <c r="N20" s="241"/>
      <c r="O20" s="241"/>
      <c r="P20" s="241"/>
      <c r="Q20" s="241"/>
      <c r="R20" s="241"/>
      <c r="S20" s="241"/>
      <c r="T20" s="241"/>
      <c r="U20" s="241"/>
      <c r="V20" s="241"/>
      <c r="W20" s="241"/>
      <c r="X20" s="241"/>
      <c r="Y20" s="241"/>
      <c r="Z20" s="241"/>
      <c r="AA20" s="241"/>
      <c r="AB20" s="241"/>
      <c r="AC20" s="241"/>
      <c r="AD20" s="241"/>
      <c r="AE20" s="241"/>
      <c r="AF20" s="241"/>
      <c r="AG20" s="241"/>
      <c r="AH20" s="241"/>
      <c r="AI20" s="241"/>
      <c r="AJ20" s="241"/>
      <c r="AK20" s="241"/>
    </row>
    <row r="21" spans="1:37" ht="12.75" customHeight="1" x14ac:dyDescent="0.2">
      <c r="A21" s="260" t="s">
        <v>3376</v>
      </c>
      <c r="B21" s="260"/>
      <c r="C21" s="260"/>
      <c r="D21" s="260"/>
      <c r="E21" s="260"/>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c r="AE21" s="260"/>
      <c r="AF21" s="260"/>
      <c r="AG21" s="260"/>
      <c r="AH21" s="260"/>
      <c r="AI21" s="260"/>
      <c r="AJ21" s="260"/>
      <c r="AK21" s="260"/>
    </row>
    <row r="22" spans="1:37" x14ac:dyDescent="0.2">
      <c r="A22" s="260"/>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c r="AE22" s="260"/>
      <c r="AF22" s="260"/>
      <c r="AG22" s="260"/>
      <c r="AH22" s="260"/>
      <c r="AI22" s="260"/>
      <c r="AJ22" s="260"/>
      <c r="AK22" s="260"/>
    </row>
    <row r="23" spans="1:37" x14ac:dyDescent="0.2">
      <c r="A23" s="241" t="s">
        <v>3344</v>
      </c>
      <c r="B23" s="241"/>
      <c r="C23" s="241"/>
      <c r="D23" s="241"/>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241"/>
      <c r="AF23" s="241"/>
      <c r="AG23" s="241"/>
      <c r="AH23" s="241"/>
      <c r="AI23" s="241"/>
      <c r="AJ23" s="241"/>
      <c r="AK23" s="241"/>
    </row>
    <row r="24" spans="1:37" x14ac:dyDescent="0.2">
      <c r="A24" s="216" t="s">
        <v>3345</v>
      </c>
      <c r="B24" s="216"/>
      <c r="C24" s="216"/>
      <c r="D24" s="216"/>
      <c r="E24" s="216"/>
      <c r="F24" s="216"/>
      <c r="G24" s="216"/>
      <c r="H24" s="216"/>
      <c r="I24" s="216"/>
      <c r="J24" s="216"/>
      <c r="K24" s="216"/>
      <c r="L24" s="216"/>
      <c r="M24" s="216"/>
      <c r="N24" s="216"/>
      <c r="O24" s="216"/>
      <c r="P24" s="216"/>
      <c r="Q24" s="216"/>
      <c r="R24" s="216"/>
      <c r="S24" s="216"/>
      <c r="T24" s="216"/>
      <c r="U24" s="216"/>
      <c r="V24" s="216"/>
      <c r="W24" s="216"/>
      <c r="X24" s="216"/>
      <c r="Y24" s="216"/>
      <c r="Z24" s="216"/>
      <c r="AA24" s="216"/>
      <c r="AB24" s="216"/>
      <c r="AC24" s="216"/>
      <c r="AD24" s="216"/>
      <c r="AE24" s="216"/>
      <c r="AF24" s="216"/>
      <c r="AG24" s="216"/>
      <c r="AH24" s="216"/>
      <c r="AI24" s="216"/>
      <c r="AJ24" s="216"/>
      <c r="AK24" s="216"/>
    </row>
    <row r="25" spans="1:37" x14ac:dyDescent="0.2">
      <c r="A25" s="216"/>
      <c r="B25" s="216"/>
      <c r="C25" s="216"/>
      <c r="D25" s="216"/>
      <c r="E25" s="216"/>
      <c r="F25" s="216"/>
      <c r="G25" s="216"/>
      <c r="H25" s="216"/>
      <c r="I25" s="216"/>
      <c r="J25" s="216"/>
      <c r="K25" s="216"/>
      <c r="L25" s="216"/>
      <c r="M25" s="216"/>
      <c r="N25" s="216"/>
      <c r="O25" s="216"/>
      <c r="P25" s="216"/>
      <c r="Q25" s="216"/>
      <c r="R25" s="216"/>
      <c r="S25" s="216"/>
      <c r="T25" s="216"/>
      <c r="U25" s="216"/>
      <c r="V25" s="216"/>
      <c r="W25" s="216"/>
      <c r="X25" s="216"/>
      <c r="Y25" s="216"/>
      <c r="Z25" s="216"/>
      <c r="AA25" s="216"/>
      <c r="AB25" s="216"/>
      <c r="AC25" s="216"/>
      <c r="AD25" s="216"/>
      <c r="AE25" s="216"/>
      <c r="AF25" s="216"/>
      <c r="AG25" s="216"/>
      <c r="AH25" s="216"/>
      <c r="AI25" s="216"/>
      <c r="AJ25" s="216"/>
      <c r="AK25" s="216"/>
    </row>
    <row r="26" spans="1:37" x14ac:dyDescent="0.2">
      <c r="A26" s="216"/>
      <c r="B26" s="216"/>
      <c r="C26" s="216"/>
      <c r="D26" s="216"/>
      <c r="E26" s="216"/>
      <c r="F26" s="216"/>
      <c r="G26" s="216"/>
      <c r="H26" s="216"/>
      <c r="I26" s="216"/>
      <c r="J26" s="216"/>
      <c r="K26" s="216"/>
      <c r="L26" s="216"/>
      <c r="M26" s="216"/>
      <c r="N26" s="216"/>
      <c r="O26" s="216"/>
      <c r="P26" s="216"/>
      <c r="Q26" s="216"/>
      <c r="R26" s="216"/>
      <c r="S26" s="216"/>
      <c r="T26" s="216"/>
      <c r="U26" s="216"/>
      <c r="V26" s="216"/>
      <c r="W26" s="216"/>
      <c r="X26" s="216"/>
      <c r="Y26" s="216"/>
      <c r="Z26" s="216"/>
      <c r="AA26" s="216"/>
      <c r="AB26" s="216"/>
      <c r="AC26" s="216"/>
      <c r="AD26" s="216"/>
      <c r="AE26" s="216"/>
      <c r="AF26" s="216"/>
      <c r="AG26" s="216"/>
      <c r="AH26" s="216"/>
      <c r="AI26" s="216"/>
      <c r="AJ26" s="216"/>
      <c r="AK26" s="216"/>
    </row>
    <row r="27" spans="1:37" x14ac:dyDescent="0.2">
      <c r="A27" s="216"/>
      <c r="B27" s="216"/>
      <c r="C27" s="216"/>
      <c r="D27" s="216"/>
      <c r="E27" s="216"/>
      <c r="F27" s="216"/>
      <c r="G27" s="216"/>
      <c r="H27" s="216"/>
      <c r="I27" s="216"/>
      <c r="J27" s="216"/>
      <c r="K27" s="216"/>
      <c r="L27" s="216"/>
      <c r="M27" s="216"/>
      <c r="N27" s="216"/>
      <c r="O27" s="216"/>
      <c r="P27" s="216"/>
      <c r="Q27" s="216"/>
      <c r="R27" s="216"/>
      <c r="S27" s="216"/>
      <c r="T27" s="216"/>
      <c r="U27" s="216"/>
      <c r="V27" s="216"/>
      <c r="W27" s="216"/>
      <c r="X27" s="216"/>
      <c r="Y27" s="216"/>
      <c r="Z27" s="216"/>
      <c r="AA27" s="216"/>
      <c r="AB27" s="216"/>
      <c r="AC27" s="216"/>
      <c r="AD27" s="216"/>
      <c r="AE27" s="216"/>
      <c r="AF27" s="216"/>
      <c r="AG27" s="216"/>
      <c r="AH27" s="216"/>
      <c r="AI27" s="216"/>
      <c r="AJ27" s="216"/>
      <c r="AK27" s="216"/>
    </row>
    <row r="28" spans="1:37" x14ac:dyDescent="0.2">
      <c r="A28" s="216"/>
      <c r="B28" s="216"/>
      <c r="C28" s="216"/>
      <c r="D28" s="216"/>
      <c r="E28" s="216"/>
      <c r="F28" s="216"/>
      <c r="G28" s="216"/>
      <c r="H28" s="216"/>
      <c r="I28" s="216"/>
      <c r="J28" s="216"/>
      <c r="K28" s="216"/>
      <c r="L28" s="216"/>
      <c r="M28" s="216"/>
      <c r="N28" s="216"/>
      <c r="O28" s="216"/>
      <c r="P28" s="216"/>
      <c r="Q28" s="216"/>
      <c r="R28" s="216"/>
      <c r="S28" s="216"/>
      <c r="T28" s="216"/>
      <c r="U28" s="216"/>
      <c r="V28" s="216"/>
      <c r="W28" s="216"/>
      <c r="X28" s="216"/>
      <c r="Y28" s="216"/>
      <c r="Z28" s="216"/>
      <c r="AA28" s="216"/>
      <c r="AB28" s="216"/>
      <c r="AC28" s="216"/>
      <c r="AD28" s="216"/>
      <c r="AE28" s="216"/>
      <c r="AF28" s="216"/>
      <c r="AG28" s="216"/>
      <c r="AH28" s="216"/>
      <c r="AI28" s="216"/>
      <c r="AJ28" s="216"/>
      <c r="AK28" s="216"/>
    </row>
    <row r="29" spans="1:37" x14ac:dyDescent="0.2">
      <c r="A29" s="216"/>
      <c r="B29" s="216"/>
      <c r="C29" s="216"/>
      <c r="D29" s="216"/>
      <c r="E29" s="216"/>
      <c r="F29" s="216"/>
      <c r="G29" s="216"/>
      <c r="H29" s="216"/>
      <c r="I29" s="216"/>
      <c r="J29" s="216"/>
      <c r="K29" s="216"/>
      <c r="L29" s="216"/>
      <c r="M29" s="216"/>
      <c r="N29" s="216"/>
      <c r="O29" s="216"/>
      <c r="P29" s="216"/>
      <c r="Q29" s="216"/>
      <c r="R29" s="216"/>
      <c r="S29" s="216"/>
      <c r="T29" s="216"/>
      <c r="U29" s="216"/>
      <c r="V29" s="216"/>
      <c r="W29" s="216"/>
      <c r="X29" s="216"/>
      <c r="Y29" s="216"/>
      <c r="Z29" s="216"/>
      <c r="AA29" s="216"/>
      <c r="AB29" s="216"/>
      <c r="AC29" s="216"/>
      <c r="AD29" s="216"/>
      <c r="AE29" s="216"/>
      <c r="AF29" s="216"/>
      <c r="AG29" s="216"/>
      <c r="AH29" s="216"/>
      <c r="AI29" s="216"/>
      <c r="AJ29" s="216"/>
      <c r="AK29" s="216"/>
    </row>
    <row r="30" spans="1:37" x14ac:dyDescent="0.2">
      <c r="A30" s="241" t="s">
        <v>3346</v>
      </c>
      <c r="B30" s="241"/>
      <c r="C30" s="241"/>
      <c r="D30" s="241"/>
      <c r="E30" s="241"/>
      <c r="F30" s="241"/>
      <c r="G30" s="241"/>
      <c r="H30" s="241"/>
      <c r="I30" s="241"/>
      <c r="J30" s="241"/>
      <c r="K30" s="241"/>
      <c r="L30" s="241"/>
      <c r="M30" s="241"/>
      <c r="N30" s="241"/>
      <c r="O30" s="241"/>
      <c r="P30" s="241"/>
      <c r="Q30" s="241"/>
      <c r="R30" s="241"/>
      <c r="S30" s="241"/>
      <c r="T30" s="241"/>
      <c r="U30" s="241"/>
      <c r="V30" s="241"/>
      <c r="W30" s="241"/>
      <c r="X30" s="241"/>
      <c r="Y30" s="241"/>
      <c r="Z30" s="241"/>
      <c r="AA30" s="241"/>
      <c r="AB30" s="241"/>
      <c r="AC30" s="241"/>
      <c r="AD30" s="241"/>
      <c r="AE30" s="241"/>
      <c r="AF30" s="241"/>
      <c r="AG30" s="241"/>
      <c r="AH30" s="241"/>
      <c r="AI30" s="241"/>
      <c r="AJ30" s="241"/>
      <c r="AK30" s="241"/>
    </row>
    <row r="31" spans="1:37" x14ac:dyDescent="0.2">
      <c r="A31" s="216" t="s">
        <v>3347</v>
      </c>
      <c r="B31" s="216"/>
      <c r="C31" s="216"/>
      <c r="D31" s="216"/>
      <c r="E31" s="216"/>
      <c r="F31" s="216"/>
      <c r="G31" s="216"/>
      <c r="H31" s="216"/>
      <c r="I31" s="216"/>
      <c r="J31" s="216"/>
      <c r="K31" s="216"/>
      <c r="L31" s="216"/>
      <c r="M31" s="216"/>
      <c r="N31" s="216"/>
      <c r="O31" s="216"/>
      <c r="P31" s="216"/>
      <c r="Q31" s="216"/>
      <c r="R31" s="216"/>
      <c r="S31" s="216"/>
      <c r="T31" s="216"/>
      <c r="U31" s="216"/>
      <c r="V31" s="216"/>
      <c r="W31" s="216"/>
      <c r="X31" s="216"/>
      <c r="Y31" s="216"/>
      <c r="Z31" s="216"/>
      <c r="AA31" s="216"/>
      <c r="AB31" s="216"/>
      <c r="AC31" s="216"/>
      <c r="AD31" s="216"/>
      <c r="AE31" s="216"/>
      <c r="AF31" s="216"/>
      <c r="AG31" s="216"/>
      <c r="AH31" s="216"/>
      <c r="AI31" s="216"/>
      <c r="AJ31" s="216"/>
      <c r="AK31" s="216"/>
    </row>
    <row r="32" spans="1:37" x14ac:dyDescent="0.2">
      <c r="A32" s="216"/>
      <c r="B32" s="216"/>
      <c r="C32" s="216"/>
      <c r="D32" s="216"/>
      <c r="E32" s="216"/>
      <c r="F32" s="216"/>
      <c r="G32" s="216"/>
      <c r="H32" s="216"/>
      <c r="I32" s="216"/>
      <c r="J32" s="216"/>
      <c r="K32" s="216"/>
      <c r="L32" s="216"/>
      <c r="M32" s="216"/>
      <c r="N32" s="216"/>
      <c r="O32" s="216"/>
      <c r="P32" s="216"/>
      <c r="Q32" s="216"/>
      <c r="R32" s="216"/>
      <c r="S32" s="216"/>
      <c r="T32" s="216"/>
      <c r="U32" s="216"/>
      <c r="V32" s="216"/>
      <c r="W32" s="216"/>
      <c r="X32" s="216"/>
      <c r="Y32" s="216"/>
      <c r="Z32" s="216"/>
      <c r="AA32" s="216"/>
      <c r="AB32" s="216"/>
      <c r="AC32" s="216"/>
      <c r="AD32" s="216"/>
      <c r="AE32" s="216"/>
      <c r="AF32" s="216"/>
      <c r="AG32" s="216"/>
      <c r="AH32" s="216"/>
      <c r="AI32" s="216"/>
      <c r="AJ32" s="216"/>
      <c r="AK32" s="216"/>
    </row>
    <row r="33" spans="1:37" x14ac:dyDescent="0.2">
      <c r="A33" s="216"/>
      <c r="B33" s="216"/>
      <c r="C33" s="216"/>
      <c r="D33" s="216"/>
      <c r="E33" s="216"/>
      <c r="F33" s="216"/>
      <c r="G33" s="216"/>
      <c r="H33" s="216"/>
      <c r="I33" s="216"/>
      <c r="J33" s="216"/>
      <c r="K33" s="216"/>
      <c r="L33" s="216"/>
      <c r="M33" s="216"/>
      <c r="N33" s="216"/>
      <c r="O33" s="216"/>
      <c r="P33" s="216"/>
      <c r="Q33" s="216"/>
      <c r="R33" s="216"/>
      <c r="S33" s="216"/>
      <c r="T33" s="216"/>
      <c r="U33" s="216"/>
      <c r="V33" s="216"/>
      <c r="W33" s="216"/>
      <c r="X33" s="216"/>
      <c r="Y33" s="216"/>
      <c r="Z33" s="216"/>
      <c r="AA33" s="216"/>
      <c r="AB33" s="216"/>
      <c r="AC33" s="216"/>
      <c r="AD33" s="216"/>
      <c r="AE33" s="216"/>
      <c r="AF33" s="216"/>
      <c r="AG33" s="216"/>
      <c r="AH33" s="216"/>
      <c r="AI33" s="216"/>
      <c r="AJ33" s="216"/>
      <c r="AK33" s="216"/>
    </row>
    <row r="34" spans="1:37" x14ac:dyDescent="0.2">
      <c r="A34" s="216"/>
      <c r="B34" s="216"/>
      <c r="C34" s="216"/>
      <c r="D34" s="216"/>
      <c r="E34" s="216"/>
      <c r="F34" s="216"/>
      <c r="G34" s="216"/>
      <c r="H34" s="216"/>
      <c r="I34" s="216"/>
      <c r="J34" s="216"/>
      <c r="K34" s="216"/>
      <c r="L34" s="216"/>
      <c r="M34" s="216"/>
      <c r="N34" s="216"/>
      <c r="O34" s="216"/>
      <c r="P34" s="216"/>
      <c r="Q34" s="216"/>
      <c r="R34" s="216"/>
      <c r="S34" s="216"/>
      <c r="T34" s="216"/>
      <c r="U34" s="216"/>
      <c r="V34" s="216"/>
      <c r="W34" s="216"/>
      <c r="X34" s="216"/>
      <c r="Y34" s="216"/>
      <c r="Z34" s="216"/>
      <c r="AA34" s="216"/>
      <c r="AB34" s="216"/>
      <c r="AC34" s="216"/>
      <c r="AD34" s="216"/>
      <c r="AE34" s="216"/>
      <c r="AF34" s="216"/>
      <c r="AG34" s="216"/>
      <c r="AH34" s="216"/>
      <c r="AI34" s="216"/>
      <c r="AJ34" s="216"/>
      <c r="AK34" s="216"/>
    </row>
    <row r="35" spans="1:37" x14ac:dyDescent="0.2">
      <c r="A35" s="241" t="s">
        <v>3151</v>
      </c>
      <c r="B35" s="241"/>
      <c r="C35" s="241"/>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241"/>
      <c r="AF35" s="241"/>
      <c r="AG35" s="241"/>
      <c r="AH35" s="241"/>
      <c r="AI35" s="241"/>
      <c r="AJ35" s="241"/>
      <c r="AK35" s="241"/>
    </row>
    <row r="36" spans="1:37" x14ac:dyDescent="0.2">
      <c r="A36" t="s">
        <v>3348</v>
      </c>
      <c r="H36" s="310">
        <f>Data!B185</f>
        <v>0</v>
      </c>
      <c r="I36" s="310"/>
      <c r="J36" s="310"/>
      <c r="K36" s="310"/>
      <c r="L36" s="310"/>
      <c r="M36" s="310"/>
      <c r="N36" s="310"/>
      <c r="O36" s="310"/>
      <c r="P36" s="310"/>
      <c r="Q36" s="310"/>
    </row>
    <row r="38" spans="1:37" x14ac:dyDescent="0.2">
      <c r="A38" t="s">
        <v>3349</v>
      </c>
      <c r="P38" s="566" t="str">
        <f>IF(Data!B185="Private Pay",Data!B1741,"N/A")</f>
        <v>N/A</v>
      </c>
      <c r="Q38" s="566"/>
      <c r="R38" s="566"/>
      <c r="S38" s="566"/>
      <c r="T38" s="566"/>
      <c r="U38" s="566"/>
      <c r="V38" s="566"/>
    </row>
    <row r="39" spans="1:37" x14ac:dyDescent="0.2">
      <c r="A39" t="s">
        <v>3350</v>
      </c>
      <c r="S39" s="566" t="str">
        <f>IF(Data!B185="Private Pay",Data!B1740,"N/A")</f>
        <v>N/A</v>
      </c>
      <c r="T39" s="566"/>
      <c r="U39" s="566"/>
      <c r="V39" s="566"/>
      <c r="W39" s="566"/>
      <c r="X39" s="566"/>
    </row>
    <row r="40" spans="1:37" x14ac:dyDescent="0.2">
      <c r="S40" s="155"/>
      <c r="T40" s="155"/>
      <c r="U40" s="155"/>
      <c r="V40" s="155"/>
      <c r="W40" s="155"/>
      <c r="X40" s="155"/>
    </row>
    <row r="41" spans="1:37" x14ac:dyDescent="0.2">
      <c r="S41" s="155"/>
      <c r="T41" s="155"/>
      <c r="U41" s="155"/>
      <c r="V41" s="155"/>
      <c r="W41" s="155"/>
      <c r="X41" s="155"/>
    </row>
    <row r="43" spans="1:37" x14ac:dyDescent="0.2">
      <c r="A43" s="240"/>
      <c r="B43" s="240"/>
      <c r="C43" s="240"/>
      <c r="D43" s="240"/>
      <c r="E43" s="240"/>
      <c r="F43" s="240"/>
      <c r="G43" s="240"/>
      <c r="H43" s="240"/>
      <c r="I43" s="240"/>
      <c r="J43" s="240"/>
      <c r="K43" s="240"/>
      <c r="L43" s="240"/>
      <c r="M43" s="240"/>
      <c r="N43" s="240"/>
      <c r="O43" s="240"/>
      <c r="P43" s="240"/>
    </row>
    <row r="44" spans="1:37" x14ac:dyDescent="0.2">
      <c r="A44" s="240"/>
      <c r="B44" s="240"/>
      <c r="C44" s="240"/>
      <c r="D44" s="240"/>
      <c r="E44" s="240"/>
      <c r="F44" s="240"/>
      <c r="G44" s="240"/>
      <c r="H44" s="240"/>
      <c r="I44" s="240"/>
      <c r="J44" s="240"/>
      <c r="K44" s="240"/>
      <c r="L44" s="240"/>
      <c r="M44" s="240"/>
      <c r="N44" s="240"/>
      <c r="O44" s="240"/>
      <c r="P44" s="240"/>
    </row>
    <row r="45" spans="1:37" x14ac:dyDescent="0.2">
      <c r="A45" s="266"/>
      <c r="B45" s="266"/>
      <c r="C45" s="266"/>
      <c r="D45" s="266"/>
      <c r="E45" s="266"/>
      <c r="F45" s="266"/>
      <c r="G45" s="266"/>
      <c r="H45" s="266"/>
      <c r="I45" s="266"/>
      <c r="J45" s="266"/>
      <c r="K45" s="266"/>
      <c r="L45" s="266"/>
      <c r="M45" s="266"/>
      <c r="N45" s="266"/>
      <c r="O45" s="266"/>
      <c r="P45" s="266"/>
      <c r="R45" s="269">
        <f>Data!B1742</f>
        <v>0</v>
      </c>
      <c r="S45" s="267"/>
      <c r="T45" s="267"/>
      <c r="U45" s="267"/>
      <c r="V45" s="267"/>
      <c r="W45" s="267"/>
      <c r="X45" s="267"/>
      <c r="Y45" s="267"/>
    </row>
    <row r="46" spans="1:37" x14ac:dyDescent="0.2">
      <c r="A46" t="s">
        <v>367</v>
      </c>
      <c r="R46" t="s">
        <v>368</v>
      </c>
    </row>
    <row r="47" spans="1:37" x14ac:dyDescent="0.2">
      <c r="A47" s="240"/>
      <c r="B47" s="240"/>
      <c r="C47" s="240"/>
      <c r="D47" s="240"/>
      <c r="E47" s="240"/>
      <c r="F47" s="240"/>
      <c r="G47" s="240"/>
      <c r="H47" s="240"/>
      <c r="I47" s="240"/>
      <c r="J47" s="240"/>
      <c r="K47" s="240"/>
      <c r="L47" s="240"/>
      <c r="M47" s="240"/>
      <c r="N47" s="240"/>
      <c r="O47" s="240"/>
      <c r="P47" s="240"/>
    </row>
    <row r="48" spans="1:37" x14ac:dyDescent="0.2">
      <c r="A48" s="240"/>
      <c r="B48" s="240"/>
      <c r="C48" s="240"/>
      <c r="D48" s="240"/>
      <c r="E48" s="240"/>
      <c r="F48" s="240"/>
      <c r="G48" s="240"/>
      <c r="H48" s="240"/>
      <c r="I48" s="240"/>
      <c r="J48" s="240"/>
      <c r="K48" s="240"/>
      <c r="L48" s="240"/>
      <c r="M48" s="240"/>
      <c r="N48" s="240"/>
      <c r="O48" s="240"/>
      <c r="P48" s="240"/>
    </row>
    <row r="49" spans="1:31" x14ac:dyDescent="0.2">
      <c r="A49" s="266"/>
      <c r="B49" s="266"/>
      <c r="C49" s="266"/>
      <c r="D49" s="266"/>
      <c r="E49" s="266"/>
      <c r="F49" s="266"/>
      <c r="G49" s="266"/>
      <c r="H49" s="266"/>
      <c r="I49" s="266"/>
      <c r="J49" s="266"/>
      <c r="K49" s="266"/>
      <c r="L49" s="266"/>
      <c r="M49" s="266"/>
      <c r="N49" s="266"/>
      <c r="O49" s="266"/>
      <c r="P49" s="266"/>
      <c r="R49" s="267">
        <f>Data!B175</f>
        <v>0</v>
      </c>
      <c r="S49" s="267"/>
      <c r="T49" s="267"/>
      <c r="U49" s="267"/>
      <c r="V49" s="267"/>
      <c r="W49" s="267"/>
      <c r="X49" s="267"/>
      <c r="Y49" s="267"/>
      <c r="Z49" s="267"/>
      <c r="AA49" s="267"/>
      <c r="AB49" s="267"/>
      <c r="AC49" s="267"/>
      <c r="AD49" s="267"/>
      <c r="AE49" s="267"/>
    </row>
    <row r="50" spans="1:31" x14ac:dyDescent="0.2">
      <c r="A50" t="s">
        <v>2881</v>
      </c>
      <c r="R50" t="s">
        <v>369</v>
      </c>
    </row>
  </sheetData>
  <mergeCells count="35">
    <mergeCell ref="A43:P45"/>
    <mergeCell ref="R45:Y45"/>
    <mergeCell ref="A47:P49"/>
    <mergeCell ref="R49:AE49"/>
    <mergeCell ref="A30:AK30"/>
    <mergeCell ref="A31:AK34"/>
    <mergeCell ref="A35:AK35"/>
    <mergeCell ref="H36:Q36"/>
    <mergeCell ref="P38:V38"/>
    <mergeCell ref="S39:X39"/>
    <mergeCell ref="A21:AK22"/>
    <mergeCell ref="A23:AK23"/>
    <mergeCell ref="A24:AK29"/>
    <mergeCell ref="A6:AK6"/>
    <mergeCell ref="A11:AK11"/>
    <mergeCell ref="A12:AK15"/>
    <mergeCell ref="A16:AK16"/>
    <mergeCell ref="A20:AK20"/>
    <mergeCell ref="B17:R17"/>
    <mergeCell ref="B18:R18"/>
    <mergeCell ref="T17:AJ17"/>
    <mergeCell ref="T18:AJ18"/>
    <mergeCell ref="D8:AI8"/>
    <mergeCell ref="C9:N9"/>
    <mergeCell ref="S9:Z9"/>
    <mergeCell ref="AD9:AI9"/>
    <mergeCell ref="C10:P10"/>
    <mergeCell ref="T10:AG10"/>
    <mergeCell ref="E1:V1"/>
    <mergeCell ref="AC1:AJ1"/>
    <mergeCell ref="I2:P2"/>
    <mergeCell ref="Z2:AG2"/>
    <mergeCell ref="A4:AK4"/>
    <mergeCell ref="D7:R7"/>
    <mergeCell ref="W7:AJ7"/>
  </mergeCells>
  <pageMargins left="0.25" right="0.25" top="0.75" bottom="0.75" header="0.3" footer="0.3"/>
  <pageSetup orientation="portrait" verticalDpi="1200" r:id="rId1"/>
  <headerFooter>
    <oddHeader>&amp;L&amp;G&amp;RProxy Plan of Care</oddHeader>
    <oddFooter>&amp;C3088 Mercer University Drive Suite 100 Atlanta, GA 30341
678-310-6305 Fax 404-935-6110</oddFooter>
  </headerFooter>
  <legacyDrawingHF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A675F-3E01-45A7-B13B-78E7496017ED}">
  <sheetPr codeName="Sheet78">
    <tabColor theme="5" tint="-0.249977111117893"/>
  </sheetPr>
  <dimension ref="A1:AK47"/>
  <sheetViews>
    <sheetView showZeros="0" view="pageLayout" zoomScaleNormal="100" workbookViewId="0">
      <selection activeCell="J4" sqref="J4:Y4"/>
    </sheetView>
  </sheetViews>
  <sheetFormatPr defaultColWidth="2.7109375" defaultRowHeight="12.75" x14ac:dyDescent="0.2"/>
  <sheetData>
    <row r="1" spans="1:37" x14ac:dyDescent="0.2">
      <c r="A1" t="s">
        <v>336</v>
      </c>
      <c r="E1" s="233" t="str">
        <f>_xlfn.CONCAT(Data!B2,", ",Data!B3," ",Data!B4)</f>
        <v xml:space="preserve">,  </v>
      </c>
      <c r="F1" s="233"/>
      <c r="G1" s="233"/>
      <c r="H1" s="233"/>
      <c r="I1" s="233"/>
      <c r="J1" s="233"/>
      <c r="K1" s="233"/>
      <c r="L1" s="233"/>
      <c r="M1" s="233"/>
      <c r="N1" s="233"/>
      <c r="O1" s="233"/>
      <c r="P1" s="233"/>
      <c r="Q1" s="233"/>
      <c r="R1" s="233"/>
      <c r="S1" s="233"/>
      <c r="T1" s="233"/>
      <c r="U1" s="233"/>
      <c r="V1" s="233"/>
      <c r="W1" s="233"/>
      <c r="X1" s="233"/>
      <c r="Y1" s="233"/>
      <c r="Z1" s="233"/>
      <c r="AA1" s="233"/>
      <c r="AB1" t="s">
        <v>337</v>
      </c>
      <c r="AG1" s="306">
        <f>Data!B14</f>
        <v>0</v>
      </c>
      <c r="AH1" s="233"/>
      <c r="AI1" s="233"/>
      <c r="AJ1" s="233"/>
      <c r="AK1" s="233"/>
    </row>
    <row r="2" spans="1:37" x14ac:dyDescent="0.2">
      <c r="A2" t="s">
        <v>343</v>
      </c>
      <c r="D2" s="233" t="str">
        <f>Data!B5&amp;" "&amp;Data!B6&amp;" "&amp;Data!B7&amp;", "&amp;Data!B8&amp;" "&amp;Data!B9</f>
        <v xml:space="preserve">  ,  </v>
      </c>
      <c r="E2" s="233"/>
      <c r="F2" s="233"/>
      <c r="G2" s="233"/>
      <c r="H2" s="233"/>
      <c r="I2" s="233"/>
      <c r="J2" s="233"/>
      <c r="K2" s="233"/>
      <c r="L2" s="233"/>
      <c r="M2" s="233"/>
      <c r="N2" s="233"/>
      <c r="O2" s="233"/>
      <c r="P2" s="233"/>
      <c r="Q2" s="233"/>
      <c r="R2" s="233"/>
      <c r="S2" s="233"/>
      <c r="T2" s="233"/>
      <c r="U2" s="233"/>
      <c r="V2" s="233"/>
      <c r="W2" s="233"/>
      <c r="X2" s="233"/>
      <c r="Y2" s="233"/>
      <c r="Z2" s="233"/>
      <c r="AA2" s="233"/>
      <c r="AB2" s="233"/>
      <c r="AC2" s="233"/>
      <c r="AD2" s="233"/>
      <c r="AE2" s="233"/>
      <c r="AF2" s="233"/>
      <c r="AG2" s="233"/>
      <c r="AH2" s="233"/>
      <c r="AI2" s="233"/>
      <c r="AJ2" s="233"/>
      <c r="AK2" s="233"/>
    </row>
    <row r="3" spans="1:37" x14ac:dyDescent="0.2">
      <c r="A3" t="s">
        <v>3303</v>
      </c>
      <c r="J3" s="233">
        <f>Data!B1727</f>
        <v>0</v>
      </c>
      <c r="K3" s="233"/>
      <c r="L3" s="233"/>
      <c r="M3" s="233"/>
      <c r="N3" s="233"/>
      <c r="O3" s="233"/>
      <c r="P3" s="233"/>
      <c r="Q3" s="233"/>
      <c r="R3" s="233"/>
      <c r="S3" s="233"/>
      <c r="T3" s="233"/>
      <c r="U3" s="233"/>
      <c r="V3" s="233"/>
      <c r="W3" s="233"/>
      <c r="X3" s="233"/>
      <c r="Y3" s="233"/>
      <c r="AA3" t="s">
        <v>348</v>
      </c>
      <c r="AD3" s="240">
        <f>Data!B1728</f>
        <v>0</v>
      </c>
      <c r="AE3" s="240"/>
      <c r="AF3" s="240"/>
      <c r="AG3" s="240"/>
      <c r="AH3" s="240"/>
      <c r="AI3" s="240"/>
      <c r="AJ3" s="240"/>
      <c r="AK3" s="240"/>
    </row>
    <row r="4" spans="1:37" x14ac:dyDescent="0.2">
      <c r="A4" t="s">
        <v>4768</v>
      </c>
      <c r="J4" s="233">
        <f>Data!B1729</f>
        <v>0</v>
      </c>
      <c r="K4" s="233"/>
      <c r="L4" s="233"/>
      <c r="M4" s="233"/>
      <c r="N4" s="233"/>
      <c r="O4" s="233"/>
      <c r="P4" s="233"/>
      <c r="Q4" s="233"/>
      <c r="R4" s="233"/>
      <c r="S4" s="233"/>
      <c r="T4" s="233"/>
      <c r="U4" s="233"/>
      <c r="V4" s="233"/>
      <c r="W4" s="233"/>
      <c r="X4" s="233"/>
      <c r="Y4" s="233"/>
    </row>
    <row r="5" spans="1:37" x14ac:dyDescent="0.2">
      <c r="A5" s="241" t="s">
        <v>3304</v>
      </c>
      <c r="B5" s="241"/>
      <c r="C5" s="241"/>
      <c r="D5" s="241"/>
      <c r="E5" s="241"/>
      <c r="F5" s="241"/>
      <c r="G5" s="241"/>
      <c r="H5" s="241"/>
      <c r="I5" s="241"/>
      <c r="J5" s="241"/>
      <c r="K5" s="241"/>
      <c r="L5" s="241"/>
      <c r="M5" s="241"/>
      <c r="N5" s="241"/>
      <c r="O5" s="241"/>
      <c r="P5" s="241"/>
      <c r="Q5" s="241"/>
      <c r="R5" s="241"/>
      <c r="S5" s="241"/>
      <c r="T5" s="241"/>
      <c r="U5" s="241"/>
      <c r="V5" s="241"/>
      <c r="W5" s="241"/>
      <c r="X5" s="241"/>
      <c r="Y5" s="241"/>
      <c r="Z5" s="241"/>
      <c r="AA5" s="241"/>
      <c r="AB5" s="241"/>
      <c r="AC5" s="241"/>
      <c r="AD5" s="241"/>
      <c r="AE5" s="241"/>
      <c r="AF5" s="241"/>
      <c r="AG5" s="241"/>
      <c r="AH5" s="241"/>
      <c r="AI5" s="241"/>
      <c r="AJ5" s="241"/>
      <c r="AK5" s="241"/>
    </row>
    <row r="6" spans="1:37" x14ac:dyDescent="0.2">
      <c r="A6" s="216" t="s">
        <v>3305</v>
      </c>
      <c r="B6" s="216"/>
      <c r="C6" s="216"/>
      <c r="D6" s="216"/>
      <c r="E6" s="216"/>
      <c r="F6" s="216"/>
      <c r="G6" s="216"/>
      <c r="H6" s="216"/>
      <c r="I6" s="216"/>
      <c r="J6" s="216"/>
      <c r="K6" s="216"/>
      <c r="L6" s="216"/>
      <c r="M6" s="216"/>
      <c r="N6" s="216"/>
      <c r="O6" s="216"/>
      <c r="P6" s="216"/>
      <c r="Q6" s="216"/>
      <c r="R6" s="216"/>
      <c r="S6" s="216"/>
      <c r="T6" s="216"/>
      <c r="U6" s="216"/>
      <c r="V6" s="216"/>
      <c r="W6" s="216"/>
      <c r="X6" s="216"/>
      <c r="Y6" s="216"/>
      <c r="Z6" s="216"/>
      <c r="AA6" s="216"/>
      <c r="AB6" s="216"/>
      <c r="AC6" s="216"/>
      <c r="AD6" s="216"/>
      <c r="AE6" s="216"/>
      <c r="AF6" s="216"/>
      <c r="AG6" s="216"/>
      <c r="AH6" s="216"/>
      <c r="AI6" s="216"/>
      <c r="AJ6" s="216"/>
      <c r="AK6" s="216"/>
    </row>
    <row r="7" spans="1:37" x14ac:dyDescent="0.2">
      <c r="A7" s="216"/>
      <c r="B7" s="216"/>
      <c r="C7" s="216"/>
      <c r="D7" s="216"/>
      <c r="E7" s="216"/>
      <c r="F7" s="216"/>
      <c r="G7" s="216"/>
      <c r="H7" s="216"/>
      <c r="I7" s="216"/>
      <c r="J7" s="216"/>
      <c r="K7" s="216"/>
      <c r="L7" s="216"/>
      <c r="M7" s="216"/>
      <c r="N7" s="216"/>
      <c r="O7" s="216"/>
      <c r="P7" s="216"/>
      <c r="Q7" s="216"/>
      <c r="R7" s="216"/>
      <c r="S7" s="216"/>
      <c r="T7" s="216"/>
      <c r="U7" s="216"/>
      <c r="V7" s="216"/>
      <c r="W7" s="216"/>
      <c r="X7" s="216"/>
      <c r="Y7" s="216"/>
      <c r="Z7" s="216"/>
      <c r="AA7" s="216"/>
      <c r="AB7" s="216"/>
      <c r="AC7" s="216"/>
      <c r="AD7" s="216"/>
      <c r="AE7" s="216"/>
      <c r="AF7" s="216"/>
      <c r="AG7" s="216"/>
      <c r="AH7" s="216"/>
      <c r="AI7" s="216"/>
      <c r="AJ7" s="216"/>
      <c r="AK7" s="216"/>
    </row>
    <row r="8" spans="1:37" x14ac:dyDescent="0.2">
      <c r="A8" s="216"/>
      <c r="B8" s="216"/>
      <c r="C8" s="216"/>
      <c r="D8" s="216"/>
      <c r="E8" s="216"/>
      <c r="F8" s="216"/>
      <c r="G8" s="216"/>
      <c r="H8" s="216"/>
      <c r="I8" s="216"/>
      <c r="J8" s="216"/>
      <c r="K8" s="216"/>
      <c r="L8" s="216"/>
      <c r="M8" s="216"/>
      <c r="N8" s="216"/>
      <c r="O8" s="216"/>
      <c r="P8" s="216"/>
      <c r="Q8" s="216"/>
      <c r="R8" s="216"/>
      <c r="S8" s="216"/>
      <c r="T8" s="216"/>
      <c r="U8" s="216"/>
      <c r="V8" s="216"/>
      <c r="W8" s="216"/>
      <c r="X8" s="216"/>
      <c r="Y8" s="216"/>
      <c r="Z8" s="216"/>
      <c r="AA8" s="216"/>
      <c r="AB8" s="216"/>
      <c r="AC8" s="216"/>
      <c r="AD8" s="216"/>
      <c r="AE8" s="216"/>
      <c r="AF8" s="216"/>
      <c r="AG8" s="216"/>
      <c r="AH8" s="216"/>
      <c r="AI8" s="216"/>
      <c r="AJ8" s="216"/>
      <c r="AK8" s="216"/>
    </row>
    <row r="9" spans="1:37" x14ac:dyDescent="0.2">
      <c r="A9" s="216"/>
      <c r="B9" s="216"/>
      <c r="C9" s="216"/>
      <c r="D9" s="216"/>
      <c r="E9" s="216"/>
      <c r="F9" s="216"/>
      <c r="G9" s="216"/>
      <c r="H9" s="216"/>
      <c r="I9" s="216"/>
      <c r="J9" s="216"/>
      <c r="K9" s="216"/>
      <c r="L9" s="216"/>
      <c r="M9" s="216"/>
      <c r="N9" s="216"/>
      <c r="O9" s="216"/>
      <c r="P9" s="216"/>
      <c r="Q9" s="216"/>
      <c r="R9" s="216"/>
      <c r="S9" s="216"/>
      <c r="T9" s="216"/>
      <c r="U9" s="216"/>
      <c r="V9" s="216"/>
      <c r="W9" s="216"/>
      <c r="X9" s="216"/>
      <c r="Y9" s="216"/>
      <c r="Z9" s="216"/>
      <c r="AA9" s="216"/>
      <c r="AB9" s="216"/>
      <c r="AC9" s="216"/>
      <c r="AD9" s="216"/>
      <c r="AE9" s="216"/>
      <c r="AF9" s="216"/>
      <c r="AG9" s="216"/>
      <c r="AH9" s="216"/>
      <c r="AI9" s="216"/>
      <c r="AJ9" s="216"/>
      <c r="AK9" s="216"/>
    </row>
    <row r="10" spans="1:37" x14ac:dyDescent="0.2">
      <c r="A10" s="216"/>
      <c r="B10" s="216"/>
      <c r="C10" s="216"/>
      <c r="D10" s="216"/>
      <c r="E10" s="216"/>
      <c r="F10" s="216"/>
      <c r="G10" s="216"/>
      <c r="H10" s="216"/>
      <c r="I10" s="216"/>
      <c r="J10" s="216"/>
      <c r="K10" s="216"/>
      <c r="L10" s="216"/>
      <c r="M10" s="216"/>
      <c r="N10" s="216"/>
      <c r="O10" s="216"/>
      <c r="P10" s="216"/>
      <c r="Q10" s="216"/>
      <c r="R10" s="216"/>
      <c r="S10" s="216"/>
      <c r="T10" s="216"/>
      <c r="U10" s="216"/>
      <c r="V10" s="216"/>
      <c r="W10" s="216"/>
      <c r="X10" s="216"/>
      <c r="Y10" s="216"/>
      <c r="Z10" s="216"/>
      <c r="AA10" s="216"/>
      <c r="AB10" s="216"/>
      <c r="AC10" s="216"/>
      <c r="AD10" s="216"/>
      <c r="AE10" s="216"/>
      <c r="AF10" s="216"/>
      <c r="AG10" s="216"/>
      <c r="AH10" s="216"/>
      <c r="AI10" s="216"/>
      <c r="AJ10" s="216"/>
      <c r="AK10" s="216"/>
    </row>
    <row r="11" spans="1:37" x14ac:dyDescent="0.2">
      <c r="A11" s="216"/>
      <c r="B11" s="216"/>
      <c r="C11" s="216"/>
      <c r="D11" s="216"/>
      <c r="E11" s="216"/>
      <c r="F11" s="216"/>
      <c r="G11" s="216"/>
      <c r="H11" s="216"/>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row>
    <row r="12" spans="1:37" x14ac:dyDescent="0.2">
      <c r="A12" s="216"/>
      <c r="B12" s="216"/>
      <c r="C12" s="216"/>
      <c r="D12" s="216"/>
      <c r="E12" s="216"/>
      <c r="F12" s="216"/>
      <c r="G12" s="216"/>
      <c r="H12" s="216"/>
      <c r="I12" s="216"/>
      <c r="J12" s="216"/>
      <c r="K12" s="216"/>
      <c r="L12" s="216"/>
      <c r="M12" s="216"/>
      <c r="N12" s="216"/>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row>
    <row r="13" spans="1:37" x14ac:dyDescent="0.2">
      <c r="A13" s="216"/>
      <c r="B13" s="216"/>
      <c r="C13" s="216"/>
      <c r="D13" s="216"/>
      <c r="E13" s="216"/>
      <c r="F13" s="216"/>
      <c r="G13" s="216"/>
      <c r="H13" s="216"/>
      <c r="I13" s="216"/>
      <c r="J13" s="216"/>
      <c r="K13" s="216"/>
      <c r="L13" s="216"/>
      <c r="M13" s="216"/>
      <c r="N13" s="216"/>
      <c r="O13" s="216"/>
      <c r="P13" s="216"/>
      <c r="Q13" s="216"/>
      <c r="R13" s="216"/>
      <c r="S13" s="216"/>
      <c r="T13" s="216"/>
      <c r="U13" s="216"/>
      <c r="V13" s="216"/>
      <c r="W13" s="216"/>
      <c r="X13" s="216"/>
      <c r="Y13" s="216"/>
      <c r="Z13" s="216"/>
      <c r="AA13" s="216"/>
      <c r="AB13" s="216"/>
      <c r="AC13" s="216"/>
      <c r="AD13" s="216"/>
      <c r="AE13" s="216"/>
      <c r="AF13" s="216"/>
      <c r="AG13" s="216"/>
      <c r="AH13" s="216"/>
      <c r="AI13" s="216"/>
      <c r="AJ13" s="216"/>
      <c r="AK13" s="216"/>
    </row>
    <row r="14" spans="1:37" x14ac:dyDescent="0.2">
      <c r="A14" s="216"/>
      <c r="B14" s="216"/>
      <c r="C14" s="216"/>
      <c r="D14" s="216"/>
      <c r="E14" s="216"/>
      <c r="F14" s="216"/>
      <c r="G14" s="216"/>
      <c r="H14" s="216"/>
      <c r="I14" s="216"/>
      <c r="J14" s="216"/>
      <c r="K14" s="216"/>
      <c r="L14" s="216"/>
      <c r="M14" s="216"/>
      <c r="N14" s="216"/>
      <c r="O14" s="216"/>
      <c r="P14" s="216"/>
      <c r="Q14" s="216"/>
      <c r="R14" s="216"/>
      <c r="S14" s="216"/>
      <c r="T14" s="216"/>
      <c r="U14" s="216"/>
      <c r="V14" s="216"/>
      <c r="W14" s="216"/>
      <c r="X14" s="216"/>
      <c r="Y14" s="216"/>
      <c r="Z14" s="216"/>
      <c r="AA14" s="216"/>
      <c r="AB14" s="216"/>
      <c r="AC14" s="216"/>
      <c r="AD14" s="216"/>
      <c r="AE14" s="216"/>
      <c r="AF14" s="216"/>
      <c r="AG14" s="216"/>
      <c r="AH14" s="216"/>
      <c r="AI14" s="216"/>
      <c r="AJ14" s="216"/>
      <c r="AK14" s="216"/>
    </row>
    <row r="15" spans="1:37" x14ac:dyDescent="0.2">
      <c r="A15" s="216"/>
      <c r="B15" s="216"/>
      <c r="C15" s="216"/>
      <c r="D15" s="216"/>
      <c r="E15" s="216"/>
      <c r="F15" s="216"/>
      <c r="G15" s="216"/>
      <c r="H15" s="216"/>
      <c r="I15" s="216"/>
      <c r="J15" s="216"/>
      <c r="K15" s="216"/>
      <c r="L15" s="216"/>
      <c r="M15" s="216"/>
      <c r="N15" s="216"/>
      <c r="O15" s="216"/>
      <c r="P15" s="216"/>
      <c r="Q15" s="216"/>
      <c r="R15" s="216"/>
      <c r="S15" s="216"/>
      <c r="T15" s="216"/>
      <c r="U15" s="216"/>
      <c r="V15" s="216"/>
      <c r="W15" s="216"/>
      <c r="X15" s="216"/>
      <c r="Y15" s="216"/>
      <c r="Z15" s="216"/>
      <c r="AA15" s="216"/>
      <c r="AB15" s="216"/>
      <c r="AC15" s="216"/>
      <c r="AD15" s="216"/>
      <c r="AE15" s="216"/>
      <c r="AF15" s="216"/>
      <c r="AG15" s="216"/>
      <c r="AH15" s="216"/>
      <c r="AI15" s="216"/>
      <c r="AJ15" s="216"/>
      <c r="AK15" s="216"/>
    </row>
    <row r="17" spans="1:37" x14ac:dyDescent="0.2">
      <c r="A17" t="s">
        <v>3306</v>
      </c>
    </row>
    <row r="18" spans="1:37" x14ac:dyDescent="0.2">
      <c r="A18">
        <v>1</v>
      </c>
      <c r="B18" s="217" t="s">
        <v>3307</v>
      </c>
      <c r="C18" s="217"/>
      <c r="D18" s="217"/>
      <c r="E18" s="217"/>
      <c r="F18" s="217"/>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c r="AE18" s="217"/>
      <c r="AF18" s="217"/>
      <c r="AG18" s="217"/>
      <c r="AH18" s="217"/>
      <c r="AI18" s="217"/>
      <c r="AJ18" s="217"/>
      <c r="AK18" s="217"/>
    </row>
    <row r="19" spans="1:37" x14ac:dyDescent="0.2">
      <c r="B19" s="217"/>
      <c r="C19" s="217"/>
      <c r="D19" s="217"/>
      <c r="E19" s="217"/>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7"/>
      <c r="AI19" s="217"/>
      <c r="AJ19" s="217"/>
      <c r="AK19" s="217"/>
    </row>
    <row r="20" spans="1:37" x14ac:dyDescent="0.2">
      <c r="B20" s="217"/>
      <c r="C20" s="217"/>
      <c r="D20" s="217"/>
      <c r="E20" s="217"/>
      <c r="F20" s="217"/>
      <c r="G20" s="217"/>
      <c r="H20" s="217"/>
      <c r="I20" s="217"/>
      <c r="J20" s="217"/>
      <c r="K20" s="217"/>
      <c r="L20" s="217"/>
      <c r="M20" s="217"/>
      <c r="N20" s="217"/>
      <c r="O20" s="217"/>
      <c r="P20" s="217"/>
      <c r="Q20" s="217"/>
      <c r="R20" s="217"/>
      <c r="S20" s="217"/>
      <c r="T20" s="217"/>
      <c r="U20" s="217"/>
      <c r="V20" s="217"/>
      <c r="W20" s="217"/>
      <c r="X20" s="217"/>
      <c r="Y20" s="217"/>
      <c r="Z20" s="217"/>
      <c r="AA20" s="217"/>
      <c r="AB20" s="217"/>
      <c r="AC20" s="217"/>
      <c r="AD20" s="217"/>
      <c r="AE20" s="217"/>
      <c r="AF20" s="217"/>
      <c r="AG20" s="217"/>
      <c r="AH20" s="217"/>
      <c r="AI20" s="217"/>
      <c r="AJ20" s="217"/>
      <c r="AK20" s="217"/>
    </row>
    <row r="21" spans="1:37" ht="12.75" customHeight="1" x14ac:dyDescent="0.2">
      <c r="A21">
        <v>2</v>
      </c>
      <c r="B21" s="216" t="s">
        <v>3308</v>
      </c>
      <c r="C21" s="216"/>
      <c r="D21" s="216"/>
      <c r="E21" s="216"/>
      <c r="F21" s="216"/>
      <c r="G21" s="216"/>
      <c r="H21" s="216"/>
      <c r="I21" s="216"/>
      <c r="J21" s="216"/>
      <c r="K21" s="216"/>
      <c r="L21" s="216"/>
      <c r="M21" s="216"/>
      <c r="N21" s="216"/>
      <c r="O21" s="216"/>
      <c r="P21" s="216"/>
      <c r="Q21" s="216"/>
      <c r="R21" s="216"/>
      <c r="S21" s="216"/>
      <c r="T21" s="216"/>
      <c r="U21" s="216"/>
      <c r="V21" s="216"/>
      <c r="W21" s="216"/>
      <c r="X21" s="216"/>
      <c r="Y21" s="216"/>
      <c r="Z21" s="216"/>
      <c r="AA21" s="216"/>
      <c r="AB21" s="216"/>
      <c r="AC21" s="216"/>
      <c r="AD21" s="216"/>
      <c r="AE21" s="216"/>
      <c r="AF21" s="216"/>
      <c r="AG21" s="216"/>
      <c r="AH21" s="216"/>
      <c r="AI21" s="216"/>
      <c r="AJ21" s="216"/>
      <c r="AK21" s="216"/>
    </row>
    <row r="22" spans="1:37" x14ac:dyDescent="0.2">
      <c r="B22" s="216"/>
      <c r="C22" s="216"/>
      <c r="D22" s="216"/>
      <c r="E22" s="216"/>
      <c r="F22" s="216"/>
      <c r="G22" s="216"/>
      <c r="H22" s="216"/>
      <c r="I22" s="216"/>
      <c r="J22" s="216"/>
      <c r="K22" s="216"/>
      <c r="L22" s="216"/>
      <c r="M22" s="216"/>
      <c r="N22" s="216"/>
      <c r="O22" s="216"/>
      <c r="P22" s="216"/>
      <c r="Q22" s="216"/>
      <c r="R22" s="216"/>
      <c r="S22" s="216"/>
      <c r="T22" s="216"/>
      <c r="U22" s="216"/>
      <c r="V22" s="216"/>
      <c r="W22" s="216"/>
      <c r="X22" s="216"/>
      <c r="Y22" s="216"/>
      <c r="Z22" s="216"/>
      <c r="AA22" s="216"/>
      <c r="AB22" s="216"/>
      <c r="AC22" s="216"/>
      <c r="AD22" s="216"/>
      <c r="AE22" s="216"/>
      <c r="AF22" s="216"/>
      <c r="AG22" s="216"/>
      <c r="AH22" s="216"/>
      <c r="AI22" s="216"/>
      <c r="AJ22" s="216"/>
      <c r="AK22" s="216"/>
    </row>
    <row r="23" spans="1:37" x14ac:dyDescent="0.2">
      <c r="A23">
        <v>3</v>
      </c>
      <c r="B23" s="216" t="s">
        <v>3309</v>
      </c>
      <c r="C23" s="216"/>
      <c r="D23" s="216"/>
      <c r="E23" s="216"/>
      <c r="F23" s="216"/>
      <c r="G23" s="216"/>
      <c r="H23" s="216"/>
      <c r="I23" s="216"/>
      <c r="J23" s="216"/>
      <c r="K23" s="216"/>
      <c r="L23" s="216"/>
      <c r="M23" s="216"/>
      <c r="N23" s="216"/>
      <c r="O23" s="216"/>
      <c r="P23" s="216"/>
      <c r="Q23" s="216"/>
      <c r="R23" s="216"/>
      <c r="S23" s="216"/>
      <c r="T23" s="216"/>
      <c r="U23" s="216"/>
      <c r="V23" s="216"/>
      <c r="W23" s="216"/>
      <c r="X23" s="216"/>
      <c r="Y23" s="216"/>
      <c r="Z23" s="216"/>
      <c r="AA23" s="216"/>
      <c r="AB23" s="216"/>
      <c r="AC23" s="216"/>
      <c r="AD23" s="216"/>
      <c r="AE23" s="216"/>
      <c r="AF23" s="216"/>
      <c r="AG23" s="216"/>
      <c r="AH23" s="216"/>
      <c r="AI23" s="216"/>
      <c r="AJ23" s="216"/>
      <c r="AK23" s="216"/>
    </row>
    <row r="24" spans="1:37" x14ac:dyDescent="0.2">
      <c r="B24" s="216"/>
      <c r="C24" s="216"/>
      <c r="D24" s="216"/>
      <c r="E24" s="216"/>
      <c r="F24" s="216"/>
      <c r="G24" s="216"/>
      <c r="H24" s="216"/>
      <c r="I24" s="216"/>
      <c r="J24" s="216"/>
      <c r="K24" s="216"/>
      <c r="L24" s="216"/>
      <c r="M24" s="216"/>
      <c r="N24" s="216"/>
      <c r="O24" s="216"/>
      <c r="P24" s="216"/>
      <c r="Q24" s="216"/>
      <c r="R24" s="216"/>
      <c r="S24" s="216"/>
      <c r="T24" s="216"/>
      <c r="U24" s="216"/>
      <c r="V24" s="216"/>
      <c r="W24" s="216"/>
      <c r="X24" s="216"/>
      <c r="Y24" s="216"/>
      <c r="Z24" s="216"/>
      <c r="AA24" s="216"/>
      <c r="AB24" s="216"/>
      <c r="AC24" s="216"/>
      <c r="AD24" s="216"/>
      <c r="AE24" s="216"/>
      <c r="AF24" s="216"/>
      <c r="AG24" s="216"/>
      <c r="AH24" s="216"/>
      <c r="AI24" s="216"/>
      <c r="AJ24" s="216"/>
      <c r="AK24" s="216"/>
    </row>
    <row r="25" spans="1:37" x14ac:dyDescent="0.2">
      <c r="B25" s="216"/>
      <c r="C25" s="216"/>
      <c r="D25" s="216"/>
      <c r="E25" s="216"/>
      <c r="F25" s="216"/>
      <c r="G25" s="216"/>
      <c r="H25" s="216"/>
      <c r="I25" s="216"/>
      <c r="J25" s="216"/>
      <c r="K25" s="216"/>
      <c r="L25" s="216"/>
      <c r="M25" s="216"/>
      <c r="N25" s="216"/>
      <c r="O25" s="216"/>
      <c r="P25" s="216"/>
      <c r="Q25" s="216"/>
      <c r="R25" s="216"/>
      <c r="S25" s="216"/>
      <c r="T25" s="216"/>
      <c r="U25" s="216"/>
      <c r="V25" s="216"/>
      <c r="W25" s="216"/>
      <c r="X25" s="216"/>
      <c r="Y25" s="216"/>
      <c r="Z25" s="216"/>
      <c r="AA25" s="216"/>
      <c r="AB25" s="216"/>
      <c r="AC25" s="216"/>
      <c r="AD25" s="216"/>
      <c r="AE25" s="216"/>
      <c r="AF25" s="216"/>
      <c r="AG25" s="216"/>
      <c r="AH25" s="216"/>
      <c r="AI25" s="216"/>
      <c r="AJ25" s="216"/>
      <c r="AK25" s="216"/>
    </row>
    <row r="26" spans="1:37" x14ac:dyDescent="0.2">
      <c r="A26">
        <v>4</v>
      </c>
      <c r="B26" s="383" t="s">
        <v>3310</v>
      </c>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row>
    <row r="27" spans="1:37" ht="12.75" customHeight="1" x14ac:dyDescent="0.2">
      <c r="A27">
        <v>5</v>
      </c>
      <c r="B27" s="260" t="s">
        <v>3311</v>
      </c>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row>
    <row r="28" spans="1:37" x14ac:dyDescent="0.2">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c r="AE28" s="260"/>
      <c r="AF28" s="260"/>
      <c r="AG28" s="260"/>
      <c r="AH28" s="260"/>
      <c r="AI28" s="260"/>
      <c r="AJ28" s="260"/>
      <c r="AK28" s="260"/>
    </row>
    <row r="29" spans="1:37" ht="12.75" customHeight="1" x14ac:dyDescent="0.2">
      <c r="A29">
        <v>6</v>
      </c>
      <c r="B29" s="216" t="s">
        <v>3312</v>
      </c>
      <c r="C29" s="216"/>
      <c r="D29" s="216"/>
      <c r="E29" s="216"/>
      <c r="F29" s="216"/>
      <c r="G29" s="216"/>
      <c r="H29" s="216"/>
      <c r="I29" s="216"/>
      <c r="J29" s="216"/>
      <c r="K29" s="216"/>
      <c r="L29" s="216"/>
      <c r="M29" s="216"/>
      <c r="N29" s="216"/>
      <c r="O29" s="216"/>
      <c r="P29" s="216"/>
      <c r="Q29" s="216"/>
      <c r="R29" s="216"/>
      <c r="S29" s="216"/>
      <c r="T29" s="216"/>
      <c r="U29" s="216"/>
      <c r="V29" s="216"/>
      <c r="W29" s="216"/>
      <c r="X29" s="216"/>
      <c r="Y29" s="216"/>
      <c r="Z29" s="216"/>
      <c r="AA29" s="216"/>
      <c r="AB29" s="216"/>
      <c r="AC29" s="216"/>
      <c r="AD29" s="216"/>
      <c r="AE29" s="216"/>
      <c r="AF29" s="216"/>
      <c r="AG29" s="216"/>
      <c r="AH29" s="216"/>
      <c r="AI29" s="216"/>
      <c r="AJ29" s="216"/>
      <c r="AK29" s="216"/>
    </row>
    <row r="30" spans="1:37" x14ac:dyDescent="0.2">
      <c r="B30" s="216"/>
      <c r="C30" s="216"/>
      <c r="D30" s="216"/>
      <c r="E30" s="216"/>
      <c r="F30" s="216"/>
      <c r="G30" s="216"/>
      <c r="H30" s="216"/>
      <c r="I30" s="216"/>
      <c r="J30" s="216"/>
      <c r="K30" s="216"/>
      <c r="L30" s="216"/>
      <c r="M30" s="216"/>
      <c r="N30" s="216"/>
      <c r="O30" s="216"/>
      <c r="P30" s="216"/>
      <c r="Q30" s="216"/>
      <c r="R30" s="216"/>
      <c r="S30" s="216"/>
      <c r="T30" s="216"/>
      <c r="U30" s="216"/>
      <c r="V30" s="216"/>
      <c r="W30" s="216"/>
      <c r="X30" s="216"/>
      <c r="Y30" s="216"/>
      <c r="Z30" s="216"/>
      <c r="AA30" s="216"/>
      <c r="AB30" s="216"/>
      <c r="AC30" s="216"/>
      <c r="AD30" s="216"/>
      <c r="AE30" s="216"/>
      <c r="AF30" s="216"/>
      <c r="AG30" s="216"/>
      <c r="AH30" s="216"/>
      <c r="AI30" s="216"/>
      <c r="AJ30" s="216"/>
      <c r="AK30" s="216"/>
    </row>
    <row r="31" spans="1:37" x14ac:dyDescent="0.2">
      <c r="A31" s="154" t="s">
        <v>3313</v>
      </c>
      <c r="B31" s="156"/>
      <c r="C31" s="156"/>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c r="AF31" s="156"/>
      <c r="AG31" s="156"/>
      <c r="AH31" s="156"/>
      <c r="AI31" s="156"/>
      <c r="AJ31" s="156"/>
      <c r="AK31" s="156"/>
    </row>
    <row r="32" spans="1:37" x14ac:dyDescent="0.2">
      <c r="A32" s="216" t="s">
        <v>3314</v>
      </c>
      <c r="B32" s="216"/>
      <c r="C32" s="216"/>
      <c r="D32" s="216"/>
      <c r="E32" s="216"/>
      <c r="F32" s="216"/>
      <c r="G32" s="216"/>
      <c r="H32" s="216"/>
      <c r="I32" s="216"/>
      <c r="J32" s="216"/>
      <c r="K32" s="216"/>
      <c r="L32" s="216"/>
      <c r="M32" s="216"/>
      <c r="N32" s="216"/>
      <c r="O32" s="216"/>
      <c r="P32" s="216"/>
      <c r="Q32" s="216"/>
      <c r="R32" s="216"/>
      <c r="S32" s="216"/>
      <c r="T32" s="216"/>
      <c r="U32" s="216"/>
      <c r="V32" s="216"/>
      <c r="W32" s="216"/>
      <c r="X32" s="216"/>
      <c r="Y32" s="216"/>
      <c r="Z32" s="216"/>
      <c r="AA32" s="216"/>
      <c r="AB32" s="216"/>
      <c r="AC32" s="216"/>
      <c r="AD32" s="216"/>
      <c r="AE32" s="216"/>
      <c r="AF32" s="216"/>
      <c r="AG32" s="216"/>
      <c r="AH32" s="216"/>
      <c r="AI32" s="216"/>
      <c r="AJ32" s="216"/>
      <c r="AK32" s="216"/>
    </row>
    <row r="33" spans="1:37" x14ac:dyDescent="0.2">
      <c r="A33" s="216"/>
      <c r="B33" s="216"/>
      <c r="C33" s="216"/>
      <c r="D33" s="216"/>
      <c r="E33" s="216"/>
      <c r="F33" s="216"/>
      <c r="G33" s="216"/>
      <c r="H33" s="216"/>
      <c r="I33" s="216"/>
      <c r="J33" s="216"/>
      <c r="K33" s="216"/>
      <c r="L33" s="216"/>
      <c r="M33" s="216"/>
      <c r="N33" s="216"/>
      <c r="O33" s="216"/>
      <c r="P33" s="216"/>
      <c r="Q33" s="216"/>
      <c r="R33" s="216"/>
      <c r="S33" s="216"/>
      <c r="T33" s="216"/>
      <c r="U33" s="216"/>
      <c r="V33" s="216"/>
      <c r="W33" s="216"/>
      <c r="X33" s="216"/>
      <c r="Y33" s="216"/>
      <c r="Z33" s="216"/>
      <c r="AA33" s="216"/>
      <c r="AB33" s="216"/>
      <c r="AC33" s="216"/>
      <c r="AD33" s="216"/>
      <c r="AE33" s="216"/>
      <c r="AF33" s="216"/>
      <c r="AG33" s="216"/>
      <c r="AH33" s="216"/>
      <c r="AI33" s="216"/>
      <c r="AJ33" s="216"/>
      <c r="AK33" s="216"/>
    </row>
    <row r="34" spans="1:37" x14ac:dyDescent="0.2">
      <c r="A34" s="300" t="str">
        <f>IF(Data!B1722=TRUE,"Tube Feeding without Medication","")&amp;IF(Data!B1723=TRUE," - Intermittent Straight Catheterization","")</f>
        <v/>
      </c>
      <c r="B34" s="300"/>
      <c r="C34" s="300"/>
      <c r="D34" s="300"/>
      <c r="E34" s="300"/>
      <c r="F34" s="300"/>
      <c r="G34" s="300"/>
      <c r="H34" s="300"/>
      <c r="I34" s="300"/>
      <c r="J34" s="300"/>
      <c r="K34" s="300"/>
      <c r="L34" s="300"/>
      <c r="M34" s="300"/>
      <c r="N34" s="300"/>
      <c r="O34" s="300"/>
      <c r="P34" s="300"/>
      <c r="Q34" s="300"/>
      <c r="R34" s="300"/>
      <c r="S34" s="300"/>
      <c r="T34" s="300"/>
      <c r="U34" s="300"/>
      <c r="V34" s="300"/>
      <c r="W34" s="300"/>
      <c r="X34" s="300"/>
      <c r="Y34" s="300"/>
      <c r="Z34" s="300"/>
      <c r="AA34" s="300"/>
      <c r="AB34" s="300"/>
      <c r="AC34" s="300"/>
      <c r="AD34" s="300"/>
      <c r="AE34" s="300"/>
      <c r="AF34" s="300"/>
      <c r="AG34" s="300"/>
      <c r="AH34" s="300"/>
      <c r="AI34" s="300"/>
      <c r="AJ34" s="300"/>
      <c r="AK34" s="300"/>
    </row>
    <row r="36" spans="1:37" x14ac:dyDescent="0.2">
      <c r="A36" s="154" t="s">
        <v>3315</v>
      </c>
      <c r="B36" s="120"/>
      <c r="C36" s="120"/>
      <c r="D36" s="120"/>
      <c r="E36" s="120"/>
      <c r="F36" s="120"/>
      <c r="G36" s="120"/>
      <c r="H36" s="120"/>
      <c r="I36" s="120"/>
      <c r="J36" s="120"/>
      <c r="K36" s="120"/>
      <c r="L36" s="120"/>
      <c r="M36" s="120"/>
      <c r="N36" s="120"/>
      <c r="O36" s="120"/>
      <c r="P36" s="120"/>
      <c r="Q36" s="120"/>
      <c r="R36" s="120"/>
      <c r="S36" s="120"/>
      <c r="T36" s="120"/>
      <c r="U36" s="120"/>
      <c r="V36" s="120"/>
      <c r="W36" s="120"/>
      <c r="X36" s="120"/>
      <c r="Y36" s="120"/>
      <c r="Z36" s="120"/>
      <c r="AA36" s="120"/>
      <c r="AB36" s="120"/>
      <c r="AC36" s="120"/>
      <c r="AD36" s="120"/>
      <c r="AE36" s="120"/>
      <c r="AF36" s="120"/>
      <c r="AG36" s="120"/>
      <c r="AH36" s="120"/>
      <c r="AI36" s="120"/>
      <c r="AJ36" s="120"/>
      <c r="AK36" s="120"/>
    </row>
    <row r="37" spans="1:37" x14ac:dyDescent="0.2">
      <c r="A37" t="s">
        <v>3316</v>
      </c>
    </row>
    <row r="38" spans="1:37" x14ac:dyDescent="0.2">
      <c r="A38">
        <v>1</v>
      </c>
      <c r="B38" s="219" t="str">
        <f>IF(Data!B1724="","N/A",Data!B1724)</f>
        <v>N/A</v>
      </c>
      <c r="C38" s="219"/>
      <c r="D38" s="219"/>
      <c r="E38" s="219"/>
      <c r="F38" s="219"/>
      <c r="G38" s="219"/>
      <c r="H38" s="219"/>
      <c r="I38" s="219"/>
      <c r="J38" s="219"/>
      <c r="K38" s="219"/>
      <c r="L38" s="219"/>
      <c r="M38" s="219"/>
      <c r="N38" s="219"/>
      <c r="O38" s="219"/>
      <c r="P38" s="219"/>
      <c r="Q38" s="219"/>
      <c r="R38" s="219"/>
      <c r="S38">
        <v>3</v>
      </c>
      <c r="T38" s="219" t="str">
        <f>IF(Data!B1726="","N/A",Data!B1726)</f>
        <v>N/A</v>
      </c>
      <c r="U38" s="219"/>
      <c r="V38" s="219"/>
      <c r="W38" s="219"/>
      <c r="X38" s="219"/>
      <c r="Y38" s="219"/>
      <c r="Z38" s="219"/>
      <c r="AA38" s="219"/>
      <c r="AB38" s="219"/>
      <c r="AC38" s="219"/>
      <c r="AD38" s="219"/>
      <c r="AE38" s="219"/>
      <c r="AF38" s="219"/>
      <c r="AG38" s="219"/>
      <c r="AH38" s="219"/>
      <c r="AI38" s="219"/>
      <c r="AJ38" s="219"/>
    </row>
    <row r="39" spans="1:37" x14ac:dyDescent="0.2">
      <c r="A39">
        <v>2</v>
      </c>
      <c r="B39" s="219" t="str">
        <f>IF(Data!B1725="","N/A",Data!B1725)</f>
        <v>N/A</v>
      </c>
      <c r="C39" s="219"/>
      <c r="D39" s="219"/>
      <c r="E39" s="219"/>
      <c r="F39" s="219"/>
      <c r="G39" s="219"/>
      <c r="H39" s="219"/>
      <c r="I39" s="219"/>
      <c r="J39" s="219"/>
      <c r="K39" s="219"/>
      <c r="L39" s="219"/>
      <c r="M39" s="219"/>
      <c r="N39" s="219"/>
      <c r="O39" s="219"/>
      <c r="P39" s="219"/>
      <c r="Q39" s="219"/>
      <c r="R39" s="219"/>
      <c r="S39">
        <v>4</v>
      </c>
      <c r="T39" s="219" t="str">
        <f>IF(Data!B1730="","N/A",Data!B1730)</f>
        <v>N/A</v>
      </c>
      <c r="U39" s="219"/>
      <c r="V39" s="219"/>
      <c r="W39" s="219"/>
      <c r="X39" s="219"/>
      <c r="Y39" s="219"/>
      <c r="Z39" s="219"/>
      <c r="AA39" s="219"/>
      <c r="AB39" s="219"/>
      <c r="AC39" s="219"/>
      <c r="AD39" s="219"/>
      <c r="AE39" s="219"/>
      <c r="AF39" s="219"/>
      <c r="AG39" s="219"/>
      <c r="AH39" s="219"/>
      <c r="AI39" s="219"/>
      <c r="AJ39" s="219"/>
    </row>
    <row r="42" spans="1:37" x14ac:dyDescent="0.2">
      <c r="A42" s="240"/>
      <c r="B42" s="240"/>
      <c r="C42" s="240"/>
      <c r="D42" s="240"/>
      <c r="E42" s="240"/>
      <c r="F42" s="240"/>
      <c r="G42" s="240"/>
      <c r="H42" s="240"/>
      <c r="I42" s="240"/>
      <c r="J42" s="240"/>
      <c r="K42" s="240"/>
      <c r="L42" s="240"/>
      <c r="M42" s="240"/>
      <c r="N42" s="240"/>
      <c r="O42" s="240"/>
      <c r="P42" s="240"/>
    </row>
    <row r="43" spans="1:37" x14ac:dyDescent="0.2">
      <c r="A43" s="240"/>
      <c r="B43" s="240"/>
      <c r="C43" s="240"/>
      <c r="D43" s="240"/>
      <c r="E43" s="240"/>
      <c r="F43" s="240"/>
      <c r="G43" s="240"/>
      <c r="H43" s="240"/>
      <c r="I43" s="240"/>
      <c r="J43" s="240"/>
      <c r="K43" s="240"/>
      <c r="L43" s="240"/>
      <c r="M43" s="240"/>
      <c r="N43" s="240"/>
      <c r="O43" s="240"/>
      <c r="P43" s="240"/>
    </row>
    <row r="44" spans="1:37" x14ac:dyDescent="0.2">
      <c r="A44" s="266"/>
      <c r="B44" s="266"/>
      <c r="C44" s="266"/>
      <c r="D44" s="266"/>
      <c r="E44" s="266"/>
      <c r="F44" s="266"/>
      <c r="G44" s="266"/>
      <c r="H44" s="266"/>
      <c r="I44" s="266"/>
      <c r="J44" s="266"/>
      <c r="K44" s="266"/>
      <c r="L44" s="266"/>
      <c r="M44" s="266"/>
      <c r="N44" s="266"/>
      <c r="O44" s="266"/>
      <c r="P44" s="266"/>
      <c r="R44" s="269">
        <f>Data!B1742</f>
        <v>0</v>
      </c>
      <c r="S44" s="267"/>
      <c r="T44" s="267"/>
      <c r="U44" s="267"/>
      <c r="V44" s="267"/>
      <c r="W44" s="267"/>
      <c r="X44" s="267"/>
      <c r="Y44" s="267"/>
    </row>
    <row r="45" spans="1:37" x14ac:dyDescent="0.2">
      <c r="A45" t="s">
        <v>367</v>
      </c>
      <c r="R45" t="s">
        <v>368</v>
      </c>
    </row>
    <row r="47" spans="1:37" x14ac:dyDescent="0.2">
      <c r="A47" t="s">
        <v>3377</v>
      </c>
      <c r="AB47" s="219" t="str">
        <f>IF(Data!B1729="","N/A",Data!B1729)</f>
        <v>N/A</v>
      </c>
      <c r="AC47" s="219"/>
      <c r="AD47" s="219"/>
      <c r="AE47" s="219"/>
      <c r="AF47" s="219"/>
      <c r="AG47" s="219"/>
      <c r="AH47" s="219"/>
      <c r="AI47" s="219"/>
      <c r="AJ47" s="219"/>
      <c r="AK47" s="219"/>
    </row>
  </sheetData>
  <mergeCells count="23">
    <mergeCell ref="A42:P44"/>
    <mergeCell ref="R44:Y44"/>
    <mergeCell ref="AB47:AK47"/>
    <mergeCell ref="A32:AK33"/>
    <mergeCell ref="A34:AK34"/>
    <mergeCell ref="B38:R38"/>
    <mergeCell ref="B39:R39"/>
    <mergeCell ref="T38:AJ38"/>
    <mergeCell ref="T39:AJ39"/>
    <mergeCell ref="B26:AK26"/>
    <mergeCell ref="B27:AK28"/>
    <mergeCell ref="B29:AK30"/>
    <mergeCell ref="A6:AK15"/>
    <mergeCell ref="B18:AK20"/>
    <mergeCell ref="B21:AK22"/>
    <mergeCell ref="B23:AK25"/>
    <mergeCell ref="A5:AK5"/>
    <mergeCell ref="E1:AA1"/>
    <mergeCell ref="AG1:AK1"/>
    <mergeCell ref="D2:AK2"/>
    <mergeCell ref="J3:Y3"/>
    <mergeCell ref="AD3:AK3"/>
    <mergeCell ref="J4:Y4"/>
  </mergeCells>
  <pageMargins left="0.25" right="0.25" top="0.75" bottom="0.75" header="0.3" footer="0.3"/>
  <pageSetup orientation="portrait" verticalDpi="1200" r:id="rId1"/>
  <headerFooter>
    <oddHeader xml:space="preserve">&amp;L&amp;G&amp;RInformed Consent for Proxy Caregiver to Perform Health Maintenance Activities
</oddHeader>
    <oddFooter>&amp;C3088 Mercer University Drive Suite 100 Atlanta, GA 30341
678-310-6305 Fax 404-935-6110</oddFooter>
  </headerFooter>
  <legacyDrawingHF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EC427-8190-4ABD-A126-1F222B8136D5}">
  <sheetPr codeName="Sheet72">
    <tabColor rgb="FFFFFF00"/>
  </sheetPr>
  <dimension ref="A1:AM35"/>
  <sheetViews>
    <sheetView showZeros="0" view="pageLayout" zoomScaleNormal="100" workbookViewId="0">
      <selection activeCell="Z15" sqref="Z15:AM17"/>
    </sheetView>
  </sheetViews>
  <sheetFormatPr defaultColWidth="2.7109375" defaultRowHeight="12.75" x14ac:dyDescent="0.2"/>
  <sheetData>
    <row r="1" spans="1:39" x14ac:dyDescent="0.2">
      <c r="S1" s="567" t="s">
        <v>1246</v>
      </c>
      <c r="T1" s="567"/>
      <c r="U1" s="567"/>
      <c r="V1" s="567"/>
      <c r="W1" s="567"/>
      <c r="X1" s="567"/>
      <c r="Y1" s="567"/>
      <c r="Z1" s="567"/>
      <c r="AA1" s="567"/>
      <c r="AB1" s="567"/>
      <c r="AC1" s="567"/>
      <c r="AD1" s="567"/>
      <c r="AE1" s="567"/>
      <c r="AF1" s="567"/>
      <c r="AG1" s="567"/>
      <c r="AH1" s="567"/>
      <c r="AI1" s="567"/>
      <c r="AJ1" s="567"/>
      <c r="AK1" s="567"/>
      <c r="AL1" s="567"/>
      <c r="AM1" s="567"/>
    </row>
    <row r="2" spans="1:39" x14ac:dyDescent="0.2">
      <c r="A2" t="s">
        <v>1247</v>
      </c>
      <c r="S2" s="567"/>
      <c r="T2" s="567"/>
      <c r="U2" s="567"/>
      <c r="V2" s="567"/>
      <c r="W2" s="567"/>
      <c r="X2" s="567"/>
      <c r="Y2" s="567"/>
      <c r="Z2" s="567"/>
      <c r="AA2" s="567"/>
      <c r="AB2" s="567"/>
      <c r="AC2" s="567"/>
      <c r="AD2" s="567"/>
      <c r="AE2" s="567"/>
      <c r="AF2" s="567"/>
      <c r="AG2" s="567"/>
      <c r="AH2" s="567"/>
      <c r="AI2" s="567"/>
      <c r="AJ2" s="567"/>
      <c r="AK2" s="567"/>
      <c r="AL2" s="567"/>
      <c r="AM2" s="567"/>
    </row>
    <row r="3" spans="1:39" x14ac:dyDescent="0.2">
      <c r="A3" t="s">
        <v>1250</v>
      </c>
      <c r="S3" s="567"/>
      <c r="T3" s="567"/>
      <c r="U3" s="567"/>
      <c r="V3" s="567"/>
      <c r="W3" s="567"/>
      <c r="X3" s="567"/>
      <c r="Y3" s="567"/>
      <c r="Z3" s="567"/>
      <c r="AA3" s="567"/>
      <c r="AB3" s="567"/>
      <c r="AC3" s="567"/>
      <c r="AD3" s="567"/>
      <c r="AE3" s="567"/>
      <c r="AF3" s="567"/>
      <c r="AG3" s="567"/>
      <c r="AH3" s="567"/>
      <c r="AI3" s="567"/>
      <c r="AJ3" s="567"/>
      <c r="AK3" s="567"/>
      <c r="AL3" s="567"/>
      <c r="AM3" s="567"/>
    </row>
    <row r="4" spans="1:39" x14ac:dyDescent="0.2">
      <c r="A4" t="s">
        <v>3186</v>
      </c>
      <c r="S4" s="567"/>
      <c r="T4" s="567"/>
      <c r="U4" s="567"/>
      <c r="V4" s="567"/>
      <c r="W4" s="567"/>
      <c r="X4" s="567"/>
      <c r="Y4" s="567"/>
      <c r="Z4" s="567"/>
      <c r="AA4" s="567"/>
      <c r="AB4" s="567"/>
      <c r="AC4" s="567"/>
      <c r="AD4" s="567"/>
      <c r="AE4" s="567"/>
      <c r="AF4" s="567"/>
      <c r="AG4" s="567"/>
      <c r="AH4" s="567"/>
      <c r="AI4" s="567"/>
      <c r="AJ4" s="567"/>
      <c r="AK4" s="567"/>
      <c r="AL4" s="567"/>
      <c r="AM4" s="567"/>
    </row>
    <row r="5" spans="1:39" x14ac:dyDescent="0.2">
      <c r="A5" t="s">
        <v>3187</v>
      </c>
      <c r="S5" s="567"/>
      <c r="T5" s="567"/>
      <c r="U5" s="567"/>
      <c r="V5" s="567"/>
      <c r="W5" s="567"/>
      <c r="X5" s="567"/>
      <c r="Y5" s="567"/>
      <c r="Z5" s="567"/>
      <c r="AA5" s="567"/>
      <c r="AB5" s="567"/>
      <c r="AC5" s="567"/>
      <c r="AD5" s="567"/>
      <c r="AE5" s="567"/>
      <c r="AF5" s="567"/>
      <c r="AG5" s="567"/>
      <c r="AH5" s="567"/>
      <c r="AI5" s="567"/>
      <c r="AJ5" s="567"/>
      <c r="AK5" s="567"/>
      <c r="AL5" s="567"/>
      <c r="AM5" s="567"/>
    </row>
    <row r="8" spans="1:39" x14ac:dyDescent="0.2">
      <c r="B8" s="568" t="s">
        <v>61</v>
      </c>
      <c r="C8" s="568"/>
      <c r="D8" s="568"/>
      <c r="E8" s="568"/>
      <c r="F8" s="568"/>
      <c r="G8" s="568"/>
      <c r="H8" s="568"/>
      <c r="I8" s="568"/>
      <c r="J8" s="568"/>
      <c r="K8" s="568"/>
      <c r="L8" s="568"/>
      <c r="M8" s="568"/>
      <c r="N8" s="568"/>
    </row>
    <row r="9" spans="1:39" x14ac:dyDescent="0.2">
      <c r="B9" s="568"/>
      <c r="C9" s="568"/>
      <c r="D9" s="568"/>
      <c r="E9" s="568"/>
      <c r="F9" s="568"/>
      <c r="G9" s="568"/>
      <c r="H9" s="568"/>
      <c r="I9" s="568"/>
      <c r="J9" s="568"/>
      <c r="K9" s="568"/>
      <c r="L9" s="568"/>
      <c r="M9" s="568"/>
      <c r="N9" s="568"/>
    </row>
    <row r="10" spans="1:39" x14ac:dyDescent="0.2">
      <c r="B10" s="568"/>
      <c r="C10" s="568"/>
      <c r="D10" s="568"/>
      <c r="E10" s="568"/>
      <c r="F10" s="568"/>
      <c r="G10" s="568"/>
      <c r="H10" s="568"/>
      <c r="I10" s="568"/>
      <c r="J10" s="568"/>
      <c r="K10" s="568"/>
      <c r="L10" s="568"/>
      <c r="M10" s="568"/>
      <c r="N10" s="568"/>
    </row>
    <row r="11" spans="1:39" x14ac:dyDescent="0.2">
      <c r="B11" s="568"/>
      <c r="C11" s="568"/>
      <c r="D11" s="568"/>
      <c r="E11" s="568"/>
      <c r="F11" s="568"/>
      <c r="G11" s="568"/>
      <c r="H11" s="568"/>
      <c r="I11" s="568"/>
      <c r="J11" s="568"/>
      <c r="K11" s="568"/>
      <c r="L11" s="568"/>
      <c r="M11" s="568"/>
      <c r="N11" s="568"/>
    </row>
    <row r="15" spans="1:39" x14ac:dyDescent="0.2">
      <c r="B15" s="240" t="s">
        <v>3188</v>
      </c>
      <c r="C15" s="240"/>
      <c r="D15" s="240"/>
      <c r="E15" s="240"/>
      <c r="F15" s="240"/>
      <c r="G15" s="300">
        <f>Data!B1491</f>
        <v>0</v>
      </c>
      <c r="H15" s="300"/>
      <c r="I15" s="300"/>
      <c r="J15" s="300"/>
      <c r="K15" s="300"/>
      <c r="L15" s="300"/>
      <c r="M15" s="300"/>
      <c r="N15" s="300"/>
      <c r="O15" s="300"/>
      <c r="P15" s="300"/>
      <c r="Q15" s="300"/>
      <c r="R15" s="300"/>
      <c r="S15" s="300"/>
      <c r="T15" s="300"/>
      <c r="U15" s="240" t="s">
        <v>3191</v>
      </c>
      <c r="V15" s="240"/>
      <c r="W15" s="240"/>
      <c r="X15" s="240"/>
      <c r="Y15" s="240"/>
      <c r="Z15" s="300"/>
      <c r="AA15" s="300"/>
      <c r="AB15" s="300"/>
      <c r="AC15" s="300"/>
      <c r="AD15" s="300"/>
      <c r="AE15" s="300"/>
      <c r="AF15" s="300"/>
      <c r="AG15" s="300"/>
      <c r="AH15" s="300"/>
      <c r="AI15" s="300"/>
      <c r="AJ15" s="300"/>
      <c r="AK15" s="300"/>
      <c r="AL15" s="300"/>
      <c r="AM15" s="300"/>
    </row>
    <row r="16" spans="1:39" x14ac:dyDescent="0.2">
      <c r="B16" s="240"/>
      <c r="C16" s="240"/>
      <c r="D16" s="240"/>
      <c r="E16" s="240"/>
      <c r="F16" s="240"/>
      <c r="G16" s="300"/>
      <c r="H16" s="300"/>
      <c r="I16" s="300"/>
      <c r="J16" s="300"/>
      <c r="K16" s="300"/>
      <c r="L16" s="300"/>
      <c r="M16" s="300"/>
      <c r="N16" s="300"/>
      <c r="O16" s="300"/>
      <c r="P16" s="300"/>
      <c r="Q16" s="300"/>
      <c r="R16" s="300"/>
      <c r="S16" s="300"/>
      <c r="T16" s="300"/>
      <c r="U16" s="240"/>
      <c r="V16" s="240"/>
      <c r="W16" s="240"/>
      <c r="X16" s="240"/>
      <c r="Y16" s="240"/>
      <c r="Z16" s="300"/>
      <c r="AA16" s="300"/>
      <c r="AB16" s="300"/>
      <c r="AC16" s="300"/>
      <c r="AD16" s="300"/>
      <c r="AE16" s="300"/>
      <c r="AF16" s="300"/>
      <c r="AG16" s="300"/>
      <c r="AH16" s="300"/>
      <c r="AI16" s="300"/>
      <c r="AJ16" s="300"/>
      <c r="AK16" s="300"/>
      <c r="AL16" s="300"/>
      <c r="AM16" s="300"/>
    </row>
    <row r="17" spans="2:39" x14ac:dyDescent="0.2">
      <c r="B17" s="240"/>
      <c r="C17" s="240"/>
      <c r="D17" s="240"/>
      <c r="E17" s="240"/>
      <c r="F17" s="240"/>
      <c r="G17" s="300"/>
      <c r="H17" s="300"/>
      <c r="I17" s="300"/>
      <c r="J17" s="300"/>
      <c r="K17" s="300"/>
      <c r="L17" s="300"/>
      <c r="M17" s="300"/>
      <c r="N17" s="300"/>
      <c r="O17" s="300"/>
      <c r="P17" s="300"/>
      <c r="Q17" s="300"/>
      <c r="R17" s="300"/>
      <c r="S17" s="300"/>
      <c r="T17" s="300"/>
      <c r="U17" s="240"/>
      <c r="V17" s="240"/>
      <c r="W17" s="240"/>
      <c r="X17" s="240"/>
      <c r="Y17" s="240"/>
      <c r="Z17" s="300"/>
      <c r="AA17" s="300"/>
      <c r="AB17" s="300"/>
      <c r="AC17" s="300"/>
      <c r="AD17" s="300"/>
      <c r="AE17" s="300"/>
      <c r="AF17" s="300"/>
      <c r="AG17" s="300"/>
      <c r="AH17" s="300"/>
      <c r="AI17" s="300"/>
      <c r="AJ17" s="300"/>
      <c r="AK17" s="300"/>
      <c r="AL17" s="300"/>
      <c r="AM17" s="300"/>
    </row>
    <row r="18" spans="2:39" x14ac:dyDescent="0.2">
      <c r="B18" s="240" t="s">
        <v>3189</v>
      </c>
      <c r="C18" s="240"/>
      <c r="D18" s="240"/>
      <c r="E18" s="240"/>
      <c r="F18" s="240"/>
      <c r="G18" s="300">
        <f>Data!B1497</f>
        <v>0</v>
      </c>
      <c r="H18" s="300"/>
      <c r="I18" s="300"/>
      <c r="J18" s="300"/>
      <c r="K18" s="300"/>
      <c r="L18" s="300"/>
      <c r="M18" s="300"/>
      <c r="N18" s="300"/>
      <c r="O18" s="300"/>
      <c r="P18" s="300"/>
      <c r="Q18" s="300"/>
      <c r="R18" s="300"/>
      <c r="S18" s="300"/>
      <c r="T18" s="300"/>
      <c r="U18" s="240" t="s">
        <v>3192</v>
      </c>
      <c r="V18" s="240"/>
      <c r="W18" s="240"/>
      <c r="X18" s="240"/>
      <c r="Y18" s="240"/>
      <c r="Z18" s="300"/>
      <c r="AA18" s="300"/>
      <c r="AB18" s="300"/>
      <c r="AC18" s="300"/>
      <c r="AD18" s="300"/>
      <c r="AE18" s="300"/>
      <c r="AF18" s="300"/>
      <c r="AG18" s="300"/>
      <c r="AH18" s="300"/>
      <c r="AI18" s="300"/>
      <c r="AJ18" s="300"/>
      <c r="AK18" s="300"/>
      <c r="AL18" s="300"/>
      <c r="AM18" s="300"/>
    </row>
    <row r="19" spans="2:39" x14ac:dyDescent="0.2">
      <c r="B19" s="240"/>
      <c r="C19" s="240"/>
      <c r="D19" s="240"/>
      <c r="E19" s="240"/>
      <c r="F19" s="240"/>
      <c r="G19" s="300"/>
      <c r="H19" s="300"/>
      <c r="I19" s="300"/>
      <c r="J19" s="300"/>
      <c r="K19" s="300"/>
      <c r="L19" s="300"/>
      <c r="M19" s="300"/>
      <c r="N19" s="300"/>
      <c r="O19" s="300"/>
      <c r="P19" s="300"/>
      <c r="Q19" s="300"/>
      <c r="R19" s="300"/>
      <c r="S19" s="300"/>
      <c r="T19" s="300"/>
      <c r="U19" s="240"/>
      <c r="V19" s="240"/>
      <c r="W19" s="240"/>
      <c r="X19" s="240"/>
      <c r="Y19" s="240"/>
      <c r="Z19" s="300"/>
      <c r="AA19" s="300"/>
      <c r="AB19" s="300"/>
      <c r="AC19" s="300"/>
      <c r="AD19" s="300"/>
      <c r="AE19" s="300"/>
      <c r="AF19" s="300"/>
      <c r="AG19" s="300"/>
      <c r="AH19" s="300"/>
      <c r="AI19" s="300"/>
      <c r="AJ19" s="300"/>
      <c r="AK19" s="300"/>
      <c r="AL19" s="300"/>
      <c r="AM19" s="300"/>
    </row>
    <row r="20" spans="2:39" x14ac:dyDescent="0.2">
      <c r="B20" s="240"/>
      <c r="C20" s="240"/>
      <c r="D20" s="240"/>
      <c r="E20" s="240"/>
      <c r="F20" s="240"/>
      <c r="G20" s="300"/>
      <c r="H20" s="300"/>
      <c r="I20" s="300"/>
      <c r="J20" s="300"/>
      <c r="K20" s="300"/>
      <c r="L20" s="300"/>
      <c r="M20" s="300"/>
      <c r="N20" s="300"/>
      <c r="O20" s="300"/>
      <c r="P20" s="300"/>
      <c r="Q20" s="300"/>
      <c r="R20" s="300"/>
      <c r="S20" s="300"/>
      <c r="T20" s="300"/>
      <c r="U20" s="240"/>
      <c r="V20" s="240"/>
      <c r="W20" s="240"/>
      <c r="X20" s="240"/>
      <c r="Y20" s="240"/>
      <c r="Z20" s="300"/>
      <c r="AA20" s="300"/>
      <c r="AB20" s="300"/>
      <c r="AC20" s="300"/>
      <c r="AD20" s="300"/>
      <c r="AE20" s="300"/>
      <c r="AF20" s="300"/>
      <c r="AG20" s="300"/>
      <c r="AH20" s="300"/>
      <c r="AI20" s="300"/>
      <c r="AJ20" s="300"/>
      <c r="AK20" s="300"/>
      <c r="AL20" s="300"/>
      <c r="AM20" s="300"/>
    </row>
    <row r="21" spans="2:39" x14ac:dyDescent="0.2">
      <c r="B21" s="240" t="s">
        <v>3199</v>
      </c>
      <c r="C21" s="240"/>
      <c r="D21" s="240"/>
      <c r="E21" s="240"/>
      <c r="F21" s="240"/>
      <c r="G21" s="300">
        <f>Data!B1496</f>
        <v>0</v>
      </c>
      <c r="H21" s="300"/>
      <c r="I21" s="300"/>
      <c r="J21" s="300"/>
      <c r="K21" s="300"/>
      <c r="L21" s="300"/>
      <c r="M21" s="300"/>
      <c r="N21" s="300"/>
      <c r="O21" s="300"/>
      <c r="P21" s="300"/>
      <c r="Q21" s="300"/>
      <c r="R21" s="300"/>
      <c r="S21" s="300"/>
      <c r="T21" s="300"/>
      <c r="U21" s="240" t="s">
        <v>1447</v>
      </c>
      <c r="V21" s="240"/>
      <c r="W21" s="240"/>
      <c r="X21" s="240"/>
      <c r="Y21" s="240"/>
      <c r="Z21" s="513">
        <f ca="1">TODAY()</f>
        <v>43828</v>
      </c>
      <c r="AA21" s="300"/>
      <c r="AB21" s="300"/>
      <c r="AC21" s="300"/>
      <c r="AD21" s="300"/>
      <c r="AE21" s="300"/>
      <c r="AF21" s="300"/>
      <c r="AG21" s="300"/>
      <c r="AH21" s="300"/>
      <c r="AI21" s="300"/>
      <c r="AJ21" s="300"/>
      <c r="AK21" s="300"/>
      <c r="AL21" s="300"/>
      <c r="AM21" s="300"/>
    </row>
    <row r="22" spans="2:39" x14ac:dyDescent="0.2">
      <c r="B22" s="240"/>
      <c r="C22" s="240"/>
      <c r="D22" s="240"/>
      <c r="E22" s="240"/>
      <c r="F22" s="240"/>
      <c r="G22" s="300"/>
      <c r="H22" s="300"/>
      <c r="I22" s="300"/>
      <c r="J22" s="300"/>
      <c r="K22" s="300"/>
      <c r="L22" s="300"/>
      <c r="M22" s="300"/>
      <c r="N22" s="300"/>
      <c r="O22" s="300"/>
      <c r="P22" s="300"/>
      <c r="Q22" s="300"/>
      <c r="R22" s="300"/>
      <c r="S22" s="300"/>
      <c r="T22" s="300"/>
      <c r="U22" s="240"/>
      <c r="V22" s="240"/>
      <c r="W22" s="240"/>
      <c r="X22" s="240"/>
      <c r="Y22" s="240"/>
      <c r="Z22" s="300"/>
      <c r="AA22" s="300"/>
      <c r="AB22" s="300"/>
      <c r="AC22" s="300"/>
      <c r="AD22" s="300"/>
      <c r="AE22" s="300"/>
      <c r="AF22" s="300"/>
      <c r="AG22" s="300"/>
      <c r="AH22" s="300"/>
      <c r="AI22" s="300"/>
      <c r="AJ22" s="300"/>
      <c r="AK22" s="300"/>
      <c r="AL22" s="300"/>
      <c r="AM22" s="300"/>
    </row>
    <row r="23" spans="2:39" x14ac:dyDescent="0.2">
      <c r="B23" s="240"/>
      <c r="C23" s="240"/>
      <c r="D23" s="240"/>
      <c r="E23" s="240"/>
      <c r="F23" s="240"/>
      <c r="G23" s="300"/>
      <c r="H23" s="300"/>
      <c r="I23" s="300"/>
      <c r="J23" s="300"/>
      <c r="K23" s="300"/>
      <c r="L23" s="300"/>
      <c r="M23" s="300"/>
      <c r="N23" s="300"/>
      <c r="O23" s="300"/>
      <c r="P23" s="300"/>
      <c r="Q23" s="300"/>
      <c r="R23" s="300"/>
      <c r="S23" s="300"/>
      <c r="T23" s="300"/>
      <c r="U23" s="240"/>
      <c r="V23" s="240"/>
      <c r="W23" s="240"/>
      <c r="X23" s="240"/>
      <c r="Y23" s="240"/>
      <c r="Z23" s="300"/>
      <c r="AA23" s="300"/>
      <c r="AB23" s="300"/>
      <c r="AC23" s="300"/>
      <c r="AD23" s="300"/>
      <c r="AE23" s="300"/>
      <c r="AF23" s="300"/>
      <c r="AG23" s="300"/>
      <c r="AH23" s="300"/>
      <c r="AI23" s="300"/>
      <c r="AJ23" s="300"/>
      <c r="AK23" s="300"/>
      <c r="AL23" s="300"/>
      <c r="AM23" s="300"/>
    </row>
    <row r="24" spans="2:39" x14ac:dyDescent="0.2">
      <c r="B24" s="240" t="s">
        <v>3190</v>
      </c>
      <c r="C24" s="240"/>
      <c r="D24" s="240"/>
      <c r="E24" s="240"/>
      <c r="F24" s="240"/>
      <c r="G24" s="460" t="str">
        <f>Data!B3&amp;" "&amp;Data!B2&amp;" Skilled Nursing Care Plan"</f>
        <v xml:space="preserve">  Skilled Nursing Care Plan</v>
      </c>
      <c r="H24" s="460"/>
      <c r="I24" s="460"/>
      <c r="J24" s="460"/>
      <c r="K24" s="460"/>
      <c r="L24" s="460"/>
      <c r="M24" s="460"/>
      <c r="N24" s="460"/>
      <c r="O24" s="460"/>
      <c r="P24" s="460"/>
      <c r="Q24" s="460"/>
      <c r="R24" s="460"/>
      <c r="S24" s="460"/>
      <c r="T24" s="460"/>
      <c r="U24" s="240" t="s">
        <v>3193</v>
      </c>
      <c r="V24" s="240"/>
      <c r="W24" s="240"/>
      <c r="X24" s="240"/>
      <c r="Y24" s="240"/>
      <c r="Z24" s="300"/>
      <c r="AA24" s="300"/>
      <c r="AB24" s="300"/>
      <c r="AC24" s="300"/>
      <c r="AD24" s="300"/>
      <c r="AE24" s="300"/>
      <c r="AF24" s="300"/>
      <c r="AG24" s="300"/>
      <c r="AH24" s="300"/>
      <c r="AI24" s="300"/>
      <c r="AJ24" s="300"/>
      <c r="AK24" s="300"/>
      <c r="AL24" s="300"/>
      <c r="AM24" s="300"/>
    </row>
    <row r="25" spans="2:39" x14ac:dyDescent="0.2">
      <c r="B25" s="240"/>
      <c r="C25" s="240"/>
      <c r="D25" s="240"/>
      <c r="E25" s="240"/>
      <c r="F25" s="240"/>
      <c r="G25" s="460"/>
      <c r="H25" s="460"/>
      <c r="I25" s="460"/>
      <c r="J25" s="460"/>
      <c r="K25" s="460"/>
      <c r="L25" s="460"/>
      <c r="M25" s="460"/>
      <c r="N25" s="460"/>
      <c r="O25" s="460"/>
      <c r="P25" s="460"/>
      <c r="Q25" s="460"/>
      <c r="R25" s="460"/>
      <c r="S25" s="460"/>
      <c r="T25" s="460"/>
      <c r="U25" s="240"/>
      <c r="V25" s="240"/>
      <c r="W25" s="240"/>
      <c r="X25" s="240"/>
      <c r="Y25" s="240"/>
      <c r="Z25" s="300"/>
      <c r="AA25" s="300"/>
      <c r="AB25" s="300"/>
      <c r="AC25" s="300"/>
      <c r="AD25" s="300"/>
      <c r="AE25" s="300"/>
      <c r="AF25" s="300"/>
      <c r="AG25" s="300"/>
      <c r="AH25" s="300"/>
      <c r="AI25" s="300"/>
      <c r="AJ25" s="300"/>
      <c r="AK25" s="300"/>
      <c r="AL25" s="300"/>
      <c r="AM25" s="300"/>
    </row>
    <row r="26" spans="2:39" x14ac:dyDescent="0.2">
      <c r="B26" s="240"/>
      <c r="C26" s="240"/>
      <c r="D26" s="240"/>
      <c r="E26" s="240"/>
      <c r="F26" s="240"/>
      <c r="G26" s="460"/>
      <c r="H26" s="460"/>
      <c r="I26" s="460"/>
      <c r="J26" s="460"/>
      <c r="K26" s="460"/>
      <c r="L26" s="460"/>
      <c r="M26" s="460"/>
      <c r="N26" s="460"/>
      <c r="O26" s="460"/>
      <c r="P26" s="460"/>
      <c r="Q26" s="460"/>
      <c r="R26" s="460"/>
      <c r="S26" s="460"/>
      <c r="T26" s="460"/>
      <c r="U26" s="240"/>
      <c r="V26" s="240"/>
      <c r="W26" s="240"/>
      <c r="X26" s="240"/>
      <c r="Y26" s="240"/>
      <c r="Z26" s="300"/>
      <c r="AA26" s="300"/>
      <c r="AB26" s="300"/>
      <c r="AC26" s="300"/>
      <c r="AD26" s="300"/>
      <c r="AE26" s="300"/>
      <c r="AF26" s="300"/>
      <c r="AG26" s="300"/>
      <c r="AH26" s="300"/>
      <c r="AI26" s="300"/>
      <c r="AJ26" s="300"/>
      <c r="AK26" s="300"/>
      <c r="AL26" s="300"/>
      <c r="AM26" s="300"/>
    </row>
    <row r="29" spans="2:39" x14ac:dyDescent="0.2">
      <c r="C29" t="s">
        <v>3194</v>
      </c>
    </row>
    <row r="30" spans="2:39" x14ac:dyDescent="0.2">
      <c r="C30" t="s">
        <v>3195</v>
      </c>
    </row>
    <row r="31" spans="2:39" x14ac:dyDescent="0.2">
      <c r="C31" t="s">
        <v>3196</v>
      </c>
    </row>
    <row r="33" spans="3:3" x14ac:dyDescent="0.2">
      <c r="C33" t="s">
        <v>3197</v>
      </c>
    </row>
    <row r="35" spans="3:3" x14ac:dyDescent="0.2">
      <c r="C35" t="s">
        <v>3198</v>
      </c>
    </row>
  </sheetData>
  <mergeCells count="18">
    <mergeCell ref="B24:F26"/>
    <mergeCell ref="G15:T17"/>
    <mergeCell ref="G18:T20"/>
    <mergeCell ref="G21:T23"/>
    <mergeCell ref="G24:T26"/>
    <mergeCell ref="S1:AM5"/>
    <mergeCell ref="B8:N11"/>
    <mergeCell ref="B15:F17"/>
    <mergeCell ref="B18:F20"/>
    <mergeCell ref="B21:F23"/>
    <mergeCell ref="U15:Y17"/>
    <mergeCell ref="U18:Y20"/>
    <mergeCell ref="U21:Y23"/>
    <mergeCell ref="U24:Y26"/>
    <mergeCell ref="Z15:AM17"/>
    <mergeCell ref="Z18:AM20"/>
    <mergeCell ref="Z21:AM23"/>
    <mergeCell ref="Z24:AM26"/>
  </mergeCells>
  <pageMargins left="0.25" right="0.25" top="0.75" bottom="0.75" header="0.3" footer="0.3"/>
  <pageSetup orientation="portrait" verticalDpi="1200" r:id="rId1"/>
  <headerFooter>
    <oddHeader>&amp;L&amp;G&amp;RFax Cover Letter</oddHeader>
    <oddFooter>&amp;C3088 Mercer University Drive Suite 100 Atlanta, GA 30341
678-310-6305 Fax 404-935-6110</oddFooter>
  </headerFooter>
  <legacyDrawingHF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28">
    <tabColor rgb="FFFFFF00"/>
  </sheetPr>
  <dimension ref="A1:AW36"/>
  <sheetViews>
    <sheetView workbookViewId="0">
      <selection activeCell="Z20" sqref="Z20"/>
    </sheetView>
  </sheetViews>
  <sheetFormatPr defaultColWidth="2.7109375" defaultRowHeight="12.75" x14ac:dyDescent="0.2"/>
  <cols>
    <col min="3" max="3" width="3" bestFit="1" customWidth="1"/>
    <col min="6" max="6" width="6.5703125" bestFit="1" customWidth="1"/>
    <col min="8" max="8" width="4.5703125" bestFit="1" customWidth="1"/>
    <col min="10" max="10" width="10.5703125" bestFit="1" customWidth="1"/>
    <col min="25" max="25" width="10.42578125" customWidth="1"/>
    <col min="26" max="26" width="13.85546875" customWidth="1"/>
    <col min="27" max="27" width="4.5703125" bestFit="1" customWidth="1"/>
    <col min="28" max="28" width="6.28515625" customWidth="1"/>
    <col min="29" max="29" width="5.5703125" bestFit="1" customWidth="1"/>
    <col min="31" max="31" width="10.28515625" customWidth="1"/>
    <col min="36" max="36" width="6.28515625" bestFit="1" customWidth="1"/>
    <col min="37" max="38" width="5.5703125" bestFit="1" customWidth="1"/>
    <col min="40" max="40" width="12.42578125" customWidth="1"/>
    <col min="41" max="41" width="3.28515625" bestFit="1" customWidth="1"/>
    <col min="45" max="45" width="10.5703125" bestFit="1" customWidth="1"/>
    <col min="46" max="46" width="9.85546875" customWidth="1"/>
    <col min="47" max="47" width="12.140625" customWidth="1"/>
    <col min="48" max="48" width="13.85546875" customWidth="1"/>
  </cols>
  <sheetData>
    <row r="1" spans="1:49" ht="13.15" customHeight="1" x14ac:dyDescent="0.2">
      <c r="AB1" t="s">
        <v>630</v>
      </c>
      <c r="AC1" s="32">
        <f>Data!B366</f>
        <v>0</v>
      </c>
      <c r="AD1">
        <f>Data!B380</f>
        <v>0</v>
      </c>
      <c r="AE1">
        <f>Data!B394</f>
        <v>0</v>
      </c>
      <c r="AJ1" s="569" t="s">
        <v>2927</v>
      </c>
      <c r="AK1" s="569" t="s">
        <v>2928</v>
      </c>
      <c r="AL1" s="569" t="s">
        <v>2929</v>
      </c>
      <c r="AM1" s="569" t="s">
        <v>2930</v>
      </c>
      <c r="AN1" s="569" t="s">
        <v>2931</v>
      </c>
      <c r="AO1" s="569" t="s">
        <v>2932</v>
      </c>
      <c r="AP1" s="569" t="s">
        <v>2933</v>
      </c>
      <c r="AS1" s="569" t="s">
        <v>2941</v>
      </c>
      <c r="AT1" s="569" t="s">
        <v>2942</v>
      </c>
      <c r="AU1" s="569" t="s">
        <v>2943</v>
      </c>
    </row>
    <row r="2" spans="1:49" x14ac:dyDescent="0.2">
      <c r="AB2" t="s">
        <v>761</v>
      </c>
      <c r="AC2" s="32">
        <f>Data!B368</f>
        <v>0</v>
      </c>
      <c r="AD2">
        <f>Data!B382</f>
        <v>0</v>
      </c>
      <c r="AE2">
        <f>Data!B396</f>
        <v>0</v>
      </c>
      <c r="AJ2" s="569"/>
      <c r="AK2" s="569"/>
      <c r="AL2" s="569"/>
      <c r="AM2" s="569"/>
      <c r="AN2" s="569"/>
      <c r="AO2" s="569"/>
      <c r="AP2" s="569"/>
      <c r="AS2" s="569"/>
      <c r="AT2" s="569"/>
      <c r="AU2" s="569"/>
    </row>
    <row r="3" spans="1:49" x14ac:dyDescent="0.2">
      <c r="AB3" t="s">
        <v>762</v>
      </c>
      <c r="AC3" s="32">
        <f>Data!B370</f>
        <v>0</v>
      </c>
      <c r="AD3">
        <f>Data!B384</f>
        <v>0</v>
      </c>
      <c r="AE3">
        <f>Data!B398</f>
        <v>0</v>
      </c>
      <c r="AJ3" s="569"/>
      <c r="AK3" s="569"/>
      <c r="AL3" s="569"/>
      <c r="AM3" s="569"/>
      <c r="AN3" s="569"/>
      <c r="AO3" s="569"/>
      <c r="AP3" s="569"/>
      <c r="AS3" s="569"/>
      <c r="AT3" s="569"/>
      <c r="AU3" s="569"/>
    </row>
    <row r="4" spans="1:49" x14ac:dyDescent="0.2">
      <c r="A4" t="s">
        <v>748</v>
      </c>
      <c r="T4" t="s">
        <v>757</v>
      </c>
      <c r="Y4" t="s">
        <v>749</v>
      </c>
      <c r="Z4" t="s">
        <v>750</v>
      </c>
      <c r="AA4" t="s">
        <v>751</v>
      </c>
      <c r="AB4" t="s">
        <v>763</v>
      </c>
      <c r="AC4" s="32">
        <f>Data!B372</f>
        <v>0</v>
      </c>
      <c r="AD4">
        <f>Data!B386</f>
        <v>0</v>
      </c>
      <c r="AE4">
        <f>Data!B400</f>
        <v>0</v>
      </c>
      <c r="AJ4" s="569"/>
      <c r="AK4" s="569"/>
      <c r="AL4" s="569"/>
      <c r="AM4" s="569"/>
      <c r="AN4" s="569"/>
      <c r="AO4" s="569"/>
      <c r="AP4" s="569"/>
      <c r="AS4" s="569"/>
      <c r="AT4" s="569"/>
      <c r="AU4" s="569"/>
    </row>
    <row r="5" spans="1:49" x14ac:dyDescent="0.2">
      <c r="F5" s="240" t="s">
        <v>749</v>
      </c>
      <c r="G5" s="240"/>
      <c r="H5" s="240"/>
      <c r="I5" s="240"/>
      <c r="J5" s="240" t="s">
        <v>750</v>
      </c>
      <c r="K5" s="240"/>
      <c r="L5" s="240"/>
      <c r="M5" s="240"/>
      <c r="N5" s="240" t="s">
        <v>751</v>
      </c>
      <c r="O5" s="240"/>
      <c r="P5" s="240"/>
      <c r="Q5" s="240"/>
      <c r="T5" s="240" t="s">
        <v>146</v>
      </c>
      <c r="U5" s="240"/>
      <c r="V5" s="240"/>
      <c r="W5" s="240"/>
      <c r="X5" s="240"/>
      <c r="Y5" s="32" t="str">
        <f>IF(Data!B359=TRUE,Data!B366,"")</f>
        <v/>
      </c>
      <c r="Z5" s="32" t="str">
        <f>IF(Data!B359=TRUE,Data!B380,"")</f>
        <v/>
      </c>
      <c r="AA5" s="32" t="str">
        <f>IF(Data!B359=TRUE,Data!B394,"")</f>
        <v/>
      </c>
      <c r="AB5" s="32" t="s">
        <v>764</v>
      </c>
      <c r="AC5" s="32">
        <f>Data!B374</f>
        <v>0</v>
      </c>
      <c r="AD5">
        <f>Data!B388</f>
        <v>0</v>
      </c>
      <c r="AE5">
        <f>Data!B402</f>
        <v>0</v>
      </c>
      <c r="AJ5" s="569"/>
      <c r="AK5" s="569"/>
      <c r="AL5" s="569"/>
      <c r="AM5" s="569"/>
      <c r="AN5" s="569"/>
      <c r="AO5" s="569"/>
      <c r="AP5" s="569"/>
      <c r="AS5" s="569"/>
      <c r="AT5" s="569"/>
      <c r="AU5" s="569"/>
    </row>
    <row r="6" spans="1:49" x14ac:dyDescent="0.2">
      <c r="A6" s="240" t="s">
        <v>146</v>
      </c>
      <c r="B6" s="240"/>
      <c r="C6" s="240"/>
      <c r="D6" s="240"/>
      <c r="E6" s="240"/>
      <c r="F6" s="240" t="b">
        <f>IF(Data!B359=TRUE,IF(Data!B366&lt;4,Data!B366*Data!B104,Data!B366*Data!B105))</f>
        <v>0</v>
      </c>
      <c r="G6" s="240"/>
      <c r="H6" s="240"/>
      <c r="I6" s="240"/>
      <c r="J6" s="240" t="b">
        <f>IF(Data!B359=TRUE,IF(Data!B380&lt;4,Data!B380*Data!B104,Data!B380*Data!B105))</f>
        <v>0</v>
      </c>
      <c r="K6" s="240"/>
      <c r="L6" s="240"/>
      <c r="M6" s="240"/>
      <c r="N6" s="240" t="b">
        <f>IF(Data!B359=TRUE,IF(Data!B394&lt;4,Data!B394*Data!B104,Data!B394*Data!B105))</f>
        <v>0</v>
      </c>
      <c r="O6" s="240"/>
      <c r="P6" s="240"/>
      <c r="Q6" s="240"/>
      <c r="T6" s="240" t="s">
        <v>147</v>
      </c>
      <c r="U6" s="240"/>
      <c r="V6" s="240"/>
      <c r="W6" s="240"/>
      <c r="X6" s="240"/>
      <c r="Y6" s="32" t="str">
        <f>IF(Data!B360=TRUE,Data!B368,"")</f>
        <v/>
      </c>
      <c r="Z6" s="32" t="str">
        <f>IF(Data!B360=TRUE,Data!B382,"")</f>
        <v/>
      </c>
      <c r="AA6" s="32" t="str">
        <f>IF(Data!B360=TRUE,Data!B396,"")</f>
        <v/>
      </c>
      <c r="AB6" s="32" t="s">
        <v>765</v>
      </c>
      <c r="AC6" s="32">
        <f>Data!B376</f>
        <v>0</v>
      </c>
      <c r="AD6">
        <f>Data!B390</f>
        <v>0</v>
      </c>
      <c r="AE6">
        <f>Data!B404</f>
        <v>0</v>
      </c>
      <c r="AJ6" s="569"/>
      <c r="AK6" s="569"/>
      <c r="AL6" s="569"/>
      <c r="AM6" s="569"/>
      <c r="AN6" s="569"/>
      <c r="AO6" s="569"/>
      <c r="AP6" s="569"/>
      <c r="AS6" s="569"/>
      <c r="AT6" s="569"/>
      <c r="AU6" s="569"/>
    </row>
    <row r="7" spans="1:49" ht="12.75" customHeight="1" x14ac:dyDescent="0.2">
      <c r="A7" s="240" t="s">
        <v>147</v>
      </c>
      <c r="B7" s="240"/>
      <c r="C7" s="240"/>
      <c r="D7" s="240"/>
      <c r="E7" s="240"/>
      <c r="F7" s="240" t="b">
        <f>IF(Data!B360=TRUE,IF(Data!B368&lt;4,Data!B368*Data!B104,Data!B368*Data!B105))</f>
        <v>0</v>
      </c>
      <c r="G7" s="240"/>
      <c r="H7" s="240"/>
      <c r="I7" s="240"/>
      <c r="J7" s="240" t="b">
        <f>IF(Data!B360=TRUE,IF(Data!B382&lt;4,Data!B382*Data!B104,Data!B382*Data!B105))</f>
        <v>0</v>
      </c>
      <c r="K7" s="240"/>
      <c r="L7" s="240"/>
      <c r="M7" s="240"/>
      <c r="N7" s="240" t="b">
        <f>IF(Data!B360=TRUE,IF(Data!B396&lt;4,Data!B396*Data!B104,Data!B396*Data!B105))</f>
        <v>0</v>
      </c>
      <c r="O7" s="240"/>
      <c r="P7" s="240"/>
      <c r="Q7" s="240"/>
      <c r="T7" s="240" t="s">
        <v>148</v>
      </c>
      <c r="U7" s="240"/>
      <c r="V7" s="240"/>
      <c r="W7" s="240"/>
      <c r="X7" s="240"/>
      <c r="Y7" s="32" t="str">
        <f>IF(Data!B361=TRUE,Data!B370,"")</f>
        <v/>
      </c>
      <c r="Z7" s="32" t="str">
        <f>IF(Data!B361=TRUE,Data!B384,"")</f>
        <v/>
      </c>
      <c r="AA7" s="32" t="str">
        <f>IF(Data!B361=TRUE,Data!B398,"")</f>
        <v/>
      </c>
      <c r="AB7" s="32" t="s">
        <v>766</v>
      </c>
      <c r="AC7" s="32">
        <f>Data!B378</f>
        <v>0</v>
      </c>
      <c r="AD7">
        <f>Data!B392</f>
        <v>0</v>
      </c>
      <c r="AE7">
        <f>Data!B406</f>
        <v>0</v>
      </c>
      <c r="AJ7" s="569"/>
      <c r="AK7" s="569"/>
      <c r="AL7" s="569"/>
      <c r="AM7" s="569"/>
      <c r="AN7" s="569"/>
      <c r="AO7" s="569"/>
      <c r="AP7" s="569"/>
      <c r="AS7" s="569"/>
      <c r="AT7" s="569"/>
      <c r="AU7" s="569"/>
    </row>
    <row r="8" spans="1:49" x14ac:dyDescent="0.2">
      <c r="A8" s="240" t="s">
        <v>148</v>
      </c>
      <c r="B8" s="240"/>
      <c r="C8" s="240"/>
      <c r="D8" s="240"/>
      <c r="E8" s="240"/>
      <c r="F8" s="240" t="b">
        <f>IF(Data!B361=TRUE,IF(Data!B370&lt;4,Data!B370*Data!B104,Data!B370*Data!B105))</f>
        <v>0</v>
      </c>
      <c r="G8" s="240"/>
      <c r="H8" s="240"/>
      <c r="I8" s="240"/>
      <c r="J8" s="240" t="b">
        <f>IF(Data!B361=TRUE,IF(Data!B384&lt;4,Data!B384*Data!B104,Data!B384*Data!B105))</f>
        <v>0</v>
      </c>
      <c r="K8" s="240"/>
      <c r="L8" s="240"/>
      <c r="M8" s="240"/>
      <c r="N8" s="240" t="b">
        <f>IF(Data!B361=TRUE,IF(Data!B398&lt;4,Data!B398*Data!B104,Data!B398*Data!B105))</f>
        <v>0</v>
      </c>
      <c r="O8" s="240"/>
      <c r="P8" s="240"/>
      <c r="Q8" s="240"/>
      <c r="T8" s="240" t="s">
        <v>149</v>
      </c>
      <c r="U8" s="240"/>
      <c r="V8" s="240"/>
      <c r="W8" s="240"/>
      <c r="X8" s="240"/>
      <c r="Y8" s="32" t="str">
        <f>IF(Data!B362=TRUE,Data!B372,"")</f>
        <v/>
      </c>
      <c r="Z8" s="32" t="str">
        <f>IF(Data!B362=TRUE,Data!B386,"")</f>
        <v/>
      </c>
      <c r="AA8" s="32" t="str">
        <f>IF(Data!B362=TRUE,Data!B400,"")</f>
        <v/>
      </c>
      <c r="AB8" s="32"/>
      <c r="AE8" s="32"/>
      <c r="AI8" t="s">
        <v>2934</v>
      </c>
      <c r="AJ8" t="b">
        <f>Data!B359</f>
        <v>0</v>
      </c>
      <c r="AK8" s="32">
        <f>Data!B366</f>
        <v>0</v>
      </c>
      <c r="AL8" s="32">
        <f>Data!B380</f>
        <v>0</v>
      </c>
      <c r="AM8">
        <f>Data!B394</f>
        <v>0</v>
      </c>
      <c r="AN8" t="str">
        <f>_xlfn.CONCAT(IF(AK8&lt;2,AK8*AE18,""),IF(AND(AK8&gt;1.99,AK8&lt;3),AK8*AE19,""),IF(AND(AK8&gt;2.99,AK8&lt;4),AK8*AE20,""),IF(AND(AK8&gt;3.99,AK8&lt;24),AK8*AE21,""),IF(AK8=24,AE22,""))</f>
        <v>0</v>
      </c>
      <c r="AO8" t="str">
        <f>_xlfn.CONCAT(IF(AL8&lt;2,AL8*AE18,""),IF(AND(AL8&gt;1.99,AL8&lt;3),AL8*AE19,""),IF(AND(AL8&gt;2.99,AL8&lt;4),AL8*AE20,""),IF(AND(AL8&gt;3.99,AL8&lt;24),AL8*AE21,""),IF(AL8=24,AE22,""))</f>
        <v>0</v>
      </c>
      <c r="AP8" t="str">
        <f>_xlfn.CONCAT(IF(AM8&lt;2,AM8*AE18,""),IF(AND(AM8&gt;1.99,AM8&lt;3),AM8*AE19,""),IF(AND(AM8&gt;2.99,AM8&lt;4),AM8*AE20,""),IF(AND(AM8&gt;3.99,AM8&lt;24),AM8*AE21,""),IF(AM8=24,AE22,""))</f>
        <v>0</v>
      </c>
      <c r="AS8" t="str">
        <f>AN8</f>
        <v>0</v>
      </c>
      <c r="AT8" t="str">
        <f t="shared" ref="AT8:AU14" si="0">AO8</f>
        <v>0</v>
      </c>
      <c r="AU8" t="str">
        <f t="shared" si="0"/>
        <v>0</v>
      </c>
    </row>
    <row r="9" spans="1:49" x14ac:dyDescent="0.2">
      <c r="A9" s="240" t="s">
        <v>149</v>
      </c>
      <c r="B9" s="240"/>
      <c r="C9" s="240"/>
      <c r="D9" s="240"/>
      <c r="E9" s="240"/>
      <c r="F9" s="240" t="b">
        <f>IF(Data!B362=TRUE,IF(Data!B372&lt;4,Data!B372*Data!B104,Data!B372*Data!B105))</f>
        <v>0</v>
      </c>
      <c r="G9" s="240"/>
      <c r="H9" s="240"/>
      <c r="I9" s="240"/>
      <c r="J9" s="240" t="b">
        <f>IF(Data!B362=TRUE,IF(Data!B386&lt;4,Data!B386*Data!B104,Data!B386*Data!B105))</f>
        <v>0</v>
      </c>
      <c r="K9" s="240"/>
      <c r="L9" s="240"/>
      <c r="M9" s="240"/>
      <c r="N9" s="240" t="b">
        <f>IF(Data!B362=TRUE,IF(Data!B400&lt;4,Data!B400*Data!B104,Data!B400*Data!B105))</f>
        <v>0</v>
      </c>
      <c r="O9" s="240"/>
      <c r="P9" s="240"/>
      <c r="Q9" s="240"/>
      <c r="T9" s="240" t="s">
        <v>150</v>
      </c>
      <c r="U9" s="240"/>
      <c r="V9" s="240"/>
      <c r="W9" s="240"/>
      <c r="X9" s="240"/>
      <c r="Y9" s="32" t="str">
        <f>IF(Data!B363=TRUE,Data!B374,"")</f>
        <v/>
      </c>
      <c r="Z9" s="32" t="str">
        <f>IF(Data!B363=TRUE,Data!B388,"")</f>
        <v/>
      </c>
      <c r="AA9" s="32" t="str">
        <f>IF(Data!B363=TRUE,Data!B402,"")</f>
        <v/>
      </c>
      <c r="AB9" s="32"/>
      <c r="AI9" t="s">
        <v>2935</v>
      </c>
      <c r="AJ9" t="b">
        <f>Data!B360</f>
        <v>0</v>
      </c>
      <c r="AK9" s="32">
        <f>Data!B368</f>
        <v>0</v>
      </c>
      <c r="AL9" s="32">
        <f>Data!B382</f>
        <v>0</v>
      </c>
      <c r="AM9">
        <f>Data!B396</f>
        <v>0</v>
      </c>
      <c r="AN9" t="str">
        <f>_xlfn.CONCAT(IF(AK9&lt;2,AK9*AE18,""),IF(AND(AK9&gt;1.99,AK9&lt;3),AK9*AE19,""),IF(AND(AK9&gt;2.99,AK9&lt;4),AK9*AE20,""),IF(AND(AK9&gt;3.99,AK9&lt;24),AK9*AE21,""),IF(AK9=24,AE22,""))</f>
        <v>0</v>
      </c>
      <c r="AO9" t="str">
        <f>_xlfn.CONCAT(IF(AL9&lt;2,AL9*AE18,""),IF(AND(AL9&gt;1.99,AL9&lt;3),AL9*AE19,""),IF(AND(AL9&gt;2.99,AL9&lt;4),AL9*AE20,""),IF(AND(AL9&gt;3.99,AL9&lt;24),AL9*AE21,""),IF(AL9=24,AE22,""))</f>
        <v>0</v>
      </c>
      <c r="AP9" t="str">
        <f>_xlfn.CONCAT(IF(AM9&lt;2,AM9*AE18,""),IF(AND(AM9&gt;1.99,AM9&lt;3),AM9*AE19,""),IF(AND(AM9&gt;2.99,AM9&lt;4),AM9*AE20,""),IF(AND(AM9&gt;3.99,AM9&lt;24),AM9*AE21,""),IF(AM9=24,AE22,""))</f>
        <v>0</v>
      </c>
      <c r="AS9" t="str">
        <f t="shared" ref="AS9:AS14" si="1">AN9</f>
        <v>0</v>
      </c>
      <c r="AT9" t="str">
        <f t="shared" si="0"/>
        <v>0</v>
      </c>
      <c r="AU9" t="str">
        <f t="shared" si="0"/>
        <v>0</v>
      </c>
    </row>
    <row r="10" spans="1:49" x14ac:dyDescent="0.2">
      <c r="A10" s="240" t="s">
        <v>150</v>
      </c>
      <c r="B10" s="240"/>
      <c r="C10" s="240"/>
      <c r="D10" s="240"/>
      <c r="E10" s="240"/>
      <c r="F10" s="240" t="b">
        <f>IF(Data!B363=TRUE,IF(Data!B374&lt;4,Data!B374*Data!B104,Data!B374*Data!B105))</f>
        <v>0</v>
      </c>
      <c r="G10" s="240"/>
      <c r="H10" s="240"/>
      <c r="I10" s="240"/>
      <c r="J10" s="240" t="b">
        <f>IF(Data!B363=TRUE,IF(Data!B388&lt;4,Data!B388*Data!B104,Data!B388*Data!B105))</f>
        <v>0</v>
      </c>
      <c r="K10" s="240"/>
      <c r="L10" s="240"/>
      <c r="M10" s="240"/>
      <c r="N10" s="240" t="b">
        <f>IF(Data!B363=TRUE,IF(Data!B402&lt;4,Data!B402*Data!B104,Data!B402*Data!B105))</f>
        <v>0</v>
      </c>
      <c r="O10" s="240"/>
      <c r="P10" s="240"/>
      <c r="Q10" s="240"/>
      <c r="T10" s="240" t="s">
        <v>151</v>
      </c>
      <c r="U10" s="240"/>
      <c r="V10" s="240"/>
      <c r="W10" s="240"/>
      <c r="X10" s="240"/>
      <c r="Y10" s="32" t="str">
        <f>IF(Data!B364=TRUE,Data!B376,"")</f>
        <v/>
      </c>
      <c r="Z10" s="32" t="str">
        <f>IF(Data!B364=TRUE,Data!B390,"")</f>
        <v/>
      </c>
      <c r="AA10" s="32" t="str">
        <f>IF(Data!B364=TRUE,Data!B404,"")</f>
        <v/>
      </c>
      <c r="AB10" s="32"/>
      <c r="AI10" t="s">
        <v>2936</v>
      </c>
      <c r="AJ10" t="b">
        <f>Data!B361</f>
        <v>0</v>
      </c>
      <c r="AK10" s="32">
        <f>Data!B370</f>
        <v>0</v>
      </c>
      <c r="AL10" s="32">
        <f>Data!B384</f>
        <v>0</v>
      </c>
      <c r="AM10">
        <f>Data!B398</f>
        <v>0</v>
      </c>
      <c r="AN10" t="str">
        <f>_xlfn.CONCAT(IF(AK10&lt;2,AK10*AE18,""),IF(AND(AK10&gt;1.99,AK10&lt;3),AK10*AE19,""),IF(AND(AK10&gt;2.99,AK10&lt;4),AK10*AE20,""),IF(AND(AK10&gt;3.99,AK10&lt;24),AK10*AE21,""),IF(AK10=24,AE22,""))</f>
        <v>0</v>
      </c>
      <c r="AO10" t="str">
        <f>_xlfn.CONCAT(IF(AL10&lt;2,AL10*AE18,""),IF(AND(AL10&gt;1.99,AL10&lt;3),AL10*AE19,""),IF(AND(AL10&gt;2.99,AL10&lt;4),AL10*AE20,""),IF(AND(AL10&gt;3.99,AL10&lt;24),AL10*AE21,""),IF(AL10=24,AE22,""))</f>
        <v>0</v>
      </c>
      <c r="AP10" t="str">
        <f>_xlfn.CONCAT(IF(AM10&lt;2,AM10*AE18,""),IF(AND(AM10&gt;1.99,AM10&lt;3),AM10*AE19,""),IF(AND(AM10&gt;2.99,AM10&lt;4),AM10*AE20,""),IF(AND(AM10&gt;3.99,AM10&lt;24),AM10*AE21,""),IF(AM10=24,AE22,""))</f>
        <v>0</v>
      </c>
      <c r="AS10" t="str">
        <f t="shared" si="1"/>
        <v>0</v>
      </c>
      <c r="AT10" t="str">
        <f t="shared" si="0"/>
        <v>0</v>
      </c>
      <c r="AU10" t="str">
        <f t="shared" si="0"/>
        <v>0</v>
      </c>
    </row>
    <row r="11" spans="1:49" x14ac:dyDescent="0.2">
      <c r="A11" s="240" t="s">
        <v>151</v>
      </c>
      <c r="B11" s="240"/>
      <c r="C11" s="240"/>
      <c r="D11" s="240"/>
      <c r="E11" s="240"/>
      <c r="F11" s="240" t="b">
        <f>IF(Data!B364=TRUE,IF(Data!B376&lt;4,Data!B376*Data!B104,Data!B376*Data!B105))</f>
        <v>0</v>
      </c>
      <c r="G11" s="240"/>
      <c r="H11" s="240"/>
      <c r="I11" s="240"/>
      <c r="J11" s="240" t="b">
        <f>IF(Data!B364=TRUE,IF(Data!B390&lt;4,Data!B390*Data!B104,Data!B390*Data!B105))</f>
        <v>0</v>
      </c>
      <c r="K11" s="240"/>
      <c r="L11" s="240"/>
      <c r="M11" s="240"/>
      <c r="N11" s="240" t="b">
        <f>IF(Data!B364=TRUE,IF(Data!B404&lt;4,Data!B404*Data!B104,Data!B404*Data!B105))</f>
        <v>0</v>
      </c>
      <c r="O11" s="240"/>
      <c r="P11" s="240"/>
      <c r="Q11" s="240"/>
      <c r="T11" s="240" t="s">
        <v>152</v>
      </c>
      <c r="U11" s="240"/>
      <c r="V11" s="240"/>
      <c r="W11" s="240"/>
      <c r="X11" s="240"/>
      <c r="Y11" s="32" t="str">
        <f>IF(Data!B365=TRUE,Data!B378,"")</f>
        <v/>
      </c>
      <c r="Z11" s="32" t="str">
        <f>IF(Data!B365=TRUE,Data!B392,"")</f>
        <v/>
      </c>
      <c r="AA11" s="32" t="str">
        <f>IF(Data!B365=TRUE,Data!B406,"")</f>
        <v/>
      </c>
      <c r="AB11" s="32"/>
      <c r="AI11" t="s">
        <v>2937</v>
      </c>
      <c r="AJ11" t="b">
        <f>Data!B362</f>
        <v>0</v>
      </c>
      <c r="AK11" s="32">
        <f>Data!B372</f>
        <v>0</v>
      </c>
      <c r="AL11" s="32">
        <f>Data!B386</f>
        <v>0</v>
      </c>
      <c r="AM11">
        <f>Data!B400</f>
        <v>0</v>
      </c>
      <c r="AN11" t="str">
        <f>_xlfn.CONCAT(IF(AK11&lt;2,AK11*AE18,""),IF(AND(AK11&gt;1.99,AK11&lt;3),AK11*AE19,""),IF(AND(AK11&gt;2.99,AK11&lt;4),AK11*AE20,""),IF(AND(AK11&gt;3.99,AK11&lt;24),AK11*AE21,""),IF(AK11=24,AE22,""))</f>
        <v>0</v>
      </c>
      <c r="AO11" t="str">
        <f>_xlfn.CONCAT(IF(AL11&lt;2,AL11*AE18,""),IF(AND(AL11&gt;1.99,AL11&lt;3),AL11*AE19,""),IF(AND(AL11&gt;2.99,AL11&lt;4),AL11*AE20,""),IF(AND(AL11&gt;3.99,AL11&lt;24),AL11*AE21,""),IF(AL11=24,AE22,""))</f>
        <v>0</v>
      </c>
      <c r="AP11" t="str">
        <f>_xlfn.CONCAT(IF(AM11&lt;2,AM11*AE18,""),IF(AND(AM11&gt;1.99,AM11&lt;3),AM11*AE19,""),IF(AND(AM11&gt;2.99,AM11&lt;4),AM11*AE20,""),IF(AND(AM11&gt;3.99,AM11&lt;24),AM11*AE21,""),IF(AM11=24,AE22,""))</f>
        <v>0</v>
      </c>
      <c r="AS11" t="str">
        <f t="shared" si="1"/>
        <v>0</v>
      </c>
      <c r="AT11" t="str">
        <f t="shared" si="0"/>
        <v>0</v>
      </c>
      <c r="AU11" t="str">
        <f t="shared" si="0"/>
        <v>0</v>
      </c>
    </row>
    <row r="12" spans="1:49" x14ac:dyDescent="0.2">
      <c r="A12" s="240" t="s">
        <v>152</v>
      </c>
      <c r="B12" s="240"/>
      <c r="C12" s="240"/>
      <c r="D12" s="240"/>
      <c r="E12" s="240"/>
      <c r="F12" s="240" t="b">
        <f>IF(Data!B365=TRUE,IF(Data!B378&lt;4,Data!B378*Data!B104,Data!B378*Data!B105))</f>
        <v>0</v>
      </c>
      <c r="G12" s="240"/>
      <c r="H12" s="240"/>
      <c r="I12" s="240"/>
      <c r="J12" s="240" t="b">
        <f>IF(Data!B365=TRUE,IF(Data!B392&lt;4,Data!B392*Data!B104,Data!B392*Data!B105))</f>
        <v>0</v>
      </c>
      <c r="K12" s="240"/>
      <c r="L12" s="240"/>
      <c r="M12" s="240"/>
      <c r="N12" s="240" t="b">
        <f>IF(Data!B365=TRUE,IF(Data!B406&lt;4,Data!B406*Data!B104,Data!B406*Data!B105))</f>
        <v>0</v>
      </c>
      <c r="O12" s="240"/>
      <c r="P12" s="240"/>
      <c r="Q12" s="240"/>
      <c r="T12" t="s">
        <v>758</v>
      </c>
      <c r="AI12" t="s">
        <v>2938</v>
      </c>
      <c r="AJ12" t="b">
        <f>Data!B363</f>
        <v>0</v>
      </c>
      <c r="AK12" s="32">
        <f>Data!B374</f>
        <v>0</v>
      </c>
      <c r="AL12" s="32">
        <f>Data!B388</f>
        <v>0</v>
      </c>
      <c r="AM12">
        <f>Data!B402</f>
        <v>0</v>
      </c>
      <c r="AN12" t="str">
        <f>_xlfn.CONCAT(IF(AK12&lt;2,AK12*AE18,""),IF(AND(AK12&gt;1.99,AK12&lt;3),AK12*AE19,""),IF(AND(AK12&gt;2.99,AK12&lt;4),AK12*AE20,""),IF(AND(AK12&gt;3.99,AK12&lt;24),AK12*AE21,""),IF(AK12=24,AE22,""))</f>
        <v>0</v>
      </c>
      <c r="AO12" t="str">
        <f>_xlfn.CONCAT(IF(AL12&lt;2,AL12*AE18,""),IF(AND(AL12&gt;1.99,AL12&lt;3),AL12*AE19,""),IF(AND(AL12&gt;2.99,AL12&lt;4),AL12*AE20,""),IF(AND(AL12&gt;3.99,AL12&lt;24),AL12*AE21,""),IF(AL12=24,AE22,""))</f>
        <v>0</v>
      </c>
      <c r="AP12" t="str">
        <f>_xlfn.CONCAT(IF(AM12&lt;2,AM12*AE18,""),IF(AND(AM12&gt;1.99,AM12&lt;3),AM12*AE19,""),IF(AND(AM12&gt;2.99,AM12&lt;4),AM12*AE20,""),IF(AND(AM12&gt;3.99,AM12&lt;24),AM12*AE21,""),IF(AM12=24,AE22,""))</f>
        <v>0</v>
      </c>
      <c r="AS12" t="str">
        <f t="shared" si="1"/>
        <v>0</v>
      </c>
      <c r="AT12" t="str">
        <f t="shared" si="0"/>
        <v>0</v>
      </c>
      <c r="AU12" t="str">
        <f t="shared" si="0"/>
        <v>0</v>
      </c>
    </row>
    <row r="13" spans="1:49" x14ac:dyDescent="0.2">
      <c r="A13" t="s">
        <v>752</v>
      </c>
      <c r="N13" s="572">
        <f>SUM(F6:Q12)</f>
        <v>0</v>
      </c>
      <c r="O13" s="572"/>
      <c r="P13" s="572"/>
      <c r="Q13" s="572"/>
      <c r="T13" t="s">
        <v>759</v>
      </c>
      <c r="Z13" s="32">
        <f>SUM(Y5:AA11)</f>
        <v>0</v>
      </c>
      <c r="AI13" t="s">
        <v>2939</v>
      </c>
      <c r="AJ13" t="b">
        <f>Data!B364</f>
        <v>0</v>
      </c>
      <c r="AK13" s="32">
        <f>Data!B376</f>
        <v>0</v>
      </c>
      <c r="AL13" s="32">
        <f>Data!B390</f>
        <v>0</v>
      </c>
      <c r="AM13">
        <f>Data!B404</f>
        <v>0</v>
      </c>
      <c r="AN13" t="str">
        <f>_xlfn.CONCAT(IF(AK13&lt;2,AK13*AE18,""),IF(AND(AK13&gt;1.99,AK13&lt;3),AK13*AE19,""),IF(AND(AK13&gt;2.99,AK13&lt;4),AK13*AE20,""),IF(AND(AK13&gt;3.99,AK13&lt;24),AK13*AE21,""),IF(AK13=24,AE22,""))</f>
        <v>0</v>
      </c>
      <c r="AO13" t="str">
        <f>_xlfn.CONCAT(IF(AL13&lt;2,AL13*AE18,""),IF(AND(AL13&gt;1.99,AL13&lt;3),AL13*AE19,""),IF(AND(AL13&gt;2.99,AL13&lt;4),AL13*AE20,""),IF(AND(AL13&gt;3.99,AL13&lt;24),AL13*AE21,""),IF(AL13=24,AE22,""))</f>
        <v>0</v>
      </c>
      <c r="AP13" t="str">
        <f>_xlfn.CONCAT(IF(AM13&lt;2,AM13*AE18,""),IF(AND(AM13&gt;1.99,AM13&lt;3),AM13*AE19,""),IF(AND(AM13&gt;2.99,AM13&lt;4),AM13*AE20,""),IF(AND(AM13&gt;3.99,AM13&lt;24),AM13*AE21,""),IF(AM13=24,AE22,""))</f>
        <v>0</v>
      </c>
      <c r="AS13" t="str">
        <f t="shared" si="1"/>
        <v>0</v>
      </c>
      <c r="AT13" t="str">
        <f t="shared" si="0"/>
        <v>0</v>
      </c>
      <c r="AU13" t="str">
        <f t="shared" si="0"/>
        <v>0</v>
      </c>
    </row>
    <row r="14" spans="1:49" x14ac:dyDescent="0.2">
      <c r="A14" t="s">
        <v>753</v>
      </c>
      <c r="N14" s="572">
        <f>SUM(N13*2)</f>
        <v>0</v>
      </c>
      <c r="O14" s="572"/>
      <c r="P14" s="572"/>
      <c r="Q14" s="572"/>
      <c r="T14" t="s">
        <v>760</v>
      </c>
      <c r="Z14" s="33">
        <f>SUM(Z13*Data!B106)</f>
        <v>0</v>
      </c>
      <c r="AI14" t="s">
        <v>2934</v>
      </c>
      <c r="AJ14" t="b">
        <f>Data!B365</f>
        <v>0</v>
      </c>
      <c r="AK14" s="32">
        <f>Data!B378</f>
        <v>0</v>
      </c>
      <c r="AL14" s="32">
        <f>Data!B392</f>
        <v>0</v>
      </c>
      <c r="AM14">
        <f>Data!B406</f>
        <v>0</v>
      </c>
      <c r="AN14" t="str">
        <f>_xlfn.CONCAT(IF(AK14&lt;2,AK14*AE18,""),IF(AND(AK14&gt;1.99,AK14&lt;3),AK14*AE19,""),IF(AND(AK14&gt;2.99,AK14&lt;4),AK14*AE20,""),IF(AND(AK14&gt;3.99,AK14&lt;24),AK14*AE21,""),IF(AK14=24,AE22,""))</f>
        <v>0</v>
      </c>
      <c r="AO14" t="str">
        <f>_xlfn.CONCAT(IF(AL14&lt;2,AL14*AE18,""),IF(AND(AL14&gt;1.99,AL14&lt;3),AL14*AE19,""),IF(AND(AL14&gt;2.99,AL14&lt;4),AL14*AE20,""),IF(AND(AL14&gt;3.99,AL14&lt;24),AL14*AE21,""),IF(AL14=24,AE22,""))</f>
        <v>0</v>
      </c>
      <c r="AP14" t="str">
        <f>_xlfn.CONCAT(IF(AM14&lt;2,AM14*AE18,""),IF(AND(AM14&gt;1.99,AM14&lt;3),AM14*AE19,""),IF(AND(AM14&gt;2.99,AM14&lt;4),AM14*AE20,""),IF(AND(AM14&gt;3.99,AM14&lt;24),AM14*AE21,""),IF(AM14=24,AE22,""))</f>
        <v>0</v>
      </c>
      <c r="AS14" t="str">
        <f t="shared" si="1"/>
        <v>0</v>
      </c>
      <c r="AT14" t="str">
        <f t="shared" si="0"/>
        <v>0</v>
      </c>
      <c r="AU14" t="str">
        <f t="shared" si="0"/>
        <v>0</v>
      </c>
    </row>
    <row r="15" spans="1:49" x14ac:dyDescent="0.2">
      <c r="T15" t="s">
        <v>756</v>
      </c>
      <c r="Z15" s="33">
        <f>SUM(Z14*2)</f>
        <v>0</v>
      </c>
      <c r="AN15" s="33"/>
      <c r="AS15" s="33">
        <f>AS8+AS9+AS10+AS11+AS12+AS13+AS14</f>
        <v>0</v>
      </c>
      <c r="AT15" s="33">
        <f>AT8+AT9+AT10+AT11+AT12+AT13+AT14</f>
        <v>0</v>
      </c>
      <c r="AU15" s="33">
        <f>AU8+AU9+AU10+AU11+AU12+AU13+AU14</f>
        <v>0</v>
      </c>
      <c r="AV15" s="33">
        <f>SUM(AS15+AT15+AU15)</f>
        <v>0</v>
      </c>
      <c r="AW15" t="s">
        <v>2944</v>
      </c>
    </row>
    <row r="16" spans="1:49" x14ac:dyDescent="0.2">
      <c r="A16" t="s">
        <v>754</v>
      </c>
      <c r="AV16" s="33">
        <f>SUM(AV15*2)</f>
        <v>0</v>
      </c>
      <c r="AW16" t="s">
        <v>2945</v>
      </c>
    </row>
    <row r="17" spans="1:48" x14ac:dyDescent="0.2">
      <c r="A17" s="240" t="s">
        <v>146</v>
      </c>
      <c r="B17" s="240"/>
      <c r="C17" s="240"/>
      <c r="D17" s="240"/>
      <c r="E17" s="240"/>
      <c r="F17" s="32">
        <f>IF(Data!B359=TRUE,1,0)</f>
        <v>0</v>
      </c>
      <c r="G17" s="32"/>
      <c r="H17" s="32">
        <f>G17</f>
        <v>0</v>
      </c>
      <c r="I17" s="32"/>
    </row>
    <row r="18" spans="1:48" x14ac:dyDescent="0.2">
      <c r="A18" s="240" t="s">
        <v>147</v>
      </c>
      <c r="B18" s="240"/>
      <c r="C18" s="240"/>
      <c r="D18" s="240"/>
      <c r="E18" s="240"/>
      <c r="F18" s="32">
        <f>IF(Data!B360=TRUE,1,0)</f>
        <v>0</v>
      </c>
      <c r="G18" s="32"/>
      <c r="H18" s="32"/>
      <c r="I18" s="32"/>
      <c r="K18" s="571"/>
      <c r="L18" s="240"/>
      <c r="M18" s="240"/>
      <c r="N18" s="240"/>
      <c r="AC18" t="s">
        <v>2925</v>
      </c>
      <c r="AE18" s="127">
        <f>Data!B106</f>
        <v>0</v>
      </c>
      <c r="AJ18" t="s">
        <v>2954</v>
      </c>
    </row>
    <row r="19" spans="1:48" x14ac:dyDescent="0.2">
      <c r="A19" s="240" t="s">
        <v>148</v>
      </c>
      <c r="B19" s="240"/>
      <c r="C19" s="240"/>
      <c r="D19" s="240"/>
      <c r="E19" s="240"/>
      <c r="F19" s="32">
        <f>IF(Data!B361=TRUE,1,0)</f>
        <v>0</v>
      </c>
      <c r="G19" s="32"/>
      <c r="H19" s="32"/>
      <c r="I19" s="32"/>
      <c r="AC19" t="s">
        <v>2923</v>
      </c>
      <c r="AE19" s="127">
        <f>Data!G104</f>
        <v>0</v>
      </c>
      <c r="AJ19" s="32">
        <f>AK8</f>
        <v>0</v>
      </c>
      <c r="AK19" s="32">
        <f>AL8</f>
        <v>0</v>
      </c>
      <c r="AL19" s="32">
        <f>AM8</f>
        <v>0</v>
      </c>
      <c r="AV19" s="33">
        <f>AV15</f>
        <v>0</v>
      </c>
    </row>
    <row r="20" spans="1:48" x14ac:dyDescent="0.2">
      <c r="A20" s="240" t="s">
        <v>149</v>
      </c>
      <c r="B20" s="240"/>
      <c r="C20" s="240"/>
      <c r="D20" s="240"/>
      <c r="E20" s="240"/>
      <c r="F20" s="32">
        <f>IF(Data!B362=TRUE,1,0)</f>
        <v>0</v>
      </c>
      <c r="G20" s="32"/>
      <c r="H20" s="32"/>
      <c r="I20" s="32"/>
      <c r="R20" t="s">
        <v>767</v>
      </c>
      <c r="Z20" s="33">
        <f>N14</f>
        <v>0</v>
      </c>
      <c r="AC20" t="s">
        <v>2924</v>
      </c>
      <c r="AE20" s="127">
        <f>Data!G105</f>
        <v>0</v>
      </c>
      <c r="AJ20" s="32">
        <f t="shared" ref="AJ20:AL25" si="2">AK9</f>
        <v>0</v>
      </c>
      <c r="AK20" s="32">
        <f t="shared" si="2"/>
        <v>0</v>
      </c>
      <c r="AL20" s="32">
        <f t="shared" si="2"/>
        <v>0</v>
      </c>
      <c r="AV20" s="33">
        <f>AV16</f>
        <v>0</v>
      </c>
    </row>
    <row r="21" spans="1:48" x14ac:dyDescent="0.2">
      <c r="A21" s="240" t="s">
        <v>150</v>
      </c>
      <c r="B21" s="240"/>
      <c r="C21" s="240"/>
      <c r="D21" s="240"/>
      <c r="E21" s="240"/>
      <c r="F21" s="32">
        <f>IF(Data!B363=TRUE,1,0)</f>
        <v>0</v>
      </c>
      <c r="G21" s="32"/>
      <c r="H21" s="32"/>
      <c r="I21" s="32"/>
      <c r="R21" t="s">
        <v>768</v>
      </c>
      <c r="Z21" s="33">
        <f>J26</f>
        <v>0</v>
      </c>
      <c r="AC21" t="s">
        <v>2926</v>
      </c>
      <c r="AE21" s="183">
        <f>Data!B105</f>
        <v>0</v>
      </c>
      <c r="AJ21" s="32">
        <f t="shared" si="2"/>
        <v>0</v>
      </c>
      <c r="AK21" s="32">
        <f t="shared" si="2"/>
        <v>0</v>
      </c>
      <c r="AL21" s="32">
        <f t="shared" si="2"/>
        <v>0</v>
      </c>
    </row>
    <row r="22" spans="1:48" x14ac:dyDescent="0.2">
      <c r="A22" s="240" t="s">
        <v>151</v>
      </c>
      <c r="B22" s="240"/>
      <c r="C22" s="240"/>
      <c r="D22" s="240"/>
      <c r="E22" s="240"/>
      <c r="F22" s="32">
        <f>IF(Data!B364=TRUE,1,0)</f>
        <v>0</v>
      </c>
      <c r="G22" s="32"/>
      <c r="H22" s="32"/>
      <c r="I22" s="32"/>
      <c r="R22" t="s">
        <v>769</v>
      </c>
      <c r="Z22" s="33">
        <f>Z15</f>
        <v>0</v>
      </c>
      <c r="AC22" t="s">
        <v>2940</v>
      </c>
      <c r="AE22" s="33">
        <f>Data!B107</f>
        <v>0</v>
      </c>
      <c r="AJ22" s="32">
        <f t="shared" si="2"/>
        <v>0</v>
      </c>
      <c r="AK22" s="32">
        <f t="shared" si="2"/>
        <v>0</v>
      </c>
      <c r="AL22" s="32">
        <f t="shared" si="2"/>
        <v>0</v>
      </c>
    </row>
    <row r="23" spans="1:48" x14ac:dyDescent="0.2">
      <c r="A23" s="240" t="s">
        <v>152</v>
      </c>
      <c r="B23" s="240"/>
      <c r="C23" s="240"/>
      <c r="D23" s="240"/>
      <c r="E23" s="240"/>
      <c r="F23" s="32">
        <f>IF(Data!B365=TRUE,1,0)</f>
        <v>0</v>
      </c>
      <c r="G23" s="32"/>
      <c r="H23" s="32"/>
      <c r="I23" s="32"/>
      <c r="AJ23" s="32">
        <f t="shared" si="2"/>
        <v>0</v>
      </c>
      <c r="AK23" s="32">
        <f t="shared" si="2"/>
        <v>0</v>
      </c>
      <c r="AL23" s="32">
        <f t="shared" si="2"/>
        <v>0</v>
      </c>
    </row>
    <row r="24" spans="1:48" x14ac:dyDescent="0.2">
      <c r="F24" s="32">
        <f>SUM(F17:F23)</f>
        <v>0</v>
      </c>
      <c r="G24" s="32"/>
      <c r="H24" s="32"/>
      <c r="I24" s="32"/>
      <c r="AJ24" s="32">
        <f t="shared" si="2"/>
        <v>0</v>
      </c>
      <c r="AK24" s="32">
        <f t="shared" si="2"/>
        <v>0</v>
      </c>
      <c r="AL24" s="32">
        <f t="shared" si="2"/>
        <v>0</v>
      </c>
    </row>
    <row r="25" spans="1:48" x14ac:dyDescent="0.2">
      <c r="A25" t="s">
        <v>755</v>
      </c>
      <c r="J25" s="570">
        <f>SUM(F24*Data!B107)</f>
        <v>0</v>
      </c>
      <c r="K25" s="240"/>
      <c r="L25" s="240"/>
      <c r="M25" s="240"/>
      <c r="R25" t="s">
        <v>770</v>
      </c>
      <c r="Z25" s="30" t="str">
        <f>IF(OR(Data!E104=TRUE,Data!E105=TRUE),Z20,"")&amp;IF(Data!E106=TRUE,Z21,"")&amp;IF(Data!E107=TRUE,Z22,"")</f>
        <v/>
      </c>
      <c r="AJ25" s="32">
        <f t="shared" si="2"/>
        <v>0</v>
      </c>
      <c r="AK25" s="32">
        <f t="shared" si="2"/>
        <v>0</v>
      </c>
      <c r="AL25" s="32">
        <f t="shared" si="2"/>
        <v>0</v>
      </c>
    </row>
    <row r="26" spans="1:48" x14ac:dyDescent="0.2">
      <c r="A26" t="s">
        <v>756</v>
      </c>
      <c r="J26" s="570">
        <f>SUM(J25*2)</f>
        <v>0</v>
      </c>
      <c r="K26" s="570"/>
      <c r="L26" s="570"/>
      <c r="M26" s="570"/>
    </row>
    <row r="27" spans="1:48" x14ac:dyDescent="0.2">
      <c r="AL27" s="32">
        <f>SUM(AJ19:AL25)</f>
        <v>0</v>
      </c>
    </row>
    <row r="28" spans="1:48" x14ac:dyDescent="0.2">
      <c r="A28" t="s">
        <v>940</v>
      </c>
      <c r="AL28">
        <f>SUM(AL27*2)</f>
        <v>0</v>
      </c>
    </row>
    <row r="29" spans="1:48" x14ac:dyDescent="0.2">
      <c r="A29" t="s">
        <v>630</v>
      </c>
      <c r="C29" s="573">
        <f>IF(Data!B359=TRUE,1,0)</f>
        <v>0</v>
      </c>
      <c r="D29" s="573"/>
    </row>
    <row r="30" spans="1:48" x14ac:dyDescent="0.2">
      <c r="A30" t="s">
        <v>624</v>
      </c>
      <c r="C30" s="573">
        <f>IF(Data!B360=TRUE,1,0)</f>
        <v>0</v>
      </c>
      <c r="D30" s="573"/>
      <c r="AL30" s="32">
        <f>AL28</f>
        <v>0</v>
      </c>
    </row>
    <row r="31" spans="1:48" x14ac:dyDescent="0.2">
      <c r="A31" t="s">
        <v>625</v>
      </c>
      <c r="C31" s="573">
        <f>IF(Data!B361=TRUE,1,0)</f>
        <v>0</v>
      </c>
      <c r="D31" s="573"/>
    </row>
    <row r="32" spans="1:48" x14ac:dyDescent="0.2">
      <c r="A32" t="s">
        <v>626</v>
      </c>
      <c r="C32" s="573">
        <f>IF(Data!B362=TRUE,1,0)</f>
        <v>0</v>
      </c>
      <c r="D32" s="573"/>
    </row>
    <row r="33" spans="1:4" x14ac:dyDescent="0.2">
      <c r="A33" t="s">
        <v>933</v>
      </c>
      <c r="C33" s="573">
        <f>IF(Data!B363=TRUE,1,0)</f>
        <v>0</v>
      </c>
      <c r="D33" s="573"/>
    </row>
    <row r="34" spans="1:4" x14ac:dyDescent="0.2">
      <c r="A34" t="s">
        <v>628</v>
      </c>
      <c r="C34" s="573">
        <f>IF(Data!B364=TRUE,1,0)</f>
        <v>0</v>
      </c>
      <c r="D34" s="573"/>
    </row>
    <row r="35" spans="1:4" x14ac:dyDescent="0.2">
      <c r="A35" t="s">
        <v>629</v>
      </c>
      <c r="C35" s="573">
        <f>IF(Data!B365=TRUE,1,0)</f>
        <v>0</v>
      </c>
      <c r="D35" s="573"/>
    </row>
    <row r="36" spans="1:4" x14ac:dyDescent="0.2">
      <c r="C36" s="573">
        <f>SUM(C29:D35)</f>
        <v>0</v>
      </c>
      <c r="D36" s="240"/>
    </row>
  </sheetData>
  <mergeCells count="68">
    <mergeCell ref="AN1:AN7"/>
    <mergeCell ref="AS1:AS7"/>
    <mergeCell ref="AO1:AO7"/>
    <mergeCell ref="AP1:AP7"/>
    <mergeCell ref="C34:D34"/>
    <mergeCell ref="A12:E12"/>
    <mergeCell ref="F9:I9"/>
    <mergeCell ref="F10:I10"/>
    <mergeCell ref="F11:I11"/>
    <mergeCell ref="F12:I12"/>
    <mergeCell ref="A11:E11"/>
    <mergeCell ref="A7:E7"/>
    <mergeCell ref="A8:E8"/>
    <mergeCell ref="A9:E9"/>
    <mergeCell ref="A10:E10"/>
    <mergeCell ref="F5:I5"/>
    <mergeCell ref="C35:D35"/>
    <mergeCell ref="C36:D36"/>
    <mergeCell ref="C29:D29"/>
    <mergeCell ref="C30:D30"/>
    <mergeCell ref="C31:D31"/>
    <mergeCell ref="C32:D32"/>
    <mergeCell ref="C33:D33"/>
    <mergeCell ref="F6:I6"/>
    <mergeCell ref="F7:I7"/>
    <mergeCell ref="F8:I8"/>
    <mergeCell ref="A6:E6"/>
    <mergeCell ref="A23:E23"/>
    <mergeCell ref="A20:E20"/>
    <mergeCell ref="A21:E21"/>
    <mergeCell ref="A22:E22"/>
    <mergeCell ref="N13:Q13"/>
    <mergeCell ref="N14:Q14"/>
    <mergeCell ref="A17:E17"/>
    <mergeCell ref="A18:E18"/>
    <mergeCell ref="A19:E19"/>
    <mergeCell ref="J25:M25"/>
    <mergeCell ref="K18:N18"/>
    <mergeCell ref="J12:M12"/>
    <mergeCell ref="J26:M26"/>
    <mergeCell ref="T5:X5"/>
    <mergeCell ref="T6:X6"/>
    <mergeCell ref="T7:X7"/>
    <mergeCell ref="T8:X8"/>
    <mergeCell ref="T9:X9"/>
    <mergeCell ref="T10:X10"/>
    <mergeCell ref="N6:Q6"/>
    <mergeCell ref="N7:Q7"/>
    <mergeCell ref="N8:Q8"/>
    <mergeCell ref="N9:Q9"/>
    <mergeCell ref="N10:Q10"/>
    <mergeCell ref="J9:M9"/>
    <mergeCell ref="AT1:AT7"/>
    <mergeCell ref="AU1:AU7"/>
    <mergeCell ref="T11:X11"/>
    <mergeCell ref="N12:Q12"/>
    <mergeCell ref="J5:M5"/>
    <mergeCell ref="J6:M6"/>
    <mergeCell ref="J7:M7"/>
    <mergeCell ref="J8:M8"/>
    <mergeCell ref="N5:Q5"/>
    <mergeCell ref="N11:Q11"/>
    <mergeCell ref="J10:M10"/>
    <mergeCell ref="J11:M11"/>
    <mergeCell ref="AJ1:AJ7"/>
    <mergeCell ref="AK1:AK7"/>
    <mergeCell ref="AL1:AL7"/>
    <mergeCell ref="AM1:AM7"/>
  </mergeCells>
  <pageMargins left="0.25" right="0.25" top="0.75" bottom="0.75" header="0.3" footer="0.3"/>
  <pageSetup orientation="portrait" verticalDpi="0" r:id="rId1"/>
  <headerFooter>
    <oddHeader>&amp;L&amp;G</oddHeader>
    <oddFooter>&amp;C3088 Mercer University Drive Suite 100 Atlanta, GA 30341
678-310-6305 Fax 404-935-6110</oddFooter>
  </headerFooter>
  <legacyDrawingHF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44">
    <tabColor rgb="FFFFFF00"/>
  </sheetPr>
  <dimension ref="A1:C4"/>
  <sheetViews>
    <sheetView workbookViewId="0">
      <selection activeCell="F23" sqref="F23"/>
    </sheetView>
  </sheetViews>
  <sheetFormatPr defaultRowHeight="12.75" x14ac:dyDescent="0.2"/>
  <cols>
    <col min="1" max="1" width="13.140625" bestFit="1" customWidth="1"/>
    <col min="2" max="2" width="24.140625" bestFit="1" customWidth="1"/>
    <col min="3" max="3" width="3.7109375" bestFit="1" customWidth="1"/>
  </cols>
  <sheetData>
    <row r="1" spans="1:3" x14ac:dyDescent="0.2">
      <c r="A1" t="s">
        <v>3489</v>
      </c>
      <c r="B1" s="106" t="s">
        <v>3490</v>
      </c>
      <c r="C1" t="s">
        <v>1388</v>
      </c>
    </row>
    <row r="2" spans="1:3" x14ac:dyDescent="0.2">
      <c r="A2" t="s">
        <v>1389</v>
      </c>
      <c r="B2" s="106" t="s">
        <v>3493</v>
      </c>
      <c r="C2" t="s">
        <v>1388</v>
      </c>
    </row>
    <row r="3" spans="1:3" x14ac:dyDescent="0.2">
      <c r="A3" t="s">
        <v>1386</v>
      </c>
      <c r="B3" s="106" t="s">
        <v>1387</v>
      </c>
      <c r="C3" t="s">
        <v>1388</v>
      </c>
    </row>
    <row r="4" spans="1:3" x14ac:dyDescent="0.2">
      <c r="A4" t="s">
        <v>3491</v>
      </c>
      <c r="B4" s="106" t="s">
        <v>3492</v>
      </c>
      <c r="C4" t="s">
        <v>634</v>
      </c>
    </row>
  </sheetData>
  <sortState xmlns:xlrd2="http://schemas.microsoft.com/office/spreadsheetml/2017/richdata2" ref="A1:C3">
    <sortCondition ref="A1:A3"/>
  </sortState>
  <hyperlinks>
    <hyperlink ref="B3" r:id="rId1" xr:uid="{00000000-0004-0000-3600-000000000000}"/>
    <hyperlink ref="B2" r:id="rId2" xr:uid="{00000000-0004-0000-3600-000001000000}"/>
    <hyperlink ref="B1" r:id="rId3" xr:uid="{00000000-0004-0000-3600-000002000000}"/>
    <hyperlink ref="B4" r:id="rId4" xr:uid="{FF6F51EF-1E50-420F-9A7E-5FD269471AED}"/>
  </hyperlinks>
  <pageMargins left="0.7" right="0.7" top="0.75" bottom="0.75" header="0.3" footer="0.3"/>
  <pageSetup orientation="portrait" verticalDpi="0" r:id="rId5"/>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1">
    <tabColor rgb="FFFFFF00"/>
  </sheetPr>
  <dimension ref="A1:C21"/>
  <sheetViews>
    <sheetView workbookViewId="0">
      <selection sqref="A1:C20"/>
    </sheetView>
  </sheetViews>
  <sheetFormatPr defaultRowHeight="12.75" x14ac:dyDescent="0.2"/>
  <cols>
    <col min="1" max="1" width="25.85546875" bestFit="1" customWidth="1"/>
    <col min="2" max="2" width="14.42578125" bestFit="1" customWidth="1"/>
    <col min="3" max="3" width="13.85546875" bestFit="1" customWidth="1"/>
    <col min="4" max="4" width="11" bestFit="1" customWidth="1"/>
  </cols>
  <sheetData>
    <row r="1" spans="1:3" x14ac:dyDescent="0.2">
      <c r="A1" t="s">
        <v>48</v>
      </c>
      <c r="B1" t="s">
        <v>66</v>
      </c>
      <c r="C1" t="s">
        <v>61</v>
      </c>
    </row>
    <row r="2" spans="1:3" x14ac:dyDescent="0.2">
      <c r="A2" t="s">
        <v>1377</v>
      </c>
      <c r="B2" s="6" t="s">
        <v>1378</v>
      </c>
      <c r="C2" s="6" t="s">
        <v>1379</v>
      </c>
    </row>
    <row r="3" spans="1:3" x14ac:dyDescent="0.2">
      <c r="A3" t="s">
        <v>1374</v>
      </c>
      <c r="B3" s="6" t="s">
        <v>1375</v>
      </c>
      <c r="C3" s="6" t="s">
        <v>1376</v>
      </c>
    </row>
    <row r="4" spans="1:3" x14ac:dyDescent="0.2">
      <c r="A4" t="s">
        <v>1372</v>
      </c>
      <c r="B4" s="6" t="s">
        <v>1359</v>
      </c>
      <c r="C4" s="6" t="s">
        <v>1373</v>
      </c>
    </row>
    <row r="5" spans="1:3" x14ac:dyDescent="0.2">
      <c r="A5" t="s">
        <v>1370</v>
      </c>
      <c r="B5" s="6" t="s">
        <v>1371</v>
      </c>
      <c r="C5" s="6" t="s">
        <v>3382</v>
      </c>
    </row>
    <row r="6" spans="1:3" x14ac:dyDescent="0.2">
      <c r="A6" t="s">
        <v>1367</v>
      </c>
      <c r="B6" s="6" t="s">
        <v>1368</v>
      </c>
      <c r="C6" s="6" t="s">
        <v>1369</v>
      </c>
    </row>
    <row r="7" spans="1:3" x14ac:dyDescent="0.2">
      <c r="A7" t="s">
        <v>1364</v>
      </c>
      <c r="B7" s="6" t="s">
        <v>1365</v>
      </c>
      <c r="C7" s="6" t="s">
        <v>1366</v>
      </c>
    </row>
    <row r="8" spans="1:3" x14ac:dyDescent="0.2">
      <c r="A8" t="s">
        <v>1361</v>
      </c>
      <c r="B8" s="6" t="s">
        <v>1362</v>
      </c>
      <c r="C8" s="6" t="s">
        <v>1363</v>
      </c>
    </row>
    <row r="9" spans="1:3" x14ac:dyDescent="0.2">
      <c r="A9" t="s">
        <v>1358</v>
      </c>
      <c r="B9" s="6" t="s">
        <v>1359</v>
      </c>
      <c r="C9" s="6" t="s">
        <v>1360</v>
      </c>
    </row>
    <row r="10" spans="1:3" x14ac:dyDescent="0.2">
      <c r="A10" t="s">
        <v>3398</v>
      </c>
      <c r="B10" s="6" t="s">
        <v>1359</v>
      </c>
      <c r="C10" s="6" t="s">
        <v>1373</v>
      </c>
    </row>
    <row r="11" spans="1:3" x14ac:dyDescent="0.2">
      <c r="A11" t="s">
        <v>1355</v>
      </c>
      <c r="B11" s="6" t="s">
        <v>1356</v>
      </c>
      <c r="C11" s="6" t="s">
        <v>1357</v>
      </c>
    </row>
    <row r="12" spans="1:3" x14ac:dyDescent="0.2">
      <c r="A12" t="s">
        <v>3397</v>
      </c>
      <c r="B12" s="6" t="s">
        <v>1354</v>
      </c>
      <c r="C12" s="6" t="s">
        <v>3381</v>
      </c>
    </row>
    <row r="13" spans="1:3" x14ac:dyDescent="0.2">
      <c r="A13" t="s">
        <v>1353</v>
      </c>
      <c r="B13" s="6" t="s">
        <v>1354</v>
      </c>
      <c r="C13" s="6" t="s">
        <v>3381</v>
      </c>
    </row>
    <row r="14" spans="1:3" x14ac:dyDescent="0.2">
      <c r="A14" t="s">
        <v>1350</v>
      </c>
      <c r="B14" s="6" t="s">
        <v>1351</v>
      </c>
      <c r="C14" s="6" t="s">
        <v>1352</v>
      </c>
    </row>
    <row r="15" spans="1:3" x14ac:dyDescent="0.2">
      <c r="A15" t="s">
        <v>1347</v>
      </c>
      <c r="B15" s="6" t="s">
        <v>1348</v>
      </c>
      <c r="C15" s="6" t="s">
        <v>1349</v>
      </c>
    </row>
    <row r="16" spans="1:3" x14ac:dyDescent="0.2">
      <c r="A16" t="s">
        <v>1346</v>
      </c>
      <c r="B16" s="6" t="s">
        <v>1380</v>
      </c>
      <c r="C16" s="6" t="s">
        <v>1381</v>
      </c>
    </row>
    <row r="17" spans="1:3" x14ac:dyDescent="0.2">
      <c r="A17" t="s">
        <v>1344</v>
      </c>
      <c r="B17" s="6" t="s">
        <v>1345</v>
      </c>
      <c r="C17" s="6" t="s">
        <v>3380</v>
      </c>
    </row>
    <row r="18" spans="1:3" x14ac:dyDescent="0.2">
      <c r="A18" t="s">
        <v>45</v>
      </c>
      <c r="B18" s="6" t="s">
        <v>1342</v>
      </c>
      <c r="C18" s="6" t="s">
        <v>1343</v>
      </c>
    </row>
    <row r="19" spans="1:3" x14ac:dyDescent="0.2">
      <c r="A19" t="s">
        <v>1341</v>
      </c>
      <c r="B19" s="6" t="s">
        <v>3383</v>
      </c>
      <c r="C19" s="6" t="s">
        <v>3379</v>
      </c>
    </row>
    <row r="20" spans="1:3" x14ac:dyDescent="0.2">
      <c r="A20" t="s">
        <v>3378</v>
      </c>
      <c r="B20" s="6">
        <v>8449374223</v>
      </c>
      <c r="C20" s="6">
        <v>8449374223</v>
      </c>
    </row>
    <row r="21" spans="1:3" x14ac:dyDescent="0.2">
      <c r="B21" s="6"/>
      <c r="C21" s="6"/>
    </row>
  </sheetData>
  <sortState xmlns:xlrd2="http://schemas.microsoft.com/office/spreadsheetml/2017/richdata2" ref="A2:C20">
    <sortCondition descending="1" ref="A2:A20"/>
  </sortState>
  <pageMargins left="0.7" right="0.7" top="0.75" bottom="0.75" header="0.3" footer="0.3"/>
  <pageSetup orientation="portrait" verticalDpi="0"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1">
    <tabColor rgb="FFFFFF00"/>
  </sheetPr>
  <dimension ref="A1:C17"/>
  <sheetViews>
    <sheetView workbookViewId="0">
      <selection activeCell="C4" sqref="C4"/>
    </sheetView>
  </sheetViews>
  <sheetFormatPr defaultRowHeight="12.75" x14ac:dyDescent="0.2"/>
  <cols>
    <col min="1" max="1" width="16.7109375" customWidth="1"/>
    <col min="2" max="3" width="13.85546875" bestFit="1" customWidth="1"/>
  </cols>
  <sheetData>
    <row r="1" spans="1:3" x14ac:dyDescent="0.2">
      <c r="A1" t="s">
        <v>2862</v>
      </c>
      <c r="B1" t="s">
        <v>66</v>
      </c>
      <c r="C1" t="s">
        <v>61</v>
      </c>
    </row>
    <row r="2" spans="1:3" x14ac:dyDescent="0.2">
      <c r="A2" t="s">
        <v>2872</v>
      </c>
      <c r="B2" s="6">
        <v>7708070395</v>
      </c>
      <c r="C2" s="6">
        <v>7707100152</v>
      </c>
    </row>
    <row r="3" spans="1:3" x14ac:dyDescent="0.2">
      <c r="A3" t="s">
        <v>2871</v>
      </c>
      <c r="B3" s="6">
        <v>7706220688</v>
      </c>
      <c r="C3" s="6">
        <v>7706220689</v>
      </c>
    </row>
    <row r="4" spans="1:3" x14ac:dyDescent="0.2">
      <c r="A4" t="s">
        <v>2876</v>
      </c>
      <c r="B4" s="6">
        <v>7705570306</v>
      </c>
      <c r="C4" s="6" t="s">
        <v>3026</v>
      </c>
    </row>
    <row r="5" spans="1:3" x14ac:dyDescent="0.2">
      <c r="A5" t="s">
        <v>2864</v>
      </c>
      <c r="B5" s="6">
        <v>4042998255</v>
      </c>
      <c r="C5" s="6">
        <v>4042998219</v>
      </c>
    </row>
    <row r="6" spans="1:3" x14ac:dyDescent="0.2">
      <c r="A6" t="s">
        <v>2866</v>
      </c>
      <c r="B6" s="6">
        <v>7704557700</v>
      </c>
      <c r="C6" s="6">
        <v>7704556376</v>
      </c>
    </row>
    <row r="7" spans="1:3" x14ac:dyDescent="0.2">
      <c r="A7" t="s">
        <v>2870</v>
      </c>
      <c r="B7" s="6">
        <v>7709743131</v>
      </c>
      <c r="C7" s="6">
        <v>7709459735</v>
      </c>
    </row>
    <row r="8" spans="1:3" x14ac:dyDescent="0.2">
      <c r="A8" t="s">
        <v>2868</v>
      </c>
      <c r="B8" s="6">
        <v>4046089009</v>
      </c>
      <c r="C8" s="6">
        <v>4046089887</v>
      </c>
    </row>
    <row r="9" spans="1:3" x14ac:dyDescent="0.2">
      <c r="A9" t="s">
        <v>2865</v>
      </c>
      <c r="B9" s="6">
        <v>7704551144</v>
      </c>
      <c r="C9" s="6">
        <v>7709368989</v>
      </c>
    </row>
    <row r="10" spans="1:3" x14ac:dyDescent="0.2">
      <c r="A10" t="s">
        <v>2863</v>
      </c>
      <c r="B10" s="6">
        <v>4042617775</v>
      </c>
      <c r="C10" s="6">
        <v>4042614917</v>
      </c>
    </row>
    <row r="11" spans="1:3" x14ac:dyDescent="0.2">
      <c r="A11" t="s">
        <v>2877</v>
      </c>
      <c r="B11" s="6">
        <v>7708250400</v>
      </c>
      <c r="C11" s="6">
        <v>7708250011</v>
      </c>
    </row>
    <row r="12" spans="1:3" x14ac:dyDescent="0.2">
      <c r="A12" t="s">
        <v>2874</v>
      </c>
      <c r="B12" s="6">
        <v>7709323023</v>
      </c>
      <c r="C12" s="6">
        <v>7709322314</v>
      </c>
    </row>
    <row r="13" spans="1:3" x14ac:dyDescent="0.2">
      <c r="A13" t="s">
        <v>2875</v>
      </c>
      <c r="B13" s="6">
        <v>6784226170</v>
      </c>
      <c r="C13" s="6">
        <v>6784224842</v>
      </c>
    </row>
    <row r="14" spans="1:3" x14ac:dyDescent="0.2">
      <c r="A14" t="s">
        <v>2879</v>
      </c>
      <c r="B14">
        <v>7709323023</v>
      </c>
      <c r="C14">
        <v>7709322314</v>
      </c>
    </row>
    <row r="15" spans="1:3" x14ac:dyDescent="0.2">
      <c r="A15" t="s">
        <v>2869</v>
      </c>
      <c r="B15" s="6">
        <v>7707170707</v>
      </c>
      <c r="C15" s="6">
        <v>7707170686</v>
      </c>
    </row>
    <row r="16" spans="1:3" x14ac:dyDescent="0.2">
      <c r="A16" t="s">
        <v>2873</v>
      </c>
      <c r="B16" s="6">
        <v>7704558882</v>
      </c>
      <c r="C16" s="6">
        <v>7704558806</v>
      </c>
    </row>
    <row r="17" spans="1:3" x14ac:dyDescent="0.2">
      <c r="A17" t="s">
        <v>2867</v>
      </c>
      <c r="B17" s="6">
        <v>7708144515</v>
      </c>
      <c r="C17" s="6">
        <v>7708144516</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3">
    <tabColor rgb="FFFFFF00"/>
  </sheetPr>
  <dimension ref="A1:T68"/>
  <sheetViews>
    <sheetView topLeftCell="A13" workbookViewId="0">
      <selection activeCell="B20" sqref="B20"/>
    </sheetView>
  </sheetViews>
  <sheetFormatPr defaultRowHeight="12.75" x14ac:dyDescent="0.2"/>
  <cols>
    <col min="1" max="1" width="17.42578125" customWidth="1"/>
    <col min="2" max="2" width="12.28515625" bestFit="1" customWidth="1"/>
    <col min="3" max="3" width="14.42578125" bestFit="1" customWidth="1"/>
    <col min="4" max="4" width="18.28515625" customWidth="1"/>
    <col min="5" max="5" width="15.28515625" customWidth="1"/>
    <col min="6" max="6" width="17.42578125" customWidth="1"/>
    <col min="7" max="7" width="11.42578125" customWidth="1"/>
    <col min="9" max="9" width="18.140625" customWidth="1"/>
    <col min="10" max="10" width="20.7109375" customWidth="1"/>
    <col min="11" max="11" width="17.85546875" customWidth="1"/>
    <col min="12" max="12" width="18.42578125" customWidth="1"/>
    <col min="13" max="13" width="17.85546875" customWidth="1"/>
    <col min="16" max="16" width="20.140625" customWidth="1"/>
  </cols>
  <sheetData>
    <row r="1" spans="1:20" x14ac:dyDescent="0.2">
      <c r="A1" t="s">
        <v>0</v>
      </c>
      <c r="B1" t="s">
        <v>2</v>
      </c>
      <c r="C1" t="s">
        <v>8</v>
      </c>
      <c r="D1" t="s">
        <v>20</v>
      </c>
      <c r="E1" t="s">
        <v>28</v>
      </c>
      <c r="F1" t="s">
        <v>36</v>
      </c>
      <c r="G1" t="s">
        <v>50</v>
      </c>
      <c r="H1" t="s">
        <v>63</v>
      </c>
      <c r="I1" t="s">
        <v>69</v>
      </c>
      <c r="J1" t="s">
        <v>71</v>
      </c>
      <c r="K1" t="s">
        <v>84</v>
      </c>
      <c r="L1" t="s">
        <v>62</v>
      </c>
      <c r="M1" t="s">
        <v>169</v>
      </c>
      <c r="N1" t="s">
        <v>171</v>
      </c>
      <c r="O1" t="s">
        <v>165</v>
      </c>
      <c r="P1" t="s">
        <v>158</v>
      </c>
      <c r="Q1" t="s">
        <v>254</v>
      </c>
      <c r="R1" t="s">
        <v>202</v>
      </c>
      <c r="S1" t="s">
        <v>325</v>
      </c>
      <c r="T1" t="s">
        <v>176</v>
      </c>
    </row>
    <row r="2" spans="1:20" x14ac:dyDescent="0.2">
      <c r="A2" t="s">
        <v>634</v>
      </c>
      <c r="B2" t="s">
        <v>3</v>
      </c>
      <c r="C2" t="s">
        <v>9</v>
      </c>
      <c r="D2" t="s">
        <v>21</v>
      </c>
      <c r="E2" t="s">
        <v>29</v>
      </c>
      <c r="F2" t="s">
        <v>37</v>
      </c>
      <c r="G2" t="s">
        <v>52</v>
      </c>
      <c r="H2" t="s">
        <v>64</v>
      </c>
      <c r="I2" t="s">
        <v>70</v>
      </c>
      <c r="J2" t="s">
        <v>73</v>
      </c>
      <c r="K2" t="s">
        <v>85</v>
      </c>
      <c r="L2" t="s">
        <v>70</v>
      </c>
      <c r="M2" t="s">
        <v>121</v>
      </c>
      <c r="N2" t="s">
        <v>172</v>
      </c>
      <c r="O2" t="s">
        <v>213</v>
      </c>
      <c r="P2" t="s">
        <v>215</v>
      </c>
      <c r="Q2" t="s">
        <v>255</v>
      </c>
      <c r="R2" t="s">
        <v>174</v>
      </c>
      <c r="S2" t="s">
        <v>326</v>
      </c>
      <c r="T2" t="s">
        <v>1175</v>
      </c>
    </row>
    <row r="3" spans="1:20" x14ac:dyDescent="0.2">
      <c r="A3" t="s">
        <v>1</v>
      </c>
      <c r="B3" t="s">
        <v>4</v>
      </c>
      <c r="C3" t="s">
        <v>13</v>
      </c>
      <c r="D3" t="s">
        <v>22</v>
      </c>
      <c r="E3" t="s">
        <v>30</v>
      </c>
      <c r="F3" t="s">
        <v>38</v>
      </c>
      <c r="G3" t="s">
        <v>53</v>
      </c>
      <c r="H3" t="s">
        <v>65</v>
      </c>
      <c r="I3" t="s">
        <v>3212</v>
      </c>
      <c r="J3" t="s">
        <v>74</v>
      </c>
      <c r="K3" t="s">
        <v>86</v>
      </c>
      <c r="L3" t="s">
        <v>128</v>
      </c>
      <c r="M3" t="s">
        <v>122</v>
      </c>
      <c r="N3" t="s">
        <v>173</v>
      </c>
      <c r="O3" t="s">
        <v>214</v>
      </c>
      <c r="P3" t="s">
        <v>216</v>
      </c>
      <c r="Q3" t="s">
        <v>256</v>
      </c>
      <c r="R3" t="s">
        <v>175</v>
      </c>
      <c r="S3" t="s">
        <v>327</v>
      </c>
      <c r="T3" t="s">
        <v>1265</v>
      </c>
    </row>
    <row r="4" spans="1:20" x14ac:dyDescent="0.2">
      <c r="B4" t="s">
        <v>5</v>
      </c>
      <c r="C4" t="s">
        <v>11</v>
      </c>
      <c r="F4" t="s">
        <v>39</v>
      </c>
      <c r="G4" t="s">
        <v>54</v>
      </c>
      <c r="I4" t="s">
        <v>72</v>
      </c>
      <c r="J4" t="s">
        <v>184</v>
      </c>
      <c r="K4" t="s">
        <v>87</v>
      </c>
      <c r="L4" t="s">
        <v>3402</v>
      </c>
      <c r="M4" t="s">
        <v>2882</v>
      </c>
      <c r="N4" t="s">
        <v>1392</v>
      </c>
      <c r="P4" t="s">
        <v>217</v>
      </c>
      <c r="R4" t="s">
        <v>271</v>
      </c>
      <c r="S4" t="s">
        <v>195</v>
      </c>
    </row>
    <row r="5" spans="1:20" x14ac:dyDescent="0.2">
      <c r="B5" t="s">
        <v>6</v>
      </c>
      <c r="C5" t="s">
        <v>16</v>
      </c>
      <c r="F5" t="s">
        <v>40</v>
      </c>
      <c r="G5" t="s">
        <v>55</v>
      </c>
      <c r="I5" t="s">
        <v>2904</v>
      </c>
      <c r="J5" t="s">
        <v>75</v>
      </c>
      <c r="K5" t="s">
        <v>2902</v>
      </c>
      <c r="M5" t="s">
        <v>2883</v>
      </c>
      <c r="N5" t="s">
        <v>170</v>
      </c>
      <c r="P5" t="s">
        <v>218</v>
      </c>
    </row>
    <row r="6" spans="1:20" x14ac:dyDescent="0.2">
      <c r="B6" t="s">
        <v>7</v>
      </c>
      <c r="C6" t="s">
        <v>14</v>
      </c>
      <c r="F6" t="s">
        <v>41</v>
      </c>
      <c r="G6" t="s">
        <v>56</v>
      </c>
      <c r="J6" t="s">
        <v>185</v>
      </c>
      <c r="K6" t="s">
        <v>2903</v>
      </c>
      <c r="M6" t="s">
        <v>124</v>
      </c>
      <c r="N6" t="s">
        <v>124</v>
      </c>
    </row>
    <row r="7" spans="1:20" x14ac:dyDescent="0.2">
      <c r="C7" t="s">
        <v>15</v>
      </c>
      <c r="F7" t="s">
        <v>42</v>
      </c>
      <c r="G7" t="s">
        <v>58</v>
      </c>
      <c r="J7" t="s">
        <v>186</v>
      </c>
      <c r="M7" t="s">
        <v>2983</v>
      </c>
    </row>
    <row r="8" spans="1:20" x14ac:dyDescent="0.2">
      <c r="C8" t="s">
        <v>18</v>
      </c>
      <c r="F8" t="s">
        <v>43</v>
      </c>
      <c r="G8" t="s">
        <v>57</v>
      </c>
      <c r="J8" t="s">
        <v>187</v>
      </c>
    </row>
    <row r="9" spans="1:20" x14ac:dyDescent="0.2">
      <c r="C9" t="s">
        <v>17</v>
      </c>
      <c r="F9" t="s">
        <v>44</v>
      </c>
      <c r="G9" t="s">
        <v>219</v>
      </c>
      <c r="J9" t="s">
        <v>188</v>
      </c>
    </row>
    <row r="10" spans="1:20" x14ac:dyDescent="0.2">
      <c r="C10" t="s">
        <v>12</v>
      </c>
      <c r="F10" t="s">
        <v>45</v>
      </c>
      <c r="G10" t="s">
        <v>2914</v>
      </c>
      <c r="J10" t="s">
        <v>189</v>
      </c>
    </row>
    <row r="11" spans="1:20" x14ac:dyDescent="0.2">
      <c r="C11" t="s">
        <v>19</v>
      </c>
      <c r="F11" t="s">
        <v>46</v>
      </c>
      <c r="J11" t="s">
        <v>190</v>
      </c>
    </row>
    <row r="12" spans="1:20" x14ac:dyDescent="0.2">
      <c r="C12" t="s">
        <v>10</v>
      </c>
      <c r="F12" t="s">
        <v>47</v>
      </c>
      <c r="J12" t="s">
        <v>191</v>
      </c>
    </row>
    <row r="13" spans="1:20" x14ac:dyDescent="0.2">
      <c r="J13" t="s">
        <v>192</v>
      </c>
    </row>
    <row r="14" spans="1:20" x14ac:dyDescent="0.2">
      <c r="J14" t="s">
        <v>193</v>
      </c>
    </row>
    <row r="19" spans="1:19" x14ac:dyDescent="0.2">
      <c r="A19" t="s">
        <v>203</v>
      </c>
      <c r="B19" t="s">
        <v>88</v>
      </c>
      <c r="D19" t="s">
        <v>95</v>
      </c>
      <c r="E19" t="s">
        <v>210</v>
      </c>
      <c r="F19" t="s">
        <v>115</v>
      </c>
      <c r="G19" t="s">
        <v>135</v>
      </c>
      <c r="H19" t="s">
        <v>120</v>
      </c>
      <c r="I19" t="s">
        <v>114</v>
      </c>
      <c r="J19" t="s">
        <v>136</v>
      </c>
      <c r="K19" t="s">
        <v>160</v>
      </c>
      <c r="L19" t="s">
        <v>166</v>
      </c>
      <c r="M19" t="s">
        <v>180</v>
      </c>
      <c r="N19" t="s">
        <v>194</v>
      </c>
      <c r="O19" t="s">
        <v>200</v>
      </c>
      <c r="P19" t="s">
        <v>238</v>
      </c>
      <c r="Q19" t="s">
        <v>286</v>
      </c>
      <c r="R19" t="s">
        <v>1268</v>
      </c>
      <c r="S19" t="s">
        <v>1274</v>
      </c>
    </row>
    <row r="20" spans="1:19" x14ac:dyDescent="0.2">
      <c r="A20" t="s">
        <v>206</v>
      </c>
      <c r="B20" t="s">
        <v>3484</v>
      </c>
      <c r="D20" t="s">
        <v>99</v>
      </c>
      <c r="E20" t="s">
        <v>167</v>
      </c>
      <c r="F20" t="s">
        <v>116</v>
      </c>
      <c r="G20" t="s">
        <v>142</v>
      </c>
      <c r="H20" t="s">
        <v>121</v>
      </c>
      <c r="I20" t="s">
        <v>125</v>
      </c>
      <c r="J20" t="s">
        <v>137</v>
      </c>
      <c r="K20" t="s">
        <v>161</v>
      </c>
      <c r="L20" t="s">
        <v>167</v>
      </c>
      <c r="M20" t="s">
        <v>181</v>
      </c>
      <c r="N20" t="s">
        <v>195</v>
      </c>
      <c r="O20" t="s">
        <v>195</v>
      </c>
      <c r="P20" t="s">
        <v>239</v>
      </c>
      <c r="Q20" t="s">
        <v>287</v>
      </c>
      <c r="R20" t="s">
        <v>1269</v>
      </c>
      <c r="S20" t="s">
        <v>1275</v>
      </c>
    </row>
    <row r="21" spans="1:19" x14ac:dyDescent="0.2">
      <c r="A21" t="s">
        <v>207</v>
      </c>
      <c r="B21" t="s">
        <v>2984</v>
      </c>
      <c r="D21" t="s">
        <v>2892</v>
      </c>
      <c r="E21" t="s">
        <v>105</v>
      </c>
      <c r="F21" t="s">
        <v>117</v>
      </c>
      <c r="G21" t="s">
        <v>105</v>
      </c>
      <c r="H21" t="s">
        <v>122</v>
      </c>
      <c r="I21" t="s">
        <v>334</v>
      </c>
      <c r="J21" t="s">
        <v>138</v>
      </c>
      <c r="K21" t="s">
        <v>162</v>
      </c>
      <c r="L21" t="s">
        <v>105</v>
      </c>
      <c r="M21" t="s">
        <v>182</v>
      </c>
      <c r="N21" t="s">
        <v>196</v>
      </c>
      <c r="O21" t="s">
        <v>196</v>
      </c>
      <c r="P21" t="s">
        <v>240</v>
      </c>
      <c r="Q21" t="s">
        <v>288</v>
      </c>
      <c r="R21" t="s">
        <v>1270</v>
      </c>
      <c r="S21" t="s">
        <v>1276</v>
      </c>
    </row>
    <row r="22" spans="1:19" x14ac:dyDescent="0.2">
      <c r="A22" t="s">
        <v>208</v>
      </c>
      <c r="B22" t="s">
        <v>1453</v>
      </c>
      <c r="D22" t="s">
        <v>97</v>
      </c>
      <c r="E22" t="s">
        <v>106</v>
      </c>
      <c r="F22" t="s">
        <v>118</v>
      </c>
      <c r="G22" t="s">
        <v>106</v>
      </c>
      <c r="H22" t="s">
        <v>123</v>
      </c>
      <c r="I22" t="s">
        <v>126</v>
      </c>
      <c r="J22" t="s">
        <v>139</v>
      </c>
      <c r="K22" t="s">
        <v>163</v>
      </c>
      <c r="L22" t="s">
        <v>106</v>
      </c>
      <c r="N22" t="s">
        <v>197</v>
      </c>
      <c r="O22" t="s">
        <v>197</v>
      </c>
      <c r="P22" t="s">
        <v>241</v>
      </c>
      <c r="Q22" t="s">
        <v>289</v>
      </c>
      <c r="R22" t="s">
        <v>1271</v>
      </c>
      <c r="S22" t="s">
        <v>1277</v>
      </c>
    </row>
    <row r="23" spans="1:19" x14ac:dyDescent="0.2">
      <c r="B23" t="s">
        <v>92</v>
      </c>
      <c r="D23" t="s">
        <v>100</v>
      </c>
      <c r="E23" t="s">
        <v>212</v>
      </c>
      <c r="F23" t="s">
        <v>119</v>
      </c>
      <c r="G23" t="s">
        <v>143</v>
      </c>
      <c r="H23" t="s">
        <v>124</v>
      </c>
      <c r="I23" t="s">
        <v>127</v>
      </c>
      <c r="J23" t="s">
        <v>140</v>
      </c>
      <c r="K23" t="s">
        <v>164</v>
      </c>
      <c r="L23" t="s">
        <v>168</v>
      </c>
      <c r="N23" t="s">
        <v>198</v>
      </c>
      <c r="O23" t="s">
        <v>198</v>
      </c>
      <c r="P23" t="s">
        <v>3481</v>
      </c>
      <c r="Q23" t="s">
        <v>290</v>
      </c>
      <c r="R23" t="s">
        <v>1272</v>
      </c>
      <c r="S23" t="s">
        <v>1278</v>
      </c>
    </row>
    <row r="24" spans="1:19" x14ac:dyDescent="0.2">
      <c r="B24" t="s">
        <v>90</v>
      </c>
      <c r="D24" t="s">
        <v>2891</v>
      </c>
      <c r="J24" t="s">
        <v>141</v>
      </c>
      <c r="N24" t="s">
        <v>199</v>
      </c>
      <c r="O24" t="s">
        <v>199</v>
      </c>
      <c r="R24" t="s">
        <v>1273</v>
      </c>
      <c r="S24" t="s">
        <v>1162</v>
      </c>
    </row>
    <row r="25" spans="1:19" x14ac:dyDescent="0.2">
      <c r="B25" t="s">
        <v>89</v>
      </c>
      <c r="D25" t="s">
        <v>96</v>
      </c>
    </row>
    <row r="26" spans="1:19" x14ac:dyDescent="0.2">
      <c r="B26" t="s">
        <v>3496</v>
      </c>
      <c r="D26" t="s">
        <v>101</v>
      </c>
    </row>
    <row r="27" spans="1:19" x14ac:dyDescent="0.2">
      <c r="B27" t="s">
        <v>94</v>
      </c>
      <c r="D27" t="s">
        <v>98</v>
      </c>
    </row>
    <row r="28" spans="1:19" x14ac:dyDescent="0.2">
      <c r="B28" t="s">
        <v>91</v>
      </c>
      <c r="D28" t="s">
        <v>19</v>
      </c>
    </row>
    <row r="29" spans="1:19" x14ac:dyDescent="0.2">
      <c r="B29" t="s">
        <v>3483</v>
      </c>
    </row>
    <row r="30" spans="1:19" x14ac:dyDescent="0.2">
      <c r="B30" t="s">
        <v>3472</v>
      </c>
    </row>
    <row r="31" spans="1:19" x14ac:dyDescent="0.2">
      <c r="D31" t="s">
        <v>1394</v>
      </c>
      <c r="E31" t="s">
        <v>1397</v>
      </c>
      <c r="F31" t="s">
        <v>1444</v>
      </c>
      <c r="G31" t="s">
        <v>1082</v>
      </c>
      <c r="I31" t="s">
        <v>1262</v>
      </c>
      <c r="J31" t="s">
        <v>1487</v>
      </c>
      <c r="K31" t="s">
        <v>2998</v>
      </c>
      <c r="M31" t="s">
        <v>3006</v>
      </c>
      <c r="N31" t="s">
        <v>3034</v>
      </c>
      <c r="O31" t="s">
        <v>3037</v>
      </c>
      <c r="P31" t="s">
        <v>3249</v>
      </c>
      <c r="Q31" t="s">
        <v>3262</v>
      </c>
    </row>
    <row r="32" spans="1:19" x14ac:dyDescent="0.2">
      <c r="D32" t="s">
        <v>1393</v>
      </c>
      <c r="E32" t="s">
        <v>1398</v>
      </c>
      <c r="F32" t="s">
        <v>1404</v>
      </c>
      <c r="G32" t="s">
        <v>1448</v>
      </c>
      <c r="I32" t="s">
        <v>86</v>
      </c>
      <c r="J32" t="s">
        <v>1488</v>
      </c>
      <c r="K32">
        <v>1</v>
      </c>
      <c r="M32" t="s">
        <v>3007</v>
      </c>
      <c r="N32" t="s">
        <v>121</v>
      </c>
      <c r="O32" t="s">
        <v>3038</v>
      </c>
      <c r="P32" t="s">
        <v>3250</v>
      </c>
      <c r="Q32" t="s">
        <v>3291</v>
      </c>
    </row>
    <row r="33" spans="2:17" x14ac:dyDescent="0.2">
      <c r="D33" t="s">
        <v>3495</v>
      </c>
      <c r="E33" t="s">
        <v>103</v>
      </c>
      <c r="F33" t="s">
        <v>1445</v>
      </c>
      <c r="G33" t="s">
        <v>124</v>
      </c>
      <c r="I33" t="s">
        <v>1463</v>
      </c>
      <c r="J33" t="s">
        <v>1489</v>
      </c>
      <c r="K33">
        <v>2</v>
      </c>
      <c r="M33" t="s">
        <v>3008</v>
      </c>
      <c r="N33" t="s">
        <v>122</v>
      </c>
      <c r="O33" t="s">
        <v>3039</v>
      </c>
      <c r="P33" t="s">
        <v>3251</v>
      </c>
      <c r="Q33" t="s">
        <v>3292</v>
      </c>
    </row>
    <row r="34" spans="2:17" x14ac:dyDescent="0.2">
      <c r="D34" t="s">
        <v>3494</v>
      </c>
      <c r="E34" t="s">
        <v>104</v>
      </c>
      <c r="F34" t="s">
        <v>1446</v>
      </c>
      <c r="I34" t="s">
        <v>1467</v>
      </c>
      <c r="J34" t="s">
        <v>1490</v>
      </c>
      <c r="K34">
        <v>3</v>
      </c>
      <c r="M34" t="s">
        <v>3009</v>
      </c>
      <c r="N34" t="s">
        <v>3035</v>
      </c>
      <c r="P34" t="s">
        <v>3252</v>
      </c>
      <c r="Q34" t="s">
        <v>137</v>
      </c>
    </row>
    <row r="35" spans="2:17" x14ac:dyDescent="0.2">
      <c r="B35" t="s">
        <v>963</v>
      </c>
      <c r="J35" t="s">
        <v>1491</v>
      </c>
      <c r="K35">
        <v>4</v>
      </c>
      <c r="M35" t="s">
        <v>3010</v>
      </c>
      <c r="N35" t="s">
        <v>3028</v>
      </c>
      <c r="P35" t="s">
        <v>3254</v>
      </c>
      <c r="Q35" t="s">
        <v>3263</v>
      </c>
    </row>
    <row r="36" spans="2:17" x14ac:dyDescent="0.2">
      <c r="B36" t="s">
        <v>2967</v>
      </c>
      <c r="K36">
        <v>5</v>
      </c>
      <c r="M36" t="s">
        <v>3011</v>
      </c>
      <c r="N36" t="s">
        <v>3036</v>
      </c>
      <c r="P36" t="s">
        <v>2899</v>
      </c>
      <c r="Q36" t="s">
        <v>55</v>
      </c>
    </row>
    <row r="37" spans="2:17" x14ac:dyDescent="0.2">
      <c r="B37" t="s">
        <v>2968</v>
      </c>
      <c r="K37">
        <v>6</v>
      </c>
      <c r="M37" t="s">
        <v>3012</v>
      </c>
      <c r="N37" t="s">
        <v>123</v>
      </c>
      <c r="P37" t="s">
        <v>3253</v>
      </c>
      <c r="Q37" t="s">
        <v>3293</v>
      </c>
    </row>
    <row r="38" spans="2:17" x14ac:dyDescent="0.2">
      <c r="B38" t="s">
        <v>2969</v>
      </c>
      <c r="K38">
        <v>7</v>
      </c>
      <c r="M38" t="s">
        <v>3013</v>
      </c>
      <c r="P38" t="s">
        <v>3274</v>
      </c>
      <c r="Q38" t="s">
        <v>56</v>
      </c>
    </row>
    <row r="39" spans="2:17" x14ac:dyDescent="0.2">
      <c r="B39" t="s">
        <v>2970</v>
      </c>
      <c r="M39" t="s">
        <v>3014</v>
      </c>
      <c r="P39" t="s">
        <v>3261</v>
      </c>
    </row>
    <row r="40" spans="2:17" x14ac:dyDescent="0.2">
      <c r="B40" t="s">
        <v>2971</v>
      </c>
      <c r="M40" t="s">
        <v>3015</v>
      </c>
      <c r="P40" t="s">
        <v>56</v>
      </c>
    </row>
    <row r="41" spans="2:17" x14ac:dyDescent="0.2">
      <c r="B41" t="s">
        <v>2972</v>
      </c>
      <c r="M41" t="s">
        <v>3018</v>
      </c>
    </row>
    <row r="42" spans="2:17" x14ac:dyDescent="0.2">
      <c r="B42" t="s">
        <v>2973</v>
      </c>
      <c r="M42" t="s">
        <v>3016</v>
      </c>
    </row>
    <row r="43" spans="2:17" x14ac:dyDescent="0.2">
      <c r="B43" t="s">
        <v>2974</v>
      </c>
      <c r="M43" t="s">
        <v>3017</v>
      </c>
    </row>
    <row r="44" spans="2:17" x14ac:dyDescent="0.2">
      <c r="B44" t="s">
        <v>2975</v>
      </c>
    </row>
    <row r="45" spans="2:17" x14ac:dyDescent="0.2">
      <c r="B45" t="s">
        <v>2976</v>
      </c>
    </row>
    <row r="46" spans="2:17" x14ac:dyDescent="0.2">
      <c r="B46" t="s">
        <v>3399</v>
      </c>
    </row>
    <row r="49" spans="1:7" x14ac:dyDescent="0.2">
      <c r="A49" t="s">
        <v>3213</v>
      </c>
      <c r="C49" t="s">
        <v>3233</v>
      </c>
      <c r="E49" t="s">
        <v>3317</v>
      </c>
      <c r="G49" t="s">
        <v>3334</v>
      </c>
    </row>
    <row r="50" spans="1:7" x14ac:dyDescent="0.2">
      <c r="A50" t="s">
        <v>195</v>
      </c>
      <c r="C50" t="s">
        <v>3234</v>
      </c>
      <c r="E50" t="s">
        <v>3318</v>
      </c>
      <c r="G50" t="s">
        <v>3335</v>
      </c>
    </row>
    <row r="51" spans="1:7" x14ac:dyDescent="0.2">
      <c r="A51" t="s">
        <v>1074</v>
      </c>
      <c r="C51" t="s">
        <v>3235</v>
      </c>
      <c r="E51" t="s">
        <v>3319</v>
      </c>
      <c r="G51" t="s">
        <v>3336</v>
      </c>
    </row>
    <row r="52" spans="1:7" x14ac:dyDescent="0.2">
      <c r="A52" t="s">
        <v>1075</v>
      </c>
      <c r="C52" t="s">
        <v>3236</v>
      </c>
      <c r="E52" t="s">
        <v>3320</v>
      </c>
      <c r="G52" t="s">
        <v>3337</v>
      </c>
    </row>
    <row r="53" spans="1:7" x14ac:dyDescent="0.2">
      <c r="A53" t="s">
        <v>272</v>
      </c>
      <c r="C53" t="s">
        <v>3237</v>
      </c>
      <c r="E53" t="s">
        <v>3321</v>
      </c>
    </row>
    <row r="54" spans="1:7" x14ac:dyDescent="0.2">
      <c r="A54" t="s">
        <v>306</v>
      </c>
      <c r="C54" t="s">
        <v>123</v>
      </c>
      <c r="E54" t="s">
        <v>3322</v>
      </c>
    </row>
    <row r="55" spans="1:7" x14ac:dyDescent="0.2">
      <c r="A55" t="s">
        <v>1076</v>
      </c>
      <c r="E55" t="s">
        <v>3323</v>
      </c>
    </row>
    <row r="56" spans="1:7" x14ac:dyDescent="0.2">
      <c r="A56" t="s">
        <v>1077</v>
      </c>
      <c r="E56" t="s">
        <v>3324</v>
      </c>
    </row>
    <row r="57" spans="1:7" x14ac:dyDescent="0.2">
      <c r="A57" t="s">
        <v>1078</v>
      </c>
      <c r="E57" t="s">
        <v>3325</v>
      </c>
    </row>
    <row r="58" spans="1:7" x14ac:dyDescent="0.2">
      <c r="A58" t="s">
        <v>330</v>
      </c>
      <c r="E58" t="s">
        <v>3326</v>
      </c>
    </row>
    <row r="59" spans="1:7" x14ac:dyDescent="0.2">
      <c r="A59" t="s">
        <v>2989</v>
      </c>
      <c r="E59" t="s">
        <v>3327</v>
      </c>
    </row>
    <row r="60" spans="1:7" x14ac:dyDescent="0.2">
      <c r="A60" t="s">
        <v>1080</v>
      </c>
      <c r="E60" t="s">
        <v>3328</v>
      </c>
    </row>
    <row r="61" spans="1:7" x14ac:dyDescent="0.2">
      <c r="A61" t="s">
        <v>1081</v>
      </c>
      <c r="E61" t="s">
        <v>3329</v>
      </c>
    </row>
    <row r="62" spans="1:7" x14ac:dyDescent="0.2">
      <c r="A62" t="s">
        <v>328</v>
      </c>
      <c r="E62" t="s">
        <v>3330</v>
      </c>
    </row>
    <row r="63" spans="1:7" x14ac:dyDescent="0.2">
      <c r="A63" t="s">
        <v>1082</v>
      </c>
    </row>
    <row r="64" spans="1:7" x14ac:dyDescent="0.2">
      <c r="A64" t="s">
        <v>1083</v>
      </c>
    </row>
    <row r="65" spans="1:1" x14ac:dyDescent="0.2">
      <c r="A65" t="s">
        <v>1084</v>
      </c>
    </row>
    <row r="66" spans="1:1" x14ac:dyDescent="0.2">
      <c r="A66" t="s">
        <v>557</v>
      </c>
    </row>
    <row r="67" spans="1:1" x14ac:dyDescent="0.2">
      <c r="A67" t="s">
        <v>1085</v>
      </c>
    </row>
    <row r="68" spans="1:1" x14ac:dyDescent="0.2">
      <c r="A68" t="s">
        <v>3214</v>
      </c>
    </row>
  </sheetData>
  <sortState xmlns:xlrd2="http://schemas.microsoft.com/office/spreadsheetml/2017/richdata2" ref="B20:B30">
    <sortCondition ref="B20:B30"/>
  </sortState>
  <pageMargins left="0.7" right="0.7" top="0.75" bottom="0.75" header="0.3" footer="0.3"/>
  <pageSetup orientation="portrait" verticalDpi="1200"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2512-2A7F-455B-B79D-B8F4B26F8FDC}">
  <sheetPr codeName="Sheet46">
    <tabColor rgb="FFFFFF00"/>
  </sheetPr>
  <dimension ref="A1:AY190"/>
  <sheetViews>
    <sheetView showZeros="0" view="pageLayout" topLeftCell="A171" zoomScaleNormal="100" workbookViewId="0">
      <selection activeCell="AS172" sqref="AS172:AX172"/>
    </sheetView>
  </sheetViews>
  <sheetFormatPr defaultColWidth="2.7109375" defaultRowHeight="12.75" x14ac:dyDescent="0.2"/>
  <cols>
    <col min="51" max="51" width="1.7109375" customWidth="1"/>
  </cols>
  <sheetData>
    <row r="1" spans="1:51" ht="13.5" thickBot="1" x14ac:dyDescent="0.25">
      <c r="A1" t="s">
        <v>336</v>
      </c>
      <c r="E1" s="219" t="e">
        <f>_xlfn.CONCAT(#REF!,", ",#REF!," ",#REF!)</f>
        <v>#REF!</v>
      </c>
      <c r="F1" s="219"/>
      <c r="G1" s="219"/>
      <c r="H1" s="219"/>
      <c r="I1" s="219"/>
      <c r="J1" s="219"/>
      <c r="K1" s="219"/>
      <c r="L1" s="219"/>
      <c r="M1" s="219"/>
      <c r="N1" s="219"/>
      <c r="O1" s="219"/>
      <c r="P1" s="219"/>
      <c r="Q1" s="219"/>
      <c r="R1" s="219"/>
      <c r="S1" s="219"/>
      <c r="V1" t="s">
        <v>337</v>
      </c>
      <c r="AA1" s="218" t="e">
        <f>#REF!</f>
        <v>#REF!</v>
      </c>
      <c r="AB1" s="218"/>
      <c r="AC1" s="218"/>
      <c r="AD1" s="218"/>
      <c r="AE1" s="218"/>
      <c r="AF1" s="218"/>
      <c r="AI1" t="s">
        <v>582</v>
      </c>
      <c r="AN1" s="218" t="e">
        <f>#REF!</f>
        <v>#REF!</v>
      </c>
      <c r="AO1" s="218"/>
      <c r="AP1" s="218"/>
      <c r="AQ1" s="218"/>
      <c r="AR1" s="218"/>
      <c r="AS1" s="218"/>
      <c r="AT1" s="218"/>
    </row>
    <row r="2" spans="1:51" ht="13.5" thickTop="1" x14ac:dyDescent="0.2">
      <c r="A2" s="147" t="s">
        <v>3267</v>
      </c>
      <c r="B2" s="147"/>
      <c r="C2" s="147"/>
      <c r="D2" s="147"/>
      <c r="E2" s="577" t="e">
        <f>EventHistory!#REF!</f>
        <v>#REF!</v>
      </c>
      <c r="F2" s="576"/>
      <c r="G2" s="576"/>
      <c r="H2" s="576"/>
      <c r="I2" s="576"/>
      <c r="J2" s="576"/>
      <c r="K2" s="147"/>
      <c r="L2" s="147" t="s">
        <v>3268</v>
      </c>
      <c r="M2" s="147"/>
      <c r="N2" s="147"/>
      <c r="O2" s="147"/>
      <c r="P2" s="575" t="e">
        <f>EventHistory!#REF!</f>
        <v>#REF!</v>
      </c>
      <c r="Q2" s="575"/>
      <c r="R2" s="575"/>
      <c r="S2" s="575"/>
      <c r="T2" s="575"/>
      <c r="U2" s="575"/>
      <c r="V2" s="575"/>
      <c r="W2" s="575"/>
      <c r="X2" s="575"/>
      <c r="Y2" s="575"/>
      <c r="Z2" s="575"/>
      <c r="AA2" s="147" t="s">
        <v>3269</v>
      </c>
      <c r="AB2" s="147"/>
      <c r="AC2" s="147"/>
      <c r="AD2" s="147"/>
      <c r="AE2" s="147"/>
      <c r="AF2" s="577" t="e">
        <f>EventHistory!#REF!</f>
        <v>#REF!</v>
      </c>
      <c r="AG2" s="576"/>
      <c r="AH2" s="576"/>
      <c r="AI2" s="576"/>
      <c r="AJ2" s="576"/>
      <c r="AK2" s="576"/>
      <c r="AL2" s="576"/>
      <c r="AM2" s="147"/>
      <c r="AN2" s="147" t="s">
        <v>3273</v>
      </c>
      <c r="AO2" s="147"/>
      <c r="AP2" s="147"/>
      <c r="AQ2" s="147"/>
      <c r="AR2" s="147"/>
      <c r="AS2" s="576" t="e">
        <f>_xlfn.CONCAT(IF(AND(EventHistory!#REF!="",EventHistory!#REF!="",EventHistory!#REF!=TRUE),"Next Visit Date",""),IF(AND(EventHistory!#REF!="",EventHistory!#REF!="",EventHistory!#REF!=FALSE),"Not Required",""),IF(EventHistory!#REF!="","",TEXT(EventHistory!#REF!,"mm/dd/yyyy")))</f>
        <v>#REF!</v>
      </c>
      <c r="AT2" s="576"/>
      <c r="AU2" s="576"/>
      <c r="AV2" s="576"/>
      <c r="AW2" s="576"/>
      <c r="AX2" s="576"/>
      <c r="AY2" s="147"/>
    </row>
    <row r="3" spans="1:51" x14ac:dyDescent="0.2">
      <c r="B3" t="s">
        <v>3272</v>
      </c>
      <c r="I3" s="295" t="e">
        <f>_xlfn.CONCAT(IF(EventHistory!#REF!="Fall","No Additional Specifics",""),IF(EventHistory!#REF!="Hospital - ER","Admission Date: "&amp;TEXT(EventHistory!#REF!,"mm/dd/yyyy")&amp;"  Discharge Date: "&amp;IF(EventHistory!#REF!="","Unknown at this time.",TEXT(EventHistory!#REF!,"mm/dd/yyyy")),""),IF(EventHistory!#REF!="Hospital - Admission","Admission Date: "&amp;TEXT(EventHistory!#REF!,"mm/dd/yyyy")&amp;"  Discharge Date: "&amp;IF(EventHistory!#REF!="","Unknown at this time.",TEXT(EventHistory!#REF!,"mm/dd/yyyy")),""),IF(EventHistory!#REF!="Rehab","Admission Date: "&amp;TEXT(EventHistory!#REF!,"mm/dd/yyyy")&amp;"  Discharge Date: "&amp;IF(EventHistory!#REF!="","Unknown at this time.",TEXT(EventHistory!#REF!,"mm/dd/yyyy")),""),IF(EventHistory!#REF!="Inpatient Procedure","Admission Date: "&amp;TEXT(EventHistory!#REF!,"mm/dd/yyyy")&amp;"  Discharge Date: "&amp;IF(EventHistory!#REF!="","Unknown at this time.",TEXT(EventHistory!#REF!,"mm/dd/yyyy")),""),IF(EventHistory!#REF!="Physician Appointment",EventHistory!#REF!&amp;" "&amp;EventHistory!#REF!&amp;" for "&amp;EventHistory!#REF!&amp;". "&amp;IF(EventHistory!#REF!="No","No changes reported. ","Changes listed below in details."),""),IF(EventHistory!#REF!="Outpatient Procedure","No Additional Specifics",""),IF(EventHistory!#REF!="Illness/Urgent Care","No Additional Specifics",""),IF(EventHistory!#REF!="Event/Change (All others)","No Additional Specifics",""))</f>
        <v>#REF!</v>
      </c>
      <c r="J3" s="295"/>
      <c r="K3" s="295"/>
      <c r="L3" s="295"/>
      <c r="M3" s="295"/>
      <c r="N3" s="295"/>
      <c r="O3" s="295"/>
      <c r="P3" s="295"/>
      <c r="Q3" s="295"/>
      <c r="R3" s="295"/>
      <c r="S3" s="295"/>
      <c r="T3" s="295"/>
      <c r="U3" s="295"/>
      <c r="V3" s="295"/>
      <c r="W3" s="295"/>
      <c r="X3" s="295"/>
      <c r="Y3" s="295"/>
      <c r="Z3" s="295"/>
      <c r="AA3" s="295"/>
      <c r="AB3" s="295"/>
      <c r="AC3" s="295"/>
      <c r="AD3" s="295"/>
      <c r="AE3" s="295"/>
      <c r="AF3" s="295"/>
      <c r="AG3" s="295"/>
      <c r="AH3" s="295"/>
      <c r="AI3" s="295"/>
      <c r="AJ3" s="295"/>
      <c r="AK3" s="295"/>
      <c r="AL3" s="295"/>
      <c r="AM3" s="295"/>
      <c r="AN3" s="295"/>
      <c r="AO3" s="295"/>
      <c r="AP3" s="295"/>
      <c r="AQ3" s="295"/>
      <c r="AR3" s="295"/>
      <c r="AS3" s="295"/>
      <c r="AT3" s="295"/>
      <c r="AU3" s="295"/>
      <c r="AV3" s="295"/>
      <c r="AW3" s="295"/>
      <c r="AX3" s="295"/>
    </row>
    <row r="4" spans="1:51" x14ac:dyDescent="0.2">
      <c r="B4" t="s">
        <v>3270</v>
      </c>
      <c r="I4" s="216" t="e">
        <f>EventHistory!#REF!</f>
        <v>#REF!</v>
      </c>
      <c r="J4" s="216"/>
      <c r="K4" s="216"/>
      <c r="L4" s="216"/>
      <c r="M4" s="216"/>
      <c r="N4" s="216"/>
      <c r="O4" s="216"/>
      <c r="P4" s="216"/>
      <c r="Q4" s="216"/>
      <c r="R4" s="216"/>
      <c r="S4" s="216"/>
      <c r="T4" s="216"/>
      <c r="U4" s="216"/>
      <c r="V4" s="216"/>
      <c r="W4" s="216"/>
      <c r="X4" s="216"/>
      <c r="Y4" s="216"/>
      <c r="Z4" s="216"/>
      <c r="AA4" s="216"/>
      <c r="AB4" s="216"/>
      <c r="AC4" s="216"/>
      <c r="AD4" s="216"/>
      <c r="AE4" s="216"/>
      <c r="AF4" s="216"/>
      <c r="AG4" s="216"/>
      <c r="AH4" s="216"/>
      <c r="AI4" s="216"/>
      <c r="AJ4" s="216"/>
      <c r="AK4" s="216"/>
      <c r="AL4" s="216"/>
      <c r="AM4" s="216"/>
      <c r="AN4" s="216"/>
      <c r="AO4" s="216"/>
      <c r="AP4" s="216"/>
      <c r="AQ4" s="216"/>
      <c r="AR4" s="216"/>
      <c r="AS4" s="216"/>
      <c r="AT4" s="216"/>
      <c r="AU4" s="216"/>
      <c r="AV4" s="216"/>
      <c r="AW4" s="216"/>
      <c r="AX4" s="216"/>
    </row>
    <row r="5" spans="1:51" x14ac:dyDescent="0.2">
      <c r="I5" s="216"/>
      <c r="J5" s="216"/>
      <c r="K5" s="216"/>
      <c r="L5" s="216"/>
      <c r="M5" s="216"/>
      <c r="N5" s="216"/>
      <c r="O5" s="216"/>
      <c r="P5" s="216"/>
      <c r="Q5" s="216"/>
      <c r="R5" s="216"/>
      <c r="S5" s="216"/>
      <c r="T5" s="216"/>
      <c r="U5" s="216"/>
      <c r="V5" s="216"/>
      <c r="W5" s="216"/>
      <c r="X5" s="216"/>
      <c r="Y5" s="216"/>
      <c r="Z5" s="216"/>
      <c r="AA5" s="216"/>
      <c r="AB5" s="216"/>
      <c r="AC5" s="216"/>
      <c r="AD5" s="216"/>
      <c r="AE5" s="216"/>
      <c r="AF5" s="216"/>
      <c r="AG5" s="216"/>
      <c r="AH5" s="216"/>
      <c r="AI5" s="216"/>
      <c r="AJ5" s="216"/>
      <c r="AK5" s="216"/>
      <c r="AL5" s="216"/>
      <c r="AM5" s="216"/>
      <c r="AN5" s="216"/>
      <c r="AO5" s="216"/>
      <c r="AP5" s="216"/>
      <c r="AQ5" s="216"/>
      <c r="AR5" s="216"/>
      <c r="AS5" s="216"/>
      <c r="AT5" s="216"/>
      <c r="AU5" s="216"/>
      <c r="AV5" s="216"/>
      <c r="AW5" s="216"/>
      <c r="AX5" s="216"/>
    </row>
    <row r="6" spans="1:51" x14ac:dyDescent="0.2">
      <c r="B6" t="s">
        <v>3271</v>
      </c>
      <c r="I6" s="216" t="e">
        <f>IF(AND(EventHistory!#REF!=FALSE,EventHistory!#REF!=""),"No follow up required","")&amp;IF(AND(EventHistory!#REF!=TRUE,EventHistory!#REF!=""),"Follow up will occur on next supervisory visit.","")&amp;IF(EventHistory!#REF!&lt;&gt;"",EventHistory!#REF!,"")</f>
        <v>#REF!</v>
      </c>
      <c r="J6" s="216"/>
      <c r="K6" s="216"/>
      <c r="L6" s="216"/>
      <c r="M6" s="216"/>
      <c r="N6" s="216"/>
      <c r="O6" s="216"/>
      <c r="P6" s="216"/>
      <c r="Q6" s="216"/>
      <c r="R6" s="216"/>
      <c r="S6" s="216"/>
      <c r="T6" s="216"/>
      <c r="U6" s="216"/>
      <c r="V6" s="216"/>
      <c r="W6" s="216"/>
      <c r="X6" s="216"/>
      <c r="Y6" s="216"/>
      <c r="Z6" s="216"/>
      <c r="AA6" s="216"/>
      <c r="AB6" s="216"/>
      <c r="AC6" s="216"/>
      <c r="AD6" s="216"/>
      <c r="AE6" s="216"/>
      <c r="AF6" s="216"/>
      <c r="AG6" s="216"/>
      <c r="AH6" s="216"/>
      <c r="AI6" s="216"/>
      <c r="AJ6" s="216"/>
      <c r="AK6" s="216"/>
      <c r="AL6" s="216"/>
      <c r="AM6" s="216"/>
      <c r="AN6" s="216"/>
      <c r="AO6" s="216"/>
      <c r="AP6" s="216"/>
      <c r="AQ6" s="216"/>
      <c r="AR6" s="216"/>
      <c r="AS6" s="216"/>
      <c r="AT6" s="216"/>
      <c r="AU6" s="216"/>
      <c r="AV6" s="216"/>
      <c r="AW6" s="216"/>
      <c r="AX6" s="216"/>
    </row>
    <row r="7" spans="1:51" ht="13.5" thickBot="1" x14ac:dyDescent="0.25">
      <c r="A7" s="39"/>
      <c r="B7" s="39"/>
      <c r="C7" s="39"/>
      <c r="D7" s="39"/>
      <c r="E7" s="39"/>
      <c r="F7" s="39"/>
      <c r="G7" s="39"/>
      <c r="H7" s="39"/>
      <c r="I7" s="574"/>
      <c r="J7" s="574"/>
      <c r="K7" s="574"/>
      <c r="L7" s="574"/>
      <c r="M7" s="574"/>
      <c r="N7" s="574"/>
      <c r="O7" s="574"/>
      <c r="P7" s="574"/>
      <c r="Q7" s="574"/>
      <c r="R7" s="574"/>
      <c r="S7" s="574"/>
      <c r="T7" s="574"/>
      <c r="U7" s="574"/>
      <c r="V7" s="574"/>
      <c r="W7" s="574"/>
      <c r="X7" s="574"/>
      <c r="Y7" s="574"/>
      <c r="Z7" s="574"/>
      <c r="AA7" s="574"/>
      <c r="AB7" s="574"/>
      <c r="AC7" s="574"/>
      <c r="AD7" s="574"/>
      <c r="AE7" s="574"/>
      <c r="AF7" s="574"/>
      <c r="AG7" s="574"/>
      <c r="AH7" s="574"/>
      <c r="AI7" s="574"/>
      <c r="AJ7" s="574"/>
      <c r="AK7" s="574"/>
      <c r="AL7" s="574"/>
      <c r="AM7" s="574"/>
      <c r="AN7" s="574"/>
      <c r="AO7" s="574"/>
      <c r="AP7" s="574"/>
      <c r="AQ7" s="574"/>
      <c r="AR7" s="574"/>
      <c r="AS7" s="574"/>
      <c r="AT7" s="574"/>
      <c r="AU7" s="574"/>
      <c r="AV7" s="574"/>
      <c r="AW7" s="574"/>
      <c r="AX7" s="574"/>
      <c r="AY7" s="39"/>
    </row>
    <row r="8" spans="1:51" ht="13.5" thickTop="1" x14ac:dyDescent="0.2">
      <c r="A8" t="s">
        <v>3267</v>
      </c>
      <c r="E8" s="218" t="e">
        <f>EventHistory!#REF!</f>
        <v>#REF!</v>
      </c>
      <c r="F8" s="219"/>
      <c r="G8" s="219"/>
      <c r="H8" s="219"/>
      <c r="I8" s="219"/>
      <c r="J8" s="219"/>
      <c r="L8" t="s">
        <v>3268</v>
      </c>
      <c r="P8" s="575" t="e">
        <f>EventHistory!#REF!</f>
        <v>#REF!</v>
      </c>
      <c r="Q8" s="575"/>
      <c r="R8" s="575"/>
      <c r="S8" s="575"/>
      <c r="T8" s="575"/>
      <c r="U8" s="575"/>
      <c r="V8" s="575"/>
      <c r="W8" s="575"/>
      <c r="X8" s="575"/>
      <c r="Y8" s="575"/>
      <c r="Z8" s="575"/>
      <c r="AA8" t="s">
        <v>3269</v>
      </c>
      <c r="AF8" s="218" t="e">
        <f>EventHistory!#REF!</f>
        <v>#REF!</v>
      </c>
      <c r="AG8" s="219"/>
      <c r="AH8" s="219"/>
      <c r="AI8" s="219"/>
      <c r="AJ8" s="219"/>
      <c r="AK8" s="219"/>
      <c r="AL8" s="219"/>
      <c r="AN8" t="s">
        <v>3273</v>
      </c>
      <c r="AS8" s="576" t="e">
        <f>_xlfn.CONCAT(IF(AND(EventHistory!#REF!="",EventHistory!#REF!="",EventHistory!#REF!=TRUE),"Next Visit Date",""),IF(AND(EventHistory!#REF!="",EventHistory!#REF!="",EventHistory!#REF!=FALSE),"Not Required",""),IF(EventHistory!#REF!="","",TEXT(EventHistory!#REF!,"mm/dd/yyyy")))</f>
        <v>#REF!</v>
      </c>
      <c r="AT8" s="576"/>
      <c r="AU8" s="576"/>
      <c r="AV8" s="576"/>
      <c r="AW8" s="576"/>
      <c r="AX8" s="576"/>
    </row>
    <row r="9" spans="1:51" x14ac:dyDescent="0.2">
      <c r="B9" t="s">
        <v>3272</v>
      </c>
      <c r="I9" s="295" t="e">
        <f>_xlfn.CONCAT(IF(EventHistory!#REF!="Fall","No Additional Specifics",""),IF(EventHistory!#REF!="Hospital - ER","Admission Date: "&amp;TEXT(EventHistory!#REF!,"mm/dd/yyyy")&amp;"  Discharge Date: "&amp;IF(EventHistory!#REF!="","Unknown at this time.",TEXT(EventHistory!#REF!,"mm/dd/yyyy")),""),IF(EventHistory!#REF!="Hospital - Admission","Admission Date: "&amp;TEXT(EventHistory!#REF!,"mm/dd/yyyy")&amp;"  Discharge Date: "&amp;IF(EventHistory!#REF!="","Unknown at this time.",TEXT(EventHistory!#REF!,"mm/dd/yyyy")),""),IF(EventHistory!#REF!="Rehab","Admission Date: "&amp;TEXT(EventHistory!#REF!,"mm/dd/yyyy")&amp;"  Discharge Date: "&amp;IF(EventHistory!#REF!="","Unknown at this time.",TEXT(EventHistory!#REF!,"mm/dd/yyyy")),""),IF(EventHistory!#REF!="Inpatient Procedure","Admission Date: "&amp;TEXT(EventHistory!#REF!,"mm/dd/yyyy")&amp;"  Discharge Date: "&amp;IF(EventHistory!#REF!="","Unknown at this time.",TEXT(EventHistory!#REF!,"mm/dd/yyyy")),""),IF(EventHistory!#REF!="Physician Appointment",EventHistory!#REF!&amp;" "&amp;EventHistory!#REF!&amp;" for "&amp;EventHistory!#REF!&amp;". "&amp;IF(EventHistory!#REF!="No","No changes reported. ","Changes listed below in details."),""),IF(EventHistory!#REF!="Outpatient Procedure","No Additional Specifics",""),IF(EventHistory!#REF!="Illness/Urgent Care","No Additional Specifics",""),IF(EventHistory!#REF!="Event/Change (All others)","No Additional Specifics",""))</f>
        <v>#REF!</v>
      </c>
      <c r="J9" s="295"/>
      <c r="K9" s="295"/>
      <c r="L9" s="295"/>
      <c r="M9" s="295"/>
      <c r="N9" s="295"/>
      <c r="O9" s="295"/>
      <c r="P9" s="295"/>
      <c r="Q9" s="295"/>
      <c r="R9" s="295"/>
      <c r="S9" s="295"/>
      <c r="T9" s="295"/>
      <c r="U9" s="295"/>
      <c r="V9" s="295"/>
      <c r="W9" s="295"/>
      <c r="X9" s="295"/>
      <c r="Y9" s="295"/>
      <c r="Z9" s="295"/>
      <c r="AA9" s="295"/>
      <c r="AB9" s="295"/>
      <c r="AC9" s="295"/>
      <c r="AD9" s="295"/>
      <c r="AE9" s="295"/>
      <c r="AF9" s="295"/>
      <c r="AG9" s="295"/>
      <c r="AH9" s="295"/>
      <c r="AI9" s="295"/>
      <c r="AJ9" s="295"/>
      <c r="AK9" s="295"/>
      <c r="AL9" s="295"/>
      <c r="AM9" s="295"/>
      <c r="AN9" s="295"/>
      <c r="AO9" s="295"/>
      <c r="AP9" s="295"/>
      <c r="AQ9" s="295"/>
      <c r="AR9" s="295"/>
      <c r="AS9" s="295"/>
      <c r="AT9" s="295"/>
      <c r="AU9" s="295"/>
      <c r="AV9" s="295"/>
      <c r="AW9" s="295"/>
      <c r="AX9" s="295"/>
    </row>
    <row r="10" spans="1:51" x14ac:dyDescent="0.2">
      <c r="B10" t="s">
        <v>3270</v>
      </c>
      <c r="I10" s="216" t="e">
        <f>EventHistory!#REF!</f>
        <v>#REF!</v>
      </c>
      <c r="J10" s="216"/>
      <c r="K10" s="216"/>
      <c r="L10" s="216"/>
      <c r="M10" s="216"/>
      <c r="N10" s="216"/>
      <c r="O10" s="216"/>
      <c r="P10" s="216"/>
      <c r="Q10" s="216"/>
      <c r="R10" s="216"/>
      <c r="S10" s="216"/>
      <c r="T10" s="216"/>
      <c r="U10" s="216"/>
      <c r="V10" s="216"/>
      <c r="W10" s="216"/>
      <c r="X10" s="216"/>
      <c r="Y10" s="216"/>
      <c r="Z10" s="216"/>
      <c r="AA10" s="216"/>
      <c r="AB10" s="216"/>
      <c r="AC10" s="216"/>
      <c r="AD10" s="216"/>
      <c r="AE10" s="216"/>
      <c r="AF10" s="216"/>
      <c r="AG10" s="216"/>
      <c r="AH10" s="216"/>
      <c r="AI10" s="216"/>
      <c r="AJ10" s="216"/>
      <c r="AK10" s="216"/>
      <c r="AL10" s="216"/>
      <c r="AM10" s="216"/>
      <c r="AN10" s="216"/>
      <c r="AO10" s="216"/>
      <c r="AP10" s="216"/>
      <c r="AQ10" s="216"/>
      <c r="AR10" s="216"/>
      <c r="AS10" s="216"/>
      <c r="AT10" s="216"/>
      <c r="AU10" s="216"/>
      <c r="AV10" s="216"/>
      <c r="AW10" s="216"/>
      <c r="AX10" s="216"/>
    </row>
    <row r="11" spans="1:51" x14ac:dyDescent="0.2">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row>
    <row r="12" spans="1:51" x14ac:dyDescent="0.2">
      <c r="B12" t="s">
        <v>3271</v>
      </c>
      <c r="I12" s="216" t="e">
        <f>IF(AND(EventHistory!#REF!=FALSE,EventHistory!#REF!=""),"No follow up required","")&amp;IF(AND(EventHistory!#REF!=TRUE,EventHistory!#REF!=""),"Follow up will occur on next supervisory visit.","")&amp;IF(EventHistory!#REF!&lt;&gt;"",EventHistory!#REF!,"")</f>
        <v>#REF!</v>
      </c>
      <c r="J12" s="216"/>
      <c r="K12" s="216"/>
      <c r="L12" s="216"/>
      <c r="M12" s="216"/>
      <c r="N12" s="216"/>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c r="AL12" s="216"/>
      <c r="AM12" s="216"/>
      <c r="AN12" s="216"/>
      <c r="AO12" s="216"/>
      <c r="AP12" s="216"/>
      <c r="AQ12" s="216"/>
      <c r="AR12" s="216"/>
      <c r="AS12" s="216"/>
      <c r="AT12" s="216"/>
      <c r="AU12" s="216"/>
      <c r="AV12" s="216"/>
      <c r="AW12" s="216"/>
      <c r="AX12" s="216"/>
    </row>
    <row r="13" spans="1:51" ht="13.5" thickBot="1" x14ac:dyDescent="0.25">
      <c r="A13" s="39"/>
      <c r="B13" s="39"/>
      <c r="C13" s="39"/>
      <c r="D13" s="39"/>
      <c r="E13" s="39"/>
      <c r="F13" s="39"/>
      <c r="G13" s="39"/>
      <c r="H13" s="39"/>
      <c r="I13" s="574"/>
      <c r="J13" s="574"/>
      <c r="K13" s="574"/>
      <c r="L13" s="574"/>
      <c r="M13" s="574"/>
      <c r="N13" s="574"/>
      <c r="O13" s="574"/>
      <c r="P13" s="574"/>
      <c r="Q13" s="574"/>
      <c r="R13" s="574"/>
      <c r="S13" s="574"/>
      <c r="T13" s="574"/>
      <c r="U13" s="574"/>
      <c r="V13" s="574"/>
      <c r="W13" s="574"/>
      <c r="X13" s="574"/>
      <c r="Y13" s="574"/>
      <c r="Z13" s="574"/>
      <c r="AA13" s="574"/>
      <c r="AB13" s="574"/>
      <c r="AC13" s="574"/>
      <c r="AD13" s="574"/>
      <c r="AE13" s="574"/>
      <c r="AF13" s="574"/>
      <c r="AG13" s="574"/>
      <c r="AH13" s="574"/>
      <c r="AI13" s="574"/>
      <c r="AJ13" s="574"/>
      <c r="AK13" s="574"/>
      <c r="AL13" s="574"/>
      <c r="AM13" s="574"/>
      <c r="AN13" s="574"/>
      <c r="AO13" s="574"/>
      <c r="AP13" s="574"/>
      <c r="AQ13" s="574"/>
      <c r="AR13" s="574"/>
      <c r="AS13" s="574"/>
      <c r="AT13" s="574"/>
      <c r="AU13" s="574"/>
      <c r="AV13" s="574"/>
      <c r="AW13" s="574"/>
      <c r="AX13" s="574"/>
      <c r="AY13" s="39"/>
    </row>
    <row r="14" spans="1:51" ht="13.5" thickTop="1" x14ac:dyDescent="0.2">
      <c r="A14" t="s">
        <v>3267</v>
      </c>
      <c r="E14" s="218" t="e">
        <f>EventHistory!#REF!</f>
        <v>#REF!</v>
      </c>
      <c r="F14" s="219"/>
      <c r="G14" s="219"/>
      <c r="H14" s="219"/>
      <c r="I14" s="219"/>
      <c r="J14" s="219"/>
      <c r="L14" t="s">
        <v>3268</v>
      </c>
      <c r="P14" s="576" t="e">
        <f>EventHistory!#REF!</f>
        <v>#REF!</v>
      </c>
      <c r="Q14" s="576"/>
      <c r="R14" s="576"/>
      <c r="S14" s="576"/>
      <c r="T14" s="576"/>
      <c r="U14" s="576"/>
      <c r="V14" s="576"/>
      <c r="W14" s="576"/>
      <c r="X14" s="576"/>
      <c r="Y14" s="576"/>
      <c r="Z14" s="576"/>
      <c r="AA14" t="s">
        <v>3269</v>
      </c>
      <c r="AF14" s="218" t="e">
        <f>EventHistory!#REF!</f>
        <v>#REF!</v>
      </c>
      <c r="AG14" s="219"/>
      <c r="AH14" s="219"/>
      <c r="AI14" s="219"/>
      <c r="AJ14" s="219"/>
      <c r="AK14" s="219"/>
      <c r="AL14" s="219"/>
      <c r="AN14" t="s">
        <v>3273</v>
      </c>
      <c r="AS14" s="577" t="e">
        <f>_xlfn.CONCAT(IF(AND(EventHistory!#REF!="",EventHistory!#REF!="",EventHistory!#REF!=TRUE),"Next Visit Date",""),IF(AND(EventHistory!#REF!="",EventHistory!#REF!="",EventHistory!#REF!=FALSE),"Not Required",""),IF(EventHistory!#REF!="","",TEXT(EventHistory!#REF!,"mm/dd/yyyy")))</f>
        <v>#REF!</v>
      </c>
      <c r="AT14" s="577"/>
      <c r="AU14" s="577"/>
      <c r="AV14" s="577"/>
      <c r="AW14" s="577"/>
      <c r="AX14" s="577"/>
    </row>
    <row r="15" spans="1:51" x14ac:dyDescent="0.2">
      <c r="B15" t="s">
        <v>3272</v>
      </c>
      <c r="I15" s="295" t="e">
        <f>_xlfn.CONCAT(IF(EventHistory!#REF!="Fall","No Additional Specifics",""),IF(EventHistory!#REF!="Hospital - ER","Admission Date: "&amp;TEXT(EventHistory!#REF!,"mm/dd/yyyy")&amp;"  Discharge Date: "&amp;IF(EventHistory!#REF!="","Unknown at this time.",TEXT(EventHistory!#REF!,"mm/dd/yyyy")),""),IF(EventHistory!#REF!="Hospital - Admission","Admission Date: "&amp;TEXT(EventHistory!#REF!,"mm/dd/yyyy")&amp;"  Discharge Date: "&amp;IF(EventHistory!#REF!="","Unknown at this time.",TEXT(EventHistory!#REF!,"mm/dd/yyyy")),""),IF(EventHistory!#REF!="Rehab","Admission Date: "&amp;TEXT(EventHistory!#REF!,"mm/dd/yyyy")&amp;"  Discharge Date: "&amp;IF(EventHistory!#REF!="","Unknown at this time.",TEXT(EventHistory!#REF!,"mm/dd/yyyy")),""),IF(EventHistory!#REF!="Inpatient Procedure","Admission Date: "&amp;TEXT(EventHistory!#REF!,"mm/dd/yyyy")&amp;"  Discharge Date: "&amp;IF(EventHistory!#REF!="","Unknown at this time.",TEXT(EventHistory!#REF!,"mm/dd/yyyy")),""),IF(EventHistory!#REF!="Physician Appointment",EventHistory!#REF!&amp;" "&amp;EventHistory!#REF!&amp;" for "&amp;EventHistory!#REF!&amp;". "&amp;IF(EventHistory!#REF!="No","No changes reported. ","Changes listed below in details."),""),IF(EventHistory!#REF!="Outpatient Procedure","No Additional Specifics",""),IF(EventHistory!#REF!="Illness/Urgent Care","No Additional Specifics",""),IF(EventHistory!#REF!="Event/Change (All others)","No Additional Specifics",""))</f>
        <v>#REF!</v>
      </c>
      <c r="J15" s="295"/>
      <c r="K15" s="295"/>
      <c r="L15" s="295"/>
      <c r="M15" s="295"/>
      <c r="N15" s="295"/>
      <c r="O15" s="295"/>
      <c r="P15" s="295"/>
      <c r="Q15" s="295"/>
      <c r="R15" s="295"/>
      <c r="S15" s="295"/>
      <c r="T15" s="295"/>
      <c r="U15" s="295"/>
      <c r="V15" s="295"/>
      <c r="W15" s="295"/>
      <c r="X15" s="295"/>
      <c r="Y15" s="295"/>
      <c r="Z15" s="295"/>
      <c r="AA15" s="295"/>
      <c r="AB15" s="295"/>
      <c r="AC15" s="295"/>
      <c r="AD15" s="295"/>
      <c r="AE15" s="295"/>
      <c r="AF15" s="295"/>
      <c r="AG15" s="295"/>
      <c r="AH15" s="295"/>
      <c r="AI15" s="295"/>
      <c r="AJ15" s="295"/>
      <c r="AK15" s="295"/>
      <c r="AL15" s="295"/>
      <c r="AM15" s="295"/>
      <c r="AN15" s="295"/>
      <c r="AO15" s="295"/>
      <c r="AP15" s="295"/>
      <c r="AQ15" s="295"/>
      <c r="AR15" s="295"/>
      <c r="AS15" s="295"/>
      <c r="AT15" s="295"/>
      <c r="AU15" s="295"/>
      <c r="AV15" s="295"/>
      <c r="AW15" s="295"/>
      <c r="AX15" s="295"/>
    </row>
    <row r="16" spans="1:51" x14ac:dyDescent="0.2">
      <c r="B16" t="s">
        <v>3270</v>
      </c>
      <c r="I16" s="216" t="e">
        <f>EventHistory!#REF!</f>
        <v>#REF!</v>
      </c>
      <c r="J16" s="216"/>
      <c r="K16" s="216"/>
      <c r="L16" s="216"/>
      <c r="M16" s="216"/>
      <c r="N16" s="216"/>
      <c r="O16" s="216"/>
      <c r="P16" s="216"/>
      <c r="Q16" s="216"/>
      <c r="R16" s="216"/>
      <c r="S16" s="216"/>
      <c r="T16" s="216"/>
      <c r="U16" s="216"/>
      <c r="V16" s="216"/>
      <c r="W16" s="216"/>
      <c r="X16" s="216"/>
      <c r="Y16" s="216"/>
      <c r="Z16" s="216"/>
      <c r="AA16" s="216"/>
      <c r="AB16" s="216"/>
      <c r="AC16" s="216"/>
      <c r="AD16" s="216"/>
      <c r="AE16" s="216"/>
      <c r="AF16" s="216"/>
      <c r="AG16" s="216"/>
      <c r="AH16" s="216"/>
      <c r="AI16" s="216"/>
      <c r="AJ16" s="216"/>
      <c r="AK16" s="216"/>
      <c r="AL16" s="216"/>
      <c r="AM16" s="216"/>
      <c r="AN16" s="216"/>
      <c r="AO16" s="216"/>
      <c r="AP16" s="216"/>
      <c r="AQ16" s="216"/>
      <c r="AR16" s="216"/>
      <c r="AS16" s="216"/>
      <c r="AT16" s="216"/>
      <c r="AU16" s="216"/>
      <c r="AV16" s="216"/>
      <c r="AW16" s="216"/>
      <c r="AX16" s="216"/>
    </row>
    <row r="17" spans="1:51" x14ac:dyDescent="0.2">
      <c r="I17" s="216"/>
      <c r="J17" s="216"/>
      <c r="K17" s="216"/>
      <c r="L17" s="216"/>
      <c r="M17" s="216"/>
      <c r="N17" s="216"/>
      <c r="O17" s="216"/>
      <c r="P17" s="216"/>
      <c r="Q17" s="216"/>
      <c r="R17" s="216"/>
      <c r="S17" s="216"/>
      <c r="T17" s="216"/>
      <c r="U17" s="216"/>
      <c r="V17" s="216"/>
      <c r="W17" s="216"/>
      <c r="X17" s="216"/>
      <c r="Y17" s="216"/>
      <c r="Z17" s="216"/>
      <c r="AA17" s="216"/>
      <c r="AB17" s="216"/>
      <c r="AC17" s="216"/>
      <c r="AD17" s="216"/>
      <c r="AE17" s="216"/>
      <c r="AF17" s="216"/>
      <c r="AG17" s="216"/>
      <c r="AH17" s="216"/>
      <c r="AI17" s="216"/>
      <c r="AJ17" s="216"/>
      <c r="AK17" s="216"/>
      <c r="AL17" s="216"/>
      <c r="AM17" s="216"/>
      <c r="AN17" s="216"/>
      <c r="AO17" s="216"/>
      <c r="AP17" s="216"/>
      <c r="AQ17" s="216"/>
      <c r="AR17" s="216"/>
      <c r="AS17" s="216"/>
      <c r="AT17" s="216"/>
      <c r="AU17" s="216"/>
      <c r="AV17" s="216"/>
      <c r="AW17" s="216"/>
      <c r="AX17" s="216"/>
    </row>
    <row r="18" spans="1:51" x14ac:dyDescent="0.2">
      <c r="B18" t="s">
        <v>3271</v>
      </c>
      <c r="I18" s="216" t="e">
        <f>IF(AND(EventHistory!#REF!=FALSE,EventHistory!#REF!=""),"No follow up required","")&amp;IF(AND(EventHistory!#REF!=TRUE,EventHistory!#REF!=""),"Follow up will occur on next supervisory visit.","")&amp;IF(EventHistory!#REF!&lt;&gt;"",EventHistory!#REF!,"")</f>
        <v>#REF!</v>
      </c>
      <c r="J18" s="216"/>
      <c r="K18" s="216"/>
      <c r="L18" s="216"/>
      <c r="M18" s="216"/>
      <c r="N18" s="216"/>
      <c r="O18" s="216"/>
      <c r="P18" s="216"/>
      <c r="Q18" s="216"/>
      <c r="R18" s="216"/>
      <c r="S18" s="216"/>
      <c r="T18" s="216"/>
      <c r="U18" s="216"/>
      <c r="V18" s="216"/>
      <c r="W18" s="216"/>
      <c r="X18" s="216"/>
      <c r="Y18" s="216"/>
      <c r="Z18" s="216"/>
      <c r="AA18" s="216"/>
      <c r="AB18" s="216"/>
      <c r="AC18" s="216"/>
      <c r="AD18" s="216"/>
      <c r="AE18" s="216"/>
      <c r="AF18" s="216"/>
      <c r="AG18" s="216"/>
      <c r="AH18" s="216"/>
      <c r="AI18" s="216"/>
      <c r="AJ18" s="216"/>
      <c r="AK18" s="216"/>
      <c r="AL18" s="216"/>
      <c r="AM18" s="216"/>
      <c r="AN18" s="216"/>
      <c r="AO18" s="216"/>
      <c r="AP18" s="216"/>
      <c r="AQ18" s="216"/>
      <c r="AR18" s="216"/>
      <c r="AS18" s="216"/>
      <c r="AT18" s="216"/>
      <c r="AU18" s="216"/>
      <c r="AV18" s="216"/>
      <c r="AW18" s="216"/>
      <c r="AX18" s="216"/>
    </row>
    <row r="19" spans="1:51" ht="13.5" thickBot="1" x14ac:dyDescent="0.25">
      <c r="A19" s="39"/>
      <c r="B19" s="39"/>
      <c r="C19" s="39"/>
      <c r="D19" s="39"/>
      <c r="E19" s="39"/>
      <c r="F19" s="39"/>
      <c r="G19" s="39"/>
      <c r="H19" s="39"/>
      <c r="I19" s="574"/>
      <c r="J19" s="574"/>
      <c r="K19" s="574"/>
      <c r="L19" s="574"/>
      <c r="M19" s="574"/>
      <c r="N19" s="574"/>
      <c r="O19" s="574"/>
      <c r="P19" s="574"/>
      <c r="Q19" s="574"/>
      <c r="R19" s="574"/>
      <c r="S19" s="574"/>
      <c r="T19" s="574"/>
      <c r="U19" s="574"/>
      <c r="V19" s="574"/>
      <c r="W19" s="574"/>
      <c r="X19" s="574"/>
      <c r="Y19" s="574"/>
      <c r="Z19" s="574"/>
      <c r="AA19" s="574"/>
      <c r="AB19" s="574"/>
      <c r="AC19" s="574"/>
      <c r="AD19" s="574"/>
      <c r="AE19" s="574"/>
      <c r="AF19" s="574"/>
      <c r="AG19" s="574"/>
      <c r="AH19" s="574"/>
      <c r="AI19" s="574"/>
      <c r="AJ19" s="574"/>
      <c r="AK19" s="574"/>
      <c r="AL19" s="574"/>
      <c r="AM19" s="574"/>
      <c r="AN19" s="574"/>
      <c r="AO19" s="574"/>
      <c r="AP19" s="574"/>
      <c r="AQ19" s="574"/>
      <c r="AR19" s="574"/>
      <c r="AS19" s="574"/>
      <c r="AT19" s="574"/>
      <c r="AU19" s="574"/>
      <c r="AV19" s="574"/>
      <c r="AW19" s="574"/>
      <c r="AX19" s="574"/>
      <c r="AY19" s="39"/>
    </row>
    <row r="20" spans="1:51" ht="13.5" thickTop="1" x14ac:dyDescent="0.2">
      <c r="A20" t="s">
        <v>3267</v>
      </c>
      <c r="E20" s="218" t="e">
        <f>EventHistory!#REF!</f>
        <v>#REF!</v>
      </c>
      <c r="F20" s="219"/>
      <c r="G20" s="219"/>
      <c r="H20" s="219"/>
      <c r="I20" s="219"/>
      <c r="J20" s="219"/>
      <c r="L20" t="s">
        <v>3268</v>
      </c>
      <c r="P20" s="576" t="e">
        <f>EventHistory!#REF!</f>
        <v>#REF!</v>
      </c>
      <c r="Q20" s="576"/>
      <c r="R20" s="576"/>
      <c r="S20" s="576"/>
      <c r="T20" s="576"/>
      <c r="U20" s="576"/>
      <c r="V20" s="576"/>
      <c r="W20" s="576"/>
      <c r="X20" s="576"/>
      <c r="Y20" s="576"/>
      <c r="Z20" s="576"/>
      <c r="AA20" t="s">
        <v>3269</v>
      </c>
      <c r="AF20" s="218" t="e">
        <f>EventHistory!#REF!</f>
        <v>#REF!</v>
      </c>
      <c r="AG20" s="219"/>
      <c r="AH20" s="219"/>
      <c r="AI20" s="219"/>
      <c r="AJ20" s="219"/>
      <c r="AK20" s="219"/>
      <c r="AL20" s="219"/>
      <c r="AN20" t="s">
        <v>3273</v>
      </c>
      <c r="AS20" s="577" t="e">
        <f>_xlfn.CONCAT(IF(AND(EventHistory!#REF!="",EventHistory!#REF!="",EventHistory!#REF!=TRUE),"Next Visit Date",""),IF(AND(EventHistory!#REF!="",EventHistory!#REF!="",EventHistory!#REF!=FALSE),"Not Required",""),IF(EventHistory!#REF!="","",TEXT(EventHistory!#REF!,"mm/dd/yyyy")))</f>
        <v>#REF!</v>
      </c>
      <c r="AT20" s="576"/>
      <c r="AU20" s="576"/>
      <c r="AV20" s="576"/>
      <c r="AW20" s="576"/>
      <c r="AX20" s="576"/>
    </row>
    <row r="21" spans="1:51" x14ac:dyDescent="0.2">
      <c r="B21" t="s">
        <v>3272</v>
      </c>
      <c r="I21" s="295" t="e">
        <f>_xlfn.CONCAT(IF(EventHistory!#REF!="Fall","No Additional Specifics",""),IF(EventHistory!#REF!="Hospital - ER","Admission Date: "&amp;TEXT(EventHistory!#REF!,"mm/dd/yyyy")&amp;"  Discharge Date: "&amp;IF(EventHistory!#REF!="","Unknown at this time.",TEXT(EventHistory!#REF!,"mm/dd/yyyy")),""),IF(EventHistory!#REF!="Hospital - Admission","Admission Date: "&amp;TEXT(EventHistory!#REF!,"mm/dd/yyyy")&amp;"  Discharge Date: "&amp;IF(EventHistory!#REF!="","Unknown at this time.",TEXT(EventHistory!#REF!,"mm/dd/yyyy")),""),IF(EventHistory!#REF!="Rehab","Admission Date: "&amp;TEXT(EventHistory!#REF!,"mm/dd/yyyy")&amp;"  Discharge Date: "&amp;IF(EventHistory!#REF!="","Unknown at this time.",TEXT(EventHistory!#REF!,"mm/dd/yyyy")),""),IF(EventHistory!#REF!="Inpatient Procedure","Admission Date: "&amp;TEXT(EventHistory!#REF!,"mm/dd/yyyy")&amp;"  Discharge Date: "&amp;IF(EventHistory!#REF!="","Unknown at this time.",TEXT(EventHistory!#REF!,"mm/dd/yyyy")),""),IF(EventHistory!#REF!="Physician Appointment",EventHistory!#REF!&amp;" "&amp;EventHistory!#REF!&amp;" for "&amp;EventHistory!#REF!&amp;". "&amp;IF(EventHistory!#REF!="No","No changes reported. ","Changes listed below in details."),""),IF(EventHistory!#REF!="Outpatient Procedure","No Additional Specifics",""),IF(EventHistory!#REF!="Illness/Urgent Care","No Additional Specifics",""),IF(EventHistory!#REF!="Event/Change (All others)","No Additional Specifics",""))</f>
        <v>#REF!</v>
      </c>
      <c r="J21" s="295"/>
      <c r="K21" s="295"/>
      <c r="L21" s="295"/>
      <c r="M21" s="295"/>
      <c r="N21" s="295"/>
      <c r="O21" s="295"/>
      <c r="P21" s="295"/>
      <c r="Q21" s="295"/>
      <c r="R21" s="295"/>
      <c r="S21" s="295"/>
      <c r="T21" s="295"/>
      <c r="U21" s="295"/>
      <c r="V21" s="295"/>
      <c r="W21" s="295"/>
      <c r="X21" s="295"/>
      <c r="Y21" s="295"/>
      <c r="Z21" s="295"/>
      <c r="AA21" s="295"/>
      <c r="AB21" s="295"/>
      <c r="AC21" s="295"/>
      <c r="AD21" s="295"/>
      <c r="AE21" s="295"/>
      <c r="AF21" s="295"/>
      <c r="AG21" s="295"/>
      <c r="AH21" s="295"/>
      <c r="AI21" s="295"/>
      <c r="AJ21" s="295"/>
      <c r="AK21" s="295"/>
      <c r="AL21" s="295"/>
      <c r="AM21" s="295"/>
      <c r="AN21" s="295"/>
      <c r="AO21" s="295"/>
      <c r="AP21" s="295"/>
      <c r="AQ21" s="295"/>
      <c r="AR21" s="295"/>
      <c r="AS21" s="295"/>
      <c r="AT21" s="295"/>
      <c r="AU21" s="295"/>
      <c r="AV21" s="295"/>
      <c r="AW21" s="295"/>
      <c r="AX21" s="295"/>
    </row>
    <row r="22" spans="1:51" x14ac:dyDescent="0.2">
      <c r="B22" t="s">
        <v>3270</v>
      </c>
      <c r="I22" s="216" t="e">
        <f>EventHistory!#REF!</f>
        <v>#REF!</v>
      </c>
      <c r="J22" s="216"/>
      <c r="K22" s="216"/>
      <c r="L22" s="216"/>
      <c r="M22" s="216"/>
      <c r="N22" s="216"/>
      <c r="O22" s="216"/>
      <c r="P22" s="216"/>
      <c r="Q22" s="216"/>
      <c r="R22" s="216"/>
      <c r="S22" s="216"/>
      <c r="T22" s="216"/>
      <c r="U22" s="216"/>
      <c r="V22" s="216"/>
      <c r="W22" s="216"/>
      <c r="X22" s="216"/>
      <c r="Y22" s="216"/>
      <c r="Z22" s="216"/>
      <c r="AA22" s="216"/>
      <c r="AB22" s="216"/>
      <c r="AC22" s="216"/>
      <c r="AD22" s="216"/>
      <c r="AE22" s="216"/>
      <c r="AF22" s="216"/>
      <c r="AG22" s="216"/>
      <c r="AH22" s="216"/>
      <c r="AI22" s="216"/>
      <c r="AJ22" s="216"/>
      <c r="AK22" s="216"/>
      <c r="AL22" s="216"/>
      <c r="AM22" s="216"/>
      <c r="AN22" s="216"/>
      <c r="AO22" s="216"/>
      <c r="AP22" s="216"/>
      <c r="AQ22" s="216"/>
      <c r="AR22" s="216"/>
      <c r="AS22" s="216"/>
      <c r="AT22" s="216"/>
      <c r="AU22" s="216"/>
      <c r="AV22" s="216"/>
      <c r="AW22" s="216"/>
      <c r="AX22" s="216"/>
    </row>
    <row r="23" spans="1:51" x14ac:dyDescent="0.2">
      <c r="I23" s="216"/>
      <c r="J23" s="216"/>
      <c r="K23" s="216"/>
      <c r="L23" s="216"/>
      <c r="M23" s="216"/>
      <c r="N23" s="216"/>
      <c r="O23" s="216"/>
      <c r="P23" s="216"/>
      <c r="Q23" s="216"/>
      <c r="R23" s="216"/>
      <c r="S23" s="216"/>
      <c r="T23" s="216"/>
      <c r="U23" s="216"/>
      <c r="V23" s="216"/>
      <c r="W23" s="216"/>
      <c r="X23" s="216"/>
      <c r="Y23" s="216"/>
      <c r="Z23" s="216"/>
      <c r="AA23" s="216"/>
      <c r="AB23" s="216"/>
      <c r="AC23" s="216"/>
      <c r="AD23" s="216"/>
      <c r="AE23" s="216"/>
      <c r="AF23" s="216"/>
      <c r="AG23" s="216"/>
      <c r="AH23" s="216"/>
      <c r="AI23" s="216"/>
      <c r="AJ23" s="216"/>
      <c r="AK23" s="216"/>
      <c r="AL23" s="216"/>
      <c r="AM23" s="216"/>
      <c r="AN23" s="216"/>
      <c r="AO23" s="216"/>
      <c r="AP23" s="216"/>
      <c r="AQ23" s="216"/>
      <c r="AR23" s="216"/>
      <c r="AS23" s="216"/>
      <c r="AT23" s="216"/>
      <c r="AU23" s="216"/>
      <c r="AV23" s="216"/>
      <c r="AW23" s="216"/>
      <c r="AX23" s="216"/>
    </row>
    <row r="24" spans="1:51" x14ac:dyDescent="0.2">
      <c r="B24" t="s">
        <v>3271</v>
      </c>
      <c r="I24" s="216" t="e">
        <f>IF(AND(EventHistory!#REF!=FALSE,EventHistory!#REF!=""),"No follow up required","")&amp;IF(AND(EventHistory!#REF!=TRUE,EventHistory!#REF!=""),"Follow up will occur on next supervisory visit.","")&amp;IF(EventHistory!#REF!&lt;&gt;"",EventHistory!#REF!,"")</f>
        <v>#REF!</v>
      </c>
      <c r="J24" s="216"/>
      <c r="K24" s="216"/>
      <c r="L24" s="216"/>
      <c r="M24" s="216"/>
      <c r="N24" s="216"/>
      <c r="O24" s="216"/>
      <c r="P24" s="216"/>
      <c r="Q24" s="216"/>
      <c r="R24" s="216"/>
      <c r="S24" s="216"/>
      <c r="T24" s="216"/>
      <c r="U24" s="216"/>
      <c r="V24" s="216"/>
      <c r="W24" s="216"/>
      <c r="X24" s="216"/>
      <c r="Y24" s="216"/>
      <c r="Z24" s="216"/>
      <c r="AA24" s="216"/>
      <c r="AB24" s="216"/>
      <c r="AC24" s="216"/>
      <c r="AD24" s="216"/>
      <c r="AE24" s="216"/>
      <c r="AF24" s="216"/>
      <c r="AG24" s="216"/>
      <c r="AH24" s="216"/>
      <c r="AI24" s="216"/>
      <c r="AJ24" s="216"/>
      <c r="AK24" s="216"/>
      <c r="AL24" s="216"/>
      <c r="AM24" s="216"/>
      <c r="AN24" s="216"/>
      <c r="AO24" s="216"/>
      <c r="AP24" s="216"/>
      <c r="AQ24" s="216"/>
      <c r="AR24" s="216"/>
      <c r="AS24" s="216"/>
      <c r="AT24" s="216"/>
      <c r="AU24" s="216"/>
      <c r="AV24" s="216"/>
      <c r="AW24" s="216"/>
      <c r="AX24" s="216"/>
    </row>
    <row r="25" spans="1:51" ht="13.5" thickBot="1" x14ac:dyDescent="0.25">
      <c r="A25" s="39"/>
      <c r="B25" s="39"/>
      <c r="C25" s="39"/>
      <c r="D25" s="39"/>
      <c r="E25" s="39"/>
      <c r="F25" s="39"/>
      <c r="G25" s="39"/>
      <c r="H25" s="39"/>
      <c r="I25" s="574"/>
      <c r="J25" s="574"/>
      <c r="K25" s="574"/>
      <c r="L25" s="574"/>
      <c r="M25" s="574"/>
      <c r="N25" s="574"/>
      <c r="O25" s="574"/>
      <c r="P25" s="574"/>
      <c r="Q25" s="574"/>
      <c r="R25" s="574"/>
      <c r="S25" s="574"/>
      <c r="T25" s="574"/>
      <c r="U25" s="574"/>
      <c r="V25" s="574"/>
      <c r="W25" s="574"/>
      <c r="X25" s="574"/>
      <c r="Y25" s="574"/>
      <c r="Z25" s="574"/>
      <c r="AA25" s="574"/>
      <c r="AB25" s="574"/>
      <c r="AC25" s="574"/>
      <c r="AD25" s="574"/>
      <c r="AE25" s="574"/>
      <c r="AF25" s="574"/>
      <c r="AG25" s="574"/>
      <c r="AH25" s="574"/>
      <c r="AI25" s="574"/>
      <c r="AJ25" s="574"/>
      <c r="AK25" s="574"/>
      <c r="AL25" s="574"/>
      <c r="AM25" s="574"/>
      <c r="AN25" s="574"/>
      <c r="AO25" s="574"/>
      <c r="AP25" s="574"/>
      <c r="AQ25" s="574"/>
      <c r="AR25" s="574"/>
      <c r="AS25" s="574"/>
      <c r="AT25" s="574"/>
      <c r="AU25" s="574"/>
      <c r="AV25" s="574"/>
      <c r="AW25" s="574"/>
      <c r="AX25" s="574"/>
      <c r="AY25" s="39"/>
    </row>
    <row r="26" spans="1:51" ht="13.5" thickTop="1" x14ac:dyDescent="0.2">
      <c r="A26" t="s">
        <v>3267</v>
      </c>
      <c r="E26" s="218" t="e">
        <f>EventHistory!#REF!</f>
        <v>#REF!</v>
      </c>
      <c r="F26" s="219"/>
      <c r="G26" s="219"/>
      <c r="H26" s="219"/>
      <c r="I26" s="219"/>
      <c r="J26" s="219"/>
      <c r="L26" t="s">
        <v>3268</v>
      </c>
      <c r="P26" s="576" t="e">
        <f>EventHistory!#REF!</f>
        <v>#REF!</v>
      </c>
      <c r="Q26" s="576"/>
      <c r="R26" s="576"/>
      <c r="S26" s="576"/>
      <c r="T26" s="576"/>
      <c r="U26" s="576"/>
      <c r="V26" s="576"/>
      <c r="W26" s="576"/>
      <c r="X26" s="576"/>
      <c r="Y26" s="576"/>
      <c r="Z26" s="576"/>
      <c r="AA26" t="s">
        <v>3269</v>
      </c>
      <c r="AF26" s="218" t="e">
        <f>EventHistory!#REF!</f>
        <v>#REF!</v>
      </c>
      <c r="AG26" s="219"/>
      <c r="AH26" s="219"/>
      <c r="AI26" s="219"/>
      <c r="AJ26" s="219"/>
      <c r="AK26" s="219"/>
      <c r="AL26" s="219"/>
      <c r="AN26" t="s">
        <v>3273</v>
      </c>
      <c r="AS26" s="577" t="e">
        <f>_xlfn.CONCAT(IF(AND(EventHistory!#REF!="",EventHistory!#REF!="",EventHistory!#REF!=TRUE),"Next Visit Date",""),IF(AND(EventHistory!#REF!="",EventHistory!#REF!="",EventHistory!#REF!=FALSE),"Not Required",""),IF(EventHistory!#REF!="","",TEXT(EventHistory!#REF!,"mm/dd/yyyy")))</f>
        <v>#REF!</v>
      </c>
      <c r="AT26" s="576"/>
      <c r="AU26" s="576"/>
      <c r="AV26" s="576"/>
      <c r="AW26" s="576"/>
      <c r="AX26" s="576"/>
    </row>
    <row r="27" spans="1:51" x14ac:dyDescent="0.2">
      <c r="B27" t="s">
        <v>3272</v>
      </c>
      <c r="I27" s="295" t="e">
        <f>_xlfn.CONCAT(IF(EventHistory!#REF!="Fall","No Additional Specifics",""),IF(EventHistory!#REF!="Hospital - ER","Admission Date: "&amp;TEXT(EventHistory!#REF!,"mm/dd/yyyy")&amp;"  Discharge Date: "&amp;IF(EventHistory!#REF!="","Unknown at this time.",TEXT(EventHistory!#REF!,"mm/dd/yyyy")),""),IF(EventHistory!#REF!="Hospital - Admission","Admission Date: "&amp;TEXT(EventHistory!#REF!,"mm/dd/yyyy")&amp;"  Discharge Date: "&amp;IF(EventHistory!#REF!="","Unknown at this time.",TEXT(EventHistory!#REF!,"mm/dd/yyyy")),""),IF(EventHistory!#REF!="Rehab","Admission Date: "&amp;TEXT(EventHistory!#REF!,"mm/dd/yyyy")&amp;"  Discharge Date: "&amp;IF(EventHistory!#REF!="","Unknown at this time.",TEXT(EventHistory!#REF!,"mm/dd/yyyy")),""),IF(EventHistory!#REF!="Inpatient Procedure","Admission Date: "&amp;TEXT(EventHistory!#REF!,"mm/dd/yyyy")&amp;"  Discharge Date: "&amp;IF(EventHistory!#REF!="","Unknown at this time.",TEXT(EventHistory!#REF!,"mm/dd/yyyy")),""),IF(EventHistory!#REF!="Physician Appointment",EventHistory!#REF!&amp;" "&amp;EventHistory!#REF!&amp;" for "&amp;EventHistory!#REF!&amp;". "&amp;IF(EventHistory!#REF!="No","No changes reported. ","Changes listed below in details."),""),IF(EventHistory!#REF!="Outpatient Procedure","No Additional Specifics",""),IF(EventHistory!#REF!="Illness/Urgent Care","No Additional Specifics",""),IF(EventHistory!#REF!="Event/Change (All others)","No Additional Specifics",""))</f>
        <v>#REF!</v>
      </c>
      <c r="J27" s="295"/>
      <c r="K27" s="295"/>
      <c r="L27" s="295"/>
      <c r="M27" s="295"/>
      <c r="N27" s="295"/>
      <c r="O27" s="295"/>
      <c r="P27" s="295"/>
      <c r="Q27" s="295"/>
      <c r="R27" s="295"/>
      <c r="S27" s="295"/>
      <c r="T27" s="295"/>
      <c r="U27" s="295"/>
      <c r="V27" s="295"/>
      <c r="W27" s="295"/>
      <c r="X27" s="295"/>
      <c r="Y27" s="295"/>
      <c r="Z27" s="295"/>
      <c r="AA27" s="295"/>
      <c r="AB27" s="295"/>
      <c r="AC27" s="295"/>
      <c r="AD27" s="295"/>
      <c r="AE27" s="295"/>
      <c r="AF27" s="295"/>
      <c r="AG27" s="295"/>
      <c r="AH27" s="295"/>
      <c r="AI27" s="295"/>
      <c r="AJ27" s="295"/>
      <c r="AK27" s="295"/>
      <c r="AL27" s="295"/>
      <c r="AM27" s="295"/>
      <c r="AN27" s="295"/>
      <c r="AO27" s="295"/>
      <c r="AP27" s="295"/>
      <c r="AQ27" s="295"/>
      <c r="AR27" s="295"/>
      <c r="AS27" s="295"/>
      <c r="AT27" s="295"/>
      <c r="AU27" s="295"/>
      <c r="AV27" s="295"/>
      <c r="AW27" s="295"/>
      <c r="AX27" s="295"/>
    </row>
    <row r="28" spans="1:51" x14ac:dyDescent="0.2">
      <c r="B28" t="s">
        <v>3270</v>
      </c>
      <c r="I28" s="216" t="e">
        <f>EventHistory!#REF!</f>
        <v>#REF!</v>
      </c>
      <c r="J28" s="216"/>
      <c r="K28" s="216"/>
      <c r="L28" s="216"/>
      <c r="M28" s="216"/>
      <c r="N28" s="216"/>
      <c r="O28" s="216"/>
      <c r="P28" s="216"/>
      <c r="Q28" s="216"/>
      <c r="R28" s="216"/>
      <c r="S28" s="216"/>
      <c r="T28" s="216"/>
      <c r="U28" s="216"/>
      <c r="V28" s="216"/>
      <c r="W28" s="216"/>
      <c r="X28" s="216"/>
      <c r="Y28" s="216"/>
      <c r="Z28" s="216"/>
      <c r="AA28" s="216"/>
      <c r="AB28" s="216"/>
      <c r="AC28" s="216"/>
      <c r="AD28" s="216"/>
      <c r="AE28" s="216"/>
      <c r="AF28" s="216"/>
      <c r="AG28" s="216"/>
      <c r="AH28" s="216"/>
      <c r="AI28" s="216"/>
      <c r="AJ28" s="216"/>
      <c r="AK28" s="216"/>
      <c r="AL28" s="216"/>
      <c r="AM28" s="216"/>
      <c r="AN28" s="216"/>
      <c r="AO28" s="216"/>
      <c r="AP28" s="216"/>
      <c r="AQ28" s="216"/>
      <c r="AR28" s="216"/>
      <c r="AS28" s="216"/>
      <c r="AT28" s="216"/>
      <c r="AU28" s="216"/>
      <c r="AV28" s="216"/>
      <c r="AW28" s="216"/>
      <c r="AX28" s="216"/>
    </row>
    <row r="29" spans="1:51" x14ac:dyDescent="0.2">
      <c r="I29" s="216"/>
      <c r="J29" s="216"/>
      <c r="K29" s="216"/>
      <c r="L29" s="216"/>
      <c r="M29" s="216"/>
      <c r="N29" s="216"/>
      <c r="O29" s="216"/>
      <c r="P29" s="216"/>
      <c r="Q29" s="216"/>
      <c r="R29" s="216"/>
      <c r="S29" s="216"/>
      <c r="T29" s="216"/>
      <c r="U29" s="216"/>
      <c r="V29" s="216"/>
      <c r="W29" s="216"/>
      <c r="X29" s="216"/>
      <c r="Y29" s="216"/>
      <c r="Z29" s="216"/>
      <c r="AA29" s="216"/>
      <c r="AB29" s="216"/>
      <c r="AC29" s="216"/>
      <c r="AD29" s="216"/>
      <c r="AE29" s="216"/>
      <c r="AF29" s="216"/>
      <c r="AG29" s="216"/>
      <c r="AH29" s="216"/>
      <c r="AI29" s="216"/>
      <c r="AJ29" s="216"/>
      <c r="AK29" s="216"/>
      <c r="AL29" s="216"/>
      <c r="AM29" s="216"/>
      <c r="AN29" s="216"/>
      <c r="AO29" s="216"/>
      <c r="AP29" s="216"/>
      <c r="AQ29" s="216"/>
      <c r="AR29" s="216"/>
      <c r="AS29" s="216"/>
      <c r="AT29" s="216"/>
      <c r="AU29" s="216"/>
      <c r="AV29" s="216"/>
      <c r="AW29" s="216"/>
      <c r="AX29" s="216"/>
    </row>
    <row r="30" spans="1:51" x14ac:dyDescent="0.2">
      <c r="B30" t="s">
        <v>3271</v>
      </c>
      <c r="I30" s="216" t="e">
        <f>IF(AND(EventHistory!#REF!=FALSE,EventHistory!#REF!=""),"No follow up required","")&amp;IF(AND(EventHistory!#REF!=TRUE,EventHistory!#REF!=""),"Follow up will occur on next supervisory visit.","")&amp;IF(EventHistory!#REF!&lt;&gt;"",EventHistory!#REF!,"")</f>
        <v>#REF!</v>
      </c>
      <c r="J30" s="216"/>
      <c r="K30" s="216"/>
      <c r="L30" s="216"/>
      <c r="M30" s="216"/>
      <c r="N30" s="216"/>
      <c r="O30" s="216"/>
      <c r="P30" s="216"/>
      <c r="Q30" s="216"/>
      <c r="R30" s="216"/>
      <c r="S30" s="216"/>
      <c r="T30" s="216"/>
      <c r="U30" s="216"/>
      <c r="V30" s="216"/>
      <c r="W30" s="216"/>
      <c r="X30" s="216"/>
      <c r="Y30" s="216"/>
      <c r="Z30" s="216"/>
      <c r="AA30" s="216"/>
      <c r="AB30" s="216"/>
      <c r="AC30" s="216"/>
      <c r="AD30" s="216"/>
      <c r="AE30" s="216"/>
      <c r="AF30" s="216"/>
      <c r="AG30" s="216"/>
      <c r="AH30" s="216"/>
      <c r="AI30" s="216"/>
      <c r="AJ30" s="216"/>
      <c r="AK30" s="216"/>
      <c r="AL30" s="216"/>
      <c r="AM30" s="216"/>
      <c r="AN30" s="216"/>
      <c r="AO30" s="216"/>
      <c r="AP30" s="216"/>
      <c r="AQ30" s="216"/>
      <c r="AR30" s="216"/>
      <c r="AS30" s="216"/>
      <c r="AT30" s="216"/>
      <c r="AU30" s="216"/>
      <c r="AV30" s="216"/>
      <c r="AW30" s="216"/>
      <c r="AX30" s="216"/>
    </row>
    <row r="31" spans="1:51" ht="13.5" thickBot="1" x14ac:dyDescent="0.25">
      <c r="A31" s="39"/>
      <c r="B31" s="39"/>
      <c r="C31" s="39"/>
      <c r="D31" s="39"/>
      <c r="E31" s="39"/>
      <c r="F31" s="39"/>
      <c r="G31" s="39"/>
      <c r="H31" s="39"/>
      <c r="I31" s="574"/>
      <c r="J31" s="574"/>
      <c r="K31" s="574"/>
      <c r="L31" s="574"/>
      <c r="M31" s="574"/>
      <c r="N31" s="574"/>
      <c r="O31" s="574"/>
      <c r="P31" s="574"/>
      <c r="Q31" s="574"/>
      <c r="R31" s="574"/>
      <c r="S31" s="574"/>
      <c r="T31" s="574"/>
      <c r="U31" s="574"/>
      <c r="V31" s="574"/>
      <c r="W31" s="574"/>
      <c r="X31" s="574"/>
      <c r="Y31" s="574"/>
      <c r="Z31" s="574"/>
      <c r="AA31" s="574"/>
      <c r="AB31" s="574"/>
      <c r="AC31" s="574"/>
      <c r="AD31" s="574"/>
      <c r="AE31" s="574"/>
      <c r="AF31" s="574"/>
      <c r="AG31" s="574"/>
      <c r="AH31" s="574"/>
      <c r="AI31" s="574"/>
      <c r="AJ31" s="574"/>
      <c r="AK31" s="574"/>
      <c r="AL31" s="574"/>
      <c r="AM31" s="574"/>
      <c r="AN31" s="574"/>
      <c r="AO31" s="574"/>
      <c r="AP31" s="574"/>
      <c r="AQ31" s="574"/>
      <c r="AR31" s="574"/>
      <c r="AS31" s="574"/>
      <c r="AT31" s="574"/>
      <c r="AU31" s="574"/>
      <c r="AV31" s="574"/>
      <c r="AW31" s="574"/>
      <c r="AX31" s="574"/>
      <c r="AY31" s="39"/>
    </row>
    <row r="32" spans="1:51" ht="13.5" thickTop="1" x14ac:dyDescent="0.2">
      <c r="A32" s="147" t="s">
        <v>3267</v>
      </c>
      <c r="B32" s="147"/>
      <c r="C32" s="147"/>
      <c r="D32" s="147"/>
      <c r="E32" s="577" t="e">
        <f>EventHistory!#REF!</f>
        <v>#REF!</v>
      </c>
      <c r="F32" s="576"/>
      <c r="G32" s="576"/>
      <c r="H32" s="576"/>
      <c r="I32" s="576"/>
      <c r="J32" s="576"/>
      <c r="K32" s="147"/>
      <c r="L32" s="147" t="s">
        <v>3268</v>
      </c>
      <c r="M32" s="147"/>
      <c r="N32" s="147"/>
      <c r="O32" s="147"/>
      <c r="P32" s="575" t="e">
        <f>EventHistory!#REF!</f>
        <v>#REF!</v>
      </c>
      <c r="Q32" s="575"/>
      <c r="R32" s="575"/>
      <c r="S32" s="575"/>
      <c r="T32" s="575"/>
      <c r="U32" s="575"/>
      <c r="V32" s="575"/>
      <c r="W32" s="575"/>
      <c r="X32" s="575"/>
      <c r="Y32" s="575"/>
      <c r="Z32" s="575"/>
      <c r="AA32" s="147" t="s">
        <v>3269</v>
      </c>
      <c r="AB32" s="147"/>
      <c r="AC32" s="147"/>
      <c r="AD32" s="147"/>
      <c r="AE32" s="147"/>
      <c r="AF32" s="577" t="e">
        <f>EventHistory!#REF!</f>
        <v>#REF!</v>
      </c>
      <c r="AG32" s="576"/>
      <c r="AH32" s="576"/>
      <c r="AI32" s="576"/>
      <c r="AJ32" s="576"/>
      <c r="AK32" s="576"/>
      <c r="AL32" s="576"/>
      <c r="AM32" s="147"/>
      <c r="AN32" s="147" t="s">
        <v>3273</v>
      </c>
      <c r="AO32" s="147"/>
      <c r="AP32" s="147"/>
      <c r="AQ32" s="147"/>
      <c r="AR32" s="147"/>
      <c r="AS32" s="577" t="e">
        <f>_xlfn.CONCAT(IF(AND(EventHistory!#REF!="",EventHistory!#REF!="",EventHistory!#REF!=TRUE),"Next Visit Date",""),IF(AND(EventHistory!#REF!="",EventHistory!#REF!="",EventHistory!#REF!=FALSE),"Not Required",""),IF(EventHistory!#REF!="","",TEXT(EventHistory!#REF!,"mm/dd/yyyy")))</f>
        <v>#REF!</v>
      </c>
      <c r="AT32" s="577"/>
      <c r="AU32" s="577"/>
      <c r="AV32" s="577"/>
      <c r="AW32" s="577"/>
      <c r="AX32" s="577"/>
      <c r="AY32" s="147"/>
    </row>
    <row r="33" spans="1:51" x14ac:dyDescent="0.2">
      <c r="B33" t="s">
        <v>3272</v>
      </c>
      <c r="I33" s="295" t="e">
        <f>_xlfn.CONCAT(IF(EventHistory!#REF!="Fall","No Additional Specifics",""),IF(EventHistory!#REF!="Hospital - ER","Admission Date: "&amp;TEXT(EventHistory!#REF!,"mm/dd/yyyy")&amp;"  Discharge Date: "&amp;IF(EventHistory!#REF!="","Unknown at this time.",TEXT(EventHistory!#REF!,"mm/dd/yyyy")),""),IF(EventHistory!#REF!="Hospital - Admission","Admission Date: "&amp;TEXT(EventHistory!#REF!,"mm/dd/yyyy")&amp;"  Discharge Date: "&amp;IF(EventHistory!#REF!="","Unknown at this time.",TEXT(EventHistory!#REF!,"mm/dd/yyyy")),""),IF(EventHistory!#REF!="Rehab","Admission Date: "&amp;TEXT(EventHistory!#REF!,"mm/dd/yyyy")&amp;"  Discharge Date: "&amp;IF(EventHistory!#REF!="","Unknown at this time.",TEXT(EventHistory!#REF!,"mm/dd/yyyy")),""),IF(EventHistory!#REF!="Inpatient Procedure","Admission Date: "&amp;TEXT(EventHistory!#REF!,"mm/dd/yyyy")&amp;"  Discharge Date: "&amp;IF(EventHistory!#REF!="","Unknown at this time.",TEXT(EventHistory!#REF!,"mm/dd/yyyy")),""),IF(EventHistory!#REF!="Physician Appointment",EventHistory!#REF!&amp;" "&amp;EventHistory!#REF!&amp;" for "&amp;EventHistory!#REF!&amp;". "&amp;IF(EventHistory!#REF!="No","No changes reported. ","Changes listed below in details."),""),IF(EventHistory!#REF!="Outpatient Procedure","No Additional Specifics",""),IF(EventHistory!#REF!="Illness/Urgent Care","No Additional Specifics",""),IF(EventHistory!#REF!="Event/Change (All others)","No Additional Specifics",""))</f>
        <v>#REF!</v>
      </c>
      <c r="J33" s="295"/>
      <c r="K33" s="295"/>
      <c r="L33" s="295"/>
      <c r="M33" s="295"/>
      <c r="N33" s="295"/>
      <c r="O33" s="295"/>
      <c r="P33" s="295"/>
      <c r="Q33" s="295"/>
      <c r="R33" s="295"/>
      <c r="S33" s="295"/>
      <c r="T33" s="295"/>
      <c r="U33" s="295"/>
      <c r="V33" s="295"/>
      <c r="W33" s="295"/>
      <c r="X33" s="295"/>
      <c r="Y33" s="295"/>
      <c r="Z33" s="295"/>
      <c r="AA33" s="295"/>
      <c r="AB33" s="295"/>
      <c r="AC33" s="295"/>
      <c r="AD33" s="295"/>
      <c r="AE33" s="295"/>
      <c r="AF33" s="295"/>
      <c r="AG33" s="295"/>
      <c r="AH33" s="295"/>
      <c r="AI33" s="295"/>
      <c r="AJ33" s="295"/>
      <c r="AK33" s="295"/>
      <c r="AL33" s="295"/>
      <c r="AM33" s="295"/>
      <c r="AN33" s="295"/>
      <c r="AO33" s="295"/>
      <c r="AP33" s="295"/>
      <c r="AQ33" s="295"/>
      <c r="AR33" s="295"/>
      <c r="AS33" s="295"/>
      <c r="AT33" s="295"/>
      <c r="AU33" s="295"/>
      <c r="AV33" s="295"/>
      <c r="AW33" s="295"/>
      <c r="AX33" s="295"/>
    </row>
    <row r="34" spans="1:51" x14ac:dyDescent="0.2">
      <c r="B34" t="s">
        <v>3270</v>
      </c>
      <c r="I34" s="216" t="e">
        <f>EventHistory!#REF!</f>
        <v>#REF!</v>
      </c>
      <c r="J34" s="216"/>
      <c r="K34" s="216"/>
      <c r="L34" s="216"/>
      <c r="M34" s="216"/>
      <c r="N34" s="216"/>
      <c r="O34" s="216"/>
      <c r="P34" s="216"/>
      <c r="Q34" s="216"/>
      <c r="R34" s="216"/>
      <c r="S34" s="216"/>
      <c r="T34" s="216"/>
      <c r="U34" s="216"/>
      <c r="V34" s="216"/>
      <c r="W34" s="216"/>
      <c r="X34" s="216"/>
      <c r="Y34" s="216"/>
      <c r="Z34" s="216"/>
      <c r="AA34" s="216"/>
      <c r="AB34" s="216"/>
      <c r="AC34" s="216"/>
      <c r="AD34" s="216"/>
      <c r="AE34" s="216"/>
      <c r="AF34" s="216"/>
      <c r="AG34" s="216"/>
      <c r="AH34" s="216"/>
      <c r="AI34" s="216"/>
      <c r="AJ34" s="216"/>
      <c r="AK34" s="216"/>
      <c r="AL34" s="216"/>
      <c r="AM34" s="216"/>
      <c r="AN34" s="216"/>
      <c r="AO34" s="216"/>
      <c r="AP34" s="216"/>
      <c r="AQ34" s="216"/>
      <c r="AR34" s="216"/>
      <c r="AS34" s="216"/>
      <c r="AT34" s="216"/>
      <c r="AU34" s="216"/>
      <c r="AV34" s="216"/>
      <c r="AW34" s="216"/>
      <c r="AX34" s="216"/>
    </row>
    <row r="35" spans="1:51" x14ac:dyDescent="0.2">
      <c r="I35" s="216"/>
      <c r="J35" s="216"/>
      <c r="K35" s="216"/>
      <c r="L35" s="216"/>
      <c r="M35" s="216"/>
      <c r="N35" s="216"/>
      <c r="O35" s="216"/>
      <c r="P35" s="216"/>
      <c r="Q35" s="216"/>
      <c r="R35" s="216"/>
      <c r="S35" s="216"/>
      <c r="T35" s="216"/>
      <c r="U35" s="216"/>
      <c r="V35" s="216"/>
      <c r="W35" s="216"/>
      <c r="X35" s="216"/>
      <c r="Y35" s="216"/>
      <c r="Z35" s="216"/>
      <c r="AA35" s="216"/>
      <c r="AB35" s="216"/>
      <c r="AC35" s="216"/>
      <c r="AD35" s="216"/>
      <c r="AE35" s="216"/>
      <c r="AF35" s="216"/>
      <c r="AG35" s="216"/>
      <c r="AH35" s="216"/>
      <c r="AI35" s="216"/>
      <c r="AJ35" s="216"/>
      <c r="AK35" s="216"/>
      <c r="AL35" s="216"/>
      <c r="AM35" s="216"/>
      <c r="AN35" s="216"/>
      <c r="AO35" s="216"/>
      <c r="AP35" s="216"/>
      <c r="AQ35" s="216"/>
      <c r="AR35" s="216"/>
      <c r="AS35" s="216"/>
      <c r="AT35" s="216"/>
      <c r="AU35" s="216"/>
      <c r="AV35" s="216"/>
      <c r="AW35" s="216"/>
      <c r="AX35" s="216"/>
    </row>
    <row r="36" spans="1:51" x14ac:dyDescent="0.2">
      <c r="B36" t="s">
        <v>3271</v>
      </c>
      <c r="I36" s="216" t="e">
        <f>IF(AND(EventHistory!#REF!=FALSE,EventHistory!#REF!=""),"No follow up required","")&amp;IF(AND(EventHistory!#REF!=TRUE,EventHistory!#REF!=""),"Follow up will occur on next supervisory visit.","")&amp;IF(EventHistory!#REF!&lt;&gt;"",EventHistory!#REF!,"")</f>
        <v>#REF!</v>
      </c>
      <c r="J36" s="216"/>
      <c r="K36" s="216"/>
      <c r="L36" s="216"/>
      <c r="M36" s="216"/>
      <c r="N36" s="216"/>
      <c r="O36" s="216"/>
      <c r="P36" s="216"/>
      <c r="Q36" s="216"/>
      <c r="R36" s="216"/>
      <c r="S36" s="216"/>
      <c r="T36" s="216"/>
      <c r="U36" s="216"/>
      <c r="V36" s="216"/>
      <c r="W36" s="216"/>
      <c r="X36" s="216"/>
      <c r="Y36" s="216"/>
      <c r="Z36" s="216"/>
      <c r="AA36" s="216"/>
      <c r="AB36" s="216"/>
      <c r="AC36" s="216"/>
      <c r="AD36" s="216"/>
      <c r="AE36" s="216"/>
      <c r="AF36" s="216"/>
      <c r="AG36" s="216"/>
      <c r="AH36" s="216"/>
      <c r="AI36" s="216"/>
      <c r="AJ36" s="216"/>
      <c r="AK36" s="216"/>
      <c r="AL36" s="216"/>
      <c r="AM36" s="216"/>
      <c r="AN36" s="216"/>
      <c r="AO36" s="216"/>
      <c r="AP36" s="216"/>
      <c r="AQ36" s="216"/>
      <c r="AR36" s="216"/>
      <c r="AS36" s="216"/>
      <c r="AT36" s="216"/>
      <c r="AU36" s="216"/>
      <c r="AV36" s="216"/>
      <c r="AW36" s="216"/>
      <c r="AX36" s="216"/>
    </row>
    <row r="37" spans="1:51" ht="13.5" thickBot="1" x14ac:dyDescent="0.25">
      <c r="A37" s="39"/>
      <c r="B37" s="39"/>
      <c r="C37" s="39"/>
      <c r="D37" s="39"/>
      <c r="E37" s="39"/>
      <c r="F37" s="39"/>
      <c r="G37" s="39"/>
      <c r="H37" s="39"/>
      <c r="I37" s="574"/>
      <c r="J37" s="574"/>
      <c r="K37" s="574"/>
      <c r="L37" s="574"/>
      <c r="M37" s="574"/>
      <c r="N37" s="574"/>
      <c r="O37" s="574"/>
      <c r="P37" s="574"/>
      <c r="Q37" s="574"/>
      <c r="R37" s="574"/>
      <c r="S37" s="574"/>
      <c r="T37" s="574"/>
      <c r="U37" s="574"/>
      <c r="V37" s="574"/>
      <c r="W37" s="574"/>
      <c r="X37" s="574"/>
      <c r="Y37" s="574"/>
      <c r="Z37" s="574"/>
      <c r="AA37" s="574"/>
      <c r="AB37" s="574"/>
      <c r="AC37" s="574"/>
      <c r="AD37" s="574"/>
      <c r="AE37" s="574"/>
      <c r="AF37" s="574"/>
      <c r="AG37" s="574"/>
      <c r="AH37" s="574"/>
      <c r="AI37" s="574"/>
      <c r="AJ37" s="574"/>
      <c r="AK37" s="574"/>
      <c r="AL37" s="574"/>
      <c r="AM37" s="574"/>
      <c r="AN37" s="574"/>
      <c r="AO37" s="574"/>
      <c r="AP37" s="574"/>
      <c r="AQ37" s="574"/>
      <c r="AR37" s="574"/>
      <c r="AS37" s="574"/>
      <c r="AT37" s="574"/>
      <c r="AU37" s="574"/>
      <c r="AV37" s="574"/>
      <c r="AW37" s="574"/>
      <c r="AX37" s="574"/>
      <c r="AY37" s="39"/>
    </row>
    <row r="38" spans="1:51" ht="13.5" thickTop="1" x14ac:dyDescent="0.2">
      <c r="I38" s="37"/>
      <c r="J38" s="37"/>
      <c r="K38" s="37"/>
      <c r="L38" s="37"/>
      <c r="M38" s="37"/>
      <c r="N38" s="37"/>
      <c r="O38" s="37"/>
      <c r="P38" s="37"/>
      <c r="Q38" s="37"/>
      <c r="R38" s="37"/>
      <c r="S38" s="37"/>
      <c r="T38" s="37"/>
      <c r="U38" s="37"/>
      <c r="V38" s="37"/>
      <c r="W38" s="37"/>
      <c r="X38" s="37"/>
      <c r="Y38" s="37"/>
      <c r="Z38" s="37"/>
      <c r="AA38" s="37"/>
      <c r="AB38" s="37"/>
      <c r="AC38" s="37"/>
      <c r="AD38" s="37"/>
      <c r="AE38" s="37"/>
      <c r="AF38" s="37"/>
      <c r="AG38" s="37"/>
      <c r="AH38" s="37"/>
      <c r="AI38" s="37"/>
      <c r="AJ38" s="37"/>
      <c r="AK38" s="37"/>
      <c r="AL38" s="37"/>
      <c r="AM38" s="37"/>
      <c r="AN38" s="37"/>
      <c r="AO38" s="37"/>
      <c r="AP38" s="37"/>
      <c r="AQ38" s="37"/>
      <c r="AR38" s="37"/>
      <c r="AS38" s="37"/>
      <c r="AT38" s="37"/>
      <c r="AU38" s="37"/>
      <c r="AV38" s="37"/>
      <c r="AW38" s="37"/>
      <c r="AX38" s="37"/>
    </row>
    <row r="39" spans="1:51" ht="13.5" thickBot="1" x14ac:dyDescent="0.25">
      <c r="A39" t="s">
        <v>336</v>
      </c>
      <c r="E39" s="219" t="e">
        <f>_xlfn.CONCAT(#REF!,", ",#REF!," ",#REF!)</f>
        <v>#REF!</v>
      </c>
      <c r="F39" s="219"/>
      <c r="G39" s="219"/>
      <c r="H39" s="219"/>
      <c r="I39" s="219"/>
      <c r="J39" s="219"/>
      <c r="K39" s="219"/>
      <c r="L39" s="219"/>
      <c r="M39" s="219"/>
      <c r="N39" s="219"/>
      <c r="O39" s="219"/>
      <c r="P39" s="219"/>
      <c r="Q39" s="219"/>
      <c r="R39" s="219"/>
      <c r="S39" s="219"/>
      <c r="V39" t="s">
        <v>337</v>
      </c>
      <c r="AA39" s="218" t="e">
        <f>#REF!</f>
        <v>#REF!</v>
      </c>
      <c r="AB39" s="218"/>
      <c r="AC39" s="218"/>
      <c r="AD39" s="218"/>
      <c r="AE39" s="218"/>
      <c r="AF39" s="218"/>
      <c r="AI39" t="s">
        <v>582</v>
      </c>
      <c r="AN39" s="218" t="e">
        <f>#REF!</f>
        <v>#REF!</v>
      </c>
      <c r="AO39" s="218"/>
      <c r="AP39" s="218"/>
      <c r="AQ39" s="218"/>
      <c r="AR39" s="218"/>
      <c r="AS39" s="218"/>
      <c r="AT39" s="218"/>
      <c r="AU39" s="37"/>
      <c r="AV39" s="37"/>
      <c r="AW39" s="37"/>
      <c r="AX39" s="37"/>
    </row>
    <row r="40" spans="1:51" ht="13.5" thickTop="1" x14ac:dyDescent="0.2">
      <c r="A40" s="147" t="s">
        <v>3267</v>
      </c>
      <c r="B40" s="147"/>
      <c r="C40" s="147"/>
      <c r="D40" s="147"/>
      <c r="E40" s="577" t="e">
        <f>EventHistory!#REF!</f>
        <v>#REF!</v>
      </c>
      <c r="F40" s="576"/>
      <c r="G40" s="576"/>
      <c r="H40" s="576"/>
      <c r="I40" s="576"/>
      <c r="J40" s="576"/>
      <c r="K40" s="147"/>
      <c r="L40" s="147" t="s">
        <v>3268</v>
      </c>
      <c r="M40" s="147"/>
      <c r="N40" s="147"/>
      <c r="O40" s="147"/>
      <c r="P40" s="576" t="e">
        <f>EventHistory!#REF!</f>
        <v>#REF!</v>
      </c>
      <c r="Q40" s="576"/>
      <c r="R40" s="576"/>
      <c r="S40" s="576"/>
      <c r="T40" s="576"/>
      <c r="U40" s="576"/>
      <c r="V40" s="576"/>
      <c r="W40" s="576"/>
      <c r="X40" s="576"/>
      <c r="Y40" s="576"/>
      <c r="Z40" s="576"/>
      <c r="AA40" s="147" t="s">
        <v>3269</v>
      </c>
      <c r="AB40" s="147"/>
      <c r="AC40" s="147"/>
      <c r="AD40" s="147"/>
      <c r="AE40" s="147"/>
      <c r="AF40" s="577" t="e">
        <f>EventHistory!#REF!</f>
        <v>#REF!</v>
      </c>
      <c r="AG40" s="576"/>
      <c r="AH40" s="576"/>
      <c r="AI40" s="576"/>
      <c r="AJ40" s="576"/>
      <c r="AK40" s="576"/>
      <c r="AL40" s="576"/>
      <c r="AM40" s="147"/>
      <c r="AN40" s="147" t="s">
        <v>3273</v>
      </c>
      <c r="AO40" s="147"/>
      <c r="AP40" s="147"/>
      <c r="AQ40" s="147"/>
      <c r="AR40" s="147"/>
      <c r="AS40" s="576" t="e">
        <f>_xlfn.CONCAT(IF(AND(EventHistory!#REF!="",EventHistory!#REF!="",EventHistory!#REF!=TRUE),"Next Visit Date",""),IF(AND(EventHistory!#REF!="",EventHistory!#REF!="",EventHistory!#REF!=FALSE),"Not Required",""),IF(EventHistory!#REF!="","",TEXT(EventHistory!#REF!,"mm/dd/yyyy")))</f>
        <v>#REF!</v>
      </c>
      <c r="AT40" s="576"/>
      <c r="AU40" s="576"/>
      <c r="AV40" s="576"/>
      <c r="AW40" s="576"/>
      <c r="AX40" s="576"/>
      <c r="AY40" s="147"/>
    </row>
    <row r="41" spans="1:51" x14ac:dyDescent="0.2">
      <c r="B41" t="s">
        <v>3272</v>
      </c>
      <c r="I41" s="295" t="e">
        <f>_xlfn.CONCAT(IF(EventHistory!#REF!="Fall","No Additional Specifics",""),IF(EventHistory!#REF!="Hospital - ER","Admission Date: "&amp;TEXT(EventHistory!#REF!,"mm/dd/yyyy")&amp;"  Discharge Date: "&amp;IF(EventHistory!#REF!="","Unknown at this time.",TEXT(EventHistory!#REF!,"mm/dd/yyyy")),""),IF(EventHistory!#REF!="Hospital - Admission","Admission Date: "&amp;TEXT(EventHistory!#REF!,"mm/dd/yyyy")&amp;"  Discharge Date: "&amp;IF(EventHistory!#REF!="","Unknown at this time.",TEXT(EventHistory!#REF!,"mm/dd/yyyy")),""),IF(EventHistory!#REF!="Rehab","Admission Date: "&amp;TEXT(EventHistory!#REF!,"mm/dd/yyyy")&amp;"  Discharge Date: "&amp;IF(EventHistory!#REF!="","Unknown at this time.",TEXT(EventHistory!#REF!,"mm/dd/yyyy")),""),IF(EventHistory!#REF!="Inpatient Procedure","Admission Date: "&amp;TEXT(EventHistory!#REF!,"mm/dd/yyyy")&amp;"  Discharge Date: "&amp;IF(EventHistory!#REF!="","Unknown at this time.",TEXT(EventHistory!#REF!,"mm/dd/yyyy")),""),IF(EventHistory!#REF!="Physician Appointment",EventHistory!#REF!&amp;" "&amp;EventHistory!#REF!&amp;" for "&amp;EventHistory!#REF!&amp;". "&amp;IF(EventHistory!#REF!="No","No changes reported. ","Changes listed below in details."),""),IF(EventHistory!#REF!="Outpatient Procedure","No Additional Specifics",""),IF(EventHistory!#REF!="Illness/Urgent Care","No Additional Specifics",""),IF(EventHistory!#REF!="Event/Change (All others)","No Additional Specifics",""))</f>
        <v>#REF!</v>
      </c>
      <c r="J41" s="295"/>
      <c r="K41" s="295"/>
      <c r="L41" s="295"/>
      <c r="M41" s="295"/>
      <c r="N41" s="295"/>
      <c r="O41" s="295"/>
      <c r="P41" s="295"/>
      <c r="Q41" s="295"/>
      <c r="R41" s="295"/>
      <c r="S41" s="295"/>
      <c r="T41" s="295"/>
      <c r="U41" s="295"/>
      <c r="V41" s="295"/>
      <c r="W41" s="295"/>
      <c r="X41" s="295"/>
      <c r="Y41" s="295"/>
      <c r="Z41" s="295"/>
      <c r="AA41" s="295"/>
      <c r="AB41" s="295"/>
      <c r="AC41" s="295"/>
      <c r="AD41" s="295"/>
      <c r="AE41" s="295"/>
      <c r="AF41" s="295"/>
      <c r="AG41" s="295"/>
      <c r="AH41" s="295"/>
      <c r="AI41" s="295"/>
      <c r="AJ41" s="295"/>
      <c r="AK41" s="295"/>
      <c r="AL41" s="295"/>
      <c r="AM41" s="295"/>
      <c r="AN41" s="295"/>
      <c r="AO41" s="295"/>
      <c r="AP41" s="295"/>
      <c r="AQ41" s="295"/>
      <c r="AR41" s="295"/>
      <c r="AS41" s="295"/>
      <c r="AT41" s="295"/>
      <c r="AU41" s="295"/>
      <c r="AV41" s="295"/>
      <c r="AW41" s="295"/>
      <c r="AX41" s="295"/>
    </row>
    <row r="42" spans="1:51" x14ac:dyDescent="0.2">
      <c r="B42" t="s">
        <v>3270</v>
      </c>
      <c r="I42" s="216" t="e">
        <f>EventHistory!#REF!</f>
        <v>#REF!</v>
      </c>
      <c r="J42" s="216"/>
      <c r="K42" s="216"/>
      <c r="L42" s="216"/>
      <c r="M42" s="216"/>
      <c r="N42" s="216"/>
      <c r="O42" s="216"/>
      <c r="P42" s="216"/>
      <c r="Q42" s="216"/>
      <c r="R42" s="216"/>
      <c r="S42" s="216"/>
      <c r="T42" s="216"/>
      <c r="U42" s="216"/>
      <c r="V42" s="216"/>
      <c r="W42" s="216"/>
      <c r="X42" s="216"/>
      <c r="Y42" s="216"/>
      <c r="Z42" s="216"/>
      <c r="AA42" s="216"/>
      <c r="AB42" s="216"/>
      <c r="AC42" s="216"/>
      <c r="AD42" s="216"/>
      <c r="AE42" s="216"/>
      <c r="AF42" s="216"/>
      <c r="AG42" s="216"/>
      <c r="AH42" s="216"/>
      <c r="AI42" s="216"/>
      <c r="AJ42" s="216"/>
      <c r="AK42" s="216"/>
      <c r="AL42" s="216"/>
      <c r="AM42" s="216"/>
      <c r="AN42" s="216"/>
      <c r="AO42" s="216"/>
      <c r="AP42" s="216"/>
      <c r="AQ42" s="216"/>
      <c r="AR42" s="216"/>
      <c r="AS42" s="216"/>
      <c r="AT42" s="216"/>
      <c r="AU42" s="216"/>
      <c r="AV42" s="216"/>
      <c r="AW42" s="216"/>
      <c r="AX42" s="216"/>
    </row>
    <row r="43" spans="1:51" x14ac:dyDescent="0.2">
      <c r="I43" s="216"/>
      <c r="J43" s="216"/>
      <c r="K43" s="216"/>
      <c r="L43" s="216"/>
      <c r="M43" s="216"/>
      <c r="N43" s="216"/>
      <c r="O43" s="216"/>
      <c r="P43" s="216"/>
      <c r="Q43" s="216"/>
      <c r="R43" s="216"/>
      <c r="S43" s="216"/>
      <c r="T43" s="216"/>
      <c r="U43" s="216"/>
      <c r="V43" s="216"/>
      <c r="W43" s="216"/>
      <c r="X43" s="216"/>
      <c r="Y43" s="216"/>
      <c r="Z43" s="216"/>
      <c r="AA43" s="216"/>
      <c r="AB43" s="216"/>
      <c r="AC43" s="216"/>
      <c r="AD43" s="216"/>
      <c r="AE43" s="216"/>
      <c r="AF43" s="216"/>
      <c r="AG43" s="216"/>
      <c r="AH43" s="216"/>
      <c r="AI43" s="216"/>
      <c r="AJ43" s="216"/>
      <c r="AK43" s="216"/>
      <c r="AL43" s="216"/>
      <c r="AM43" s="216"/>
      <c r="AN43" s="216"/>
      <c r="AO43" s="216"/>
      <c r="AP43" s="216"/>
      <c r="AQ43" s="216"/>
      <c r="AR43" s="216"/>
      <c r="AS43" s="216"/>
      <c r="AT43" s="216"/>
      <c r="AU43" s="216"/>
      <c r="AV43" s="216"/>
      <c r="AW43" s="216"/>
      <c r="AX43" s="216"/>
    </row>
    <row r="44" spans="1:51" x14ac:dyDescent="0.2">
      <c r="B44" t="s">
        <v>3271</v>
      </c>
      <c r="I44" s="216" t="e">
        <f>IF(AND(EventHistory!#REF!=FALSE,EventHistory!#REF!=""),"No follow up required","")&amp;IF(AND(EventHistory!#REF!=TRUE,EventHistory!#REF!=""),"Follow up will occur on next supervisory visit.","")&amp;IF(EventHistory!#REF!&lt;&gt;"",EventHistory!#REF!,"")</f>
        <v>#REF!</v>
      </c>
      <c r="J44" s="216"/>
      <c r="K44" s="216"/>
      <c r="L44" s="216"/>
      <c r="M44" s="216"/>
      <c r="N44" s="216"/>
      <c r="O44" s="216"/>
      <c r="P44" s="216"/>
      <c r="Q44" s="216"/>
      <c r="R44" s="216"/>
      <c r="S44" s="216"/>
      <c r="T44" s="216"/>
      <c r="U44" s="216"/>
      <c r="V44" s="216"/>
      <c r="W44" s="216"/>
      <c r="X44" s="216"/>
      <c r="Y44" s="216"/>
      <c r="Z44" s="216"/>
      <c r="AA44" s="216"/>
      <c r="AB44" s="216"/>
      <c r="AC44" s="216"/>
      <c r="AD44" s="216"/>
      <c r="AE44" s="216"/>
      <c r="AF44" s="216"/>
      <c r="AG44" s="216"/>
      <c r="AH44" s="216"/>
      <c r="AI44" s="216"/>
      <c r="AJ44" s="216"/>
      <c r="AK44" s="216"/>
      <c r="AL44" s="216"/>
      <c r="AM44" s="216"/>
      <c r="AN44" s="216"/>
      <c r="AO44" s="216"/>
      <c r="AP44" s="216"/>
      <c r="AQ44" s="216"/>
      <c r="AR44" s="216"/>
      <c r="AS44" s="216"/>
      <c r="AT44" s="216"/>
      <c r="AU44" s="216"/>
      <c r="AV44" s="216"/>
      <c r="AW44" s="216"/>
      <c r="AX44" s="216"/>
    </row>
    <row r="45" spans="1:51" ht="13.5" thickBot="1" x14ac:dyDescent="0.25">
      <c r="A45" s="39"/>
      <c r="B45" s="39"/>
      <c r="C45" s="39"/>
      <c r="D45" s="39"/>
      <c r="E45" s="39"/>
      <c r="F45" s="39"/>
      <c r="G45" s="39"/>
      <c r="H45" s="39"/>
      <c r="I45" s="574"/>
      <c r="J45" s="574"/>
      <c r="K45" s="574"/>
      <c r="L45" s="574"/>
      <c r="M45" s="574"/>
      <c r="N45" s="574"/>
      <c r="O45" s="574"/>
      <c r="P45" s="574"/>
      <c r="Q45" s="574"/>
      <c r="R45" s="574"/>
      <c r="S45" s="574"/>
      <c r="T45" s="574"/>
      <c r="U45" s="574"/>
      <c r="V45" s="574"/>
      <c r="W45" s="574"/>
      <c r="X45" s="574"/>
      <c r="Y45" s="574"/>
      <c r="Z45" s="574"/>
      <c r="AA45" s="574"/>
      <c r="AB45" s="574"/>
      <c r="AC45" s="574"/>
      <c r="AD45" s="574"/>
      <c r="AE45" s="574"/>
      <c r="AF45" s="574"/>
      <c r="AG45" s="574"/>
      <c r="AH45" s="574"/>
      <c r="AI45" s="574"/>
      <c r="AJ45" s="574"/>
      <c r="AK45" s="574"/>
      <c r="AL45" s="574"/>
      <c r="AM45" s="574"/>
      <c r="AN45" s="574"/>
      <c r="AO45" s="574"/>
      <c r="AP45" s="574"/>
      <c r="AQ45" s="574"/>
      <c r="AR45" s="574"/>
      <c r="AS45" s="574"/>
      <c r="AT45" s="574"/>
      <c r="AU45" s="574"/>
      <c r="AV45" s="574"/>
      <c r="AW45" s="574"/>
      <c r="AX45" s="574"/>
      <c r="AY45" s="39"/>
    </row>
    <row r="46" spans="1:51" ht="13.5" thickTop="1" x14ac:dyDescent="0.2">
      <c r="A46" t="s">
        <v>3267</v>
      </c>
      <c r="E46" s="218">
        <f>EventHistory!F2</f>
        <v>0</v>
      </c>
      <c r="F46" s="219"/>
      <c r="G46" s="219"/>
      <c r="H46" s="219"/>
      <c r="I46" s="219"/>
      <c r="J46" s="219"/>
      <c r="L46" t="s">
        <v>3268</v>
      </c>
      <c r="P46" s="575">
        <f>EventHistory!B2</f>
        <v>0</v>
      </c>
      <c r="Q46" s="575"/>
      <c r="R46" s="575"/>
      <c r="S46" s="575"/>
      <c r="T46" s="575"/>
      <c r="U46" s="575"/>
      <c r="V46" s="575"/>
      <c r="W46" s="575"/>
      <c r="X46" s="575"/>
      <c r="Y46" s="575"/>
      <c r="Z46" s="575"/>
      <c r="AA46" t="s">
        <v>3269</v>
      </c>
      <c r="AF46" s="218">
        <f>EventHistory!C2</f>
        <v>0</v>
      </c>
      <c r="AG46" s="219"/>
      <c r="AH46" s="219"/>
      <c r="AI46" s="219"/>
      <c r="AJ46" s="219"/>
      <c r="AK46" s="219"/>
      <c r="AL46" s="219"/>
      <c r="AN46" t="s">
        <v>3273</v>
      </c>
      <c r="AS46" s="576" t="str">
        <f>_xlfn.CONCAT(IF(AND(EventHistory!L2="",EventHistory!M2="",EventHistory!K2=TRUE),"Next Visit Date",""),IF(AND(EventHistory!L2="",EventHistory!M2="",EventHistory!K2=FALSE),"Not Required",""),IF(EventHistory!L2="","",TEXT(EventHistory!L2,"mm/dd/yyyy")))</f>
        <v>Not Required</v>
      </c>
      <c r="AT46" s="576"/>
      <c r="AU46" s="576"/>
      <c r="AV46" s="576"/>
      <c r="AW46" s="576"/>
      <c r="AX46" s="576"/>
    </row>
    <row r="47" spans="1:51" x14ac:dyDescent="0.2">
      <c r="B47" t="s">
        <v>3272</v>
      </c>
      <c r="I47" s="295" t="str">
        <f>_xlfn.CONCAT(IF(EventHistory!B2="Fall","No Additional Specifics",""),IF(EventHistory!B2="Hospital - ER","Admission Date: "&amp;TEXT(EventHistory!O2,"mm/dd/yyyy")&amp;"  Discharge Date: "&amp;IF(EventHistory!P2="","Unknown at this time.",TEXT(EventHistory!P2,"mm/dd/yyyy")),""),IF(EventHistory!B2="Hospital - Admission","Admission Date: "&amp;TEXT(EventHistory!O2,"mm/dd/yyyy")&amp;"  Discharge Date: "&amp;IF(EventHistory!P2="","Unknown at this time.",TEXT(EventHistory!P2,"mm/dd/yyyy")),""),IF(EventHistory!B2="Rehab","Admission Date: "&amp;TEXT(EventHistory!O2,"mm/dd/yyyy")&amp;"  Discharge Date: "&amp;IF(EventHistory!P2="","Unknown at this time.",TEXT(EventHistory!P2,"mm/dd/yyyy")),""),IF(EventHistory!B2="Inpatient Procedure","Admission Date: "&amp;TEXT(EventHistory!O2,"mm/dd/yyyy")&amp;"  Discharge Date: "&amp;IF(EventHistory!P2="","Unknown at this time.",TEXT(EventHistory!P2,"mm/dd/yyyy")),""),IF(EventHistory!B2="Physician Appointment",EventHistory!D2&amp;" "&amp;EventHistory!Q2&amp;" for "&amp;EventHistory!U2&amp;". "&amp;IF(EventHistory!E2="No","No changes reported. ","Changes listed below in details."),""),IF(EventHistory!B2="Outpatient Procedure","No Additional Specifics",""),IF(EventHistory!B2="Illness/Urgent Care","No Additional Specifics",""),IF(EventHistory!B2="Event/Change (All others)","No Additional Specifics",""))</f>
        <v/>
      </c>
      <c r="J47" s="295"/>
      <c r="K47" s="295"/>
      <c r="L47" s="295"/>
      <c r="M47" s="295"/>
      <c r="N47" s="295"/>
      <c r="O47" s="295"/>
      <c r="P47" s="295"/>
      <c r="Q47" s="295"/>
      <c r="R47" s="295"/>
      <c r="S47" s="295"/>
      <c r="T47" s="295"/>
      <c r="U47" s="295"/>
      <c r="V47" s="295"/>
      <c r="W47" s="295"/>
      <c r="X47" s="295"/>
      <c r="Y47" s="295"/>
      <c r="Z47" s="295"/>
      <c r="AA47" s="295"/>
      <c r="AB47" s="295"/>
      <c r="AC47" s="295"/>
      <c r="AD47" s="295"/>
      <c r="AE47" s="295"/>
      <c r="AF47" s="295"/>
      <c r="AG47" s="295"/>
      <c r="AH47" s="295"/>
      <c r="AI47" s="295"/>
      <c r="AJ47" s="295"/>
      <c r="AK47" s="295"/>
      <c r="AL47" s="295"/>
      <c r="AM47" s="295"/>
      <c r="AN47" s="295"/>
      <c r="AO47" s="295"/>
      <c r="AP47" s="295"/>
      <c r="AQ47" s="295"/>
      <c r="AR47" s="295"/>
      <c r="AS47" s="295"/>
      <c r="AT47" s="295"/>
      <c r="AU47" s="295"/>
      <c r="AV47" s="295"/>
      <c r="AW47" s="295"/>
      <c r="AX47" s="295"/>
    </row>
    <row r="48" spans="1:51" x14ac:dyDescent="0.2">
      <c r="B48" t="s">
        <v>3270</v>
      </c>
      <c r="I48" s="216">
        <f>EventHistory!J2</f>
        <v>0</v>
      </c>
      <c r="J48" s="216"/>
      <c r="K48" s="216"/>
      <c r="L48" s="216"/>
      <c r="M48" s="216"/>
      <c r="N48" s="216"/>
      <c r="O48" s="216"/>
      <c r="P48" s="216"/>
      <c r="Q48" s="216"/>
      <c r="R48" s="216"/>
      <c r="S48" s="216"/>
      <c r="T48" s="216"/>
      <c r="U48" s="216"/>
      <c r="V48" s="216"/>
      <c r="W48" s="216"/>
      <c r="X48" s="216"/>
      <c r="Y48" s="216"/>
      <c r="Z48" s="216"/>
      <c r="AA48" s="216"/>
      <c r="AB48" s="216"/>
      <c r="AC48" s="216"/>
      <c r="AD48" s="216"/>
      <c r="AE48" s="216"/>
      <c r="AF48" s="216"/>
      <c r="AG48" s="216"/>
      <c r="AH48" s="216"/>
      <c r="AI48" s="216"/>
      <c r="AJ48" s="216"/>
      <c r="AK48" s="216"/>
      <c r="AL48" s="216"/>
      <c r="AM48" s="216"/>
      <c r="AN48" s="216"/>
      <c r="AO48" s="216"/>
      <c r="AP48" s="216"/>
      <c r="AQ48" s="216"/>
      <c r="AR48" s="216"/>
      <c r="AS48" s="216"/>
      <c r="AT48" s="216"/>
      <c r="AU48" s="216"/>
      <c r="AV48" s="216"/>
      <c r="AW48" s="216"/>
      <c r="AX48" s="216"/>
    </row>
    <row r="49" spans="1:51" x14ac:dyDescent="0.2">
      <c r="I49" s="216"/>
      <c r="J49" s="216"/>
      <c r="K49" s="216"/>
      <c r="L49" s="216"/>
      <c r="M49" s="216"/>
      <c r="N49" s="216"/>
      <c r="O49" s="216"/>
      <c r="P49" s="216"/>
      <c r="Q49" s="216"/>
      <c r="R49" s="216"/>
      <c r="S49" s="216"/>
      <c r="T49" s="216"/>
      <c r="U49" s="216"/>
      <c r="V49" s="216"/>
      <c r="W49" s="216"/>
      <c r="X49" s="216"/>
      <c r="Y49" s="216"/>
      <c r="Z49" s="216"/>
      <c r="AA49" s="216"/>
      <c r="AB49" s="216"/>
      <c r="AC49" s="216"/>
      <c r="AD49" s="216"/>
      <c r="AE49" s="216"/>
      <c r="AF49" s="216"/>
      <c r="AG49" s="216"/>
      <c r="AH49" s="216"/>
      <c r="AI49" s="216"/>
      <c r="AJ49" s="216"/>
      <c r="AK49" s="216"/>
      <c r="AL49" s="216"/>
      <c r="AM49" s="216"/>
      <c r="AN49" s="216"/>
      <c r="AO49" s="216"/>
      <c r="AP49" s="216"/>
      <c r="AQ49" s="216"/>
      <c r="AR49" s="216"/>
      <c r="AS49" s="216"/>
      <c r="AT49" s="216"/>
      <c r="AU49" s="216"/>
      <c r="AV49" s="216"/>
      <c r="AW49" s="216"/>
      <c r="AX49" s="216"/>
    </row>
    <row r="50" spans="1:51" x14ac:dyDescent="0.2">
      <c r="B50" t="s">
        <v>3271</v>
      </c>
      <c r="I50" s="216" t="str">
        <f>IF(AND(EventHistory!K2=FALSE,EventHistory!M2=""),"No follow up required","")&amp;IF(AND(EventHistory!K2=TRUE,EventHistory!M2=""),"Follow up will occur on next supervisory visit.","")&amp;IF(EventHistory!M2&lt;&gt;"",EventHistory!M2,"")</f>
        <v>No follow up required</v>
      </c>
      <c r="J50" s="216"/>
      <c r="K50" s="216"/>
      <c r="L50" s="216"/>
      <c r="M50" s="216"/>
      <c r="N50" s="216"/>
      <c r="O50" s="216"/>
      <c r="P50" s="216"/>
      <c r="Q50" s="216"/>
      <c r="R50" s="216"/>
      <c r="S50" s="216"/>
      <c r="T50" s="216"/>
      <c r="U50" s="216"/>
      <c r="V50" s="216"/>
      <c r="W50" s="216"/>
      <c r="X50" s="216"/>
      <c r="Y50" s="216"/>
      <c r="Z50" s="216"/>
      <c r="AA50" s="216"/>
      <c r="AB50" s="216"/>
      <c r="AC50" s="216"/>
      <c r="AD50" s="216"/>
      <c r="AE50" s="216"/>
      <c r="AF50" s="216"/>
      <c r="AG50" s="216"/>
      <c r="AH50" s="216"/>
      <c r="AI50" s="216"/>
      <c r="AJ50" s="216"/>
      <c r="AK50" s="216"/>
      <c r="AL50" s="216"/>
      <c r="AM50" s="216"/>
      <c r="AN50" s="216"/>
      <c r="AO50" s="216"/>
      <c r="AP50" s="216"/>
      <c r="AQ50" s="216"/>
      <c r="AR50" s="216"/>
      <c r="AS50" s="216"/>
      <c r="AT50" s="216"/>
      <c r="AU50" s="216"/>
      <c r="AV50" s="216"/>
      <c r="AW50" s="216"/>
      <c r="AX50" s="216"/>
    </row>
    <row r="51" spans="1:51" ht="13.5" thickBot="1" x14ac:dyDescent="0.25">
      <c r="A51" s="39"/>
      <c r="B51" s="39"/>
      <c r="C51" s="39"/>
      <c r="D51" s="39"/>
      <c r="E51" s="39"/>
      <c r="F51" s="39"/>
      <c r="G51" s="39"/>
      <c r="H51" s="39"/>
      <c r="I51" s="574"/>
      <c r="J51" s="574"/>
      <c r="K51" s="574"/>
      <c r="L51" s="574"/>
      <c r="M51" s="574"/>
      <c r="N51" s="574"/>
      <c r="O51" s="574"/>
      <c r="P51" s="574"/>
      <c r="Q51" s="574"/>
      <c r="R51" s="574"/>
      <c r="S51" s="574"/>
      <c r="T51" s="574"/>
      <c r="U51" s="574"/>
      <c r="V51" s="574"/>
      <c r="W51" s="574"/>
      <c r="X51" s="574"/>
      <c r="Y51" s="574"/>
      <c r="Z51" s="574"/>
      <c r="AA51" s="574"/>
      <c r="AB51" s="574"/>
      <c r="AC51" s="574"/>
      <c r="AD51" s="574"/>
      <c r="AE51" s="574"/>
      <c r="AF51" s="574"/>
      <c r="AG51" s="574"/>
      <c r="AH51" s="574"/>
      <c r="AI51" s="574"/>
      <c r="AJ51" s="574"/>
      <c r="AK51" s="574"/>
      <c r="AL51" s="574"/>
      <c r="AM51" s="574"/>
      <c r="AN51" s="574"/>
      <c r="AO51" s="574"/>
      <c r="AP51" s="574"/>
      <c r="AQ51" s="574"/>
      <c r="AR51" s="574"/>
      <c r="AS51" s="574"/>
      <c r="AT51" s="574"/>
      <c r="AU51" s="574"/>
      <c r="AV51" s="574"/>
      <c r="AW51" s="574"/>
      <c r="AX51" s="574"/>
      <c r="AY51" s="39"/>
    </row>
    <row r="52" spans="1:51" ht="13.5" thickTop="1" x14ac:dyDescent="0.2">
      <c r="A52" t="s">
        <v>3267</v>
      </c>
      <c r="E52" s="218">
        <f>EventHistory!F3</f>
        <v>0</v>
      </c>
      <c r="F52" s="219"/>
      <c r="G52" s="219"/>
      <c r="H52" s="219"/>
      <c r="I52" s="219"/>
      <c r="J52" s="219"/>
      <c r="L52" t="s">
        <v>3268</v>
      </c>
      <c r="P52" s="576">
        <f>EventHistory!B3</f>
        <v>0</v>
      </c>
      <c r="Q52" s="576"/>
      <c r="R52" s="576"/>
      <c r="S52" s="576"/>
      <c r="T52" s="576"/>
      <c r="U52" s="576"/>
      <c r="V52" s="576"/>
      <c r="W52" s="576"/>
      <c r="X52" s="576"/>
      <c r="Y52" s="576"/>
      <c r="Z52" s="576"/>
      <c r="AA52" t="s">
        <v>3269</v>
      </c>
      <c r="AF52" s="218">
        <f>EventHistory!C3</f>
        <v>0</v>
      </c>
      <c r="AG52" s="219"/>
      <c r="AH52" s="219"/>
      <c r="AI52" s="219"/>
      <c r="AJ52" s="219"/>
      <c r="AK52" s="219"/>
      <c r="AL52" s="219"/>
      <c r="AN52" t="s">
        <v>3273</v>
      </c>
      <c r="AS52" s="577" t="str">
        <f>_xlfn.CONCAT(IF(AND(EventHistory!L3="",EventHistory!M3="",EventHistory!K3=TRUE),"Next Visit Date",""),IF(AND(EventHistory!L3="",EventHistory!M3="",EventHistory!K3=FALSE),"Not Required",""),IF(EventHistory!L3="","",TEXT(EventHistory!L3,"mm/dd/yyyy")))</f>
        <v>Not Required</v>
      </c>
      <c r="AT52" s="577"/>
      <c r="AU52" s="577"/>
      <c r="AV52" s="577"/>
      <c r="AW52" s="577"/>
      <c r="AX52" s="577"/>
    </row>
    <row r="53" spans="1:51" x14ac:dyDescent="0.2">
      <c r="B53" t="s">
        <v>3272</v>
      </c>
      <c r="I53" s="295" t="str">
        <f>_xlfn.CONCAT(IF(EventHistory!B3="Fall","No Additional Specifics",""),IF(EventHistory!B3="Hospital - ER","Admission Date: "&amp;TEXT(EventHistory!O3,"mm/dd/yyyy")&amp;"  Discharge Date: "&amp;IF(EventHistory!P3="","Unknown at this time.",TEXT(EventHistory!P3,"mm/dd/yyyy")),""),IF(EventHistory!B3="Hospital - Admission","Admission Date: "&amp;TEXT(EventHistory!O3,"mm/dd/yyyy")&amp;"  Discharge Date: "&amp;IF(EventHistory!P3="","Unknown at this time.",TEXT(EventHistory!P3,"mm/dd/yyyy")),""),IF(EventHistory!B3="Rehab","Admission Date: "&amp;TEXT(EventHistory!O3,"mm/dd/yyyy")&amp;"  Discharge Date: "&amp;IF(EventHistory!P3="","Unknown at this time.",TEXT(EventHistory!P3,"mm/dd/yyyy")),""),IF(EventHistory!B3="Inpatient Procedure","Admission Date: "&amp;TEXT(EventHistory!O3,"mm/dd/yyyy")&amp;"  Discharge Date: "&amp;IF(EventHistory!P3="","Unknown at this time.",TEXT(EventHistory!P3,"mm/dd/yyyy")),""),IF(EventHistory!B3="Physician Appointment",EventHistory!D3&amp;" "&amp;EventHistory!Q3&amp;" for "&amp;EventHistory!C3&amp;". "&amp;IF(EventHistory!E3="No","No changes reported. ","Changes listed below in details."),""),IF(EventHistory!B3="Outpatient Procedure","No Additional Specifics",""),IF(EventHistory!B3="Illness/Urgent Care","No Additional Specifics",""),IF(EventHistory!B3="Event/Change (All others)","No Additional Specifics",""))</f>
        <v/>
      </c>
      <c r="J53" s="295"/>
      <c r="K53" s="295"/>
      <c r="L53" s="295"/>
      <c r="M53" s="295"/>
      <c r="N53" s="295"/>
      <c r="O53" s="295"/>
      <c r="P53" s="295"/>
      <c r="Q53" s="295"/>
      <c r="R53" s="295"/>
      <c r="S53" s="295"/>
      <c r="T53" s="295"/>
      <c r="U53" s="295"/>
      <c r="V53" s="295"/>
      <c r="W53" s="295"/>
      <c r="X53" s="295"/>
      <c r="Y53" s="295"/>
      <c r="Z53" s="295"/>
      <c r="AA53" s="295"/>
      <c r="AB53" s="295"/>
      <c r="AC53" s="295"/>
      <c r="AD53" s="295"/>
      <c r="AE53" s="295"/>
      <c r="AF53" s="295"/>
      <c r="AG53" s="295"/>
      <c r="AH53" s="295"/>
      <c r="AI53" s="295"/>
      <c r="AJ53" s="295"/>
      <c r="AK53" s="295"/>
      <c r="AL53" s="295"/>
      <c r="AM53" s="295"/>
      <c r="AN53" s="295"/>
      <c r="AO53" s="295"/>
      <c r="AP53" s="295"/>
      <c r="AQ53" s="295"/>
      <c r="AR53" s="295"/>
      <c r="AS53" s="295"/>
      <c r="AT53" s="295"/>
      <c r="AU53" s="295"/>
      <c r="AV53" s="295"/>
      <c r="AW53" s="295"/>
      <c r="AX53" s="295"/>
    </row>
    <row r="54" spans="1:51" x14ac:dyDescent="0.2">
      <c r="B54" t="s">
        <v>3270</v>
      </c>
      <c r="I54" s="216">
        <f>EventHistory!J3</f>
        <v>0</v>
      </c>
      <c r="J54" s="216"/>
      <c r="K54" s="216"/>
      <c r="L54" s="216"/>
      <c r="M54" s="216"/>
      <c r="N54" s="216"/>
      <c r="O54" s="216"/>
      <c r="P54" s="216"/>
      <c r="Q54" s="216"/>
      <c r="R54" s="216"/>
      <c r="S54" s="216"/>
      <c r="T54" s="216"/>
      <c r="U54" s="216"/>
      <c r="V54" s="216"/>
      <c r="W54" s="216"/>
      <c r="X54" s="216"/>
      <c r="Y54" s="216"/>
      <c r="Z54" s="216"/>
      <c r="AA54" s="216"/>
      <c r="AB54" s="216"/>
      <c r="AC54" s="216"/>
      <c r="AD54" s="216"/>
      <c r="AE54" s="216"/>
      <c r="AF54" s="216"/>
      <c r="AG54" s="216"/>
      <c r="AH54" s="216"/>
      <c r="AI54" s="216"/>
      <c r="AJ54" s="216"/>
      <c r="AK54" s="216"/>
      <c r="AL54" s="216"/>
      <c r="AM54" s="216"/>
      <c r="AN54" s="216"/>
      <c r="AO54" s="216"/>
      <c r="AP54" s="216"/>
      <c r="AQ54" s="216"/>
      <c r="AR54" s="216"/>
      <c r="AS54" s="216"/>
      <c r="AT54" s="216"/>
      <c r="AU54" s="216"/>
      <c r="AV54" s="216"/>
      <c r="AW54" s="216"/>
      <c r="AX54" s="216"/>
    </row>
    <row r="55" spans="1:51" x14ac:dyDescent="0.2">
      <c r="I55" s="216"/>
      <c r="J55" s="216"/>
      <c r="K55" s="216"/>
      <c r="L55" s="216"/>
      <c r="M55" s="216"/>
      <c r="N55" s="216"/>
      <c r="O55" s="216"/>
      <c r="P55" s="216"/>
      <c r="Q55" s="216"/>
      <c r="R55" s="216"/>
      <c r="S55" s="216"/>
      <c r="T55" s="216"/>
      <c r="U55" s="216"/>
      <c r="V55" s="216"/>
      <c r="W55" s="216"/>
      <c r="X55" s="216"/>
      <c r="Y55" s="216"/>
      <c r="Z55" s="216"/>
      <c r="AA55" s="216"/>
      <c r="AB55" s="216"/>
      <c r="AC55" s="216"/>
      <c r="AD55" s="216"/>
      <c r="AE55" s="216"/>
      <c r="AF55" s="216"/>
      <c r="AG55" s="216"/>
      <c r="AH55" s="216"/>
      <c r="AI55" s="216"/>
      <c r="AJ55" s="216"/>
      <c r="AK55" s="216"/>
      <c r="AL55" s="216"/>
      <c r="AM55" s="216"/>
      <c r="AN55" s="216"/>
      <c r="AO55" s="216"/>
      <c r="AP55" s="216"/>
      <c r="AQ55" s="216"/>
      <c r="AR55" s="216"/>
      <c r="AS55" s="216"/>
      <c r="AT55" s="216"/>
      <c r="AU55" s="216"/>
      <c r="AV55" s="216"/>
      <c r="AW55" s="216"/>
      <c r="AX55" s="216"/>
    </row>
    <row r="56" spans="1:51" x14ac:dyDescent="0.2">
      <c r="B56" t="s">
        <v>3271</v>
      </c>
      <c r="I56" s="216" t="str">
        <f>IF(AND(EventHistory!K3=FALSE,EventHistory!M3=""),"No follow up required","")&amp;IF(AND(EventHistory!K3=TRUE,EventHistory!M3=""),"Follow up will occur on next supervisory visit.","")&amp;IF(EventHistory!M3&lt;&gt;"",EventHistory!M3,"")</f>
        <v>No follow up required</v>
      </c>
      <c r="J56" s="216"/>
      <c r="K56" s="216"/>
      <c r="L56" s="216"/>
      <c r="M56" s="216"/>
      <c r="N56" s="216"/>
      <c r="O56" s="216"/>
      <c r="P56" s="216"/>
      <c r="Q56" s="216"/>
      <c r="R56" s="216"/>
      <c r="S56" s="216"/>
      <c r="T56" s="216"/>
      <c r="U56" s="216"/>
      <c r="V56" s="216"/>
      <c r="W56" s="216"/>
      <c r="X56" s="216"/>
      <c r="Y56" s="216"/>
      <c r="Z56" s="216"/>
      <c r="AA56" s="216"/>
      <c r="AB56" s="216"/>
      <c r="AC56" s="216"/>
      <c r="AD56" s="216"/>
      <c r="AE56" s="216"/>
      <c r="AF56" s="216"/>
      <c r="AG56" s="216"/>
      <c r="AH56" s="216"/>
      <c r="AI56" s="216"/>
      <c r="AJ56" s="216"/>
      <c r="AK56" s="216"/>
      <c r="AL56" s="216"/>
      <c r="AM56" s="216"/>
      <c r="AN56" s="216"/>
      <c r="AO56" s="216"/>
      <c r="AP56" s="216"/>
      <c r="AQ56" s="216"/>
      <c r="AR56" s="216"/>
      <c r="AS56" s="216"/>
      <c r="AT56" s="216"/>
      <c r="AU56" s="216"/>
      <c r="AV56" s="216"/>
      <c r="AW56" s="216"/>
      <c r="AX56" s="216"/>
    </row>
    <row r="57" spans="1:51" ht="13.5" thickBot="1" x14ac:dyDescent="0.25">
      <c r="A57" s="39"/>
      <c r="B57" s="39"/>
      <c r="C57" s="39"/>
      <c r="D57" s="39"/>
      <c r="E57" s="39"/>
      <c r="F57" s="39"/>
      <c r="G57" s="39"/>
      <c r="H57" s="39"/>
      <c r="I57" s="574"/>
      <c r="J57" s="574"/>
      <c r="K57" s="574"/>
      <c r="L57" s="574"/>
      <c r="M57" s="574"/>
      <c r="N57" s="574"/>
      <c r="O57" s="574"/>
      <c r="P57" s="574"/>
      <c r="Q57" s="574"/>
      <c r="R57" s="574"/>
      <c r="S57" s="574"/>
      <c r="T57" s="574"/>
      <c r="U57" s="574"/>
      <c r="V57" s="574"/>
      <c r="W57" s="574"/>
      <c r="X57" s="574"/>
      <c r="Y57" s="574"/>
      <c r="Z57" s="574"/>
      <c r="AA57" s="574"/>
      <c r="AB57" s="574"/>
      <c r="AC57" s="574"/>
      <c r="AD57" s="574"/>
      <c r="AE57" s="574"/>
      <c r="AF57" s="574"/>
      <c r="AG57" s="574"/>
      <c r="AH57" s="574"/>
      <c r="AI57" s="574"/>
      <c r="AJ57" s="574"/>
      <c r="AK57" s="574"/>
      <c r="AL57" s="574"/>
      <c r="AM57" s="574"/>
      <c r="AN57" s="574"/>
      <c r="AO57" s="574"/>
      <c r="AP57" s="574"/>
      <c r="AQ57" s="574"/>
      <c r="AR57" s="574"/>
      <c r="AS57" s="574"/>
      <c r="AT57" s="574"/>
      <c r="AU57" s="574"/>
      <c r="AV57" s="574"/>
      <c r="AW57" s="574"/>
      <c r="AX57" s="574"/>
      <c r="AY57" s="39"/>
    </row>
    <row r="58" spans="1:51" ht="13.5" thickTop="1" x14ac:dyDescent="0.2">
      <c r="A58" t="s">
        <v>3267</v>
      </c>
      <c r="E58" s="218">
        <f>EventHistory!F4</f>
        <v>0</v>
      </c>
      <c r="F58" s="219"/>
      <c r="G58" s="219"/>
      <c r="H58" s="219"/>
      <c r="I58" s="219"/>
      <c r="J58" s="219"/>
      <c r="L58" t="s">
        <v>3268</v>
      </c>
      <c r="P58" s="576">
        <f>EventHistory!B4</f>
        <v>0</v>
      </c>
      <c r="Q58" s="576"/>
      <c r="R58" s="576"/>
      <c r="S58" s="576"/>
      <c r="T58" s="576"/>
      <c r="U58" s="576"/>
      <c r="V58" s="576"/>
      <c r="W58" s="576"/>
      <c r="X58" s="576"/>
      <c r="Y58" s="576"/>
      <c r="Z58" s="576"/>
      <c r="AA58" t="s">
        <v>3269</v>
      </c>
      <c r="AF58" s="218">
        <f>EventHistory!C4</f>
        <v>0</v>
      </c>
      <c r="AG58" s="219"/>
      <c r="AH58" s="219"/>
      <c r="AI58" s="219"/>
      <c r="AJ58" s="219"/>
      <c r="AK58" s="219"/>
      <c r="AL58" s="219"/>
      <c r="AN58" t="s">
        <v>3273</v>
      </c>
      <c r="AS58" s="577" t="str">
        <f>_xlfn.CONCAT(IF(AND(EventHistory!L4="",EventHistory!M4="",EventHistory!K4=TRUE),"Next Visit Date",""),IF(AND(EventHistory!L4="",EventHistory!M4="",EventHistory!K4=FALSE),"Not Required",""),IF(EventHistory!L4="","",TEXT(EventHistory!L4,"mm/dd/yyyy")))</f>
        <v>Not Required</v>
      </c>
      <c r="AT58" s="576"/>
      <c r="AU58" s="576"/>
      <c r="AV58" s="576"/>
      <c r="AW58" s="576"/>
      <c r="AX58" s="576"/>
    </row>
    <row r="59" spans="1:51" x14ac:dyDescent="0.2">
      <c r="B59" t="s">
        <v>3272</v>
      </c>
      <c r="I59" s="295" t="str">
        <f>_xlfn.CONCAT(IF(EventHistory!B4="Fall","No Additional Specifics",""),IF(EventHistory!B4="Hospital - ER","Admission Date: "&amp;TEXT(EventHistory!O4,"mm/dd/yyyy")&amp;"  Discharge Date: "&amp;IF(EventHistory!P4="","Unknown at this time.",TEXT(EventHistory!P4,"mm/dd/yyyy")),""),IF(EventHistory!B4="Hospital - Admission","Admission Date: "&amp;TEXT(EventHistory!O4,"mm/dd/yyyy")&amp;"  Discharge Date: "&amp;IF(EventHistory!P4="","Unknown at this time.",TEXT(EventHistory!P4,"mm/dd/yyyy")),""),IF(EventHistory!B4="Rehab","Admission Date: "&amp;TEXT(EventHistory!O4,"mm/dd/yyyy")&amp;"  Discharge Date: "&amp;IF(EventHistory!P4="","Unknown at this time.",TEXT(EventHistory!P4,"mm/dd/yyyy")),""),IF(EventHistory!B4="Inpatient Procedure","Admission Date: "&amp;TEXT(EventHistory!O4,"mm/dd/yyyy")&amp;"  Discharge Date: "&amp;IF(EventHistory!P4="","Unknown at this time.",TEXT(EventHistory!P4,"mm/dd/yyyy")),""),IF(EventHistory!B4="Physician Appointment",EventHistory!D4&amp;" "&amp;EventHistory!Q4&amp;" for "&amp;EventHistory!U4&amp;". "&amp;IF(EventHistory!E4="No","No changes reported. ","Changes listed below in details."),""),IF(EventHistory!B4="Outpatient Procedure","No Additional Specifics",""),IF(EventHistory!B4="Illness/Urgent Care","No Additional Specifics",""),IF(EventHistory!B4="Event/Change (All others)","No Additional Specifics",""))</f>
        <v/>
      </c>
      <c r="J59" s="295"/>
      <c r="K59" s="295"/>
      <c r="L59" s="295"/>
      <c r="M59" s="295"/>
      <c r="N59" s="295"/>
      <c r="O59" s="295"/>
      <c r="P59" s="295"/>
      <c r="Q59" s="295"/>
      <c r="R59" s="295"/>
      <c r="S59" s="295"/>
      <c r="T59" s="295"/>
      <c r="U59" s="295"/>
      <c r="V59" s="295"/>
      <c r="W59" s="295"/>
      <c r="X59" s="295"/>
      <c r="Y59" s="295"/>
      <c r="Z59" s="295"/>
      <c r="AA59" s="295"/>
      <c r="AB59" s="295"/>
      <c r="AC59" s="295"/>
      <c r="AD59" s="295"/>
      <c r="AE59" s="295"/>
      <c r="AF59" s="295"/>
      <c r="AG59" s="295"/>
      <c r="AH59" s="295"/>
      <c r="AI59" s="295"/>
      <c r="AJ59" s="295"/>
      <c r="AK59" s="295"/>
      <c r="AL59" s="295"/>
      <c r="AM59" s="295"/>
      <c r="AN59" s="295"/>
      <c r="AO59" s="295"/>
      <c r="AP59" s="295"/>
      <c r="AQ59" s="295"/>
      <c r="AR59" s="295"/>
      <c r="AS59" s="295"/>
      <c r="AT59" s="295"/>
      <c r="AU59" s="295"/>
      <c r="AV59" s="295"/>
      <c r="AW59" s="295"/>
      <c r="AX59" s="295"/>
    </row>
    <row r="60" spans="1:51" x14ac:dyDescent="0.2">
      <c r="B60" t="s">
        <v>3270</v>
      </c>
      <c r="I60" s="216">
        <f>EventHistory!J4</f>
        <v>0</v>
      </c>
      <c r="J60" s="216"/>
      <c r="K60" s="216"/>
      <c r="L60" s="216"/>
      <c r="M60" s="216"/>
      <c r="N60" s="216"/>
      <c r="O60" s="216"/>
      <c r="P60" s="216"/>
      <c r="Q60" s="216"/>
      <c r="R60" s="216"/>
      <c r="S60" s="216"/>
      <c r="T60" s="216"/>
      <c r="U60" s="216"/>
      <c r="V60" s="216"/>
      <c r="W60" s="216"/>
      <c r="X60" s="216"/>
      <c r="Y60" s="216"/>
      <c r="Z60" s="216"/>
      <c r="AA60" s="216"/>
      <c r="AB60" s="216"/>
      <c r="AC60" s="216"/>
      <c r="AD60" s="216"/>
      <c r="AE60" s="216"/>
      <c r="AF60" s="216"/>
      <c r="AG60" s="216"/>
      <c r="AH60" s="216"/>
      <c r="AI60" s="216"/>
      <c r="AJ60" s="216"/>
      <c r="AK60" s="216"/>
      <c r="AL60" s="216"/>
      <c r="AM60" s="216"/>
      <c r="AN60" s="216"/>
      <c r="AO60" s="216"/>
      <c r="AP60" s="216"/>
      <c r="AQ60" s="216"/>
      <c r="AR60" s="216"/>
      <c r="AS60" s="216"/>
      <c r="AT60" s="216"/>
      <c r="AU60" s="216"/>
      <c r="AV60" s="216"/>
      <c r="AW60" s="216"/>
      <c r="AX60" s="216"/>
    </row>
    <row r="61" spans="1:51" x14ac:dyDescent="0.2">
      <c r="I61" s="216"/>
      <c r="J61" s="216"/>
      <c r="K61" s="216"/>
      <c r="L61" s="216"/>
      <c r="M61" s="216"/>
      <c r="N61" s="216"/>
      <c r="O61" s="216"/>
      <c r="P61" s="216"/>
      <c r="Q61" s="216"/>
      <c r="R61" s="216"/>
      <c r="S61" s="216"/>
      <c r="T61" s="216"/>
      <c r="U61" s="216"/>
      <c r="V61" s="216"/>
      <c r="W61" s="216"/>
      <c r="X61" s="216"/>
      <c r="Y61" s="216"/>
      <c r="Z61" s="216"/>
      <c r="AA61" s="216"/>
      <c r="AB61" s="216"/>
      <c r="AC61" s="216"/>
      <c r="AD61" s="216"/>
      <c r="AE61" s="216"/>
      <c r="AF61" s="216"/>
      <c r="AG61" s="216"/>
      <c r="AH61" s="216"/>
      <c r="AI61" s="216"/>
      <c r="AJ61" s="216"/>
      <c r="AK61" s="216"/>
      <c r="AL61" s="216"/>
      <c r="AM61" s="216"/>
      <c r="AN61" s="216"/>
      <c r="AO61" s="216"/>
      <c r="AP61" s="216"/>
      <c r="AQ61" s="216"/>
      <c r="AR61" s="216"/>
      <c r="AS61" s="216"/>
      <c r="AT61" s="216"/>
      <c r="AU61" s="216"/>
      <c r="AV61" s="216"/>
      <c r="AW61" s="216"/>
      <c r="AX61" s="216"/>
    </row>
    <row r="62" spans="1:51" x14ac:dyDescent="0.2">
      <c r="B62" t="s">
        <v>3271</v>
      </c>
      <c r="I62" s="216" t="str">
        <f>IF(AND(EventHistory!K4=FALSE,EventHistory!M4=""),"No follow up required","")&amp;IF(AND(EventHistory!K4=TRUE,EventHistory!M4=""),"Follow up will occur on next supervisory visit.","")&amp;IF(EventHistory!M4&lt;&gt;"",EventHistory!M4,"")</f>
        <v>No follow up required</v>
      </c>
      <c r="J62" s="216"/>
      <c r="K62" s="216"/>
      <c r="L62" s="216"/>
      <c r="M62" s="216"/>
      <c r="N62" s="216"/>
      <c r="O62" s="216"/>
      <c r="P62" s="216"/>
      <c r="Q62" s="216"/>
      <c r="R62" s="216"/>
      <c r="S62" s="216"/>
      <c r="T62" s="216"/>
      <c r="U62" s="216"/>
      <c r="V62" s="216"/>
      <c r="W62" s="216"/>
      <c r="X62" s="216"/>
      <c r="Y62" s="216"/>
      <c r="Z62" s="216"/>
      <c r="AA62" s="216"/>
      <c r="AB62" s="216"/>
      <c r="AC62" s="216"/>
      <c r="AD62" s="216"/>
      <c r="AE62" s="216"/>
      <c r="AF62" s="216"/>
      <c r="AG62" s="216"/>
      <c r="AH62" s="216"/>
      <c r="AI62" s="216"/>
      <c r="AJ62" s="216"/>
      <c r="AK62" s="216"/>
      <c r="AL62" s="216"/>
      <c r="AM62" s="216"/>
      <c r="AN62" s="216"/>
      <c r="AO62" s="216"/>
      <c r="AP62" s="216"/>
      <c r="AQ62" s="216"/>
      <c r="AR62" s="216"/>
      <c r="AS62" s="216"/>
      <c r="AT62" s="216"/>
      <c r="AU62" s="216"/>
      <c r="AV62" s="216"/>
      <c r="AW62" s="216"/>
      <c r="AX62" s="216"/>
    </row>
    <row r="63" spans="1:51" ht="13.5" thickBot="1" x14ac:dyDescent="0.25">
      <c r="A63" s="39"/>
      <c r="B63" s="39"/>
      <c r="C63" s="39"/>
      <c r="D63" s="39"/>
      <c r="E63" s="39"/>
      <c r="F63" s="39"/>
      <c r="G63" s="39"/>
      <c r="H63" s="39"/>
      <c r="I63" s="574"/>
      <c r="J63" s="574"/>
      <c r="K63" s="574"/>
      <c r="L63" s="574"/>
      <c r="M63" s="574"/>
      <c r="N63" s="574"/>
      <c r="O63" s="574"/>
      <c r="P63" s="574"/>
      <c r="Q63" s="574"/>
      <c r="R63" s="574"/>
      <c r="S63" s="574"/>
      <c r="T63" s="574"/>
      <c r="U63" s="574"/>
      <c r="V63" s="574"/>
      <c r="W63" s="574"/>
      <c r="X63" s="574"/>
      <c r="Y63" s="574"/>
      <c r="Z63" s="574"/>
      <c r="AA63" s="574"/>
      <c r="AB63" s="574"/>
      <c r="AC63" s="574"/>
      <c r="AD63" s="574"/>
      <c r="AE63" s="574"/>
      <c r="AF63" s="574"/>
      <c r="AG63" s="574"/>
      <c r="AH63" s="574"/>
      <c r="AI63" s="574"/>
      <c r="AJ63" s="574"/>
      <c r="AK63" s="574"/>
      <c r="AL63" s="574"/>
      <c r="AM63" s="574"/>
      <c r="AN63" s="574"/>
      <c r="AO63" s="574"/>
      <c r="AP63" s="574"/>
      <c r="AQ63" s="574"/>
      <c r="AR63" s="574"/>
      <c r="AS63" s="574"/>
      <c r="AT63" s="574"/>
      <c r="AU63" s="574"/>
      <c r="AV63" s="574"/>
      <c r="AW63" s="574"/>
      <c r="AX63" s="574"/>
      <c r="AY63" s="39"/>
    </row>
    <row r="64" spans="1:51" ht="13.5" thickTop="1" x14ac:dyDescent="0.2">
      <c r="A64" t="s">
        <v>3267</v>
      </c>
      <c r="E64" s="218">
        <f>EventHistory!F5</f>
        <v>0</v>
      </c>
      <c r="F64" s="219"/>
      <c r="G64" s="219"/>
      <c r="H64" s="219"/>
      <c r="I64" s="219"/>
      <c r="J64" s="219"/>
      <c r="L64" t="s">
        <v>3268</v>
      </c>
      <c r="P64" s="576">
        <f>EventHistory!B5</f>
        <v>0</v>
      </c>
      <c r="Q64" s="576"/>
      <c r="R64" s="576"/>
      <c r="S64" s="576"/>
      <c r="T64" s="576"/>
      <c r="U64" s="576"/>
      <c r="V64" s="576"/>
      <c r="W64" s="576"/>
      <c r="X64" s="576"/>
      <c r="Y64" s="576"/>
      <c r="Z64" s="576"/>
      <c r="AA64" t="s">
        <v>3269</v>
      </c>
      <c r="AF64" s="218">
        <f>EventHistory!C6</f>
        <v>0</v>
      </c>
      <c r="AG64" s="219"/>
      <c r="AH64" s="219"/>
      <c r="AI64" s="219"/>
      <c r="AJ64" s="219"/>
      <c r="AK64" s="219"/>
      <c r="AL64" s="219"/>
      <c r="AN64" t="s">
        <v>3273</v>
      </c>
      <c r="AS64" s="577" t="str">
        <f>_xlfn.CONCAT(IF(AND(EventHistory!L5="",EventHistory!M5="",EventHistory!K5=TRUE),"Next Visit Date",""),IF(AND(EventHistory!L5="",EventHistory!M5="",EventHistory!K5=FALSE),"Not Required",""),IF(EventHistory!L5="","",TEXT(EventHistory!L5,"mm/dd/yyyy")))</f>
        <v>Not Required</v>
      </c>
      <c r="AT64" s="576"/>
      <c r="AU64" s="576"/>
      <c r="AV64" s="576"/>
      <c r="AW64" s="576"/>
      <c r="AX64" s="576"/>
    </row>
    <row r="65" spans="1:51" x14ac:dyDescent="0.2">
      <c r="B65" t="s">
        <v>3272</v>
      </c>
      <c r="I65" s="295" t="str">
        <f>_xlfn.CONCAT(IF(EventHistory!B5="Fall","No Additional Specifics",""),IF(EventHistory!B5="Hospital - ER","Admission Date: "&amp;TEXT(EventHistory!O5,"mm/dd/yyyy")&amp;"  Discharge Date: "&amp;IF(EventHistory!P5="","Unknown at this time.",TEXT(EventHistory!P5,"mm/dd/yyyy")),""),IF(EventHistory!B5="Hospital - Admission","Admission Date: "&amp;TEXT(EventHistory!O5,"mm/dd/yyyy")&amp;"  Discharge Date: "&amp;IF(EventHistory!P5="","Unknown at this time.",TEXT(EventHistory!P5,"mm/dd/yyyy")),""),IF(EventHistory!B5="Rehab","Admission Date: "&amp;TEXT(EventHistory!O5,"mm/dd/yyyy")&amp;"  Discharge Date: "&amp;IF(EventHistory!P5="","Unknown at this time.",TEXT(EventHistory!P5,"mm/dd/yyyy")),""),IF(EventHistory!B5="Inpatient Procedure","Admission Date: "&amp;TEXT(EventHistory!O5,"mm/dd/yyyy")&amp;"  Discharge Date: "&amp;IF(EventHistory!P5="","Unknown at this time.",TEXT(EventHistory!P5,"mm/dd/yyyy")),""),IF(EventHistory!B5="Physician Appointment",EventHistory!D5&amp;" "&amp;EventHistory!Q5&amp;" for "&amp;EventHistory!U5&amp;". "&amp;IF(EventHistory!E5="No","No changes reported. ","Changes listed below in details."),""),IF(EventHistory!B5="Outpatient Procedure","No Additional Specifics",""),IF(EventHistory!B5="Illness/Urgent Care","No Additional Specifics",""),IF(EventHistory!B5="Event/Change (All others)","No Additional Specifics",""))</f>
        <v/>
      </c>
      <c r="J65" s="295"/>
      <c r="K65" s="295"/>
      <c r="L65" s="295"/>
      <c r="M65" s="295"/>
      <c r="N65" s="295"/>
      <c r="O65" s="295"/>
      <c r="P65" s="295"/>
      <c r="Q65" s="295"/>
      <c r="R65" s="295"/>
      <c r="S65" s="295"/>
      <c r="T65" s="295"/>
      <c r="U65" s="295"/>
      <c r="V65" s="295"/>
      <c r="W65" s="295"/>
      <c r="X65" s="295"/>
      <c r="Y65" s="295"/>
      <c r="Z65" s="295"/>
      <c r="AA65" s="295"/>
      <c r="AB65" s="295"/>
      <c r="AC65" s="295"/>
      <c r="AD65" s="295"/>
      <c r="AE65" s="295"/>
      <c r="AF65" s="295"/>
      <c r="AG65" s="295"/>
      <c r="AH65" s="295"/>
      <c r="AI65" s="295"/>
      <c r="AJ65" s="295"/>
      <c r="AK65" s="295"/>
      <c r="AL65" s="295"/>
      <c r="AM65" s="295"/>
      <c r="AN65" s="295"/>
      <c r="AO65" s="295"/>
      <c r="AP65" s="295"/>
      <c r="AQ65" s="295"/>
      <c r="AR65" s="295"/>
      <c r="AS65" s="295"/>
      <c r="AT65" s="295"/>
      <c r="AU65" s="295"/>
      <c r="AV65" s="295"/>
      <c r="AW65" s="295"/>
      <c r="AX65" s="295"/>
    </row>
    <row r="66" spans="1:51" x14ac:dyDescent="0.2">
      <c r="B66" t="s">
        <v>3270</v>
      </c>
      <c r="I66" s="216">
        <f>EventHistory!J5</f>
        <v>0</v>
      </c>
      <c r="J66" s="216"/>
      <c r="K66" s="216"/>
      <c r="L66" s="216"/>
      <c r="M66" s="216"/>
      <c r="N66" s="216"/>
      <c r="O66" s="216"/>
      <c r="P66" s="216"/>
      <c r="Q66" s="216"/>
      <c r="R66" s="216"/>
      <c r="S66" s="216"/>
      <c r="T66" s="216"/>
      <c r="U66" s="216"/>
      <c r="V66" s="216"/>
      <c r="W66" s="216"/>
      <c r="X66" s="216"/>
      <c r="Y66" s="216"/>
      <c r="Z66" s="216"/>
      <c r="AA66" s="216"/>
      <c r="AB66" s="216"/>
      <c r="AC66" s="216"/>
      <c r="AD66" s="216"/>
      <c r="AE66" s="216"/>
      <c r="AF66" s="216"/>
      <c r="AG66" s="216"/>
      <c r="AH66" s="216"/>
      <c r="AI66" s="216"/>
      <c r="AJ66" s="216"/>
      <c r="AK66" s="216"/>
      <c r="AL66" s="216"/>
      <c r="AM66" s="216"/>
      <c r="AN66" s="216"/>
      <c r="AO66" s="216"/>
      <c r="AP66" s="216"/>
      <c r="AQ66" s="216"/>
      <c r="AR66" s="216"/>
      <c r="AS66" s="216"/>
      <c r="AT66" s="216"/>
      <c r="AU66" s="216"/>
      <c r="AV66" s="216"/>
      <c r="AW66" s="216"/>
      <c r="AX66" s="216"/>
    </row>
    <row r="67" spans="1:51" x14ac:dyDescent="0.2">
      <c r="I67" s="216"/>
      <c r="J67" s="216"/>
      <c r="K67" s="216"/>
      <c r="L67" s="216"/>
      <c r="M67" s="216"/>
      <c r="N67" s="216"/>
      <c r="O67" s="216"/>
      <c r="P67" s="216"/>
      <c r="Q67" s="216"/>
      <c r="R67" s="216"/>
      <c r="S67" s="216"/>
      <c r="T67" s="216"/>
      <c r="U67" s="216"/>
      <c r="V67" s="216"/>
      <c r="W67" s="216"/>
      <c r="X67" s="216"/>
      <c r="Y67" s="216"/>
      <c r="Z67" s="216"/>
      <c r="AA67" s="216"/>
      <c r="AB67" s="216"/>
      <c r="AC67" s="216"/>
      <c r="AD67" s="216"/>
      <c r="AE67" s="216"/>
      <c r="AF67" s="216"/>
      <c r="AG67" s="216"/>
      <c r="AH67" s="216"/>
      <c r="AI67" s="216"/>
      <c r="AJ67" s="216"/>
      <c r="AK67" s="216"/>
      <c r="AL67" s="216"/>
      <c r="AM67" s="216"/>
      <c r="AN67" s="216"/>
      <c r="AO67" s="216"/>
      <c r="AP67" s="216"/>
      <c r="AQ67" s="216"/>
      <c r="AR67" s="216"/>
      <c r="AS67" s="216"/>
      <c r="AT67" s="216"/>
      <c r="AU67" s="216"/>
      <c r="AV67" s="216"/>
      <c r="AW67" s="216"/>
      <c r="AX67" s="216"/>
    </row>
    <row r="68" spans="1:51" x14ac:dyDescent="0.2">
      <c r="B68" t="s">
        <v>3271</v>
      </c>
      <c r="I68" s="216" t="str">
        <f>IF(AND(EventHistory!K5=FALSE,EventHistory!M5=""),"No follow up required","")&amp;IF(AND(EventHistory!K5=TRUE,EventHistory!M5=""),"Follow up will occur on next supervisory visit.","")&amp;IF(EventHistory!M5&lt;&gt;"",EventHistory!M5,"")</f>
        <v>No follow up required</v>
      </c>
      <c r="J68" s="216"/>
      <c r="K68" s="216"/>
      <c r="L68" s="216"/>
      <c r="M68" s="216"/>
      <c r="N68" s="216"/>
      <c r="O68" s="216"/>
      <c r="P68" s="216"/>
      <c r="Q68" s="216"/>
      <c r="R68" s="216"/>
      <c r="S68" s="216"/>
      <c r="T68" s="216"/>
      <c r="U68" s="216"/>
      <c r="V68" s="216"/>
      <c r="W68" s="216"/>
      <c r="X68" s="216"/>
      <c r="Y68" s="216"/>
      <c r="Z68" s="216"/>
      <c r="AA68" s="216"/>
      <c r="AB68" s="216"/>
      <c r="AC68" s="216"/>
      <c r="AD68" s="216"/>
      <c r="AE68" s="216"/>
      <c r="AF68" s="216"/>
      <c r="AG68" s="216"/>
      <c r="AH68" s="216"/>
      <c r="AI68" s="216"/>
      <c r="AJ68" s="216"/>
      <c r="AK68" s="216"/>
      <c r="AL68" s="216"/>
      <c r="AM68" s="216"/>
      <c r="AN68" s="216"/>
      <c r="AO68" s="216"/>
      <c r="AP68" s="216"/>
      <c r="AQ68" s="216"/>
      <c r="AR68" s="216"/>
      <c r="AS68" s="216"/>
      <c r="AT68" s="216"/>
      <c r="AU68" s="216"/>
      <c r="AV68" s="216"/>
      <c r="AW68" s="216"/>
      <c r="AX68" s="216"/>
    </row>
    <row r="69" spans="1:51" ht="13.5" thickBot="1" x14ac:dyDescent="0.25">
      <c r="A69" s="39"/>
      <c r="B69" s="39"/>
      <c r="C69" s="39"/>
      <c r="D69" s="39"/>
      <c r="E69" s="39"/>
      <c r="F69" s="39"/>
      <c r="G69" s="39"/>
      <c r="H69" s="39"/>
      <c r="I69" s="574"/>
      <c r="J69" s="574"/>
      <c r="K69" s="574"/>
      <c r="L69" s="574"/>
      <c r="M69" s="574"/>
      <c r="N69" s="574"/>
      <c r="O69" s="574"/>
      <c r="P69" s="574"/>
      <c r="Q69" s="574"/>
      <c r="R69" s="574"/>
      <c r="S69" s="574"/>
      <c r="T69" s="574"/>
      <c r="U69" s="574"/>
      <c r="V69" s="574"/>
      <c r="W69" s="574"/>
      <c r="X69" s="574"/>
      <c r="Y69" s="574"/>
      <c r="Z69" s="574"/>
      <c r="AA69" s="574"/>
      <c r="AB69" s="574"/>
      <c r="AC69" s="574"/>
      <c r="AD69" s="574"/>
      <c r="AE69" s="574"/>
      <c r="AF69" s="574"/>
      <c r="AG69" s="574"/>
      <c r="AH69" s="574"/>
      <c r="AI69" s="574"/>
      <c r="AJ69" s="574"/>
      <c r="AK69" s="574"/>
      <c r="AL69" s="574"/>
      <c r="AM69" s="574"/>
      <c r="AN69" s="574"/>
      <c r="AO69" s="574"/>
      <c r="AP69" s="574"/>
      <c r="AQ69" s="574"/>
      <c r="AR69" s="574"/>
      <c r="AS69" s="574"/>
      <c r="AT69" s="574"/>
      <c r="AU69" s="574"/>
      <c r="AV69" s="574"/>
      <c r="AW69" s="574"/>
      <c r="AX69" s="574"/>
      <c r="AY69" s="39"/>
    </row>
    <row r="70" spans="1:51" ht="13.5" thickTop="1" x14ac:dyDescent="0.2">
      <c r="A70" s="147" t="s">
        <v>3267</v>
      </c>
      <c r="B70" s="147"/>
      <c r="C70" s="147"/>
      <c r="D70" s="147"/>
      <c r="E70" s="577">
        <f>EventHistory!F6</f>
        <v>0</v>
      </c>
      <c r="F70" s="576"/>
      <c r="G70" s="576"/>
      <c r="H70" s="576"/>
      <c r="I70" s="576"/>
      <c r="J70" s="576"/>
      <c r="K70" s="147"/>
      <c r="L70" s="147" t="s">
        <v>3268</v>
      </c>
      <c r="M70" s="147"/>
      <c r="N70" s="147"/>
      <c r="O70" s="147"/>
      <c r="P70" s="575">
        <f>EventHistory!B6</f>
        <v>0</v>
      </c>
      <c r="Q70" s="575"/>
      <c r="R70" s="575"/>
      <c r="S70" s="575"/>
      <c r="T70" s="575"/>
      <c r="U70" s="575"/>
      <c r="V70" s="575"/>
      <c r="W70" s="575"/>
      <c r="X70" s="575"/>
      <c r="Y70" s="575"/>
      <c r="Z70" s="575"/>
      <c r="AA70" s="147" t="s">
        <v>3269</v>
      </c>
      <c r="AB70" s="147"/>
      <c r="AC70" s="147"/>
      <c r="AD70" s="147"/>
      <c r="AE70" s="147"/>
      <c r="AF70" s="577">
        <f>EventHistory!C6</f>
        <v>0</v>
      </c>
      <c r="AG70" s="576"/>
      <c r="AH70" s="576"/>
      <c r="AI70" s="576"/>
      <c r="AJ70" s="576"/>
      <c r="AK70" s="576"/>
      <c r="AL70" s="576"/>
      <c r="AM70" s="147"/>
      <c r="AN70" s="147" t="s">
        <v>3273</v>
      </c>
      <c r="AO70" s="147"/>
      <c r="AP70" s="147"/>
      <c r="AQ70" s="147"/>
      <c r="AR70" s="147"/>
      <c r="AS70" s="577" t="str">
        <f>_xlfn.CONCAT(IF(AND(EventHistory!L6="",EventHistory!M6="",EventHistory!K6=TRUE),"Next Visit Date",""),IF(AND(EventHistory!L6="",EventHistory!M6="",EventHistory!K6=FALSE),"Not Required",""),IF(EventHistory!L6="","",TEXT(EventHistory!L6,"mm/dd/yyyy")))</f>
        <v>Not Required</v>
      </c>
      <c r="AT70" s="577"/>
      <c r="AU70" s="577"/>
      <c r="AV70" s="577"/>
      <c r="AW70" s="577"/>
      <c r="AX70" s="577"/>
      <c r="AY70" s="147"/>
    </row>
    <row r="71" spans="1:51" x14ac:dyDescent="0.2">
      <c r="B71" t="s">
        <v>3272</v>
      </c>
      <c r="I71" s="295" t="str">
        <f>_xlfn.CONCAT(IF(EventHistory!B6="Fall","No Additional Specifics",""),IF(EventHistory!B6="Hospital - ER","Admission Date: "&amp;TEXT(EventHistory!O6,"mm/dd/yyyy")&amp;"  Discharge Date: "&amp;IF(EventHistory!P6="","Unknown at this time.",TEXT(EventHistory!P6,"mm/dd/yyyy")),""),IF(EventHistory!B6="Hospital - Admission","Admission Date: "&amp;TEXT(EventHistory!O6,"mm/dd/yyyy")&amp;"  Discharge Date: "&amp;IF(EventHistory!P6="","Unknown at this time.",TEXT(EventHistory!P6,"mm/dd/yyyy")),""),IF(EventHistory!B6="Rehab","Admission Date: "&amp;TEXT(EventHistory!O6,"mm/dd/yyyy")&amp;"  Discharge Date: "&amp;IF(EventHistory!P6="","Unknown at this time.",TEXT(EventHistory!P6,"mm/dd/yyyy")),""),IF(EventHistory!B6="Inpatient Procedure","Admission Date: "&amp;TEXT(EventHistory!O6,"mm/dd/yyyy")&amp;"  Discharge Date: "&amp;IF(EventHistory!P6="","Unknown at this time.",TEXT(EventHistory!P6,"mm/dd/yyyy")),""),IF(EventHistory!B6="Physician Appointment",EventHistory!D6&amp;" "&amp;EventHistory!Q6&amp;" for "&amp;EventHistory!U6&amp;". "&amp;IF(EventHistory!E6="No","No changes reported. ","Changes listed below in details."),""),IF(EventHistory!B6="Outpatient Procedure","No Additional Specifics",""),IF(EventHistory!B6="Illness/Urgent Care","No Additional Specifics",""),IF(EventHistory!B6="Event/Change (All others)","No Additional Specifics",""))</f>
        <v/>
      </c>
      <c r="J71" s="295"/>
      <c r="K71" s="295"/>
      <c r="L71" s="295"/>
      <c r="M71" s="295"/>
      <c r="N71" s="295"/>
      <c r="O71" s="295"/>
      <c r="P71" s="295"/>
      <c r="Q71" s="295"/>
      <c r="R71" s="295"/>
      <c r="S71" s="295"/>
      <c r="T71" s="295"/>
      <c r="U71" s="295"/>
      <c r="V71" s="295"/>
      <c r="W71" s="295"/>
      <c r="X71" s="295"/>
      <c r="Y71" s="295"/>
      <c r="Z71" s="295"/>
      <c r="AA71" s="295"/>
      <c r="AB71" s="295"/>
      <c r="AC71" s="295"/>
      <c r="AD71" s="295"/>
      <c r="AE71" s="295"/>
      <c r="AF71" s="295"/>
      <c r="AG71" s="295"/>
      <c r="AH71" s="295"/>
      <c r="AI71" s="295"/>
      <c r="AJ71" s="295"/>
      <c r="AK71" s="295"/>
      <c r="AL71" s="295"/>
      <c r="AM71" s="295"/>
      <c r="AN71" s="295"/>
      <c r="AO71" s="295"/>
      <c r="AP71" s="295"/>
      <c r="AQ71" s="295"/>
      <c r="AR71" s="295"/>
      <c r="AS71" s="295"/>
      <c r="AT71" s="295"/>
      <c r="AU71" s="295"/>
      <c r="AV71" s="295"/>
      <c r="AW71" s="295"/>
      <c r="AX71" s="295"/>
    </row>
    <row r="72" spans="1:51" x14ac:dyDescent="0.2">
      <c r="B72" t="s">
        <v>3270</v>
      </c>
      <c r="I72" s="216">
        <f>EventHistory!J6</f>
        <v>0</v>
      </c>
      <c r="J72" s="216"/>
      <c r="K72" s="216"/>
      <c r="L72" s="216"/>
      <c r="M72" s="216"/>
      <c r="N72" s="216"/>
      <c r="O72" s="216"/>
      <c r="P72" s="216"/>
      <c r="Q72" s="216"/>
      <c r="R72" s="216"/>
      <c r="S72" s="216"/>
      <c r="T72" s="216"/>
      <c r="U72" s="216"/>
      <c r="V72" s="216"/>
      <c r="W72" s="216"/>
      <c r="X72" s="216"/>
      <c r="Y72" s="216"/>
      <c r="Z72" s="216"/>
      <c r="AA72" s="216"/>
      <c r="AB72" s="216"/>
      <c r="AC72" s="216"/>
      <c r="AD72" s="216"/>
      <c r="AE72" s="216"/>
      <c r="AF72" s="216"/>
      <c r="AG72" s="216"/>
      <c r="AH72" s="216"/>
      <c r="AI72" s="216"/>
      <c r="AJ72" s="216"/>
      <c r="AK72" s="216"/>
      <c r="AL72" s="216"/>
      <c r="AM72" s="216"/>
      <c r="AN72" s="216"/>
      <c r="AO72" s="216"/>
      <c r="AP72" s="216"/>
      <c r="AQ72" s="216"/>
      <c r="AR72" s="216"/>
      <c r="AS72" s="216"/>
      <c r="AT72" s="216"/>
      <c r="AU72" s="216"/>
      <c r="AV72" s="216"/>
      <c r="AW72" s="216"/>
      <c r="AX72" s="216"/>
    </row>
    <row r="73" spans="1:51" x14ac:dyDescent="0.2">
      <c r="I73" s="216"/>
      <c r="J73" s="216"/>
      <c r="K73" s="216"/>
      <c r="L73" s="216"/>
      <c r="M73" s="216"/>
      <c r="N73" s="216"/>
      <c r="O73" s="216"/>
      <c r="P73" s="216"/>
      <c r="Q73" s="216"/>
      <c r="R73" s="216"/>
      <c r="S73" s="216"/>
      <c r="T73" s="216"/>
      <c r="U73" s="216"/>
      <c r="V73" s="216"/>
      <c r="W73" s="216"/>
      <c r="X73" s="216"/>
      <c r="Y73" s="216"/>
      <c r="Z73" s="216"/>
      <c r="AA73" s="216"/>
      <c r="AB73" s="216"/>
      <c r="AC73" s="216"/>
      <c r="AD73" s="216"/>
      <c r="AE73" s="216"/>
      <c r="AF73" s="216"/>
      <c r="AG73" s="216"/>
      <c r="AH73" s="216"/>
      <c r="AI73" s="216"/>
      <c r="AJ73" s="216"/>
      <c r="AK73" s="216"/>
      <c r="AL73" s="216"/>
      <c r="AM73" s="216"/>
      <c r="AN73" s="216"/>
      <c r="AO73" s="216"/>
      <c r="AP73" s="216"/>
      <c r="AQ73" s="216"/>
      <c r="AR73" s="216"/>
      <c r="AS73" s="216"/>
      <c r="AT73" s="216"/>
      <c r="AU73" s="216"/>
      <c r="AV73" s="216"/>
      <c r="AW73" s="216"/>
      <c r="AX73" s="216"/>
    </row>
    <row r="74" spans="1:51" x14ac:dyDescent="0.2">
      <c r="B74" t="s">
        <v>3271</v>
      </c>
      <c r="I74" s="216" t="str">
        <f>IF(AND(EventHistory!K6=FALSE,EventHistory!M6=""),"No follow up required","")&amp;IF(AND(EventHistory!K6=TRUE,EventHistory!M6=""),"Follow up will occur on next supervisory visit.","")&amp;IF(EventHistory!M6&lt;&gt;"",EventHistory!M6,"")</f>
        <v>No follow up required</v>
      </c>
      <c r="J74" s="216"/>
      <c r="K74" s="216"/>
      <c r="L74" s="216"/>
      <c r="M74" s="216"/>
      <c r="N74" s="216"/>
      <c r="O74" s="216"/>
      <c r="P74" s="216"/>
      <c r="Q74" s="216"/>
      <c r="R74" s="216"/>
      <c r="S74" s="216"/>
      <c r="T74" s="216"/>
      <c r="U74" s="216"/>
      <c r="V74" s="216"/>
      <c r="W74" s="216"/>
      <c r="X74" s="216"/>
      <c r="Y74" s="216"/>
      <c r="Z74" s="216"/>
      <c r="AA74" s="216"/>
      <c r="AB74" s="216"/>
      <c r="AC74" s="216"/>
      <c r="AD74" s="216"/>
      <c r="AE74" s="216"/>
      <c r="AF74" s="216"/>
      <c r="AG74" s="216"/>
      <c r="AH74" s="216"/>
      <c r="AI74" s="216"/>
      <c r="AJ74" s="216"/>
      <c r="AK74" s="216"/>
      <c r="AL74" s="216"/>
      <c r="AM74" s="216"/>
      <c r="AN74" s="216"/>
      <c r="AO74" s="216"/>
      <c r="AP74" s="216"/>
      <c r="AQ74" s="216"/>
      <c r="AR74" s="216"/>
      <c r="AS74" s="216"/>
      <c r="AT74" s="216"/>
      <c r="AU74" s="216"/>
      <c r="AV74" s="216"/>
      <c r="AW74" s="216"/>
      <c r="AX74" s="216"/>
    </row>
    <row r="75" spans="1:51" ht="13.5" thickBot="1" x14ac:dyDescent="0.25">
      <c r="A75" s="39"/>
      <c r="B75" s="39"/>
      <c r="C75" s="39"/>
      <c r="D75" s="39"/>
      <c r="E75" s="39"/>
      <c r="F75" s="39"/>
      <c r="G75" s="39"/>
      <c r="H75" s="39"/>
      <c r="I75" s="574"/>
      <c r="J75" s="574"/>
      <c r="K75" s="574"/>
      <c r="L75" s="574"/>
      <c r="M75" s="574"/>
      <c r="N75" s="574"/>
      <c r="O75" s="574"/>
      <c r="P75" s="574"/>
      <c r="Q75" s="574"/>
      <c r="R75" s="574"/>
      <c r="S75" s="574"/>
      <c r="T75" s="574"/>
      <c r="U75" s="574"/>
      <c r="V75" s="574"/>
      <c r="W75" s="574"/>
      <c r="X75" s="574"/>
      <c r="Y75" s="574"/>
      <c r="Z75" s="574"/>
      <c r="AA75" s="574"/>
      <c r="AB75" s="574"/>
      <c r="AC75" s="574"/>
      <c r="AD75" s="574"/>
      <c r="AE75" s="574"/>
      <c r="AF75" s="574"/>
      <c r="AG75" s="574"/>
      <c r="AH75" s="574"/>
      <c r="AI75" s="574"/>
      <c r="AJ75" s="574"/>
      <c r="AK75" s="574"/>
      <c r="AL75" s="574"/>
      <c r="AM75" s="574"/>
      <c r="AN75" s="574"/>
      <c r="AO75" s="574"/>
      <c r="AP75" s="574"/>
      <c r="AQ75" s="574"/>
      <c r="AR75" s="574"/>
      <c r="AS75" s="574"/>
      <c r="AT75" s="574"/>
      <c r="AU75" s="574"/>
      <c r="AV75" s="574"/>
      <c r="AW75" s="574"/>
      <c r="AX75" s="574"/>
      <c r="AY75" s="39"/>
    </row>
    <row r="76" spans="1:51" ht="6.75" customHeight="1" thickTop="1" x14ac:dyDescent="0.2">
      <c r="A76" s="147"/>
      <c r="B76" s="147"/>
      <c r="C76" s="147"/>
      <c r="D76" s="147"/>
      <c r="E76" s="147"/>
      <c r="F76" s="147"/>
      <c r="G76" s="147"/>
      <c r="H76" s="147"/>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49"/>
      <c r="AK76" s="149"/>
      <c r="AL76" s="149"/>
      <c r="AM76" s="149"/>
      <c r="AN76" s="149"/>
      <c r="AO76" s="149"/>
      <c r="AP76" s="149"/>
      <c r="AQ76" s="149"/>
      <c r="AR76" s="149"/>
      <c r="AS76" s="149"/>
      <c r="AT76" s="149"/>
      <c r="AU76" s="149"/>
      <c r="AV76" s="149"/>
      <c r="AW76" s="149"/>
      <c r="AX76" s="149"/>
      <c r="AY76" s="147"/>
    </row>
    <row r="77" spans="1:51" ht="13.5" thickBot="1" x14ac:dyDescent="0.25">
      <c r="A77" s="39" t="s">
        <v>336</v>
      </c>
      <c r="B77" s="39"/>
      <c r="C77" s="39"/>
      <c r="D77" s="39"/>
      <c r="E77" s="578" t="e">
        <f>_xlfn.CONCAT(#REF!,", ",#REF!," ",#REF!)</f>
        <v>#REF!</v>
      </c>
      <c r="F77" s="578"/>
      <c r="G77" s="578"/>
      <c r="H77" s="578"/>
      <c r="I77" s="578"/>
      <c r="J77" s="578"/>
      <c r="K77" s="578"/>
      <c r="L77" s="578"/>
      <c r="M77" s="578"/>
      <c r="N77" s="578"/>
      <c r="O77" s="578"/>
      <c r="P77" s="578"/>
      <c r="Q77" s="578"/>
      <c r="R77" s="578"/>
      <c r="S77" s="578"/>
      <c r="T77" s="39"/>
      <c r="U77" s="39"/>
      <c r="V77" s="39" t="s">
        <v>337</v>
      </c>
      <c r="W77" s="39"/>
      <c r="X77" s="39"/>
      <c r="Y77" s="39"/>
      <c r="Z77" s="39"/>
      <c r="AA77" s="579" t="e">
        <f>#REF!</f>
        <v>#REF!</v>
      </c>
      <c r="AB77" s="579"/>
      <c r="AC77" s="579"/>
      <c r="AD77" s="579"/>
      <c r="AE77" s="579"/>
      <c r="AF77" s="579"/>
      <c r="AG77" s="39"/>
      <c r="AH77" s="39"/>
      <c r="AI77" s="39" t="s">
        <v>582</v>
      </c>
      <c r="AJ77" s="39"/>
      <c r="AK77" s="39"/>
      <c r="AL77" s="39"/>
      <c r="AM77" s="39"/>
      <c r="AN77" s="579" t="e">
        <f>#REF!</f>
        <v>#REF!</v>
      </c>
      <c r="AO77" s="579"/>
      <c r="AP77" s="579"/>
      <c r="AQ77" s="579"/>
      <c r="AR77" s="579"/>
      <c r="AS77" s="579"/>
      <c r="AT77" s="579"/>
      <c r="AU77" s="148"/>
      <c r="AV77" s="148"/>
      <c r="AW77" s="148"/>
      <c r="AX77" s="148"/>
      <c r="AY77" s="39"/>
    </row>
    <row r="78" spans="1:51" ht="13.5" thickTop="1" x14ac:dyDescent="0.2">
      <c r="A78" t="s">
        <v>3267</v>
      </c>
      <c r="E78" s="218">
        <f>EventHistory!F7</f>
        <v>0</v>
      </c>
      <c r="F78" s="219"/>
      <c r="G78" s="219"/>
      <c r="H78" s="219"/>
      <c r="I78" s="219"/>
      <c r="J78" s="219"/>
      <c r="L78" t="s">
        <v>3268</v>
      </c>
      <c r="P78" s="219">
        <f>EventHistory!B7</f>
        <v>0</v>
      </c>
      <c r="Q78" s="219"/>
      <c r="R78" s="219"/>
      <c r="S78" s="219"/>
      <c r="T78" s="219"/>
      <c r="U78" s="219"/>
      <c r="V78" s="219"/>
      <c r="W78" s="219"/>
      <c r="X78" s="219"/>
      <c r="Y78" s="219"/>
      <c r="Z78" s="219"/>
      <c r="AA78" t="s">
        <v>3269</v>
      </c>
      <c r="AF78" s="218">
        <f>EventHistory!C7</f>
        <v>0</v>
      </c>
      <c r="AG78" s="219"/>
      <c r="AH78" s="219"/>
      <c r="AI78" s="219"/>
      <c r="AJ78" s="219"/>
      <c r="AK78" s="219"/>
      <c r="AL78" s="219"/>
      <c r="AN78" t="s">
        <v>3273</v>
      </c>
      <c r="AS78" s="219" t="str">
        <f>_xlfn.CONCAT(IF(AND(EventHistory!L7="",EventHistory!M7="",EventHistory!K7=TRUE),"Next Visit Date",""),IF(AND(EventHistory!L7="",EventHistory!M7="",EventHistory!K7=FALSE),"Not Required",""),IF(EventHistory!L7="","",TEXT(EventHistory!L7,"mm/dd/yyyy")))</f>
        <v>Not Required</v>
      </c>
      <c r="AT78" s="219"/>
      <c r="AU78" s="219"/>
      <c r="AV78" s="219"/>
      <c r="AW78" s="219"/>
      <c r="AX78" s="219"/>
    </row>
    <row r="79" spans="1:51" x14ac:dyDescent="0.2">
      <c r="B79" t="s">
        <v>3272</v>
      </c>
      <c r="I79" s="295" t="str">
        <f>_xlfn.CONCAT(IF(EventHistory!B7="Fall","No Additional Specifics",""),IF(EventHistory!B7="Hospital - ER","Admission Date: "&amp;TEXT(EventHistory!O7,"mm/dd/yyyy")&amp;"  Discharge Date: "&amp;IF(EventHistory!P7="","Unknown at this time.",TEXT(EventHistory!P7,"mm/dd/yyyy")),""),IF(EventHistory!B7="Hospital - Admission","Admission Date: "&amp;TEXT(EventHistory!O7,"mm/dd/yyyy")&amp;"  Discharge Date: "&amp;IF(EventHistory!P7="","Unknown at this time.",TEXT(EventHistory!P7,"mm/dd/yyyy")),""),IF(EventHistory!B7="Rehab","Admission Date: "&amp;TEXT(EventHistory!O7,"mm/dd/yyyy")&amp;"  Discharge Date: "&amp;IF(EventHistory!P7="","Unknown at this time.",TEXT(EventHistory!P7,"mm/dd/yyyy")),""),IF(EventHistory!B7="Inpatient Procedure","Admission Date: "&amp;TEXT(EventHistory!O7,"mm/dd/yyyy")&amp;"  Discharge Date: "&amp;IF(EventHistory!P7="","Unknown at this time.",TEXT(EventHistory!P7,"mm/dd/yyyy")),""),IF(EventHistory!B7="Physician Appointment",EventHistory!D7&amp;" "&amp;EventHistory!Q7&amp;" for "&amp;EventHistory!U7&amp;". "&amp;IF(EventHistory!E7="No","No changes reported. ","Changes listed below in details."),""),IF(EventHistory!B7="Outpatient Procedure","No Additional Specifics",""),IF(EventHistory!B7="Illness/Urgent Care","No Additional Specifics",""),IF(EventHistory!B7="Event/Change (All others)","No Additional Specifics",""))</f>
        <v/>
      </c>
      <c r="J79" s="295"/>
      <c r="K79" s="295"/>
      <c r="L79" s="295"/>
      <c r="M79" s="295"/>
      <c r="N79" s="295"/>
      <c r="O79" s="295"/>
      <c r="P79" s="295"/>
      <c r="Q79" s="295"/>
      <c r="R79" s="295"/>
      <c r="S79" s="295"/>
      <c r="T79" s="295"/>
      <c r="U79" s="295"/>
      <c r="V79" s="295"/>
      <c r="W79" s="295"/>
      <c r="X79" s="295"/>
      <c r="Y79" s="295"/>
      <c r="Z79" s="295"/>
      <c r="AA79" s="295"/>
      <c r="AB79" s="295"/>
      <c r="AC79" s="295"/>
      <c r="AD79" s="295"/>
      <c r="AE79" s="295"/>
      <c r="AF79" s="295"/>
      <c r="AG79" s="295"/>
      <c r="AH79" s="295"/>
      <c r="AI79" s="295"/>
      <c r="AJ79" s="295"/>
      <c r="AK79" s="295"/>
      <c r="AL79" s="295"/>
      <c r="AM79" s="295"/>
      <c r="AN79" s="295"/>
      <c r="AO79" s="295"/>
      <c r="AP79" s="295"/>
      <c r="AQ79" s="295"/>
      <c r="AR79" s="295"/>
      <c r="AS79" s="295"/>
      <c r="AT79" s="295"/>
      <c r="AU79" s="295"/>
      <c r="AV79" s="295"/>
      <c r="AW79" s="295"/>
      <c r="AX79" s="295"/>
    </row>
    <row r="80" spans="1:51" x14ac:dyDescent="0.2">
      <c r="B80" t="s">
        <v>3270</v>
      </c>
      <c r="I80" s="216">
        <f>EventHistory!J7</f>
        <v>0</v>
      </c>
      <c r="J80" s="216"/>
      <c r="K80" s="216"/>
      <c r="L80" s="216"/>
      <c r="M80" s="216"/>
      <c r="N80" s="216"/>
      <c r="O80" s="216"/>
      <c r="P80" s="216"/>
      <c r="Q80" s="216"/>
      <c r="R80" s="216"/>
      <c r="S80" s="216"/>
      <c r="T80" s="216"/>
      <c r="U80" s="216"/>
      <c r="V80" s="216"/>
      <c r="W80" s="216"/>
      <c r="X80" s="216"/>
      <c r="Y80" s="216"/>
      <c r="Z80" s="216"/>
      <c r="AA80" s="216"/>
      <c r="AB80" s="216"/>
      <c r="AC80" s="216"/>
      <c r="AD80" s="216"/>
      <c r="AE80" s="216"/>
      <c r="AF80" s="216"/>
      <c r="AG80" s="216"/>
      <c r="AH80" s="216"/>
      <c r="AI80" s="216"/>
      <c r="AJ80" s="216"/>
      <c r="AK80" s="216"/>
      <c r="AL80" s="216"/>
      <c r="AM80" s="216"/>
      <c r="AN80" s="216"/>
      <c r="AO80" s="216"/>
      <c r="AP80" s="216"/>
      <c r="AQ80" s="216"/>
      <c r="AR80" s="216"/>
      <c r="AS80" s="216"/>
      <c r="AT80" s="216"/>
      <c r="AU80" s="216"/>
      <c r="AV80" s="216"/>
      <c r="AW80" s="216"/>
      <c r="AX80" s="216"/>
    </row>
    <row r="81" spans="1:51" x14ac:dyDescent="0.2">
      <c r="I81" s="216"/>
      <c r="J81" s="216"/>
      <c r="K81" s="216"/>
      <c r="L81" s="216"/>
      <c r="M81" s="216"/>
      <c r="N81" s="216"/>
      <c r="O81" s="216"/>
      <c r="P81" s="216"/>
      <c r="Q81" s="216"/>
      <c r="R81" s="216"/>
      <c r="S81" s="216"/>
      <c r="T81" s="216"/>
      <c r="U81" s="216"/>
      <c r="V81" s="216"/>
      <c r="W81" s="216"/>
      <c r="X81" s="216"/>
      <c r="Y81" s="216"/>
      <c r="Z81" s="216"/>
      <c r="AA81" s="216"/>
      <c r="AB81" s="216"/>
      <c r="AC81" s="216"/>
      <c r="AD81" s="216"/>
      <c r="AE81" s="216"/>
      <c r="AF81" s="216"/>
      <c r="AG81" s="216"/>
      <c r="AH81" s="216"/>
      <c r="AI81" s="216"/>
      <c r="AJ81" s="216"/>
      <c r="AK81" s="216"/>
      <c r="AL81" s="216"/>
      <c r="AM81" s="216"/>
      <c r="AN81" s="216"/>
      <c r="AO81" s="216"/>
      <c r="AP81" s="216"/>
      <c r="AQ81" s="216"/>
      <c r="AR81" s="216"/>
      <c r="AS81" s="216"/>
      <c r="AT81" s="216"/>
      <c r="AU81" s="216"/>
      <c r="AV81" s="216"/>
      <c r="AW81" s="216"/>
      <c r="AX81" s="216"/>
    </row>
    <row r="82" spans="1:51" x14ac:dyDescent="0.2">
      <c r="B82" t="s">
        <v>3271</v>
      </c>
      <c r="I82" s="216" t="str">
        <f>IF(AND(EventHistory!K7=FALSE,EventHistory!M7=""),"No follow up required","")&amp;IF(AND(EventHistory!K7=TRUE,EventHistory!M7=""),"Follow up will occur on next supervisory visit.","")&amp;IF(EventHistory!M7&lt;&gt;"",EventHistory!M7,"")</f>
        <v>No follow up required</v>
      </c>
      <c r="J82" s="216"/>
      <c r="K82" s="216"/>
      <c r="L82" s="216"/>
      <c r="M82" s="216"/>
      <c r="N82" s="216"/>
      <c r="O82" s="216"/>
      <c r="P82" s="216"/>
      <c r="Q82" s="216"/>
      <c r="R82" s="216"/>
      <c r="S82" s="216"/>
      <c r="T82" s="216"/>
      <c r="U82" s="216"/>
      <c r="V82" s="216"/>
      <c r="W82" s="216"/>
      <c r="X82" s="216"/>
      <c r="Y82" s="216"/>
      <c r="Z82" s="216"/>
      <c r="AA82" s="216"/>
      <c r="AB82" s="216"/>
      <c r="AC82" s="216"/>
      <c r="AD82" s="216"/>
      <c r="AE82" s="216"/>
      <c r="AF82" s="216"/>
      <c r="AG82" s="216"/>
      <c r="AH82" s="216"/>
      <c r="AI82" s="216"/>
      <c r="AJ82" s="216"/>
      <c r="AK82" s="216"/>
      <c r="AL82" s="216"/>
      <c r="AM82" s="216"/>
      <c r="AN82" s="216"/>
      <c r="AO82" s="216"/>
      <c r="AP82" s="216"/>
      <c r="AQ82" s="216"/>
      <c r="AR82" s="216"/>
      <c r="AS82" s="216"/>
      <c r="AT82" s="216"/>
      <c r="AU82" s="216"/>
      <c r="AV82" s="216"/>
      <c r="AW82" s="216"/>
      <c r="AX82" s="216"/>
    </row>
    <row r="83" spans="1:51" ht="13.5" thickBot="1" x14ac:dyDescent="0.25">
      <c r="A83" s="39"/>
      <c r="B83" s="39"/>
      <c r="C83" s="39"/>
      <c r="D83" s="39"/>
      <c r="E83" s="39"/>
      <c r="F83" s="39"/>
      <c r="G83" s="39"/>
      <c r="H83" s="39"/>
      <c r="I83" s="574"/>
      <c r="J83" s="574"/>
      <c r="K83" s="574"/>
      <c r="L83" s="574"/>
      <c r="M83" s="574"/>
      <c r="N83" s="574"/>
      <c r="O83" s="574"/>
      <c r="P83" s="574"/>
      <c r="Q83" s="574"/>
      <c r="R83" s="574"/>
      <c r="S83" s="574"/>
      <c r="T83" s="574"/>
      <c r="U83" s="574"/>
      <c r="V83" s="574"/>
      <c r="W83" s="574"/>
      <c r="X83" s="574"/>
      <c r="Y83" s="574"/>
      <c r="Z83" s="574"/>
      <c r="AA83" s="574"/>
      <c r="AB83" s="574"/>
      <c r="AC83" s="574"/>
      <c r="AD83" s="574"/>
      <c r="AE83" s="574"/>
      <c r="AF83" s="574"/>
      <c r="AG83" s="574"/>
      <c r="AH83" s="574"/>
      <c r="AI83" s="574"/>
      <c r="AJ83" s="574"/>
      <c r="AK83" s="574"/>
      <c r="AL83" s="574"/>
      <c r="AM83" s="574"/>
      <c r="AN83" s="574"/>
      <c r="AO83" s="574"/>
      <c r="AP83" s="574"/>
      <c r="AQ83" s="574"/>
      <c r="AR83" s="574"/>
      <c r="AS83" s="574"/>
      <c r="AT83" s="574"/>
      <c r="AU83" s="574"/>
      <c r="AV83" s="574"/>
      <c r="AW83" s="574"/>
      <c r="AX83" s="574"/>
      <c r="AY83" s="39"/>
    </row>
    <row r="84" spans="1:51" ht="13.5" thickTop="1" x14ac:dyDescent="0.2">
      <c r="A84" t="s">
        <v>3267</v>
      </c>
      <c r="E84" s="218">
        <f>EventHistory!F8</f>
        <v>0</v>
      </c>
      <c r="F84" s="219"/>
      <c r="G84" s="219"/>
      <c r="H84" s="219"/>
      <c r="I84" s="219"/>
      <c r="J84" s="219"/>
      <c r="L84" t="s">
        <v>3268</v>
      </c>
      <c r="P84" s="575">
        <f>EventHistory!B8</f>
        <v>0</v>
      </c>
      <c r="Q84" s="575"/>
      <c r="R84" s="575"/>
      <c r="S84" s="575"/>
      <c r="T84" s="575"/>
      <c r="U84" s="575"/>
      <c r="V84" s="575"/>
      <c r="W84" s="575"/>
      <c r="X84" s="575"/>
      <c r="Y84" s="575"/>
      <c r="Z84" s="575"/>
      <c r="AA84" t="s">
        <v>3269</v>
      </c>
      <c r="AF84" s="218">
        <f>EventHistory!C8</f>
        <v>0</v>
      </c>
      <c r="AG84" s="219"/>
      <c r="AH84" s="219"/>
      <c r="AI84" s="219"/>
      <c r="AJ84" s="219"/>
      <c r="AK84" s="219"/>
      <c r="AL84" s="219"/>
      <c r="AN84" t="s">
        <v>3273</v>
      </c>
      <c r="AS84" s="576" t="str">
        <f>_xlfn.CONCAT(IF(AND(EventHistory!L8="",EventHistory!M8="",EventHistory!K8=TRUE),"Next Visit Date",""),IF(AND(EventHistory!L8="",EventHistory!M8="",EventHistory!K8=FALSE),"Not Required",""),IF(EventHistory!L8="","",TEXT(EventHistory!L8,"mm/dd/yyyy")))</f>
        <v>Not Required</v>
      </c>
      <c r="AT84" s="576"/>
      <c r="AU84" s="576"/>
      <c r="AV84" s="576"/>
      <c r="AW84" s="576"/>
      <c r="AX84" s="576"/>
    </row>
    <row r="85" spans="1:51" x14ac:dyDescent="0.2">
      <c r="B85" t="s">
        <v>3272</v>
      </c>
      <c r="I85" s="295" t="str">
        <f>_xlfn.CONCAT(IF(EventHistory!B8="Fall","No Additional Specifics",""),IF(EventHistory!B8="Hospital - ER","Admission Date: "&amp;TEXT(EventHistory!O8,"mm/dd/yyyy")&amp;"  Discharge Date: "&amp;IF(EventHistory!P8="","Unknown at this time.",TEXT(EventHistory!P8,"mm/dd/yyyy")),""),IF(EventHistory!B8="Hospital - Admission","Admission Date: "&amp;TEXT(EventHistory!O8,"mm/dd/yyyy")&amp;"  Discharge Date: "&amp;IF(EventHistory!P8="","Unknown at this time.",TEXT(EventHistory!P8,"mm/dd/yyyy")),""),IF(EventHistory!B8="Rehab","Admission Date: "&amp;TEXT(EventHistory!O8,"mm/dd/yyyy")&amp;"  Discharge Date: "&amp;IF(EventHistory!P8="","Unknown at this time.",TEXT(EventHistory!P8,"mm/dd/yyyy")),""),IF(EventHistory!B8="Inpatient Procedure","Admission Date: "&amp;TEXT(EventHistory!O8,"mm/dd/yyyy")&amp;"  Discharge Date: "&amp;IF(EventHistory!P8="","Unknown at this time.",TEXT(EventHistory!P8,"mm/dd/yyyy")),""),IF(EventHistory!B8="Physician Appointment",EventHistory!D8&amp;" "&amp;EventHistory!Q8&amp;" for "&amp;EventHistory!U8&amp;". "&amp;IF(EventHistory!E8="No","No changes reported. ","Changes listed below in details."),""),IF(EventHistory!B8="Outpatient Procedure","No Additional Specifics",""),IF(EventHistory!B8="Illness/Urgent Care","No Additional Specifics",""),IF(EventHistory!B8="Event/Change (All others)","No Additional Specifics",""))</f>
        <v/>
      </c>
      <c r="J85" s="295"/>
      <c r="K85" s="295"/>
      <c r="L85" s="295"/>
      <c r="M85" s="295"/>
      <c r="N85" s="295"/>
      <c r="O85" s="295"/>
      <c r="P85" s="295"/>
      <c r="Q85" s="295"/>
      <c r="R85" s="295"/>
      <c r="S85" s="295"/>
      <c r="T85" s="295"/>
      <c r="U85" s="295"/>
      <c r="V85" s="295"/>
      <c r="W85" s="295"/>
      <c r="X85" s="295"/>
      <c r="Y85" s="295"/>
      <c r="Z85" s="295"/>
      <c r="AA85" s="295"/>
      <c r="AB85" s="295"/>
      <c r="AC85" s="295"/>
      <c r="AD85" s="295"/>
      <c r="AE85" s="295"/>
      <c r="AF85" s="295"/>
      <c r="AG85" s="295"/>
      <c r="AH85" s="295"/>
      <c r="AI85" s="295"/>
      <c r="AJ85" s="295"/>
      <c r="AK85" s="295"/>
      <c r="AL85" s="295"/>
      <c r="AM85" s="295"/>
      <c r="AN85" s="295"/>
      <c r="AO85" s="295"/>
      <c r="AP85" s="295"/>
      <c r="AQ85" s="295"/>
      <c r="AR85" s="295"/>
      <c r="AS85" s="295"/>
      <c r="AT85" s="295"/>
      <c r="AU85" s="295"/>
      <c r="AV85" s="295"/>
      <c r="AW85" s="295"/>
      <c r="AX85" s="295"/>
    </row>
    <row r="86" spans="1:51" x14ac:dyDescent="0.2">
      <c r="B86" t="s">
        <v>3270</v>
      </c>
      <c r="I86" s="216">
        <f>EventHistory!J8</f>
        <v>0</v>
      </c>
      <c r="J86" s="216"/>
      <c r="K86" s="216"/>
      <c r="L86" s="216"/>
      <c r="M86" s="216"/>
      <c r="N86" s="216"/>
      <c r="O86" s="216"/>
      <c r="P86" s="216"/>
      <c r="Q86" s="216"/>
      <c r="R86" s="216"/>
      <c r="S86" s="216"/>
      <c r="T86" s="216"/>
      <c r="U86" s="216"/>
      <c r="V86" s="216"/>
      <c r="W86" s="216"/>
      <c r="X86" s="216"/>
      <c r="Y86" s="216"/>
      <c r="Z86" s="216"/>
      <c r="AA86" s="216"/>
      <c r="AB86" s="216"/>
      <c r="AC86" s="216"/>
      <c r="AD86" s="216"/>
      <c r="AE86" s="216"/>
      <c r="AF86" s="216"/>
      <c r="AG86" s="216"/>
      <c r="AH86" s="216"/>
      <c r="AI86" s="216"/>
      <c r="AJ86" s="216"/>
      <c r="AK86" s="216"/>
      <c r="AL86" s="216"/>
      <c r="AM86" s="216"/>
      <c r="AN86" s="216"/>
      <c r="AO86" s="216"/>
      <c r="AP86" s="216"/>
      <c r="AQ86" s="216"/>
      <c r="AR86" s="216"/>
      <c r="AS86" s="216"/>
      <c r="AT86" s="216"/>
      <c r="AU86" s="216"/>
      <c r="AV86" s="216"/>
      <c r="AW86" s="216"/>
      <c r="AX86" s="216"/>
    </row>
    <row r="87" spans="1:51" x14ac:dyDescent="0.2">
      <c r="I87" s="216"/>
      <c r="J87" s="216"/>
      <c r="K87" s="216"/>
      <c r="L87" s="216"/>
      <c r="M87" s="216"/>
      <c r="N87" s="216"/>
      <c r="O87" s="216"/>
      <c r="P87" s="216"/>
      <c r="Q87" s="216"/>
      <c r="R87" s="216"/>
      <c r="S87" s="216"/>
      <c r="T87" s="216"/>
      <c r="U87" s="216"/>
      <c r="V87" s="216"/>
      <c r="W87" s="216"/>
      <c r="X87" s="216"/>
      <c r="Y87" s="216"/>
      <c r="Z87" s="216"/>
      <c r="AA87" s="216"/>
      <c r="AB87" s="216"/>
      <c r="AC87" s="216"/>
      <c r="AD87" s="216"/>
      <c r="AE87" s="216"/>
      <c r="AF87" s="216"/>
      <c r="AG87" s="216"/>
      <c r="AH87" s="216"/>
      <c r="AI87" s="216"/>
      <c r="AJ87" s="216"/>
      <c r="AK87" s="216"/>
      <c r="AL87" s="216"/>
      <c r="AM87" s="216"/>
      <c r="AN87" s="216"/>
      <c r="AO87" s="216"/>
      <c r="AP87" s="216"/>
      <c r="AQ87" s="216"/>
      <c r="AR87" s="216"/>
      <c r="AS87" s="216"/>
      <c r="AT87" s="216"/>
      <c r="AU87" s="216"/>
      <c r="AV87" s="216"/>
      <c r="AW87" s="216"/>
      <c r="AX87" s="216"/>
    </row>
    <row r="88" spans="1:51" x14ac:dyDescent="0.2">
      <c r="B88" t="s">
        <v>3271</v>
      </c>
      <c r="I88" s="216" t="str">
        <f>IF(AND(EventHistory!K8=FALSE,EventHistory!M8=""),"No follow up required","")&amp;IF(AND(EventHistory!K8=TRUE,EventHistory!M8=""),"Follow up will occur on next supervisory visit.","")&amp;IF(EventHistory!M8&lt;&gt;"",EventHistory!M8,"")</f>
        <v>No follow up required</v>
      </c>
      <c r="J88" s="216"/>
      <c r="K88" s="216"/>
      <c r="L88" s="216"/>
      <c r="M88" s="216"/>
      <c r="N88" s="216"/>
      <c r="O88" s="216"/>
      <c r="P88" s="216"/>
      <c r="Q88" s="216"/>
      <c r="R88" s="216"/>
      <c r="S88" s="216"/>
      <c r="T88" s="216"/>
      <c r="U88" s="216"/>
      <c r="V88" s="216"/>
      <c r="W88" s="216"/>
      <c r="X88" s="216"/>
      <c r="Y88" s="216"/>
      <c r="Z88" s="216"/>
      <c r="AA88" s="216"/>
      <c r="AB88" s="216"/>
      <c r="AC88" s="216"/>
      <c r="AD88" s="216"/>
      <c r="AE88" s="216"/>
      <c r="AF88" s="216"/>
      <c r="AG88" s="216"/>
      <c r="AH88" s="216"/>
      <c r="AI88" s="216"/>
      <c r="AJ88" s="216"/>
      <c r="AK88" s="216"/>
      <c r="AL88" s="216"/>
      <c r="AM88" s="216"/>
      <c r="AN88" s="216"/>
      <c r="AO88" s="216"/>
      <c r="AP88" s="216"/>
      <c r="AQ88" s="216"/>
      <c r="AR88" s="216"/>
      <c r="AS88" s="216"/>
      <c r="AT88" s="216"/>
      <c r="AU88" s="216"/>
      <c r="AV88" s="216"/>
      <c r="AW88" s="216"/>
      <c r="AX88" s="216"/>
    </row>
    <row r="89" spans="1:51" ht="13.5" thickBot="1" x14ac:dyDescent="0.25">
      <c r="A89" s="39"/>
      <c r="B89" s="39"/>
      <c r="C89" s="39"/>
      <c r="D89" s="39"/>
      <c r="E89" s="39"/>
      <c r="F89" s="39"/>
      <c r="G89" s="39"/>
      <c r="H89" s="39"/>
      <c r="I89" s="574"/>
      <c r="J89" s="574"/>
      <c r="K89" s="574"/>
      <c r="L89" s="574"/>
      <c r="M89" s="574"/>
      <c r="N89" s="574"/>
      <c r="O89" s="574"/>
      <c r="P89" s="574"/>
      <c r="Q89" s="574"/>
      <c r="R89" s="574"/>
      <c r="S89" s="574"/>
      <c r="T89" s="574"/>
      <c r="U89" s="574"/>
      <c r="V89" s="574"/>
      <c r="W89" s="574"/>
      <c r="X89" s="574"/>
      <c r="Y89" s="574"/>
      <c r="Z89" s="574"/>
      <c r="AA89" s="574"/>
      <c r="AB89" s="574"/>
      <c r="AC89" s="574"/>
      <c r="AD89" s="574"/>
      <c r="AE89" s="574"/>
      <c r="AF89" s="574"/>
      <c r="AG89" s="574"/>
      <c r="AH89" s="574"/>
      <c r="AI89" s="574"/>
      <c r="AJ89" s="574"/>
      <c r="AK89" s="574"/>
      <c r="AL89" s="574"/>
      <c r="AM89" s="574"/>
      <c r="AN89" s="574"/>
      <c r="AO89" s="574"/>
      <c r="AP89" s="574"/>
      <c r="AQ89" s="574"/>
      <c r="AR89" s="574"/>
      <c r="AS89" s="574"/>
      <c r="AT89" s="574"/>
      <c r="AU89" s="574"/>
      <c r="AV89" s="574"/>
      <c r="AW89" s="574"/>
      <c r="AX89" s="574"/>
      <c r="AY89" s="39"/>
    </row>
    <row r="90" spans="1:51" ht="13.5" thickTop="1" x14ac:dyDescent="0.2">
      <c r="A90" t="s">
        <v>3267</v>
      </c>
      <c r="E90" s="218">
        <f>EventHistory!F9</f>
        <v>0</v>
      </c>
      <c r="F90" s="219"/>
      <c r="G90" s="219"/>
      <c r="H90" s="219"/>
      <c r="I90" s="219"/>
      <c r="J90" s="219"/>
      <c r="L90" t="s">
        <v>3268</v>
      </c>
      <c r="P90" s="576">
        <f>EventHistory!B9</f>
        <v>0</v>
      </c>
      <c r="Q90" s="576"/>
      <c r="R90" s="576"/>
      <c r="S90" s="576"/>
      <c r="T90" s="576"/>
      <c r="U90" s="576"/>
      <c r="V90" s="576"/>
      <c r="W90" s="576"/>
      <c r="X90" s="576"/>
      <c r="Y90" s="576"/>
      <c r="Z90" s="576"/>
      <c r="AA90" t="s">
        <v>3269</v>
      </c>
      <c r="AF90" s="218">
        <f>EventHistory!C9</f>
        <v>0</v>
      </c>
      <c r="AG90" s="219"/>
      <c r="AH90" s="219"/>
      <c r="AI90" s="219"/>
      <c r="AJ90" s="219"/>
      <c r="AK90" s="219"/>
      <c r="AL90" s="219"/>
      <c r="AN90" t="s">
        <v>3273</v>
      </c>
      <c r="AS90" s="577" t="str">
        <f>_xlfn.CONCAT(IF(AND(EventHistory!L9="",EventHistory!M9="",EventHistory!K9=TRUE),"Next Visit Date",""),IF(AND(EventHistory!L9="",EventHistory!M9="",EventHistory!K9=FALSE),"Not Required",""),IF(EventHistory!L9="","",TEXT(EventHistory!L9,"mm/dd/yyyy")))</f>
        <v>Not Required</v>
      </c>
      <c r="AT90" s="577"/>
      <c r="AU90" s="577"/>
      <c r="AV90" s="577"/>
      <c r="AW90" s="577"/>
      <c r="AX90" s="577"/>
    </row>
    <row r="91" spans="1:51" x14ac:dyDescent="0.2">
      <c r="B91" t="s">
        <v>3272</v>
      </c>
      <c r="I91" s="295" t="str">
        <f>_xlfn.CONCAT(IF(EventHistory!B9="Fall","No Additional Specifics",""),IF(EventHistory!B9="Hospital - ER","Admission Date: "&amp;TEXT(EventHistory!O9,"mm/dd/yyyy")&amp;"  Discharge Date: "&amp;IF(EventHistory!P9="","Unknown at this time.",TEXT(EventHistory!P9,"mm/dd/yyyy")),""),IF(EventHistory!B9="Hospital - Admission","Admission Date: "&amp;TEXT(EventHistory!O9,"mm/dd/yyyy")&amp;"  Discharge Date: "&amp;IF(EventHistory!P9="","Unknown at this time.",TEXT(EventHistory!P9,"mm/dd/yyyy")),""),IF(EventHistory!B9="Rehab","Admission Date: "&amp;TEXT(EventHistory!O9,"mm/dd/yyyy")&amp;"  Discharge Date: "&amp;IF(EventHistory!P9="","Unknown at this time.",TEXT(EventHistory!P9,"mm/dd/yyyy")),""),IF(EventHistory!B9="Inpatient Procedure","Admission Date: "&amp;TEXT(EventHistory!O9,"mm/dd/yyyy")&amp;"  Discharge Date: "&amp;IF(EventHistory!P9="","Unknown at this time.",TEXT(EventHistory!P9,"mm/dd/yyyy")),""),IF(EventHistory!B9="Physician Appointment",EventHistory!D9&amp;" "&amp;EventHistory!Q9&amp;" for "&amp;EventHistory!U9&amp;". "&amp;IF(EventHistory!E9="No","No changes reported. ","Changes listed below in details."),""),IF(EventHistory!B9="Outpatient Procedure","No Additional Specifics",""),IF(EventHistory!B9="Illness/Urgent Care","No Additional Specifics",""),IF(EventHistory!B9="Event/Change (All others)","No Additional Specifics",""))</f>
        <v/>
      </c>
      <c r="J91" s="295"/>
      <c r="K91" s="295"/>
      <c r="L91" s="295"/>
      <c r="M91" s="295"/>
      <c r="N91" s="295"/>
      <c r="O91" s="295"/>
      <c r="P91" s="295"/>
      <c r="Q91" s="295"/>
      <c r="R91" s="295"/>
      <c r="S91" s="295"/>
      <c r="T91" s="295"/>
      <c r="U91" s="295"/>
      <c r="V91" s="295"/>
      <c r="W91" s="295"/>
      <c r="X91" s="295"/>
      <c r="Y91" s="295"/>
      <c r="Z91" s="295"/>
      <c r="AA91" s="295"/>
      <c r="AB91" s="295"/>
      <c r="AC91" s="295"/>
      <c r="AD91" s="295"/>
      <c r="AE91" s="295"/>
      <c r="AF91" s="295"/>
      <c r="AG91" s="295"/>
      <c r="AH91" s="295"/>
      <c r="AI91" s="295"/>
      <c r="AJ91" s="295"/>
      <c r="AK91" s="295"/>
      <c r="AL91" s="295"/>
      <c r="AM91" s="295"/>
      <c r="AN91" s="295"/>
      <c r="AO91" s="295"/>
      <c r="AP91" s="295"/>
      <c r="AQ91" s="295"/>
      <c r="AR91" s="295"/>
      <c r="AS91" s="295"/>
      <c r="AT91" s="295"/>
      <c r="AU91" s="295"/>
      <c r="AV91" s="295"/>
      <c r="AW91" s="295"/>
      <c r="AX91" s="295"/>
    </row>
    <row r="92" spans="1:51" x14ac:dyDescent="0.2">
      <c r="B92" t="s">
        <v>3270</v>
      </c>
      <c r="I92" s="216">
        <f>EventHistory!J9</f>
        <v>0</v>
      </c>
      <c r="J92" s="216"/>
      <c r="K92" s="216"/>
      <c r="L92" s="216"/>
      <c r="M92" s="216"/>
      <c r="N92" s="216"/>
      <c r="O92" s="216"/>
      <c r="P92" s="216"/>
      <c r="Q92" s="216"/>
      <c r="R92" s="216"/>
      <c r="S92" s="216"/>
      <c r="T92" s="216"/>
      <c r="U92" s="216"/>
      <c r="V92" s="216"/>
      <c r="W92" s="216"/>
      <c r="X92" s="216"/>
      <c r="Y92" s="216"/>
      <c r="Z92" s="216"/>
      <c r="AA92" s="216"/>
      <c r="AB92" s="216"/>
      <c r="AC92" s="216"/>
      <c r="AD92" s="216"/>
      <c r="AE92" s="216"/>
      <c r="AF92" s="216"/>
      <c r="AG92" s="216"/>
      <c r="AH92" s="216"/>
      <c r="AI92" s="216"/>
      <c r="AJ92" s="216"/>
      <c r="AK92" s="216"/>
      <c r="AL92" s="216"/>
      <c r="AM92" s="216"/>
      <c r="AN92" s="216"/>
      <c r="AO92" s="216"/>
      <c r="AP92" s="216"/>
      <c r="AQ92" s="216"/>
      <c r="AR92" s="216"/>
      <c r="AS92" s="216"/>
      <c r="AT92" s="216"/>
      <c r="AU92" s="216"/>
      <c r="AV92" s="216"/>
      <c r="AW92" s="216"/>
      <c r="AX92" s="216"/>
    </row>
    <row r="93" spans="1:51" x14ac:dyDescent="0.2">
      <c r="I93" s="216"/>
      <c r="J93" s="216"/>
      <c r="K93" s="216"/>
      <c r="L93" s="216"/>
      <c r="M93" s="216"/>
      <c r="N93" s="216"/>
      <c r="O93" s="216"/>
      <c r="P93" s="216"/>
      <c r="Q93" s="216"/>
      <c r="R93" s="216"/>
      <c r="S93" s="216"/>
      <c r="T93" s="216"/>
      <c r="U93" s="216"/>
      <c r="V93" s="216"/>
      <c r="W93" s="216"/>
      <c r="X93" s="216"/>
      <c r="Y93" s="216"/>
      <c r="Z93" s="216"/>
      <c r="AA93" s="216"/>
      <c r="AB93" s="216"/>
      <c r="AC93" s="216"/>
      <c r="AD93" s="216"/>
      <c r="AE93" s="216"/>
      <c r="AF93" s="216"/>
      <c r="AG93" s="216"/>
      <c r="AH93" s="216"/>
      <c r="AI93" s="216"/>
      <c r="AJ93" s="216"/>
      <c r="AK93" s="216"/>
      <c r="AL93" s="216"/>
      <c r="AM93" s="216"/>
      <c r="AN93" s="216"/>
      <c r="AO93" s="216"/>
      <c r="AP93" s="216"/>
      <c r="AQ93" s="216"/>
      <c r="AR93" s="216"/>
      <c r="AS93" s="216"/>
      <c r="AT93" s="216"/>
      <c r="AU93" s="216"/>
      <c r="AV93" s="216"/>
      <c r="AW93" s="216"/>
      <c r="AX93" s="216"/>
    </row>
    <row r="94" spans="1:51" x14ac:dyDescent="0.2">
      <c r="B94" t="s">
        <v>3271</v>
      </c>
      <c r="I94" s="216" t="str">
        <f>IF(AND(EventHistory!K9=FALSE,EventHistory!M9=""),"No follow up required","")&amp;IF(AND(EventHistory!K9=TRUE,EventHistory!M9=""),"Follow up will occur on next supervisory visit.","")&amp;IF(EventHistory!M9&lt;&gt;"",EventHistory!M9,"")</f>
        <v>No follow up required</v>
      </c>
      <c r="J94" s="216"/>
      <c r="K94" s="216"/>
      <c r="L94" s="216"/>
      <c r="M94" s="216"/>
      <c r="N94" s="216"/>
      <c r="O94" s="216"/>
      <c r="P94" s="216"/>
      <c r="Q94" s="216"/>
      <c r="R94" s="216"/>
      <c r="S94" s="216"/>
      <c r="T94" s="216"/>
      <c r="U94" s="216"/>
      <c r="V94" s="216"/>
      <c r="W94" s="216"/>
      <c r="X94" s="216"/>
      <c r="Y94" s="216"/>
      <c r="Z94" s="216"/>
      <c r="AA94" s="216"/>
      <c r="AB94" s="216"/>
      <c r="AC94" s="216"/>
      <c r="AD94" s="216"/>
      <c r="AE94" s="216"/>
      <c r="AF94" s="216"/>
      <c r="AG94" s="216"/>
      <c r="AH94" s="216"/>
      <c r="AI94" s="216"/>
      <c r="AJ94" s="216"/>
      <c r="AK94" s="216"/>
      <c r="AL94" s="216"/>
      <c r="AM94" s="216"/>
      <c r="AN94" s="216"/>
      <c r="AO94" s="216"/>
      <c r="AP94" s="216"/>
      <c r="AQ94" s="216"/>
      <c r="AR94" s="216"/>
      <c r="AS94" s="216"/>
      <c r="AT94" s="216"/>
      <c r="AU94" s="216"/>
      <c r="AV94" s="216"/>
      <c r="AW94" s="216"/>
      <c r="AX94" s="216"/>
    </row>
    <row r="95" spans="1:51" ht="13.5" thickBot="1" x14ac:dyDescent="0.25">
      <c r="A95" s="39"/>
      <c r="B95" s="39"/>
      <c r="C95" s="39"/>
      <c r="D95" s="39"/>
      <c r="E95" s="39"/>
      <c r="F95" s="39"/>
      <c r="G95" s="39"/>
      <c r="H95" s="39"/>
      <c r="I95" s="574"/>
      <c r="J95" s="574"/>
      <c r="K95" s="574"/>
      <c r="L95" s="574"/>
      <c r="M95" s="574"/>
      <c r="N95" s="574"/>
      <c r="O95" s="574"/>
      <c r="P95" s="574"/>
      <c r="Q95" s="574"/>
      <c r="R95" s="574"/>
      <c r="S95" s="574"/>
      <c r="T95" s="574"/>
      <c r="U95" s="574"/>
      <c r="V95" s="574"/>
      <c r="W95" s="574"/>
      <c r="X95" s="574"/>
      <c r="Y95" s="574"/>
      <c r="Z95" s="574"/>
      <c r="AA95" s="574"/>
      <c r="AB95" s="574"/>
      <c r="AC95" s="574"/>
      <c r="AD95" s="574"/>
      <c r="AE95" s="574"/>
      <c r="AF95" s="574"/>
      <c r="AG95" s="574"/>
      <c r="AH95" s="574"/>
      <c r="AI95" s="574"/>
      <c r="AJ95" s="574"/>
      <c r="AK95" s="574"/>
      <c r="AL95" s="574"/>
      <c r="AM95" s="574"/>
      <c r="AN95" s="574"/>
      <c r="AO95" s="574"/>
      <c r="AP95" s="574"/>
      <c r="AQ95" s="574"/>
      <c r="AR95" s="574"/>
      <c r="AS95" s="574"/>
      <c r="AT95" s="574"/>
      <c r="AU95" s="574"/>
      <c r="AV95" s="574"/>
      <c r="AW95" s="574"/>
      <c r="AX95" s="574"/>
      <c r="AY95" s="39"/>
    </row>
    <row r="96" spans="1:51" ht="13.5" thickTop="1" x14ac:dyDescent="0.2">
      <c r="A96" t="s">
        <v>3267</v>
      </c>
      <c r="E96" s="218">
        <f>EventHistory!F10</f>
        <v>0</v>
      </c>
      <c r="F96" s="219"/>
      <c r="G96" s="219"/>
      <c r="H96" s="219"/>
      <c r="I96" s="219"/>
      <c r="J96" s="219"/>
      <c r="L96" t="s">
        <v>3268</v>
      </c>
      <c r="P96" s="576">
        <f>EventHistory!B10</f>
        <v>0</v>
      </c>
      <c r="Q96" s="576"/>
      <c r="R96" s="576"/>
      <c r="S96" s="576"/>
      <c r="T96" s="576"/>
      <c r="U96" s="576"/>
      <c r="V96" s="576"/>
      <c r="W96" s="576"/>
      <c r="X96" s="576"/>
      <c r="Y96" s="576"/>
      <c r="Z96" s="576"/>
      <c r="AA96" t="s">
        <v>3269</v>
      </c>
      <c r="AF96" s="218">
        <f>EventHistory!C10</f>
        <v>0</v>
      </c>
      <c r="AG96" s="219"/>
      <c r="AH96" s="219"/>
      <c r="AI96" s="219"/>
      <c r="AJ96" s="219"/>
      <c r="AK96" s="219"/>
      <c r="AL96" s="219"/>
      <c r="AN96" t="s">
        <v>3273</v>
      </c>
      <c r="AS96" s="577" t="str">
        <f>_xlfn.CONCAT(IF(AND(EventHistory!L10="",EventHistory!M10="",EventHistory!K10=TRUE),"Next Visit Date",""),IF(AND(EventHistory!L10="",EventHistory!M10="",EventHistory!K10=FALSE),"Not Required",""),IF(EventHistory!L10="","",TEXT(EventHistory!L10,"mm/dd/yyyy")))</f>
        <v>Not Required</v>
      </c>
      <c r="AT96" s="576"/>
      <c r="AU96" s="576"/>
      <c r="AV96" s="576"/>
      <c r="AW96" s="576"/>
      <c r="AX96" s="576"/>
    </row>
    <row r="97" spans="1:51" x14ac:dyDescent="0.2">
      <c r="B97" t="s">
        <v>3272</v>
      </c>
      <c r="I97" s="295" t="str">
        <f>_xlfn.CONCAT(IF(EventHistory!B10="Fall","No Additional Specifics",""),IF(EventHistory!B10="Hospital - ER","Admission Date: "&amp;TEXT(EventHistory!O10,"mm/dd/yyyy")&amp;"  Discharge Date: "&amp;IF(EventHistory!P10="","Unknown at this time.",TEXT(EventHistory!P10,"mm/dd/yyyy")),""),IF(EventHistory!B10="Hospital - Admission","Admission Date: "&amp;TEXT(EventHistory!O10,"mm/dd/yyyy")&amp;"  Discharge Date: "&amp;IF(EventHistory!P10="","Unknown at this time.",TEXT(EventHistory!P10,"mm/dd/yyyy")),""),IF(EventHistory!B10="Rehab","Admission Date: "&amp;TEXT(EventHistory!O10,"mm/dd/yyyy")&amp;"  Discharge Date: "&amp;IF(EventHistory!P10="","Unknown at this time.",TEXT(EventHistory!P10,"mm/dd/yyyy")),""),IF(EventHistory!B10="Inpatient Procedure","Admission Date: "&amp;TEXT(EventHistory!O10,"mm/dd/yyyy")&amp;"  Discharge Date: "&amp;IF(EventHistory!P10="","Unknown at this time.",TEXT(EventHistory!P10,"mm/dd/yyyy")),""),IF(EventHistory!B10="Physician Appointment",EventHistory!D10&amp;" "&amp;EventHistory!Q10&amp;" for "&amp;EventHistory!U10&amp;". "&amp;IF(EventHistory!E10="No","No changes reported. ","Changes listed below in details."),""),IF(EventHistory!B10="Outpatient Procedure","No Additional Specifics",""),IF(EventHistory!B10="Illness/Urgent Care","No Additional Specifics",""),IF(EventHistory!B10="Event/Change (All others)","No Additional Specifics",""))</f>
        <v/>
      </c>
      <c r="J97" s="295"/>
      <c r="K97" s="295"/>
      <c r="L97" s="295"/>
      <c r="M97" s="295"/>
      <c r="N97" s="295"/>
      <c r="O97" s="295"/>
      <c r="P97" s="295"/>
      <c r="Q97" s="295"/>
      <c r="R97" s="295"/>
      <c r="S97" s="295"/>
      <c r="T97" s="295"/>
      <c r="U97" s="295"/>
      <c r="V97" s="295"/>
      <c r="W97" s="295"/>
      <c r="X97" s="295"/>
      <c r="Y97" s="295"/>
      <c r="Z97" s="295"/>
      <c r="AA97" s="295"/>
      <c r="AB97" s="295"/>
      <c r="AC97" s="295"/>
      <c r="AD97" s="295"/>
      <c r="AE97" s="295"/>
      <c r="AF97" s="295"/>
      <c r="AG97" s="295"/>
      <c r="AH97" s="295"/>
      <c r="AI97" s="295"/>
      <c r="AJ97" s="295"/>
      <c r="AK97" s="295"/>
      <c r="AL97" s="295"/>
      <c r="AM97" s="295"/>
      <c r="AN97" s="295"/>
      <c r="AO97" s="295"/>
      <c r="AP97" s="295"/>
      <c r="AQ97" s="295"/>
      <c r="AR97" s="295"/>
      <c r="AS97" s="295"/>
      <c r="AT97" s="295"/>
      <c r="AU97" s="295"/>
      <c r="AV97" s="295"/>
      <c r="AW97" s="295"/>
      <c r="AX97" s="295"/>
    </row>
    <row r="98" spans="1:51" x14ac:dyDescent="0.2">
      <c r="B98" t="s">
        <v>3270</v>
      </c>
      <c r="I98" s="216">
        <f>EventHistory!J10</f>
        <v>0</v>
      </c>
      <c r="J98" s="216"/>
      <c r="K98" s="216"/>
      <c r="L98" s="216"/>
      <c r="M98" s="216"/>
      <c r="N98" s="216"/>
      <c r="O98" s="216"/>
      <c r="P98" s="216"/>
      <c r="Q98" s="216"/>
      <c r="R98" s="216"/>
      <c r="S98" s="216"/>
      <c r="T98" s="216"/>
      <c r="U98" s="216"/>
      <c r="V98" s="216"/>
      <c r="W98" s="216"/>
      <c r="X98" s="216"/>
      <c r="Y98" s="216"/>
      <c r="Z98" s="216"/>
      <c r="AA98" s="216"/>
      <c r="AB98" s="216"/>
      <c r="AC98" s="216"/>
      <c r="AD98" s="216"/>
      <c r="AE98" s="216"/>
      <c r="AF98" s="216"/>
      <c r="AG98" s="216"/>
      <c r="AH98" s="216"/>
      <c r="AI98" s="216"/>
      <c r="AJ98" s="216"/>
      <c r="AK98" s="216"/>
      <c r="AL98" s="216"/>
      <c r="AM98" s="216"/>
      <c r="AN98" s="216"/>
      <c r="AO98" s="216"/>
      <c r="AP98" s="216"/>
      <c r="AQ98" s="216"/>
      <c r="AR98" s="216"/>
      <c r="AS98" s="216"/>
      <c r="AT98" s="216"/>
      <c r="AU98" s="216"/>
      <c r="AV98" s="216"/>
      <c r="AW98" s="216"/>
      <c r="AX98" s="216"/>
    </row>
    <row r="99" spans="1:51" x14ac:dyDescent="0.2">
      <c r="I99" s="216"/>
      <c r="J99" s="216"/>
      <c r="K99" s="216"/>
      <c r="L99" s="216"/>
      <c r="M99" s="216"/>
      <c r="N99" s="216"/>
      <c r="O99" s="216"/>
      <c r="P99" s="216"/>
      <c r="Q99" s="216"/>
      <c r="R99" s="216"/>
      <c r="S99" s="216"/>
      <c r="T99" s="216"/>
      <c r="U99" s="216"/>
      <c r="V99" s="216"/>
      <c r="W99" s="216"/>
      <c r="X99" s="216"/>
      <c r="Y99" s="216"/>
      <c r="Z99" s="216"/>
      <c r="AA99" s="216"/>
      <c r="AB99" s="216"/>
      <c r="AC99" s="216"/>
      <c r="AD99" s="216"/>
      <c r="AE99" s="216"/>
      <c r="AF99" s="216"/>
      <c r="AG99" s="216"/>
      <c r="AH99" s="216"/>
      <c r="AI99" s="216"/>
      <c r="AJ99" s="216"/>
      <c r="AK99" s="216"/>
      <c r="AL99" s="216"/>
      <c r="AM99" s="216"/>
      <c r="AN99" s="216"/>
      <c r="AO99" s="216"/>
      <c r="AP99" s="216"/>
      <c r="AQ99" s="216"/>
      <c r="AR99" s="216"/>
      <c r="AS99" s="216"/>
      <c r="AT99" s="216"/>
      <c r="AU99" s="216"/>
      <c r="AV99" s="216"/>
      <c r="AW99" s="216"/>
      <c r="AX99" s="216"/>
    </row>
    <row r="100" spans="1:51" x14ac:dyDescent="0.2">
      <c r="B100" t="s">
        <v>3271</v>
      </c>
      <c r="I100" s="216" t="str">
        <f>IF(AND(EventHistory!K10=FALSE,EventHistory!M10=""),"No follow up required","")&amp;IF(AND(EventHistory!K10=TRUE,EventHistory!M10=""),"Follow up will occur on next supervisory visit.","")&amp;IF(EventHistory!M10&lt;&gt;"",EventHistory!M10,"")</f>
        <v>No follow up required</v>
      </c>
      <c r="J100" s="216"/>
      <c r="K100" s="216"/>
      <c r="L100" s="216"/>
      <c r="M100" s="216"/>
      <c r="N100" s="216"/>
      <c r="O100" s="216"/>
      <c r="P100" s="216"/>
      <c r="Q100" s="216"/>
      <c r="R100" s="216"/>
      <c r="S100" s="216"/>
      <c r="T100" s="216"/>
      <c r="U100" s="216"/>
      <c r="V100" s="216"/>
      <c r="W100" s="216"/>
      <c r="X100" s="216"/>
      <c r="Y100" s="216"/>
      <c r="Z100" s="216"/>
      <c r="AA100" s="216"/>
      <c r="AB100" s="216"/>
      <c r="AC100" s="216"/>
      <c r="AD100" s="216"/>
      <c r="AE100" s="216"/>
      <c r="AF100" s="216"/>
      <c r="AG100" s="216"/>
      <c r="AH100" s="216"/>
      <c r="AI100" s="216"/>
      <c r="AJ100" s="216"/>
      <c r="AK100" s="216"/>
      <c r="AL100" s="216"/>
      <c r="AM100" s="216"/>
      <c r="AN100" s="216"/>
      <c r="AO100" s="216"/>
      <c r="AP100" s="216"/>
      <c r="AQ100" s="216"/>
      <c r="AR100" s="216"/>
      <c r="AS100" s="216"/>
      <c r="AT100" s="216"/>
      <c r="AU100" s="216"/>
      <c r="AV100" s="216"/>
      <c r="AW100" s="216"/>
      <c r="AX100" s="216"/>
    </row>
    <row r="101" spans="1:51" ht="13.5" thickBot="1" x14ac:dyDescent="0.25">
      <c r="A101" s="39"/>
      <c r="B101" s="39"/>
      <c r="C101" s="39"/>
      <c r="D101" s="39"/>
      <c r="E101" s="39"/>
      <c r="F101" s="39"/>
      <c r="G101" s="39"/>
      <c r="H101" s="39"/>
      <c r="I101" s="574"/>
      <c r="J101" s="574"/>
      <c r="K101" s="574"/>
      <c r="L101" s="574"/>
      <c r="M101" s="574"/>
      <c r="N101" s="574"/>
      <c r="O101" s="574"/>
      <c r="P101" s="574"/>
      <c r="Q101" s="574"/>
      <c r="R101" s="574"/>
      <c r="S101" s="574"/>
      <c r="T101" s="574"/>
      <c r="U101" s="574"/>
      <c r="V101" s="574"/>
      <c r="W101" s="574"/>
      <c r="X101" s="574"/>
      <c r="Y101" s="574"/>
      <c r="Z101" s="574"/>
      <c r="AA101" s="574"/>
      <c r="AB101" s="574"/>
      <c r="AC101" s="574"/>
      <c r="AD101" s="574"/>
      <c r="AE101" s="574"/>
      <c r="AF101" s="574"/>
      <c r="AG101" s="574"/>
      <c r="AH101" s="574"/>
      <c r="AI101" s="574"/>
      <c r="AJ101" s="574"/>
      <c r="AK101" s="574"/>
      <c r="AL101" s="574"/>
      <c r="AM101" s="574"/>
      <c r="AN101" s="574"/>
      <c r="AO101" s="574"/>
      <c r="AP101" s="574"/>
      <c r="AQ101" s="574"/>
      <c r="AR101" s="574"/>
      <c r="AS101" s="574"/>
      <c r="AT101" s="574"/>
      <c r="AU101" s="574"/>
      <c r="AV101" s="574"/>
      <c r="AW101" s="574"/>
      <c r="AX101" s="574"/>
      <c r="AY101" s="39"/>
    </row>
    <row r="102" spans="1:51" ht="13.5" thickTop="1" x14ac:dyDescent="0.2">
      <c r="A102" t="s">
        <v>3267</v>
      </c>
      <c r="E102" s="218">
        <f>EventHistory!F11</f>
        <v>0</v>
      </c>
      <c r="F102" s="219"/>
      <c r="G102" s="219"/>
      <c r="H102" s="219"/>
      <c r="I102" s="219"/>
      <c r="J102" s="219"/>
      <c r="L102" t="s">
        <v>3268</v>
      </c>
      <c r="P102" s="576">
        <f>EventHistory!B11</f>
        <v>0</v>
      </c>
      <c r="Q102" s="576"/>
      <c r="R102" s="576"/>
      <c r="S102" s="576"/>
      <c r="T102" s="576"/>
      <c r="U102" s="576"/>
      <c r="V102" s="576"/>
      <c r="W102" s="576"/>
      <c r="X102" s="576"/>
      <c r="Y102" s="576"/>
      <c r="Z102" s="576"/>
      <c r="AA102" t="s">
        <v>3269</v>
      </c>
      <c r="AF102" s="218">
        <f>EventHistory!C11</f>
        <v>0</v>
      </c>
      <c r="AG102" s="219"/>
      <c r="AH102" s="219"/>
      <c r="AI102" s="219"/>
      <c r="AJ102" s="219"/>
      <c r="AK102" s="219"/>
      <c r="AL102" s="219"/>
      <c r="AN102" t="s">
        <v>3273</v>
      </c>
      <c r="AS102" s="577" t="str">
        <f>_xlfn.CONCAT(IF(AND(EventHistory!L11="",EventHistory!M11="",EventHistory!K11=TRUE),"Next Visit Date",""),IF(AND(EventHistory!L11="",EventHistory!M11="",EventHistory!K11=FALSE),"Not Required",""),IF(EventHistory!L11="","",TEXT(EventHistory!L11,"mm/dd/yyyy")))</f>
        <v>Not Required</v>
      </c>
      <c r="AT102" s="576"/>
      <c r="AU102" s="576"/>
      <c r="AV102" s="576"/>
      <c r="AW102" s="576"/>
      <c r="AX102" s="576"/>
    </row>
    <row r="103" spans="1:51" x14ac:dyDescent="0.2">
      <c r="B103" t="s">
        <v>3272</v>
      </c>
      <c r="I103" s="295" t="str">
        <f>_xlfn.CONCAT(IF(EventHistory!B11="Fall","No Additional Specifics",""),IF(EventHistory!B11="Hospital - ER","Admission Date: "&amp;TEXT(EventHistory!O11,"mm/dd/yyyy")&amp;"  Discharge Date: "&amp;IF(EventHistory!P11="","Unknown at this time.",TEXT(EventHistory!P11,"mm/dd/yyyy")),""),IF(EventHistory!B11="Hospital - Admission","Admission Date: "&amp;TEXT(EventHistory!O11,"mm/dd/yyyy")&amp;"  Discharge Date: "&amp;IF(EventHistory!P11="","Unknown at this time.",TEXT(EventHistory!P11,"mm/dd/yyyy")),""),IF(EventHistory!B11="Rehab","Admission Date: "&amp;TEXT(EventHistory!O11,"mm/dd/yyyy")&amp;"  Discharge Date: "&amp;IF(EventHistory!P11="","Unknown at this time.",TEXT(EventHistory!P11,"mm/dd/yyyy")),""),IF(EventHistory!B11="Inpatient Procedure","Admission Date: "&amp;TEXT(EventHistory!O11,"mm/dd/yyyy")&amp;"  Discharge Date: "&amp;IF(EventHistory!P11="","Unknown at this time.",TEXT(EventHistory!P11,"mm/dd/yyyy")),""),IF(EventHistory!B11="Physician Appointment",EventHistory!D11&amp;" "&amp;EventHistory!Q11&amp;" for "&amp;EventHistory!U11&amp;". "&amp;IF(EventHistory!E11="No","No changes reported. ","Changes listed below in details."),""),IF(EventHistory!B11="Outpatient Procedure","No Additional Specifics",""),IF(EventHistory!B11="Illness/Urgent Care","No Additional Specifics",""),IF(EventHistory!B11="Event/Change (All others)","No Additional Specifics",""))</f>
        <v/>
      </c>
      <c r="J103" s="295"/>
      <c r="K103" s="295"/>
      <c r="L103" s="295"/>
      <c r="M103" s="295"/>
      <c r="N103" s="295"/>
      <c r="O103" s="295"/>
      <c r="P103" s="295"/>
      <c r="Q103" s="295"/>
      <c r="R103" s="295"/>
      <c r="S103" s="295"/>
      <c r="T103" s="295"/>
      <c r="U103" s="295"/>
      <c r="V103" s="295"/>
      <c r="W103" s="295"/>
      <c r="X103" s="295"/>
      <c r="Y103" s="295"/>
      <c r="Z103" s="295"/>
      <c r="AA103" s="295"/>
      <c r="AB103" s="295"/>
      <c r="AC103" s="295"/>
      <c r="AD103" s="295"/>
      <c r="AE103" s="295"/>
      <c r="AF103" s="295"/>
      <c r="AG103" s="295"/>
      <c r="AH103" s="295"/>
      <c r="AI103" s="295"/>
      <c r="AJ103" s="295"/>
      <c r="AK103" s="295"/>
      <c r="AL103" s="295"/>
      <c r="AM103" s="295"/>
      <c r="AN103" s="295"/>
      <c r="AO103" s="295"/>
      <c r="AP103" s="295"/>
      <c r="AQ103" s="295"/>
      <c r="AR103" s="295"/>
      <c r="AS103" s="295"/>
      <c r="AT103" s="295"/>
      <c r="AU103" s="295"/>
      <c r="AV103" s="295"/>
      <c r="AW103" s="295"/>
      <c r="AX103" s="295"/>
    </row>
    <row r="104" spans="1:51" x14ac:dyDescent="0.2">
      <c r="B104" t="s">
        <v>3270</v>
      </c>
      <c r="I104" s="216">
        <f>EventHistory!J11</f>
        <v>0</v>
      </c>
      <c r="J104" s="216"/>
      <c r="K104" s="216"/>
      <c r="L104" s="216"/>
      <c r="M104" s="216"/>
      <c r="N104" s="216"/>
      <c r="O104" s="216"/>
      <c r="P104" s="216"/>
      <c r="Q104" s="216"/>
      <c r="R104" s="216"/>
      <c r="S104" s="216"/>
      <c r="T104" s="216"/>
      <c r="U104" s="216"/>
      <c r="V104" s="216"/>
      <c r="W104" s="216"/>
      <c r="X104" s="216"/>
      <c r="Y104" s="216"/>
      <c r="Z104" s="216"/>
      <c r="AA104" s="216"/>
      <c r="AB104" s="216"/>
      <c r="AC104" s="216"/>
      <c r="AD104" s="216"/>
      <c r="AE104" s="216"/>
      <c r="AF104" s="216"/>
      <c r="AG104" s="216"/>
      <c r="AH104" s="216"/>
      <c r="AI104" s="216"/>
      <c r="AJ104" s="216"/>
      <c r="AK104" s="216"/>
      <c r="AL104" s="216"/>
      <c r="AM104" s="216"/>
      <c r="AN104" s="216"/>
      <c r="AO104" s="216"/>
      <c r="AP104" s="216"/>
      <c r="AQ104" s="216"/>
      <c r="AR104" s="216"/>
      <c r="AS104" s="216"/>
      <c r="AT104" s="216"/>
      <c r="AU104" s="216"/>
      <c r="AV104" s="216"/>
      <c r="AW104" s="216"/>
      <c r="AX104" s="216"/>
    </row>
    <row r="105" spans="1:51" x14ac:dyDescent="0.2">
      <c r="I105" s="216"/>
      <c r="J105" s="216"/>
      <c r="K105" s="216"/>
      <c r="L105" s="216"/>
      <c r="M105" s="216"/>
      <c r="N105" s="216"/>
      <c r="O105" s="216"/>
      <c r="P105" s="216"/>
      <c r="Q105" s="216"/>
      <c r="R105" s="216"/>
      <c r="S105" s="216"/>
      <c r="T105" s="216"/>
      <c r="U105" s="216"/>
      <c r="V105" s="216"/>
      <c r="W105" s="216"/>
      <c r="X105" s="216"/>
      <c r="Y105" s="216"/>
      <c r="Z105" s="216"/>
      <c r="AA105" s="216"/>
      <c r="AB105" s="216"/>
      <c r="AC105" s="216"/>
      <c r="AD105" s="216"/>
      <c r="AE105" s="216"/>
      <c r="AF105" s="216"/>
      <c r="AG105" s="216"/>
      <c r="AH105" s="216"/>
      <c r="AI105" s="216"/>
      <c r="AJ105" s="216"/>
      <c r="AK105" s="216"/>
      <c r="AL105" s="216"/>
      <c r="AM105" s="216"/>
      <c r="AN105" s="216"/>
      <c r="AO105" s="216"/>
      <c r="AP105" s="216"/>
      <c r="AQ105" s="216"/>
      <c r="AR105" s="216"/>
      <c r="AS105" s="216"/>
      <c r="AT105" s="216"/>
      <c r="AU105" s="216"/>
      <c r="AV105" s="216"/>
      <c r="AW105" s="216"/>
      <c r="AX105" s="216"/>
    </row>
    <row r="106" spans="1:51" x14ac:dyDescent="0.2">
      <c r="B106" t="s">
        <v>3271</v>
      </c>
      <c r="I106" s="216" t="str">
        <f>IF(AND(EventHistory!K11=FALSE,EventHistory!M11=""),"No follow up required","")&amp;IF(AND(EventHistory!K11=TRUE,EventHistory!M11=""),"Follow up will occur on next supervisory visit.","")&amp;IF(EventHistory!M11&lt;&gt;"",EventHistory!M11,"")</f>
        <v>No follow up required</v>
      </c>
      <c r="J106" s="216"/>
      <c r="K106" s="216"/>
      <c r="L106" s="216"/>
      <c r="M106" s="216"/>
      <c r="N106" s="216"/>
      <c r="O106" s="216"/>
      <c r="P106" s="216"/>
      <c r="Q106" s="216"/>
      <c r="R106" s="216"/>
      <c r="S106" s="216"/>
      <c r="T106" s="216"/>
      <c r="U106" s="216"/>
      <c r="V106" s="216"/>
      <c r="W106" s="216"/>
      <c r="X106" s="216"/>
      <c r="Y106" s="216"/>
      <c r="Z106" s="216"/>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row>
    <row r="107" spans="1:51" ht="13.5" thickBot="1" x14ac:dyDescent="0.25">
      <c r="A107" s="39"/>
      <c r="B107" s="39"/>
      <c r="C107" s="39"/>
      <c r="D107" s="39"/>
      <c r="E107" s="39"/>
      <c r="F107" s="39"/>
      <c r="G107" s="39"/>
      <c r="H107" s="39"/>
      <c r="I107" s="574"/>
      <c r="J107" s="574"/>
      <c r="K107" s="574"/>
      <c r="L107" s="574"/>
      <c r="M107" s="574"/>
      <c r="N107" s="574"/>
      <c r="O107" s="574"/>
      <c r="P107" s="574"/>
      <c r="Q107" s="574"/>
      <c r="R107" s="574"/>
      <c r="S107" s="574"/>
      <c r="T107" s="574"/>
      <c r="U107" s="574"/>
      <c r="V107" s="574"/>
      <c r="W107" s="574"/>
      <c r="X107" s="574"/>
      <c r="Y107" s="574"/>
      <c r="Z107" s="574"/>
      <c r="AA107" s="574"/>
      <c r="AB107" s="574"/>
      <c r="AC107" s="574"/>
      <c r="AD107" s="574"/>
      <c r="AE107" s="574"/>
      <c r="AF107" s="574"/>
      <c r="AG107" s="574"/>
      <c r="AH107" s="574"/>
      <c r="AI107" s="574"/>
      <c r="AJ107" s="574"/>
      <c r="AK107" s="574"/>
      <c r="AL107" s="574"/>
      <c r="AM107" s="574"/>
      <c r="AN107" s="574"/>
      <c r="AO107" s="574"/>
      <c r="AP107" s="574"/>
      <c r="AQ107" s="574"/>
      <c r="AR107" s="574"/>
      <c r="AS107" s="574"/>
      <c r="AT107" s="574"/>
      <c r="AU107" s="574"/>
      <c r="AV107" s="574"/>
      <c r="AW107" s="574"/>
      <c r="AX107" s="574"/>
      <c r="AY107" s="39"/>
    </row>
    <row r="108" spans="1:51" ht="13.5" thickTop="1" x14ac:dyDescent="0.2">
      <c r="A108" s="147" t="s">
        <v>3267</v>
      </c>
      <c r="B108" s="147"/>
      <c r="C108" s="147"/>
      <c r="D108" s="147"/>
      <c r="E108" s="577">
        <f>EventHistory!F12</f>
        <v>0</v>
      </c>
      <c r="F108" s="576"/>
      <c r="G108" s="576"/>
      <c r="H108" s="576"/>
      <c r="I108" s="576"/>
      <c r="J108" s="576"/>
      <c r="K108" s="147"/>
      <c r="L108" s="147" t="s">
        <v>3268</v>
      </c>
      <c r="M108" s="147"/>
      <c r="N108" s="147"/>
      <c r="O108" s="147"/>
      <c r="P108" s="575">
        <f>EventHistory!B12</f>
        <v>0</v>
      </c>
      <c r="Q108" s="575"/>
      <c r="R108" s="575"/>
      <c r="S108" s="575"/>
      <c r="T108" s="575"/>
      <c r="U108" s="575"/>
      <c r="V108" s="575"/>
      <c r="W108" s="575"/>
      <c r="X108" s="575"/>
      <c r="Y108" s="575"/>
      <c r="Z108" s="575"/>
      <c r="AA108" s="147" t="s">
        <v>3269</v>
      </c>
      <c r="AB108" s="147"/>
      <c r="AC108" s="147"/>
      <c r="AD108" s="147"/>
      <c r="AE108" s="147"/>
      <c r="AF108" s="577">
        <f>EventHistory!C12</f>
        <v>0</v>
      </c>
      <c r="AG108" s="576"/>
      <c r="AH108" s="576"/>
      <c r="AI108" s="576"/>
      <c r="AJ108" s="576"/>
      <c r="AK108" s="576"/>
      <c r="AL108" s="576"/>
      <c r="AM108" s="147"/>
      <c r="AN108" s="147" t="s">
        <v>3273</v>
      </c>
      <c r="AO108" s="147"/>
      <c r="AP108" s="147"/>
      <c r="AQ108" s="147"/>
      <c r="AR108" s="147"/>
      <c r="AS108" s="577" t="str">
        <f>_xlfn.CONCAT(IF(AND(EventHistory!L12="",EventHistory!M12="",EventHistory!K12=TRUE),"Next Visit Date",""),IF(AND(EventHistory!L12="",EventHistory!M12="",EventHistory!K12=FALSE),"Not Required",""),IF(EventHistory!L12="","",TEXT(EventHistory!L12,"mm/dd/yyyy")))</f>
        <v>Not Required</v>
      </c>
      <c r="AT108" s="577"/>
      <c r="AU108" s="577"/>
      <c r="AV108" s="577"/>
      <c r="AW108" s="577"/>
      <c r="AX108" s="577"/>
      <c r="AY108" s="147"/>
    </row>
    <row r="109" spans="1:51" x14ac:dyDescent="0.2">
      <c r="B109" t="s">
        <v>3272</v>
      </c>
      <c r="I109" s="295" t="str">
        <f>_xlfn.CONCAT(IF(EventHistory!B12="Fall","No Additional Specifics",""),IF(EventHistory!B12="Hospital - ER","Admission Date: "&amp;TEXT(EventHistory!O12,"mm/dd/yyyy")&amp;"  Discharge Date: "&amp;IF(EventHistory!P12="","Unknown at this time.",TEXT(EventHistory!P12,"mm/dd/yyyy")),""),IF(EventHistory!B12="Hospital - Admission","Admission Date: "&amp;TEXT(EventHistory!O12,"mm/dd/yyyy")&amp;"  Discharge Date: "&amp;IF(EventHistory!P12="","Unknown at this time.",TEXT(EventHistory!P12,"mm/dd/yyyy")),""),IF(EventHistory!B12="Rehab","Admission Date: "&amp;TEXT(EventHistory!O12,"mm/dd/yyyy")&amp;"  Discharge Date: "&amp;IF(EventHistory!P12="","Unknown at this time.",TEXT(EventHistory!P12,"mm/dd/yyyy")),""),IF(EventHistory!B12="Inpatient Procedure","Admission Date: "&amp;TEXT(EventHistory!O12,"mm/dd/yyyy")&amp;"  Discharge Date: "&amp;IF(EventHistory!P12="","Unknown at this time.",TEXT(EventHistory!P12,"mm/dd/yyyy")),""),IF(EventHistory!B12="Physician Appointment",EventHistory!D12&amp;" "&amp;EventHistory!Q12&amp;" for "&amp;EventHistory!U12&amp;". "&amp;IF(EventHistory!E12="No","No changes reported. ","Changes listed below in details."),""),IF(EventHistory!B12="Outpatient Procedure","No Additional Specifics",""),IF(EventHistory!B12="Illness/Urgent Care","No Additional Specifics",""),IF(EventHistory!B12="Event/Change (All others)","No Additional Specifics",""))</f>
        <v/>
      </c>
      <c r="J109" s="295"/>
      <c r="K109" s="295"/>
      <c r="L109" s="295"/>
      <c r="M109" s="295"/>
      <c r="N109" s="295"/>
      <c r="O109" s="295"/>
      <c r="P109" s="295"/>
      <c r="Q109" s="295"/>
      <c r="R109" s="295"/>
      <c r="S109" s="295"/>
      <c r="T109" s="295"/>
      <c r="U109" s="295"/>
      <c r="V109" s="295"/>
      <c r="W109" s="295"/>
      <c r="X109" s="295"/>
      <c r="Y109" s="295"/>
      <c r="Z109" s="295"/>
      <c r="AA109" s="295"/>
      <c r="AB109" s="295"/>
      <c r="AC109" s="295"/>
      <c r="AD109" s="295"/>
      <c r="AE109" s="295"/>
      <c r="AF109" s="295"/>
      <c r="AG109" s="295"/>
      <c r="AH109" s="295"/>
      <c r="AI109" s="295"/>
      <c r="AJ109" s="295"/>
      <c r="AK109" s="295"/>
      <c r="AL109" s="295"/>
      <c r="AM109" s="295"/>
      <c r="AN109" s="295"/>
      <c r="AO109" s="295"/>
      <c r="AP109" s="295"/>
      <c r="AQ109" s="295"/>
      <c r="AR109" s="295"/>
      <c r="AS109" s="295"/>
      <c r="AT109" s="295"/>
      <c r="AU109" s="295"/>
      <c r="AV109" s="295"/>
      <c r="AW109" s="295"/>
      <c r="AX109" s="295"/>
    </row>
    <row r="110" spans="1:51" x14ac:dyDescent="0.2">
      <c r="B110" t="s">
        <v>3270</v>
      </c>
      <c r="I110" s="216">
        <f>EventHistory!J12</f>
        <v>0</v>
      </c>
      <c r="J110" s="216"/>
      <c r="K110" s="216"/>
      <c r="L110" s="216"/>
      <c r="M110" s="216"/>
      <c r="N110" s="216"/>
      <c r="O110" s="216"/>
      <c r="P110" s="216"/>
      <c r="Q110" s="216"/>
      <c r="R110" s="216"/>
      <c r="S110" s="216"/>
      <c r="T110" s="216"/>
      <c r="U110" s="216"/>
      <c r="V110" s="216"/>
      <c r="W110" s="216"/>
      <c r="X110" s="216"/>
      <c r="Y110" s="216"/>
      <c r="Z110" s="216"/>
      <c r="AA110" s="216"/>
      <c r="AB110" s="216"/>
      <c r="AC110" s="216"/>
      <c r="AD110" s="216"/>
      <c r="AE110" s="216"/>
      <c r="AF110" s="216"/>
      <c r="AG110" s="216"/>
      <c r="AH110" s="216"/>
      <c r="AI110" s="216"/>
      <c r="AJ110" s="216"/>
      <c r="AK110" s="216"/>
      <c r="AL110" s="216"/>
      <c r="AM110" s="216"/>
      <c r="AN110" s="216"/>
      <c r="AO110" s="216"/>
      <c r="AP110" s="216"/>
      <c r="AQ110" s="216"/>
      <c r="AR110" s="216"/>
      <c r="AS110" s="216"/>
      <c r="AT110" s="216"/>
      <c r="AU110" s="216"/>
      <c r="AV110" s="216"/>
      <c r="AW110" s="216"/>
      <c r="AX110" s="216"/>
    </row>
    <row r="111" spans="1:51" x14ac:dyDescent="0.2">
      <c r="I111" s="216"/>
      <c r="J111" s="216"/>
      <c r="K111" s="216"/>
      <c r="L111" s="216"/>
      <c r="M111" s="216"/>
      <c r="N111" s="216"/>
      <c r="O111" s="216"/>
      <c r="P111" s="216"/>
      <c r="Q111" s="216"/>
      <c r="R111" s="216"/>
      <c r="S111" s="216"/>
      <c r="T111" s="216"/>
      <c r="U111" s="216"/>
      <c r="V111" s="216"/>
      <c r="W111" s="216"/>
      <c r="X111" s="216"/>
      <c r="Y111" s="216"/>
      <c r="Z111" s="216"/>
      <c r="AA111" s="216"/>
      <c r="AB111" s="216"/>
      <c r="AC111" s="216"/>
      <c r="AD111" s="216"/>
      <c r="AE111" s="216"/>
      <c r="AF111" s="216"/>
      <c r="AG111" s="216"/>
      <c r="AH111" s="216"/>
      <c r="AI111" s="216"/>
      <c r="AJ111" s="216"/>
      <c r="AK111" s="216"/>
      <c r="AL111" s="216"/>
      <c r="AM111" s="216"/>
      <c r="AN111" s="216"/>
      <c r="AO111" s="216"/>
      <c r="AP111" s="216"/>
      <c r="AQ111" s="216"/>
      <c r="AR111" s="216"/>
      <c r="AS111" s="216"/>
      <c r="AT111" s="216"/>
      <c r="AU111" s="216"/>
      <c r="AV111" s="216"/>
      <c r="AW111" s="216"/>
      <c r="AX111" s="216"/>
    </row>
    <row r="112" spans="1:51" x14ac:dyDescent="0.2">
      <c r="B112" t="s">
        <v>3271</v>
      </c>
      <c r="I112" s="216" t="str">
        <f>IF(AND(EventHistory!K12=FALSE,EventHistory!M12=""),"No follow up required","")&amp;IF(AND(EventHistory!K12=TRUE,EventHistory!M12=""),"Follow up will occur on next supervisory visit.","")&amp;IF(EventHistory!M12&lt;&gt;"",EventHistory!M12,"")</f>
        <v>No follow up required</v>
      </c>
      <c r="J112" s="216"/>
      <c r="K112" s="216"/>
      <c r="L112" s="216"/>
      <c r="M112" s="216"/>
      <c r="N112" s="216"/>
      <c r="O112" s="216"/>
      <c r="P112" s="216"/>
      <c r="Q112" s="216"/>
      <c r="R112" s="216"/>
      <c r="S112" s="216"/>
      <c r="T112" s="216"/>
      <c r="U112" s="216"/>
      <c r="V112" s="216"/>
      <c r="W112" s="216"/>
      <c r="X112" s="216"/>
      <c r="Y112" s="216"/>
      <c r="Z112" s="216"/>
      <c r="AA112" s="216"/>
      <c r="AB112" s="216"/>
      <c r="AC112" s="216"/>
      <c r="AD112" s="216"/>
      <c r="AE112" s="216"/>
      <c r="AF112" s="216"/>
      <c r="AG112" s="216"/>
      <c r="AH112" s="216"/>
      <c r="AI112" s="216"/>
      <c r="AJ112" s="216"/>
      <c r="AK112" s="216"/>
      <c r="AL112" s="216"/>
      <c r="AM112" s="216"/>
      <c r="AN112" s="216"/>
      <c r="AO112" s="216"/>
      <c r="AP112" s="216"/>
      <c r="AQ112" s="216"/>
      <c r="AR112" s="216"/>
      <c r="AS112" s="216"/>
      <c r="AT112" s="216"/>
      <c r="AU112" s="216"/>
      <c r="AV112" s="216"/>
      <c r="AW112" s="216"/>
      <c r="AX112" s="216"/>
    </row>
    <row r="113" spans="1:51" ht="13.5" thickBot="1" x14ac:dyDescent="0.25">
      <c r="A113" s="39"/>
      <c r="B113" s="39"/>
      <c r="C113" s="39"/>
      <c r="D113" s="39"/>
      <c r="E113" s="39"/>
      <c r="F113" s="39"/>
      <c r="G113" s="39"/>
      <c r="H113" s="39"/>
      <c r="I113" s="574"/>
      <c r="J113" s="574"/>
      <c r="K113" s="574"/>
      <c r="L113" s="574"/>
      <c r="M113" s="574"/>
      <c r="N113" s="574"/>
      <c r="O113" s="574"/>
      <c r="P113" s="574"/>
      <c r="Q113" s="574"/>
      <c r="R113" s="574"/>
      <c r="S113" s="574"/>
      <c r="T113" s="574"/>
      <c r="U113" s="574"/>
      <c r="V113" s="574"/>
      <c r="W113" s="574"/>
      <c r="X113" s="574"/>
      <c r="Y113" s="574"/>
      <c r="Z113" s="574"/>
      <c r="AA113" s="574"/>
      <c r="AB113" s="574"/>
      <c r="AC113" s="574"/>
      <c r="AD113" s="574"/>
      <c r="AE113" s="574"/>
      <c r="AF113" s="574"/>
      <c r="AG113" s="574"/>
      <c r="AH113" s="574"/>
      <c r="AI113" s="574"/>
      <c r="AJ113" s="574"/>
      <c r="AK113" s="574"/>
      <c r="AL113" s="574"/>
      <c r="AM113" s="574"/>
      <c r="AN113" s="574"/>
      <c r="AO113" s="574"/>
      <c r="AP113" s="574"/>
      <c r="AQ113" s="574"/>
      <c r="AR113" s="574"/>
      <c r="AS113" s="574"/>
      <c r="AT113" s="574"/>
      <c r="AU113" s="574"/>
      <c r="AV113" s="574"/>
      <c r="AW113" s="574"/>
      <c r="AX113" s="574"/>
      <c r="AY113" s="39"/>
    </row>
    <row r="114" spans="1:51" ht="9.75" customHeight="1" thickTop="1" x14ac:dyDescent="0.2">
      <c r="A114" s="147"/>
      <c r="B114" s="147"/>
      <c r="C114" s="147"/>
      <c r="D114" s="147"/>
      <c r="E114" s="147"/>
      <c r="F114" s="147"/>
      <c r="G114" s="147"/>
      <c r="H114" s="147"/>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49"/>
      <c r="AK114" s="149"/>
      <c r="AL114" s="149"/>
      <c r="AM114" s="149"/>
      <c r="AN114" s="149"/>
      <c r="AO114" s="149"/>
      <c r="AP114" s="149"/>
      <c r="AQ114" s="149"/>
      <c r="AR114" s="149"/>
      <c r="AS114" s="149"/>
      <c r="AT114" s="149"/>
      <c r="AU114" s="37"/>
      <c r="AV114" s="37"/>
      <c r="AW114" s="37"/>
      <c r="AX114" s="37"/>
    </row>
    <row r="115" spans="1:51" ht="13.5" thickBot="1" x14ac:dyDescent="0.25">
      <c r="A115" s="39" t="s">
        <v>336</v>
      </c>
      <c r="B115" s="39"/>
      <c r="C115" s="39"/>
      <c r="D115" s="39"/>
      <c r="E115" s="578" t="e">
        <f>_xlfn.CONCAT(#REF!,", ",#REF!," ",#REF!)</f>
        <v>#REF!</v>
      </c>
      <c r="F115" s="578"/>
      <c r="G115" s="578"/>
      <c r="H115" s="578"/>
      <c r="I115" s="578"/>
      <c r="J115" s="578"/>
      <c r="K115" s="578"/>
      <c r="L115" s="578"/>
      <c r="M115" s="578"/>
      <c r="N115" s="578"/>
      <c r="O115" s="578"/>
      <c r="P115" s="578"/>
      <c r="Q115" s="578"/>
      <c r="R115" s="578"/>
      <c r="S115" s="578"/>
      <c r="T115" s="39"/>
      <c r="U115" s="39"/>
      <c r="V115" s="39" t="s">
        <v>337</v>
      </c>
      <c r="W115" s="39"/>
      <c r="X115" s="39"/>
      <c r="Y115" s="39"/>
      <c r="Z115" s="39"/>
      <c r="AA115" s="579" t="e">
        <f>#REF!</f>
        <v>#REF!</v>
      </c>
      <c r="AB115" s="579"/>
      <c r="AC115" s="579"/>
      <c r="AD115" s="579"/>
      <c r="AE115" s="579"/>
      <c r="AF115" s="579"/>
      <c r="AG115" s="39"/>
      <c r="AH115" s="39"/>
      <c r="AI115" s="39" t="s">
        <v>582</v>
      </c>
      <c r="AJ115" s="39"/>
      <c r="AK115" s="39"/>
      <c r="AL115" s="39"/>
      <c r="AM115" s="39"/>
      <c r="AN115" s="579" t="e">
        <f>#REF!</f>
        <v>#REF!</v>
      </c>
      <c r="AO115" s="579"/>
      <c r="AP115" s="579"/>
      <c r="AQ115" s="579"/>
      <c r="AR115" s="579"/>
      <c r="AS115" s="579"/>
      <c r="AT115" s="579"/>
      <c r="AU115" s="37"/>
      <c r="AV115" s="37"/>
      <c r="AW115" s="37"/>
      <c r="AX115" s="37"/>
    </row>
    <row r="116" spans="1:51" ht="13.5" thickTop="1" x14ac:dyDescent="0.2">
      <c r="A116" t="s">
        <v>3267</v>
      </c>
      <c r="E116" s="218">
        <f>EventHistory!F13</f>
        <v>0</v>
      </c>
      <c r="F116" s="219"/>
      <c r="G116" s="219"/>
      <c r="H116" s="219"/>
      <c r="I116" s="219"/>
      <c r="J116" s="219"/>
      <c r="L116" t="s">
        <v>3268</v>
      </c>
      <c r="P116" s="576">
        <f>EventHistory!B13</f>
        <v>0</v>
      </c>
      <c r="Q116" s="576"/>
      <c r="R116" s="576"/>
      <c r="S116" s="576"/>
      <c r="T116" s="576"/>
      <c r="U116" s="576"/>
      <c r="V116" s="576"/>
      <c r="W116" s="576"/>
      <c r="X116" s="576"/>
      <c r="Y116" s="576"/>
      <c r="Z116" s="576"/>
      <c r="AA116" t="s">
        <v>3269</v>
      </c>
      <c r="AF116" s="218">
        <f>EventHistory!A13</f>
        <v>0</v>
      </c>
      <c r="AG116" s="219"/>
      <c r="AH116" s="219"/>
      <c r="AI116" s="219"/>
      <c r="AJ116" s="219"/>
      <c r="AK116" s="219"/>
      <c r="AL116" s="219"/>
      <c r="AN116" t="s">
        <v>3273</v>
      </c>
      <c r="AS116" s="576" t="str">
        <f>_xlfn.CONCAT(IF(AND(EventHistory!L13="",EventHistory!M13="",EventHistory!K13=TRUE),"Next Visit Date",""),IF(AND(EventHistory!L13="",EventHistory!M13="",EventHistory!K13=FALSE),"Not Required",""),IF(EventHistory!L13="","",TEXT(EventHistory!L13,"mm/dd/yyyy")))</f>
        <v>Not Required</v>
      </c>
      <c r="AT116" s="576"/>
      <c r="AU116" s="576"/>
      <c r="AV116" s="576"/>
      <c r="AW116" s="576"/>
      <c r="AX116" s="576"/>
    </row>
    <row r="117" spans="1:51" x14ac:dyDescent="0.2">
      <c r="B117" t="s">
        <v>3272</v>
      </c>
      <c r="I117" s="295" t="str">
        <f>_xlfn.CONCAT(IF(EventHistory!B13="Fall","No Additional Specifics",""),IF(EventHistory!B13="Hospital - ER","Admission Date: "&amp;TEXT(EventHistory!O13,"mm/dd/yyyy")&amp;"  Discharge Date: "&amp;IF(EventHistory!P13="","Unknown at this time.",TEXT(EventHistory!P13,"mm/dd/yyyy")),""),IF(EventHistory!B13="Hospital - Admission","Admission Date: "&amp;TEXT(EventHistory!O13,"mm/dd/yyyy")&amp;"  Discharge Date: "&amp;IF(EventHistory!P13="","Unknown at this time.",TEXT(EventHistory!P13,"mm/dd/yyyy")),""),IF(EventHistory!B13="Rehab","Admission Date: "&amp;TEXT(EventHistory!O13,"mm/dd/yyyy")&amp;"  Discharge Date: "&amp;IF(EventHistory!P13="","Unknown at this time.",TEXT(EventHistory!P13,"mm/dd/yyyy")),""),IF(EventHistory!B13="Inpatient Procedure","Admission Date: "&amp;TEXT(EventHistory!O13,"mm/dd/yyyy")&amp;"  Discharge Date: "&amp;IF(EventHistory!P13="","Unknown at this time.",TEXT(EventHistory!P13,"mm/dd/yyyy")),""),IF(EventHistory!B13="Physician Appointment",EventHistory!D13&amp;" "&amp;EventHistory!Q13&amp;" for "&amp;EventHistory!C13&amp;". "&amp;IF(EventHistory!E13="No","No changes reported. ","Changes listed below in details."),""),IF(EventHistory!B13="Outpatient Procedure","No Additional Specifics",""),IF(EventHistory!B13="Illness/Urgent Care","No Additional Specifics",""),IF(EventHistory!B13="Event/Change (All others)","No Additional Specifics",""))</f>
        <v/>
      </c>
      <c r="J117" s="295"/>
      <c r="K117" s="295"/>
      <c r="L117" s="295"/>
      <c r="M117" s="295"/>
      <c r="N117" s="295"/>
      <c r="O117" s="295"/>
      <c r="P117" s="295"/>
      <c r="Q117" s="295"/>
      <c r="R117" s="295"/>
      <c r="S117" s="295"/>
      <c r="T117" s="295"/>
      <c r="U117" s="295"/>
      <c r="V117" s="295"/>
      <c r="W117" s="295"/>
      <c r="X117" s="295"/>
      <c r="Y117" s="295"/>
      <c r="Z117" s="295"/>
      <c r="AA117" s="295"/>
      <c r="AB117" s="295"/>
      <c r="AC117" s="295"/>
      <c r="AD117" s="295"/>
      <c r="AE117" s="295"/>
      <c r="AF117" s="295"/>
      <c r="AG117" s="295"/>
      <c r="AH117" s="295"/>
      <c r="AI117" s="295"/>
      <c r="AJ117" s="295"/>
      <c r="AK117" s="295"/>
      <c r="AL117" s="295"/>
      <c r="AM117" s="295"/>
      <c r="AN117" s="295"/>
      <c r="AO117" s="295"/>
      <c r="AP117" s="295"/>
      <c r="AQ117" s="295"/>
      <c r="AR117" s="295"/>
      <c r="AS117" s="295"/>
      <c r="AT117" s="295"/>
      <c r="AU117" s="295"/>
      <c r="AV117" s="295"/>
      <c r="AW117" s="295"/>
      <c r="AX117" s="295"/>
    </row>
    <row r="118" spans="1:51" x14ac:dyDescent="0.2">
      <c r="B118" t="s">
        <v>3270</v>
      </c>
      <c r="I118" s="216">
        <f>EventHistory!J13</f>
        <v>0</v>
      </c>
      <c r="J118" s="216"/>
      <c r="K118" s="216"/>
      <c r="L118" s="216"/>
      <c r="M118" s="216"/>
      <c r="N118" s="216"/>
      <c r="O118" s="216"/>
      <c r="P118" s="216"/>
      <c r="Q118" s="216"/>
      <c r="R118" s="216"/>
      <c r="S118" s="216"/>
      <c r="T118" s="216"/>
      <c r="U118" s="216"/>
      <c r="V118" s="216"/>
      <c r="W118" s="216"/>
      <c r="X118" s="216"/>
      <c r="Y118" s="216"/>
      <c r="Z118" s="216"/>
      <c r="AA118" s="216"/>
      <c r="AB118" s="216"/>
      <c r="AC118" s="216"/>
      <c r="AD118" s="216"/>
      <c r="AE118" s="216"/>
      <c r="AF118" s="216"/>
      <c r="AG118" s="216"/>
      <c r="AH118" s="216"/>
      <c r="AI118" s="216"/>
      <c r="AJ118" s="216"/>
      <c r="AK118" s="216"/>
      <c r="AL118" s="216"/>
      <c r="AM118" s="216"/>
      <c r="AN118" s="216"/>
      <c r="AO118" s="216"/>
      <c r="AP118" s="216"/>
      <c r="AQ118" s="216"/>
      <c r="AR118" s="216"/>
      <c r="AS118" s="216"/>
      <c r="AT118" s="216"/>
      <c r="AU118" s="216"/>
      <c r="AV118" s="216"/>
      <c r="AW118" s="216"/>
      <c r="AX118" s="216"/>
    </row>
    <row r="119" spans="1:51" x14ac:dyDescent="0.2">
      <c r="I119" s="216"/>
      <c r="J119" s="216"/>
      <c r="K119" s="216"/>
      <c r="L119" s="216"/>
      <c r="M119" s="216"/>
      <c r="N119" s="216"/>
      <c r="O119" s="216"/>
      <c r="P119" s="216"/>
      <c r="Q119" s="216"/>
      <c r="R119" s="216"/>
      <c r="S119" s="216"/>
      <c r="T119" s="216"/>
      <c r="U119" s="216"/>
      <c r="V119" s="216"/>
      <c r="W119" s="216"/>
      <c r="X119" s="216"/>
      <c r="Y119" s="216"/>
      <c r="Z119" s="216"/>
      <c r="AA119" s="216"/>
      <c r="AB119" s="216"/>
      <c r="AC119" s="216"/>
      <c r="AD119" s="216"/>
      <c r="AE119" s="216"/>
      <c r="AF119" s="216"/>
      <c r="AG119" s="216"/>
      <c r="AH119" s="216"/>
      <c r="AI119" s="216"/>
      <c r="AJ119" s="216"/>
      <c r="AK119" s="216"/>
      <c r="AL119" s="216"/>
      <c r="AM119" s="216"/>
      <c r="AN119" s="216"/>
      <c r="AO119" s="216"/>
      <c r="AP119" s="216"/>
      <c r="AQ119" s="216"/>
      <c r="AR119" s="216"/>
      <c r="AS119" s="216"/>
      <c r="AT119" s="216"/>
      <c r="AU119" s="216"/>
      <c r="AV119" s="216"/>
      <c r="AW119" s="216"/>
      <c r="AX119" s="216"/>
    </row>
    <row r="120" spans="1:51" x14ac:dyDescent="0.2">
      <c r="B120" t="s">
        <v>3271</v>
      </c>
      <c r="I120" s="216" t="str">
        <f>IF(AND(EventHistory!K13=FALSE,EventHistory!M13=""),"No follow up required","")&amp;IF(AND(EventHistory!K13=TRUE,EventHistory!M13=""),"Follow up will occur on next supervisory visit.","")&amp;IF(EventHistory!M13&lt;&gt;"",EventHistory!M13,"")</f>
        <v>No follow up required</v>
      </c>
      <c r="J120" s="216"/>
      <c r="K120" s="216"/>
      <c r="L120" s="216"/>
      <c r="M120" s="216"/>
      <c r="N120" s="216"/>
      <c r="O120" s="216"/>
      <c r="P120" s="216"/>
      <c r="Q120" s="216"/>
      <c r="R120" s="216"/>
      <c r="S120" s="216"/>
      <c r="T120" s="216"/>
      <c r="U120" s="216"/>
      <c r="V120" s="216"/>
      <c r="W120" s="216"/>
      <c r="X120" s="216"/>
      <c r="Y120" s="216"/>
      <c r="Z120" s="216"/>
      <c r="AA120" s="216"/>
      <c r="AB120" s="216"/>
      <c r="AC120" s="216"/>
      <c r="AD120" s="216"/>
      <c r="AE120" s="216"/>
      <c r="AF120" s="216"/>
      <c r="AG120" s="216"/>
      <c r="AH120" s="216"/>
      <c r="AI120" s="216"/>
      <c r="AJ120" s="216"/>
      <c r="AK120" s="216"/>
      <c r="AL120" s="216"/>
      <c r="AM120" s="216"/>
      <c r="AN120" s="216"/>
      <c r="AO120" s="216"/>
      <c r="AP120" s="216"/>
      <c r="AQ120" s="216"/>
      <c r="AR120" s="216"/>
      <c r="AS120" s="216"/>
      <c r="AT120" s="216"/>
      <c r="AU120" s="216"/>
      <c r="AV120" s="216"/>
      <c r="AW120" s="216"/>
      <c r="AX120" s="216"/>
    </row>
    <row r="121" spans="1:51" ht="13.5" thickBot="1" x14ac:dyDescent="0.25">
      <c r="A121" s="39"/>
      <c r="B121" s="39"/>
      <c r="C121" s="39"/>
      <c r="D121" s="39"/>
      <c r="E121" s="39"/>
      <c r="F121" s="39"/>
      <c r="G121" s="39"/>
      <c r="H121" s="39"/>
      <c r="I121" s="574"/>
      <c r="J121" s="574"/>
      <c r="K121" s="574"/>
      <c r="L121" s="574"/>
      <c r="M121" s="574"/>
      <c r="N121" s="574"/>
      <c r="O121" s="574"/>
      <c r="P121" s="574"/>
      <c r="Q121" s="574"/>
      <c r="R121" s="574"/>
      <c r="S121" s="574"/>
      <c r="T121" s="574"/>
      <c r="U121" s="574"/>
      <c r="V121" s="574"/>
      <c r="W121" s="574"/>
      <c r="X121" s="574"/>
      <c r="Y121" s="574"/>
      <c r="Z121" s="574"/>
      <c r="AA121" s="574"/>
      <c r="AB121" s="574"/>
      <c r="AC121" s="574"/>
      <c r="AD121" s="574"/>
      <c r="AE121" s="574"/>
      <c r="AF121" s="574"/>
      <c r="AG121" s="574"/>
      <c r="AH121" s="574"/>
      <c r="AI121" s="574"/>
      <c r="AJ121" s="574"/>
      <c r="AK121" s="574"/>
      <c r="AL121" s="574"/>
      <c r="AM121" s="574"/>
      <c r="AN121" s="574"/>
      <c r="AO121" s="574"/>
      <c r="AP121" s="574"/>
      <c r="AQ121" s="574"/>
      <c r="AR121" s="574"/>
      <c r="AS121" s="574"/>
      <c r="AT121" s="574"/>
      <c r="AU121" s="574"/>
      <c r="AV121" s="574"/>
      <c r="AW121" s="574"/>
      <c r="AX121" s="574"/>
      <c r="AY121" s="39"/>
    </row>
    <row r="122" spans="1:51" ht="13.5" thickTop="1" x14ac:dyDescent="0.2">
      <c r="A122" t="s">
        <v>3267</v>
      </c>
      <c r="E122" s="218">
        <f>EventHistory!F14</f>
        <v>0</v>
      </c>
      <c r="F122" s="219"/>
      <c r="G122" s="219"/>
      <c r="H122" s="219"/>
      <c r="I122" s="219"/>
      <c r="J122" s="219"/>
      <c r="L122" t="s">
        <v>3268</v>
      </c>
      <c r="P122" s="575">
        <f>EventHistory!B14</f>
        <v>0</v>
      </c>
      <c r="Q122" s="575"/>
      <c r="R122" s="575"/>
      <c r="S122" s="575"/>
      <c r="T122" s="575"/>
      <c r="U122" s="575"/>
      <c r="V122" s="575"/>
      <c r="W122" s="575"/>
      <c r="X122" s="575"/>
      <c r="Y122" s="575"/>
      <c r="Z122" s="575"/>
      <c r="AA122" t="s">
        <v>3269</v>
      </c>
      <c r="AF122" s="218">
        <f>EventHistory!C14</f>
        <v>0</v>
      </c>
      <c r="AG122" s="219"/>
      <c r="AH122" s="219"/>
      <c r="AI122" s="219"/>
      <c r="AJ122" s="219"/>
      <c r="AK122" s="219"/>
      <c r="AL122" s="219"/>
      <c r="AN122" t="s">
        <v>3273</v>
      </c>
      <c r="AS122" s="576" t="str">
        <f>_xlfn.CONCAT(IF(AND(EventHistory!L14="",EventHistory!M14="",EventHistory!K14=TRUE),"Next Visit Date",""),IF(AND(EventHistory!L14="",EventHistory!M14="",EventHistory!K14=FALSE),"Not Required",""),IF(EventHistory!L14="","",TEXT(EventHistory!L14,"mm/dd/yyyy")))</f>
        <v>Not Required</v>
      </c>
      <c r="AT122" s="576"/>
      <c r="AU122" s="576"/>
      <c r="AV122" s="576"/>
      <c r="AW122" s="576"/>
      <c r="AX122" s="576"/>
    </row>
    <row r="123" spans="1:51" x14ac:dyDescent="0.2">
      <c r="B123" t="s">
        <v>3272</v>
      </c>
      <c r="I123" s="295" t="str">
        <f>_xlfn.CONCAT(IF(EventHistory!B14="Fall","No Additional Specifics",""),IF(EventHistory!B14="Hospital - ER","Admission Date: "&amp;TEXT(EventHistory!O14,"mm/dd/yyyy")&amp;"  Discharge Date: "&amp;IF(EventHistory!P14="","Unknown at this time.",TEXT(EventHistory!P14,"mm/dd/yyyy")),""),IF(EventHistory!B14="Hospital - Admission","Admission Date: "&amp;TEXT(EventHistory!O14,"mm/dd/yyyy")&amp;"  Discharge Date: "&amp;IF(EventHistory!P14="","Unknown at this time.",TEXT(EventHistory!P14,"mm/dd/yyyy")),""),IF(EventHistory!B14="Rehab","Admission Date: "&amp;TEXT(EventHistory!O14,"mm/dd/yyyy")&amp;"  Discharge Date: "&amp;IF(EventHistory!P14="","Unknown at this time.",TEXT(EventHistory!P14,"mm/dd/yyyy")),""),IF(EventHistory!B14="Inpatient Procedure","Admission Date: "&amp;TEXT(EventHistory!O14,"mm/dd/yyyy")&amp;"  Discharge Date: "&amp;IF(EventHistory!P14="","Unknown at this time.",TEXT(EventHistory!P14,"mm/dd/yyyy")),""),IF(EventHistory!B14="Physician Appointment",EventHistory!D14&amp;" "&amp;EventHistory!Q14&amp;" for "&amp;EventHistory!U14&amp;". "&amp;IF(EventHistory!E14="No","No changes reported. ","Changes listed below in details."),""),IF(EventHistory!B14="Outpatient Procedure","No Additional Specifics",""),IF(EventHistory!B14="Illness/Urgent Care","No Additional Specifics",""),IF(EventHistory!B14="Event/Change (All others)","No Additional Specifics",""))</f>
        <v/>
      </c>
      <c r="J123" s="295"/>
      <c r="K123" s="295"/>
      <c r="L123" s="295"/>
      <c r="M123" s="295"/>
      <c r="N123" s="295"/>
      <c r="O123" s="295"/>
      <c r="P123" s="295"/>
      <c r="Q123" s="295"/>
      <c r="R123" s="295"/>
      <c r="S123" s="295"/>
      <c r="T123" s="295"/>
      <c r="U123" s="295"/>
      <c r="V123" s="295"/>
      <c r="W123" s="295"/>
      <c r="X123" s="295"/>
      <c r="Y123" s="295"/>
      <c r="Z123" s="295"/>
      <c r="AA123" s="295"/>
      <c r="AB123" s="295"/>
      <c r="AC123" s="295"/>
      <c r="AD123" s="295"/>
      <c r="AE123" s="295"/>
      <c r="AF123" s="295"/>
      <c r="AG123" s="295"/>
      <c r="AH123" s="295"/>
      <c r="AI123" s="295"/>
      <c r="AJ123" s="295"/>
      <c r="AK123" s="295"/>
      <c r="AL123" s="295"/>
      <c r="AM123" s="295"/>
      <c r="AN123" s="295"/>
      <c r="AO123" s="295"/>
      <c r="AP123" s="295"/>
      <c r="AQ123" s="295"/>
      <c r="AR123" s="295"/>
      <c r="AS123" s="295"/>
      <c r="AT123" s="295"/>
      <c r="AU123" s="295"/>
      <c r="AV123" s="295"/>
      <c r="AW123" s="295"/>
      <c r="AX123" s="295"/>
    </row>
    <row r="124" spans="1:51" x14ac:dyDescent="0.2">
      <c r="B124" t="s">
        <v>3270</v>
      </c>
      <c r="I124" s="216">
        <f>EventHistory!J14</f>
        <v>0</v>
      </c>
      <c r="J124" s="216"/>
      <c r="K124" s="216"/>
      <c r="L124" s="216"/>
      <c r="M124" s="216"/>
      <c r="N124" s="216"/>
      <c r="O124" s="216"/>
      <c r="P124" s="216"/>
      <c r="Q124" s="216"/>
      <c r="R124" s="216"/>
      <c r="S124" s="216"/>
      <c r="T124" s="216"/>
      <c r="U124" s="216"/>
      <c r="V124" s="216"/>
      <c r="W124" s="216"/>
      <c r="X124" s="216"/>
      <c r="Y124" s="216"/>
      <c r="Z124" s="216"/>
      <c r="AA124" s="216"/>
      <c r="AB124" s="216"/>
      <c r="AC124" s="216"/>
      <c r="AD124" s="216"/>
      <c r="AE124" s="216"/>
      <c r="AF124" s="216"/>
      <c r="AG124" s="216"/>
      <c r="AH124" s="216"/>
      <c r="AI124" s="216"/>
      <c r="AJ124" s="216"/>
      <c r="AK124" s="216"/>
      <c r="AL124" s="216"/>
      <c r="AM124" s="216"/>
      <c r="AN124" s="216"/>
      <c r="AO124" s="216"/>
      <c r="AP124" s="216"/>
      <c r="AQ124" s="216"/>
      <c r="AR124" s="216"/>
      <c r="AS124" s="216"/>
      <c r="AT124" s="216"/>
      <c r="AU124" s="216"/>
      <c r="AV124" s="216"/>
      <c r="AW124" s="216"/>
      <c r="AX124" s="216"/>
    </row>
    <row r="125" spans="1:51" x14ac:dyDescent="0.2">
      <c r="I125" s="216"/>
      <c r="J125" s="216"/>
      <c r="K125" s="216"/>
      <c r="L125" s="216"/>
      <c r="M125" s="216"/>
      <c r="N125" s="216"/>
      <c r="O125" s="216"/>
      <c r="P125" s="216"/>
      <c r="Q125" s="216"/>
      <c r="R125" s="216"/>
      <c r="S125" s="216"/>
      <c r="T125" s="216"/>
      <c r="U125" s="216"/>
      <c r="V125" s="216"/>
      <c r="W125" s="216"/>
      <c r="X125" s="216"/>
      <c r="Y125" s="216"/>
      <c r="Z125" s="216"/>
      <c r="AA125" s="216"/>
      <c r="AB125" s="216"/>
      <c r="AC125" s="216"/>
      <c r="AD125" s="216"/>
      <c r="AE125" s="216"/>
      <c r="AF125" s="216"/>
      <c r="AG125" s="216"/>
      <c r="AH125" s="216"/>
      <c r="AI125" s="216"/>
      <c r="AJ125" s="216"/>
      <c r="AK125" s="216"/>
      <c r="AL125" s="216"/>
      <c r="AM125" s="216"/>
      <c r="AN125" s="216"/>
      <c r="AO125" s="216"/>
      <c r="AP125" s="216"/>
      <c r="AQ125" s="216"/>
      <c r="AR125" s="216"/>
      <c r="AS125" s="216"/>
      <c r="AT125" s="216"/>
      <c r="AU125" s="216"/>
      <c r="AV125" s="216"/>
      <c r="AW125" s="216"/>
      <c r="AX125" s="216"/>
    </row>
    <row r="126" spans="1:51" x14ac:dyDescent="0.2">
      <c r="B126" t="s">
        <v>3271</v>
      </c>
      <c r="I126" s="216" t="str">
        <f>IF(AND(EventHistory!K14=FALSE,EventHistory!M14=""),"No follow up required","")&amp;IF(AND(EventHistory!K14=TRUE,EventHistory!M14=""),"Follow up will occur on next supervisory visit.","")&amp;IF(EventHistory!M14&lt;&gt;"",EventHistory!M14,"")</f>
        <v>No follow up required</v>
      </c>
      <c r="J126" s="216"/>
      <c r="K126" s="216"/>
      <c r="L126" s="216"/>
      <c r="M126" s="216"/>
      <c r="N126" s="216"/>
      <c r="O126" s="216"/>
      <c r="P126" s="216"/>
      <c r="Q126" s="216"/>
      <c r="R126" s="216"/>
      <c r="S126" s="216"/>
      <c r="T126" s="216"/>
      <c r="U126" s="216"/>
      <c r="V126" s="216"/>
      <c r="W126" s="216"/>
      <c r="X126" s="216"/>
      <c r="Y126" s="216"/>
      <c r="Z126" s="216"/>
      <c r="AA126" s="216"/>
      <c r="AB126" s="216"/>
      <c r="AC126" s="216"/>
      <c r="AD126" s="216"/>
      <c r="AE126" s="216"/>
      <c r="AF126" s="216"/>
      <c r="AG126" s="216"/>
      <c r="AH126" s="216"/>
      <c r="AI126" s="216"/>
      <c r="AJ126" s="216"/>
      <c r="AK126" s="216"/>
      <c r="AL126" s="216"/>
      <c r="AM126" s="216"/>
      <c r="AN126" s="216"/>
      <c r="AO126" s="216"/>
      <c r="AP126" s="216"/>
      <c r="AQ126" s="216"/>
      <c r="AR126" s="216"/>
      <c r="AS126" s="216"/>
      <c r="AT126" s="216"/>
      <c r="AU126" s="216"/>
      <c r="AV126" s="216"/>
      <c r="AW126" s="216"/>
      <c r="AX126" s="216"/>
    </row>
    <row r="127" spans="1:51" ht="13.5" thickBot="1" x14ac:dyDescent="0.25">
      <c r="A127" s="39"/>
      <c r="B127" s="39"/>
      <c r="C127" s="39"/>
      <c r="D127" s="39"/>
      <c r="E127" s="39"/>
      <c r="F127" s="39"/>
      <c r="G127" s="39"/>
      <c r="H127" s="39"/>
      <c r="I127" s="574"/>
      <c r="J127" s="574"/>
      <c r="K127" s="574"/>
      <c r="L127" s="574"/>
      <c r="M127" s="574"/>
      <c r="N127" s="574"/>
      <c r="O127" s="574"/>
      <c r="P127" s="574"/>
      <c r="Q127" s="574"/>
      <c r="R127" s="574"/>
      <c r="S127" s="574"/>
      <c r="T127" s="574"/>
      <c r="U127" s="574"/>
      <c r="V127" s="574"/>
      <c r="W127" s="574"/>
      <c r="X127" s="574"/>
      <c r="Y127" s="574"/>
      <c r="Z127" s="574"/>
      <c r="AA127" s="574"/>
      <c r="AB127" s="574"/>
      <c r="AC127" s="574"/>
      <c r="AD127" s="574"/>
      <c r="AE127" s="574"/>
      <c r="AF127" s="574"/>
      <c r="AG127" s="574"/>
      <c r="AH127" s="574"/>
      <c r="AI127" s="574"/>
      <c r="AJ127" s="574"/>
      <c r="AK127" s="574"/>
      <c r="AL127" s="574"/>
      <c r="AM127" s="574"/>
      <c r="AN127" s="574"/>
      <c r="AO127" s="574"/>
      <c r="AP127" s="574"/>
      <c r="AQ127" s="574"/>
      <c r="AR127" s="574"/>
      <c r="AS127" s="574"/>
      <c r="AT127" s="574"/>
      <c r="AU127" s="574"/>
      <c r="AV127" s="574"/>
      <c r="AW127" s="574"/>
      <c r="AX127" s="574"/>
      <c r="AY127" s="39"/>
    </row>
    <row r="128" spans="1:51" ht="13.5" thickTop="1" x14ac:dyDescent="0.2">
      <c r="A128" t="s">
        <v>3267</v>
      </c>
      <c r="E128" s="218">
        <f>EventHistory!F15</f>
        <v>0</v>
      </c>
      <c r="F128" s="219"/>
      <c r="G128" s="219"/>
      <c r="H128" s="219"/>
      <c r="I128" s="219"/>
      <c r="J128" s="219"/>
      <c r="L128" t="s">
        <v>3268</v>
      </c>
      <c r="P128" s="576">
        <f>EventHistory!B15</f>
        <v>0</v>
      </c>
      <c r="Q128" s="576"/>
      <c r="R128" s="576"/>
      <c r="S128" s="576"/>
      <c r="T128" s="576"/>
      <c r="U128" s="576"/>
      <c r="V128" s="576"/>
      <c r="W128" s="576"/>
      <c r="X128" s="576"/>
      <c r="Y128" s="576"/>
      <c r="Z128" s="576"/>
      <c r="AA128" t="s">
        <v>3269</v>
      </c>
      <c r="AF128" s="218">
        <f>EventHistory!C15</f>
        <v>0</v>
      </c>
      <c r="AG128" s="219"/>
      <c r="AH128" s="219"/>
      <c r="AI128" s="219"/>
      <c r="AJ128" s="219"/>
      <c r="AK128" s="219"/>
      <c r="AL128" s="219"/>
      <c r="AN128" t="s">
        <v>3273</v>
      </c>
      <c r="AS128" s="577" t="str">
        <f>_xlfn.CONCAT(IF(AND(EventHistory!L15="",EventHistory!M15="",EventHistory!K15=TRUE),"Next Visit Date",""),IF(AND(EventHistory!L15="",EventHistory!M15="",EventHistory!K15=FALSE),"Not Required",""),IF(EventHistory!L15="","",TEXT(EventHistory!L15,"mm/dd/yyyy")))</f>
        <v>Not Required</v>
      </c>
      <c r="AT128" s="577"/>
      <c r="AU128" s="577"/>
      <c r="AV128" s="577"/>
      <c r="AW128" s="577"/>
      <c r="AX128" s="577"/>
    </row>
    <row r="129" spans="1:51" x14ac:dyDescent="0.2">
      <c r="B129" t="s">
        <v>3272</v>
      </c>
      <c r="I129" s="295" t="str">
        <f>_xlfn.CONCAT(IF(EventHistory!B15="Fall","No Additional Specifics",""),IF(EventHistory!B15="Hospital - ER","Admission Date: "&amp;TEXT(EventHistory!O15,"mm/dd/yyyy")&amp;"  Discharge Date: "&amp;IF(EventHistory!P15="","Unknown at this time.",TEXT(EventHistory!P15,"mm/dd/yyyy")),""),IF(EventHistory!B15="Hospital - Admission","Admission Date: "&amp;TEXT(EventHistory!O15,"mm/dd/yyyy")&amp;"  Discharge Date: "&amp;IF(EventHistory!P15="","Unknown at this time.",TEXT(EventHistory!P15,"mm/dd/yyyy")),""),IF(EventHistory!B15="Rehab","Admission Date: "&amp;TEXT(EventHistory!O15,"mm/dd/yyyy")&amp;"  Discharge Date: "&amp;IF(EventHistory!P15="","Unknown at this time.",TEXT(EventHistory!P15,"mm/dd/yyyy")),""),IF(EventHistory!B15="Inpatient Procedure","Admission Date: "&amp;TEXT(EventHistory!O15,"mm/dd/yyyy")&amp;"  Discharge Date: "&amp;IF(EventHistory!P15="","Unknown at this time.",TEXT(EventHistory!P15,"mm/dd/yyyy")),""),IF(EventHistory!B15="Physician Appointment",EventHistory!D15&amp;" "&amp;EventHistory!Q15&amp;" for "&amp;EventHistory!U15&amp;". "&amp;IF(EventHistory!E15="No","No changes reported. ","Changes listed below in details."),""),IF(EventHistory!B15="Outpatient Procedure","No Additional Specifics",""),IF(EventHistory!B15="Illness/Urgent Care","No Additional Specifics",""),IF(EventHistory!B15="Event/Change (All others)","No Additional Specifics",""))</f>
        <v/>
      </c>
      <c r="J129" s="295"/>
      <c r="K129" s="295"/>
      <c r="L129" s="295"/>
      <c r="M129" s="295"/>
      <c r="N129" s="295"/>
      <c r="O129" s="295"/>
      <c r="P129" s="295"/>
      <c r="Q129" s="295"/>
      <c r="R129" s="295"/>
      <c r="S129" s="295"/>
      <c r="T129" s="295"/>
      <c r="U129" s="295"/>
      <c r="V129" s="295"/>
      <c r="W129" s="295"/>
      <c r="X129" s="295"/>
      <c r="Y129" s="295"/>
      <c r="Z129" s="295"/>
      <c r="AA129" s="295"/>
      <c r="AB129" s="295"/>
      <c r="AC129" s="295"/>
      <c r="AD129" s="295"/>
      <c r="AE129" s="295"/>
      <c r="AF129" s="295"/>
      <c r="AG129" s="295"/>
      <c r="AH129" s="295"/>
      <c r="AI129" s="295"/>
      <c r="AJ129" s="295"/>
      <c r="AK129" s="295"/>
      <c r="AL129" s="295"/>
      <c r="AM129" s="295"/>
      <c r="AN129" s="295"/>
      <c r="AO129" s="295"/>
      <c r="AP129" s="295"/>
      <c r="AQ129" s="295"/>
      <c r="AR129" s="295"/>
      <c r="AS129" s="295"/>
      <c r="AT129" s="295"/>
      <c r="AU129" s="295"/>
      <c r="AV129" s="295"/>
      <c r="AW129" s="295"/>
      <c r="AX129" s="295"/>
    </row>
    <row r="130" spans="1:51" x14ac:dyDescent="0.2">
      <c r="B130" t="s">
        <v>3270</v>
      </c>
      <c r="I130" s="216">
        <f>EventHistory!J15</f>
        <v>0</v>
      </c>
      <c r="J130" s="216"/>
      <c r="K130" s="216"/>
      <c r="L130" s="216"/>
      <c r="M130" s="216"/>
      <c r="N130" s="216"/>
      <c r="O130" s="216"/>
      <c r="P130" s="216"/>
      <c r="Q130" s="216"/>
      <c r="R130" s="216"/>
      <c r="S130" s="216"/>
      <c r="T130" s="216"/>
      <c r="U130" s="216"/>
      <c r="V130" s="216"/>
      <c r="W130" s="216"/>
      <c r="X130" s="216"/>
      <c r="Y130" s="216"/>
      <c r="Z130" s="216"/>
      <c r="AA130" s="216"/>
      <c r="AB130" s="216"/>
      <c r="AC130" s="216"/>
      <c r="AD130" s="216"/>
      <c r="AE130" s="216"/>
      <c r="AF130" s="216"/>
      <c r="AG130" s="216"/>
      <c r="AH130" s="216"/>
      <c r="AI130" s="216"/>
      <c r="AJ130" s="216"/>
      <c r="AK130" s="216"/>
      <c r="AL130" s="216"/>
      <c r="AM130" s="216"/>
      <c r="AN130" s="216"/>
      <c r="AO130" s="216"/>
      <c r="AP130" s="216"/>
      <c r="AQ130" s="216"/>
      <c r="AR130" s="216"/>
      <c r="AS130" s="216"/>
      <c r="AT130" s="216"/>
      <c r="AU130" s="216"/>
      <c r="AV130" s="216"/>
      <c r="AW130" s="216"/>
      <c r="AX130" s="216"/>
    </row>
    <row r="131" spans="1:51" x14ac:dyDescent="0.2">
      <c r="I131" s="216"/>
      <c r="J131" s="216"/>
      <c r="K131" s="216"/>
      <c r="L131" s="216"/>
      <c r="M131" s="216"/>
      <c r="N131" s="216"/>
      <c r="O131" s="216"/>
      <c r="P131" s="216"/>
      <c r="Q131" s="216"/>
      <c r="R131" s="216"/>
      <c r="S131" s="216"/>
      <c r="T131" s="216"/>
      <c r="U131" s="216"/>
      <c r="V131" s="216"/>
      <c r="W131" s="216"/>
      <c r="X131" s="216"/>
      <c r="Y131" s="216"/>
      <c r="Z131" s="216"/>
      <c r="AA131" s="216"/>
      <c r="AB131" s="216"/>
      <c r="AC131" s="216"/>
      <c r="AD131" s="216"/>
      <c r="AE131" s="216"/>
      <c r="AF131" s="216"/>
      <c r="AG131" s="216"/>
      <c r="AH131" s="216"/>
      <c r="AI131" s="216"/>
      <c r="AJ131" s="216"/>
      <c r="AK131" s="216"/>
      <c r="AL131" s="216"/>
      <c r="AM131" s="216"/>
      <c r="AN131" s="216"/>
      <c r="AO131" s="216"/>
      <c r="AP131" s="216"/>
      <c r="AQ131" s="216"/>
      <c r="AR131" s="216"/>
      <c r="AS131" s="216"/>
      <c r="AT131" s="216"/>
      <c r="AU131" s="216"/>
      <c r="AV131" s="216"/>
      <c r="AW131" s="216"/>
      <c r="AX131" s="216"/>
    </row>
    <row r="132" spans="1:51" x14ac:dyDescent="0.2">
      <c r="B132" t="s">
        <v>3271</v>
      </c>
      <c r="I132" s="216" t="str">
        <f>IF(AND(EventHistory!K15=FALSE,EventHistory!M15=""),"No follow up required","")&amp;IF(AND(EventHistory!K15=TRUE,EventHistory!M15=""),"Follow up will occur on next supervisory visit.","")&amp;IF(EventHistory!M15&lt;&gt;"",EventHistory!M15,"")</f>
        <v>No follow up required</v>
      </c>
      <c r="J132" s="216"/>
      <c r="K132" s="216"/>
      <c r="L132" s="216"/>
      <c r="M132" s="216"/>
      <c r="N132" s="216"/>
      <c r="O132" s="216"/>
      <c r="P132" s="216"/>
      <c r="Q132" s="216"/>
      <c r="R132" s="216"/>
      <c r="S132" s="216"/>
      <c r="T132" s="216"/>
      <c r="U132" s="216"/>
      <c r="V132" s="216"/>
      <c r="W132" s="216"/>
      <c r="X132" s="216"/>
      <c r="Y132" s="216"/>
      <c r="Z132" s="216"/>
      <c r="AA132" s="216"/>
      <c r="AB132" s="216"/>
      <c r="AC132" s="216"/>
      <c r="AD132" s="216"/>
      <c r="AE132" s="216"/>
      <c r="AF132" s="216"/>
      <c r="AG132" s="216"/>
      <c r="AH132" s="216"/>
      <c r="AI132" s="216"/>
      <c r="AJ132" s="216"/>
      <c r="AK132" s="216"/>
      <c r="AL132" s="216"/>
      <c r="AM132" s="216"/>
      <c r="AN132" s="216"/>
      <c r="AO132" s="216"/>
      <c r="AP132" s="216"/>
      <c r="AQ132" s="216"/>
      <c r="AR132" s="216"/>
      <c r="AS132" s="216"/>
      <c r="AT132" s="216"/>
      <c r="AU132" s="216"/>
      <c r="AV132" s="216"/>
      <c r="AW132" s="216"/>
      <c r="AX132" s="216"/>
    </row>
    <row r="133" spans="1:51" ht="13.5" thickBot="1" x14ac:dyDescent="0.25">
      <c r="A133" s="39"/>
      <c r="B133" s="39"/>
      <c r="C133" s="39"/>
      <c r="D133" s="39"/>
      <c r="E133" s="39"/>
      <c r="F133" s="39"/>
      <c r="G133" s="39"/>
      <c r="H133" s="39"/>
      <c r="I133" s="574"/>
      <c r="J133" s="574"/>
      <c r="K133" s="574"/>
      <c r="L133" s="574"/>
      <c r="M133" s="574"/>
      <c r="N133" s="574"/>
      <c r="O133" s="574"/>
      <c r="P133" s="574"/>
      <c r="Q133" s="574"/>
      <c r="R133" s="574"/>
      <c r="S133" s="574"/>
      <c r="T133" s="574"/>
      <c r="U133" s="574"/>
      <c r="V133" s="574"/>
      <c r="W133" s="574"/>
      <c r="X133" s="574"/>
      <c r="Y133" s="574"/>
      <c r="Z133" s="574"/>
      <c r="AA133" s="574"/>
      <c r="AB133" s="574"/>
      <c r="AC133" s="574"/>
      <c r="AD133" s="574"/>
      <c r="AE133" s="574"/>
      <c r="AF133" s="574"/>
      <c r="AG133" s="574"/>
      <c r="AH133" s="574"/>
      <c r="AI133" s="574"/>
      <c r="AJ133" s="574"/>
      <c r="AK133" s="574"/>
      <c r="AL133" s="574"/>
      <c r="AM133" s="574"/>
      <c r="AN133" s="574"/>
      <c r="AO133" s="574"/>
      <c r="AP133" s="574"/>
      <c r="AQ133" s="574"/>
      <c r="AR133" s="574"/>
      <c r="AS133" s="574"/>
      <c r="AT133" s="574"/>
      <c r="AU133" s="574"/>
      <c r="AV133" s="574"/>
      <c r="AW133" s="574"/>
      <c r="AX133" s="574"/>
      <c r="AY133" s="39"/>
    </row>
    <row r="134" spans="1:51" ht="13.5" thickTop="1" x14ac:dyDescent="0.2">
      <c r="A134" t="s">
        <v>3267</v>
      </c>
      <c r="E134" s="218">
        <f>EventHistory!F16</f>
        <v>0</v>
      </c>
      <c r="F134" s="219"/>
      <c r="G134" s="219"/>
      <c r="H134" s="219"/>
      <c r="I134" s="219"/>
      <c r="J134" s="219"/>
      <c r="L134" t="s">
        <v>3268</v>
      </c>
      <c r="P134" s="576">
        <f>EventHistory!B16</f>
        <v>0</v>
      </c>
      <c r="Q134" s="576"/>
      <c r="R134" s="576"/>
      <c r="S134" s="576"/>
      <c r="T134" s="576"/>
      <c r="U134" s="576"/>
      <c r="V134" s="576"/>
      <c r="W134" s="576"/>
      <c r="X134" s="576"/>
      <c r="Y134" s="576"/>
      <c r="Z134" s="576"/>
      <c r="AA134" t="s">
        <v>3269</v>
      </c>
      <c r="AF134" s="218">
        <f>EventHistory!C16</f>
        <v>0</v>
      </c>
      <c r="AG134" s="219"/>
      <c r="AH134" s="219"/>
      <c r="AI134" s="219"/>
      <c r="AJ134" s="219"/>
      <c r="AK134" s="219"/>
      <c r="AL134" s="219"/>
      <c r="AN134" t="s">
        <v>3273</v>
      </c>
      <c r="AS134" s="577" t="str">
        <f>_xlfn.CONCAT(IF(AND(EventHistory!L16="",EventHistory!M16="",EventHistory!K16=TRUE),"Next Visit Date",""),IF(AND(EventHistory!L16="",EventHistory!M16="",EventHistory!K16=FALSE),"Not Required",""),IF(EventHistory!L16="","",TEXT(EventHistory!L16,"mm/dd/yyyy")))</f>
        <v>Not Required</v>
      </c>
      <c r="AT134" s="576"/>
      <c r="AU134" s="576"/>
      <c r="AV134" s="576"/>
      <c r="AW134" s="576"/>
      <c r="AX134" s="576"/>
    </row>
    <row r="135" spans="1:51" x14ac:dyDescent="0.2">
      <c r="B135" t="s">
        <v>3272</v>
      </c>
      <c r="I135" s="295" t="str">
        <f>_xlfn.CONCAT(IF(EventHistory!B16="Fall","No Additional Specifics",""),IF(EventHistory!B16="Hospital - ER","Admission Date: "&amp;TEXT(EventHistory!O16,"mm/dd/yyyy")&amp;"  Discharge Date: "&amp;IF(EventHistory!P16="","Unknown at this time.",TEXT(EventHistory!P16,"mm/dd/yyyy")),""),IF(EventHistory!B16="Hospital - Admission","Admission Date: "&amp;TEXT(EventHistory!O16,"mm/dd/yyyy")&amp;"  Discharge Date: "&amp;IF(EventHistory!P16="","Unknown at this time.",TEXT(EventHistory!P16,"mm/dd/yyyy")),""),IF(EventHistory!B16="Rehab","Admission Date: "&amp;TEXT(EventHistory!O16,"mm/dd/yyyy")&amp;"  Discharge Date: "&amp;IF(EventHistory!P16="","Unknown at this time.",TEXT(EventHistory!P16,"mm/dd/yyyy")),""),IF(EventHistory!B16="Inpatient Procedure","Admission Date: "&amp;TEXT(EventHistory!O16,"mm/dd/yyyy")&amp;"  Discharge Date: "&amp;IF(EventHistory!P16="","Unknown at this time.",TEXT(EventHistory!P16,"mm/dd/yyyy")),""),IF(EventHistory!B16="Physician Appointment",EventHistory!D16&amp;" "&amp;EventHistory!Q16&amp;" for "&amp;EventHistory!U16&amp;". "&amp;IF(EventHistory!E16="No","No changes reported. ","Changes listed below in details."),""),IF(EventHistory!B16="Outpatient Procedure","No Additional Specifics",""),IF(EventHistory!B16="Illness/Urgent Care","No Additional Specifics",""),IF(EventHistory!B16="Event/Change (All others)","No Additional Specifics",""))</f>
        <v/>
      </c>
      <c r="J135" s="295"/>
      <c r="K135" s="295"/>
      <c r="L135" s="295"/>
      <c r="M135" s="295"/>
      <c r="N135" s="295"/>
      <c r="O135" s="295"/>
      <c r="P135" s="295"/>
      <c r="Q135" s="295"/>
      <c r="R135" s="295"/>
      <c r="S135" s="295"/>
      <c r="T135" s="295"/>
      <c r="U135" s="295"/>
      <c r="V135" s="295"/>
      <c r="W135" s="295"/>
      <c r="X135" s="295"/>
      <c r="Y135" s="295"/>
      <c r="Z135" s="295"/>
      <c r="AA135" s="295"/>
      <c r="AB135" s="295"/>
      <c r="AC135" s="295"/>
      <c r="AD135" s="295"/>
      <c r="AE135" s="295"/>
      <c r="AF135" s="295"/>
      <c r="AG135" s="295"/>
      <c r="AH135" s="295"/>
      <c r="AI135" s="295"/>
      <c r="AJ135" s="295"/>
      <c r="AK135" s="295"/>
      <c r="AL135" s="295"/>
      <c r="AM135" s="295"/>
      <c r="AN135" s="295"/>
      <c r="AO135" s="295"/>
      <c r="AP135" s="295"/>
      <c r="AQ135" s="295"/>
      <c r="AR135" s="295"/>
      <c r="AS135" s="295"/>
      <c r="AT135" s="295"/>
      <c r="AU135" s="295"/>
      <c r="AV135" s="295"/>
      <c r="AW135" s="295"/>
      <c r="AX135" s="295"/>
    </row>
    <row r="136" spans="1:51" x14ac:dyDescent="0.2">
      <c r="B136" t="s">
        <v>3270</v>
      </c>
      <c r="I136" s="216">
        <f>EventHistory!J16</f>
        <v>0</v>
      </c>
      <c r="J136" s="216"/>
      <c r="K136" s="216"/>
      <c r="L136" s="216"/>
      <c r="M136" s="216"/>
      <c r="N136" s="216"/>
      <c r="O136" s="216"/>
      <c r="P136" s="216"/>
      <c r="Q136" s="216"/>
      <c r="R136" s="216"/>
      <c r="S136" s="216"/>
      <c r="T136" s="216"/>
      <c r="U136" s="216"/>
      <c r="V136" s="216"/>
      <c r="W136" s="216"/>
      <c r="X136" s="216"/>
      <c r="Y136" s="216"/>
      <c r="Z136" s="216"/>
      <c r="AA136" s="216"/>
      <c r="AB136" s="216"/>
      <c r="AC136" s="216"/>
      <c r="AD136" s="216"/>
      <c r="AE136" s="216"/>
      <c r="AF136" s="216"/>
      <c r="AG136" s="216"/>
      <c r="AH136" s="216"/>
      <c r="AI136" s="216"/>
      <c r="AJ136" s="216"/>
      <c r="AK136" s="216"/>
      <c r="AL136" s="216"/>
      <c r="AM136" s="216"/>
      <c r="AN136" s="216"/>
      <c r="AO136" s="216"/>
      <c r="AP136" s="216"/>
      <c r="AQ136" s="216"/>
      <c r="AR136" s="216"/>
      <c r="AS136" s="216"/>
      <c r="AT136" s="216"/>
      <c r="AU136" s="216"/>
      <c r="AV136" s="216"/>
      <c r="AW136" s="216"/>
      <c r="AX136" s="216"/>
    </row>
    <row r="137" spans="1:51" x14ac:dyDescent="0.2">
      <c r="I137" s="216"/>
      <c r="J137" s="216"/>
      <c r="K137" s="216"/>
      <c r="L137" s="216"/>
      <c r="M137" s="216"/>
      <c r="N137" s="216"/>
      <c r="O137" s="216"/>
      <c r="P137" s="216"/>
      <c r="Q137" s="216"/>
      <c r="R137" s="216"/>
      <c r="S137" s="216"/>
      <c r="T137" s="216"/>
      <c r="U137" s="216"/>
      <c r="V137" s="216"/>
      <c r="W137" s="216"/>
      <c r="X137" s="216"/>
      <c r="Y137" s="216"/>
      <c r="Z137" s="216"/>
      <c r="AA137" s="216"/>
      <c r="AB137" s="216"/>
      <c r="AC137" s="216"/>
      <c r="AD137" s="216"/>
      <c r="AE137" s="216"/>
      <c r="AF137" s="216"/>
      <c r="AG137" s="216"/>
      <c r="AH137" s="216"/>
      <c r="AI137" s="216"/>
      <c r="AJ137" s="216"/>
      <c r="AK137" s="216"/>
      <c r="AL137" s="216"/>
      <c r="AM137" s="216"/>
      <c r="AN137" s="216"/>
      <c r="AO137" s="216"/>
      <c r="AP137" s="216"/>
      <c r="AQ137" s="216"/>
      <c r="AR137" s="216"/>
      <c r="AS137" s="216"/>
      <c r="AT137" s="216"/>
      <c r="AU137" s="216"/>
      <c r="AV137" s="216"/>
      <c r="AW137" s="216"/>
      <c r="AX137" s="216"/>
    </row>
    <row r="138" spans="1:51" x14ac:dyDescent="0.2">
      <c r="B138" t="s">
        <v>3271</v>
      </c>
      <c r="I138" s="216" t="str">
        <f>IF(AND(EventHistory!K16=FALSE,EventHistory!M16=""),"No follow up required","")&amp;IF(AND(EventHistory!K16=TRUE,EventHistory!M16=""),"Follow up will occur on next supervisory visit.","")&amp;IF(EventHistory!M16&lt;&gt;"",EventHistory!M16,"")</f>
        <v>No follow up required</v>
      </c>
      <c r="J138" s="216"/>
      <c r="K138" s="216"/>
      <c r="L138" s="216"/>
      <c r="M138" s="216"/>
      <c r="N138" s="216"/>
      <c r="O138" s="216"/>
      <c r="P138" s="216"/>
      <c r="Q138" s="216"/>
      <c r="R138" s="216"/>
      <c r="S138" s="216"/>
      <c r="T138" s="216"/>
      <c r="U138" s="216"/>
      <c r="V138" s="216"/>
      <c r="W138" s="216"/>
      <c r="X138" s="216"/>
      <c r="Y138" s="216"/>
      <c r="Z138" s="216"/>
      <c r="AA138" s="216"/>
      <c r="AB138" s="216"/>
      <c r="AC138" s="216"/>
      <c r="AD138" s="216"/>
      <c r="AE138" s="216"/>
      <c r="AF138" s="216"/>
      <c r="AG138" s="216"/>
      <c r="AH138" s="216"/>
      <c r="AI138" s="216"/>
      <c r="AJ138" s="216"/>
      <c r="AK138" s="216"/>
      <c r="AL138" s="216"/>
      <c r="AM138" s="216"/>
      <c r="AN138" s="216"/>
      <c r="AO138" s="216"/>
      <c r="AP138" s="216"/>
      <c r="AQ138" s="216"/>
      <c r="AR138" s="216"/>
      <c r="AS138" s="216"/>
      <c r="AT138" s="216"/>
      <c r="AU138" s="216"/>
      <c r="AV138" s="216"/>
      <c r="AW138" s="216"/>
      <c r="AX138" s="216"/>
    </row>
    <row r="139" spans="1:51" ht="13.5" thickBot="1" x14ac:dyDescent="0.25">
      <c r="A139" s="39"/>
      <c r="B139" s="39"/>
      <c r="C139" s="39"/>
      <c r="D139" s="39"/>
      <c r="E139" s="39"/>
      <c r="F139" s="39"/>
      <c r="G139" s="39"/>
      <c r="H139" s="39"/>
      <c r="I139" s="574"/>
      <c r="J139" s="574"/>
      <c r="K139" s="574"/>
      <c r="L139" s="574"/>
      <c r="M139" s="574"/>
      <c r="N139" s="574"/>
      <c r="O139" s="574"/>
      <c r="P139" s="574"/>
      <c r="Q139" s="574"/>
      <c r="R139" s="574"/>
      <c r="S139" s="574"/>
      <c r="T139" s="574"/>
      <c r="U139" s="574"/>
      <c r="V139" s="574"/>
      <c r="W139" s="574"/>
      <c r="X139" s="574"/>
      <c r="Y139" s="574"/>
      <c r="Z139" s="574"/>
      <c r="AA139" s="574"/>
      <c r="AB139" s="574"/>
      <c r="AC139" s="574"/>
      <c r="AD139" s="574"/>
      <c r="AE139" s="574"/>
      <c r="AF139" s="574"/>
      <c r="AG139" s="574"/>
      <c r="AH139" s="574"/>
      <c r="AI139" s="574"/>
      <c r="AJ139" s="574"/>
      <c r="AK139" s="574"/>
      <c r="AL139" s="574"/>
      <c r="AM139" s="574"/>
      <c r="AN139" s="574"/>
      <c r="AO139" s="574"/>
      <c r="AP139" s="574"/>
      <c r="AQ139" s="574"/>
      <c r="AR139" s="574"/>
      <c r="AS139" s="574"/>
      <c r="AT139" s="574"/>
      <c r="AU139" s="574"/>
      <c r="AV139" s="574"/>
      <c r="AW139" s="574"/>
      <c r="AX139" s="574"/>
      <c r="AY139" s="39"/>
    </row>
    <row r="140" spans="1:51" ht="13.5" thickTop="1" x14ac:dyDescent="0.2">
      <c r="A140" t="s">
        <v>3267</v>
      </c>
      <c r="E140" s="218">
        <f>EventHistory!F17</f>
        <v>0</v>
      </c>
      <c r="F140" s="219"/>
      <c r="G140" s="219"/>
      <c r="H140" s="219"/>
      <c r="I140" s="219"/>
      <c r="J140" s="219"/>
      <c r="L140" t="s">
        <v>3268</v>
      </c>
      <c r="P140" s="576">
        <f>EventHistory!B17</f>
        <v>0</v>
      </c>
      <c r="Q140" s="576"/>
      <c r="R140" s="576"/>
      <c r="S140" s="576"/>
      <c r="T140" s="576"/>
      <c r="U140" s="576"/>
      <c r="V140" s="576"/>
      <c r="W140" s="576"/>
      <c r="X140" s="576"/>
      <c r="Y140" s="576"/>
      <c r="Z140" s="576"/>
      <c r="AA140" t="s">
        <v>3269</v>
      </c>
      <c r="AF140" s="218">
        <f>EventHistory!C17</f>
        <v>0</v>
      </c>
      <c r="AG140" s="219"/>
      <c r="AH140" s="219"/>
      <c r="AI140" s="219"/>
      <c r="AJ140" s="219"/>
      <c r="AK140" s="219"/>
      <c r="AL140" s="219"/>
      <c r="AN140" t="s">
        <v>3273</v>
      </c>
      <c r="AS140" s="577" t="str">
        <f>_xlfn.CONCAT(IF(AND(EventHistory!L17="",EventHistory!M17="",EventHistory!K17=TRUE),"Next Visit Date",""),IF(AND(EventHistory!L17="",EventHistory!M17="",EventHistory!K17=FALSE),"Not Required",""),IF(EventHistory!L17="","",TEXT(EventHistory!L17,"mm/dd/yyyy")))</f>
        <v>Not Required</v>
      </c>
      <c r="AT140" s="576"/>
      <c r="AU140" s="576"/>
      <c r="AV140" s="576"/>
      <c r="AW140" s="576"/>
      <c r="AX140" s="576"/>
    </row>
    <row r="141" spans="1:51" x14ac:dyDescent="0.2">
      <c r="B141" t="s">
        <v>3272</v>
      </c>
      <c r="I141" s="295" t="str">
        <f>_xlfn.CONCAT(IF(EventHistory!B17="Fall","No Additional Specifics",""),IF(EventHistory!B17="Hospital - ER","Admission Date: "&amp;TEXT(EventHistory!O17,"mm/dd/yyyy")&amp;"  Discharge Date: "&amp;IF(EventHistory!P17="","Unknown at this time.",TEXT(EventHistory!P17,"mm/dd/yyyy")),""),IF(EventHistory!B17="Hospital - Admission","Admission Date: "&amp;TEXT(EventHistory!O17,"mm/dd/yyyy")&amp;"  Discharge Date: "&amp;IF(EventHistory!P17="","Unknown at this time.",TEXT(EventHistory!P17,"mm/dd/yyyy")),""),IF(EventHistory!B17="Rehab","Admission Date: "&amp;TEXT(EventHistory!O17,"mm/dd/yyyy")&amp;"  Discharge Date: "&amp;IF(EventHistory!P17="","Unknown at this time.",TEXT(EventHistory!P17,"mm/dd/yyyy")),""),IF(EventHistory!B17="Inpatient Procedure","Admission Date: "&amp;TEXT(EventHistory!O17,"mm/dd/yyyy")&amp;"  Discharge Date: "&amp;IF(EventHistory!P17="","Unknown at this time.",TEXT(EventHistory!P17,"mm/dd/yyyy")),""),IF(EventHistory!B17="Physician Appointment",EventHistory!D17&amp;" "&amp;EventHistory!Q17&amp;" for "&amp;EventHistory!U17&amp;". "&amp;IF(EventHistory!E17="No","No changes reported. ","Changes listed below in details."),""),IF(EventHistory!B17="Outpatient Procedure","No Additional Specifics",""),IF(EventHistory!B17="Illness/Urgent Care","No Additional Specifics",""),IF(EventHistory!B17="Event/Change (All others)","No Additional Specifics",""))</f>
        <v/>
      </c>
      <c r="J141" s="295"/>
      <c r="K141" s="295"/>
      <c r="L141" s="295"/>
      <c r="M141" s="295"/>
      <c r="N141" s="295"/>
      <c r="O141" s="295"/>
      <c r="P141" s="295"/>
      <c r="Q141" s="295"/>
      <c r="R141" s="295"/>
      <c r="S141" s="295"/>
      <c r="T141" s="295"/>
      <c r="U141" s="295"/>
      <c r="V141" s="295"/>
      <c r="W141" s="295"/>
      <c r="X141" s="295"/>
      <c r="Y141" s="295"/>
      <c r="Z141" s="295"/>
      <c r="AA141" s="295"/>
      <c r="AB141" s="295"/>
      <c r="AC141" s="295"/>
      <c r="AD141" s="295"/>
      <c r="AE141" s="295"/>
      <c r="AF141" s="295"/>
      <c r="AG141" s="295"/>
      <c r="AH141" s="295"/>
      <c r="AI141" s="295"/>
      <c r="AJ141" s="295"/>
      <c r="AK141" s="295"/>
      <c r="AL141" s="295"/>
      <c r="AM141" s="295"/>
      <c r="AN141" s="295"/>
      <c r="AO141" s="295"/>
      <c r="AP141" s="295"/>
      <c r="AQ141" s="295"/>
      <c r="AR141" s="295"/>
      <c r="AS141" s="295"/>
      <c r="AT141" s="295"/>
      <c r="AU141" s="295"/>
      <c r="AV141" s="295"/>
      <c r="AW141" s="295"/>
      <c r="AX141" s="295"/>
    </row>
    <row r="142" spans="1:51" x14ac:dyDescent="0.2">
      <c r="B142" t="s">
        <v>3270</v>
      </c>
      <c r="I142" s="216">
        <f>EventHistory!J17</f>
        <v>0</v>
      </c>
      <c r="J142" s="216"/>
      <c r="K142" s="216"/>
      <c r="L142" s="216"/>
      <c r="M142" s="216"/>
      <c r="N142" s="216"/>
      <c r="O142" s="216"/>
      <c r="P142" s="216"/>
      <c r="Q142" s="216"/>
      <c r="R142" s="216"/>
      <c r="S142" s="216"/>
      <c r="T142" s="216"/>
      <c r="U142" s="216"/>
      <c r="V142" s="216"/>
      <c r="W142" s="216"/>
      <c r="X142" s="216"/>
      <c r="Y142" s="216"/>
      <c r="Z142" s="216"/>
      <c r="AA142" s="216"/>
      <c r="AB142" s="216"/>
      <c r="AC142" s="216"/>
      <c r="AD142" s="216"/>
      <c r="AE142" s="216"/>
      <c r="AF142" s="216"/>
      <c r="AG142" s="216"/>
      <c r="AH142" s="216"/>
      <c r="AI142" s="216"/>
      <c r="AJ142" s="216"/>
      <c r="AK142" s="216"/>
      <c r="AL142" s="216"/>
      <c r="AM142" s="216"/>
      <c r="AN142" s="216"/>
      <c r="AO142" s="216"/>
      <c r="AP142" s="216"/>
      <c r="AQ142" s="216"/>
      <c r="AR142" s="216"/>
      <c r="AS142" s="216"/>
      <c r="AT142" s="216"/>
      <c r="AU142" s="216"/>
      <c r="AV142" s="216"/>
      <c r="AW142" s="216"/>
      <c r="AX142" s="216"/>
    </row>
    <row r="143" spans="1:51" x14ac:dyDescent="0.2">
      <c r="I143" s="216"/>
      <c r="J143" s="216"/>
      <c r="K143" s="216"/>
      <c r="L143" s="216"/>
      <c r="M143" s="216"/>
      <c r="N143" s="216"/>
      <c r="O143" s="216"/>
      <c r="P143" s="216"/>
      <c r="Q143" s="216"/>
      <c r="R143" s="216"/>
      <c r="S143" s="216"/>
      <c r="T143" s="216"/>
      <c r="U143" s="216"/>
      <c r="V143" s="216"/>
      <c r="W143" s="216"/>
      <c r="X143" s="216"/>
      <c r="Y143" s="216"/>
      <c r="Z143" s="216"/>
      <c r="AA143" s="216"/>
      <c r="AB143" s="216"/>
      <c r="AC143" s="216"/>
      <c r="AD143" s="216"/>
      <c r="AE143" s="216"/>
      <c r="AF143" s="216"/>
      <c r="AG143" s="216"/>
      <c r="AH143" s="216"/>
      <c r="AI143" s="216"/>
      <c r="AJ143" s="216"/>
      <c r="AK143" s="216"/>
      <c r="AL143" s="216"/>
      <c r="AM143" s="216"/>
      <c r="AN143" s="216"/>
      <c r="AO143" s="216"/>
      <c r="AP143" s="216"/>
      <c r="AQ143" s="216"/>
      <c r="AR143" s="216"/>
      <c r="AS143" s="216"/>
      <c r="AT143" s="216"/>
      <c r="AU143" s="216"/>
      <c r="AV143" s="216"/>
      <c r="AW143" s="216"/>
      <c r="AX143" s="216"/>
    </row>
    <row r="144" spans="1:51" x14ac:dyDescent="0.2">
      <c r="B144" t="s">
        <v>3271</v>
      </c>
      <c r="I144" s="216" t="str">
        <f>IF(AND(EventHistory!K17=FALSE,EventHistory!M17=""),"No follow up required","")&amp;IF(AND(EventHistory!K17=TRUE,EventHistory!M17=""),"Follow up will occur on next supervisory visit.","")&amp;IF(EventHistory!M17&lt;&gt;"",EventHistory!M17,"")</f>
        <v>No follow up required</v>
      </c>
      <c r="J144" s="216"/>
      <c r="K144" s="216"/>
      <c r="L144" s="216"/>
      <c r="M144" s="216"/>
      <c r="N144" s="216"/>
      <c r="O144" s="216"/>
      <c r="P144" s="216"/>
      <c r="Q144" s="216"/>
      <c r="R144" s="216"/>
      <c r="S144" s="216"/>
      <c r="T144" s="216"/>
      <c r="U144" s="216"/>
      <c r="V144" s="216"/>
      <c r="W144" s="216"/>
      <c r="X144" s="216"/>
      <c r="Y144" s="216"/>
      <c r="Z144" s="216"/>
      <c r="AA144" s="216"/>
      <c r="AB144" s="216"/>
      <c r="AC144" s="216"/>
      <c r="AD144" s="216"/>
      <c r="AE144" s="216"/>
      <c r="AF144" s="216"/>
      <c r="AG144" s="216"/>
      <c r="AH144" s="216"/>
      <c r="AI144" s="216"/>
      <c r="AJ144" s="216"/>
      <c r="AK144" s="216"/>
      <c r="AL144" s="216"/>
      <c r="AM144" s="216"/>
      <c r="AN144" s="216"/>
      <c r="AO144" s="216"/>
      <c r="AP144" s="216"/>
      <c r="AQ144" s="216"/>
      <c r="AR144" s="216"/>
      <c r="AS144" s="216"/>
      <c r="AT144" s="216"/>
      <c r="AU144" s="216"/>
      <c r="AV144" s="216"/>
      <c r="AW144" s="216"/>
      <c r="AX144" s="216"/>
    </row>
    <row r="145" spans="1:51" ht="13.5" thickBot="1" x14ac:dyDescent="0.25">
      <c r="A145" s="39"/>
      <c r="B145" s="39"/>
      <c r="C145" s="39"/>
      <c r="D145" s="39"/>
      <c r="E145" s="39"/>
      <c r="F145" s="39"/>
      <c r="G145" s="39"/>
      <c r="H145" s="39"/>
      <c r="I145" s="574"/>
      <c r="J145" s="574"/>
      <c r="K145" s="574"/>
      <c r="L145" s="574"/>
      <c r="M145" s="574"/>
      <c r="N145" s="574"/>
      <c r="O145" s="574"/>
      <c r="P145" s="574"/>
      <c r="Q145" s="574"/>
      <c r="R145" s="574"/>
      <c r="S145" s="574"/>
      <c r="T145" s="574"/>
      <c r="U145" s="574"/>
      <c r="V145" s="574"/>
      <c r="W145" s="574"/>
      <c r="X145" s="574"/>
      <c r="Y145" s="574"/>
      <c r="Z145" s="574"/>
      <c r="AA145" s="574"/>
      <c r="AB145" s="574"/>
      <c r="AC145" s="574"/>
      <c r="AD145" s="574"/>
      <c r="AE145" s="574"/>
      <c r="AF145" s="574"/>
      <c r="AG145" s="574"/>
      <c r="AH145" s="574"/>
      <c r="AI145" s="574"/>
      <c r="AJ145" s="574"/>
      <c r="AK145" s="574"/>
      <c r="AL145" s="574"/>
      <c r="AM145" s="574"/>
      <c r="AN145" s="574"/>
      <c r="AO145" s="574"/>
      <c r="AP145" s="574"/>
      <c r="AQ145" s="574"/>
      <c r="AR145" s="574"/>
      <c r="AS145" s="574"/>
      <c r="AT145" s="574"/>
      <c r="AU145" s="574"/>
      <c r="AV145" s="574"/>
      <c r="AW145" s="574"/>
      <c r="AX145" s="574"/>
      <c r="AY145" s="39"/>
    </row>
    <row r="146" spans="1:51" ht="13.5" thickTop="1" x14ac:dyDescent="0.2">
      <c r="A146" s="147" t="s">
        <v>3267</v>
      </c>
      <c r="B146" s="147"/>
      <c r="C146" s="147"/>
      <c r="D146" s="147"/>
      <c r="E146" s="577">
        <f>EventHistory!F18</f>
        <v>0</v>
      </c>
      <c r="F146" s="576"/>
      <c r="G146" s="576"/>
      <c r="H146" s="576"/>
      <c r="I146" s="576"/>
      <c r="J146" s="576"/>
      <c r="K146" s="147"/>
      <c r="L146" s="147" t="s">
        <v>3268</v>
      </c>
      <c r="M146" s="147"/>
      <c r="N146" s="147"/>
      <c r="O146" s="147"/>
      <c r="P146" s="575">
        <f>EventHistory!B18</f>
        <v>0</v>
      </c>
      <c r="Q146" s="575"/>
      <c r="R146" s="575"/>
      <c r="S146" s="575"/>
      <c r="T146" s="575"/>
      <c r="U146" s="575"/>
      <c r="V146" s="575"/>
      <c r="W146" s="575"/>
      <c r="X146" s="575"/>
      <c r="Y146" s="575"/>
      <c r="Z146" s="575"/>
      <c r="AA146" s="147" t="s">
        <v>3269</v>
      </c>
      <c r="AB146" s="147"/>
      <c r="AC146" s="147"/>
      <c r="AD146" s="147"/>
      <c r="AE146" s="147"/>
      <c r="AF146" s="577">
        <f>EventHistory!C18</f>
        <v>0</v>
      </c>
      <c r="AG146" s="576"/>
      <c r="AH146" s="576"/>
      <c r="AI146" s="576"/>
      <c r="AJ146" s="576"/>
      <c r="AK146" s="576"/>
      <c r="AL146" s="576"/>
      <c r="AM146" s="147"/>
      <c r="AN146" s="147" t="s">
        <v>3273</v>
      </c>
      <c r="AO146" s="147"/>
      <c r="AP146" s="147"/>
      <c r="AQ146" s="147"/>
      <c r="AR146" s="147"/>
      <c r="AS146" s="577" t="str">
        <f>_xlfn.CONCAT(IF(AND(EventHistory!L18="",EventHistory!M18="",EventHistory!K18=TRUE),"Next Visit Date",""),IF(AND(EventHistory!L18="",EventHistory!M18="",EventHistory!K18=FALSE),"Not Required",""),IF(EventHistory!L18="","",TEXT(EventHistory!L18,"mm/dd/yyyy")))</f>
        <v>Not Required</v>
      </c>
      <c r="AT146" s="577"/>
      <c r="AU146" s="577"/>
      <c r="AV146" s="577"/>
      <c r="AW146" s="577"/>
      <c r="AX146" s="577"/>
      <c r="AY146" s="147"/>
    </row>
    <row r="147" spans="1:51" x14ac:dyDescent="0.2">
      <c r="B147" t="s">
        <v>3272</v>
      </c>
      <c r="I147" s="295" t="str">
        <f>_xlfn.CONCAT(IF(EventHistory!B18="Fall","No Additional Specifics",""),IF(EventHistory!B18="Hospital - ER","Admission Date: "&amp;TEXT(EventHistory!O18,"mm/dd/yyyy")&amp;"  Discharge Date: "&amp;IF(EventHistory!P18="","Unknown at this time.",TEXT(EventHistory!P18,"mm/dd/yyyy")),""),IF(EventHistory!B18="Hospital - Admission","Admission Date: "&amp;TEXT(EventHistory!O18,"mm/dd/yyyy")&amp;"  Discharge Date: "&amp;IF(EventHistory!P18="","Unknown at this time.",TEXT(EventHistory!P18,"mm/dd/yyyy")),""),IF(EventHistory!B18="Rehab","Admission Date: "&amp;TEXT(EventHistory!O18,"mm/dd/yyyy")&amp;"  Discharge Date: "&amp;IF(EventHistory!P18="","Unknown at this time.",TEXT(EventHistory!P18,"mm/dd/yyyy")),""),IF(EventHistory!B18="Inpatient Procedure","Admission Date: "&amp;TEXT(EventHistory!O18,"mm/dd/yyyy")&amp;"  Discharge Date: "&amp;IF(EventHistory!P18="","Unknown at this time.",TEXT(EventHistory!P18,"mm/dd/yyyy")),""),IF(EventHistory!B18="Physician Appointment",EventHistory!D18&amp;" "&amp;EventHistory!Q18&amp;" for "&amp;EventHistory!U18&amp;". "&amp;IF(EventHistory!E18="No","No changes reported. ","Changes listed below in details."),""),IF(EventHistory!B18="Outpatient Procedure","No Additional Specifics",""),IF(EventHistory!B18="Illness/Urgent Care","No Additional Specifics",""),IF(EventHistory!B18="Event/Change (All others)","No Additional Specifics",""))</f>
        <v/>
      </c>
      <c r="J147" s="295"/>
      <c r="K147" s="295"/>
      <c r="L147" s="295"/>
      <c r="M147" s="295"/>
      <c r="N147" s="295"/>
      <c r="O147" s="295"/>
      <c r="P147" s="295"/>
      <c r="Q147" s="295"/>
      <c r="R147" s="295"/>
      <c r="S147" s="295"/>
      <c r="T147" s="295"/>
      <c r="U147" s="295"/>
      <c r="V147" s="295"/>
      <c r="W147" s="295"/>
      <c r="X147" s="295"/>
      <c r="Y147" s="295"/>
      <c r="Z147" s="295"/>
      <c r="AA147" s="295"/>
      <c r="AB147" s="295"/>
      <c r="AC147" s="295"/>
      <c r="AD147" s="295"/>
      <c r="AE147" s="295"/>
      <c r="AF147" s="295"/>
      <c r="AG147" s="295"/>
      <c r="AH147" s="295"/>
      <c r="AI147" s="295"/>
      <c r="AJ147" s="295"/>
      <c r="AK147" s="295"/>
      <c r="AL147" s="295"/>
      <c r="AM147" s="295"/>
      <c r="AN147" s="295"/>
      <c r="AO147" s="295"/>
      <c r="AP147" s="295"/>
      <c r="AQ147" s="295"/>
      <c r="AR147" s="295"/>
      <c r="AS147" s="295"/>
      <c r="AT147" s="295"/>
      <c r="AU147" s="295"/>
      <c r="AV147" s="295"/>
      <c r="AW147" s="295"/>
      <c r="AX147" s="295"/>
    </row>
    <row r="148" spans="1:51" x14ac:dyDescent="0.2">
      <c r="B148" t="s">
        <v>3270</v>
      </c>
      <c r="I148" s="216">
        <f>EventHistory!J18</f>
        <v>0</v>
      </c>
      <c r="J148" s="216"/>
      <c r="K148" s="216"/>
      <c r="L148" s="216"/>
      <c r="M148" s="216"/>
      <c r="N148" s="216"/>
      <c r="O148" s="216"/>
      <c r="P148" s="216"/>
      <c r="Q148" s="216"/>
      <c r="R148" s="216"/>
      <c r="S148" s="216"/>
      <c r="T148" s="216"/>
      <c r="U148" s="216"/>
      <c r="V148" s="216"/>
      <c r="W148" s="216"/>
      <c r="X148" s="216"/>
      <c r="Y148" s="216"/>
      <c r="Z148" s="216"/>
      <c r="AA148" s="216"/>
      <c r="AB148" s="216"/>
      <c r="AC148" s="216"/>
      <c r="AD148" s="216"/>
      <c r="AE148" s="216"/>
      <c r="AF148" s="216"/>
      <c r="AG148" s="216"/>
      <c r="AH148" s="216"/>
      <c r="AI148" s="216"/>
      <c r="AJ148" s="216"/>
      <c r="AK148" s="216"/>
      <c r="AL148" s="216"/>
      <c r="AM148" s="216"/>
      <c r="AN148" s="216"/>
      <c r="AO148" s="216"/>
      <c r="AP148" s="216"/>
      <c r="AQ148" s="216"/>
      <c r="AR148" s="216"/>
      <c r="AS148" s="216"/>
      <c r="AT148" s="216"/>
      <c r="AU148" s="216"/>
      <c r="AV148" s="216"/>
      <c r="AW148" s="216"/>
      <c r="AX148" s="216"/>
    </row>
    <row r="149" spans="1:51" x14ac:dyDescent="0.2">
      <c r="I149" s="216"/>
      <c r="J149" s="216"/>
      <c r="K149" s="216"/>
      <c r="L149" s="216"/>
      <c r="M149" s="216"/>
      <c r="N149" s="216"/>
      <c r="O149" s="216"/>
      <c r="P149" s="216"/>
      <c r="Q149" s="216"/>
      <c r="R149" s="216"/>
      <c r="S149" s="216"/>
      <c r="T149" s="216"/>
      <c r="U149" s="216"/>
      <c r="V149" s="216"/>
      <c r="W149" s="216"/>
      <c r="X149" s="216"/>
      <c r="Y149" s="216"/>
      <c r="Z149" s="216"/>
      <c r="AA149" s="216"/>
      <c r="AB149" s="216"/>
      <c r="AC149" s="216"/>
      <c r="AD149" s="216"/>
      <c r="AE149" s="216"/>
      <c r="AF149" s="216"/>
      <c r="AG149" s="216"/>
      <c r="AH149" s="216"/>
      <c r="AI149" s="216"/>
      <c r="AJ149" s="216"/>
      <c r="AK149" s="216"/>
      <c r="AL149" s="216"/>
      <c r="AM149" s="216"/>
      <c r="AN149" s="216"/>
      <c r="AO149" s="216"/>
      <c r="AP149" s="216"/>
      <c r="AQ149" s="216"/>
      <c r="AR149" s="216"/>
      <c r="AS149" s="216"/>
      <c r="AT149" s="216"/>
      <c r="AU149" s="216"/>
      <c r="AV149" s="216"/>
      <c r="AW149" s="216"/>
      <c r="AX149" s="216"/>
    </row>
    <row r="150" spans="1:51" x14ac:dyDescent="0.2">
      <c r="B150" t="s">
        <v>3271</v>
      </c>
      <c r="I150" s="216" t="str">
        <f>IF(AND(EventHistory!K18=FALSE,EventHistory!M18=""),"No follow up required","")&amp;IF(AND(EventHistory!K18=TRUE,EventHistory!M18=""),"Follow up will occur on next supervisory visit.","")&amp;IF(EventHistory!M18&lt;&gt;"",EventHistory!M18,"")</f>
        <v>No follow up required</v>
      </c>
      <c r="J150" s="216"/>
      <c r="K150" s="216"/>
      <c r="L150" s="216"/>
      <c r="M150" s="216"/>
      <c r="N150" s="216"/>
      <c r="O150" s="216"/>
      <c r="P150" s="216"/>
      <c r="Q150" s="216"/>
      <c r="R150" s="216"/>
      <c r="S150" s="216"/>
      <c r="T150" s="216"/>
      <c r="U150" s="216"/>
      <c r="V150" s="216"/>
      <c r="W150" s="216"/>
      <c r="X150" s="216"/>
      <c r="Y150" s="216"/>
      <c r="Z150" s="216"/>
      <c r="AA150" s="216"/>
      <c r="AB150" s="216"/>
      <c r="AC150" s="216"/>
      <c r="AD150" s="216"/>
      <c r="AE150" s="216"/>
      <c r="AF150" s="216"/>
      <c r="AG150" s="216"/>
      <c r="AH150" s="216"/>
      <c r="AI150" s="216"/>
      <c r="AJ150" s="216"/>
      <c r="AK150" s="216"/>
      <c r="AL150" s="216"/>
      <c r="AM150" s="216"/>
      <c r="AN150" s="216"/>
      <c r="AO150" s="216"/>
      <c r="AP150" s="216"/>
      <c r="AQ150" s="216"/>
      <c r="AR150" s="216"/>
      <c r="AS150" s="216"/>
      <c r="AT150" s="216"/>
      <c r="AU150" s="216"/>
      <c r="AV150" s="216"/>
      <c r="AW150" s="216"/>
      <c r="AX150" s="216"/>
    </row>
    <row r="151" spans="1:51" ht="13.5" thickBot="1" x14ac:dyDescent="0.25">
      <c r="A151" s="39"/>
      <c r="B151" s="39"/>
      <c r="C151" s="39"/>
      <c r="D151" s="39"/>
      <c r="E151" s="39"/>
      <c r="F151" s="39"/>
      <c r="G151" s="39"/>
      <c r="H151" s="39"/>
      <c r="I151" s="574"/>
      <c r="J151" s="574"/>
      <c r="K151" s="574"/>
      <c r="L151" s="574"/>
      <c r="M151" s="574"/>
      <c r="N151" s="574"/>
      <c r="O151" s="574"/>
      <c r="P151" s="574"/>
      <c r="Q151" s="574"/>
      <c r="R151" s="574"/>
      <c r="S151" s="574"/>
      <c r="T151" s="574"/>
      <c r="U151" s="574"/>
      <c r="V151" s="574"/>
      <c r="W151" s="574"/>
      <c r="X151" s="574"/>
      <c r="Y151" s="574"/>
      <c r="Z151" s="574"/>
      <c r="AA151" s="574"/>
      <c r="AB151" s="574"/>
      <c r="AC151" s="574"/>
      <c r="AD151" s="574"/>
      <c r="AE151" s="574"/>
      <c r="AF151" s="574"/>
      <c r="AG151" s="574"/>
      <c r="AH151" s="574"/>
      <c r="AI151" s="574"/>
      <c r="AJ151" s="574"/>
      <c r="AK151" s="574"/>
      <c r="AL151" s="574"/>
      <c r="AM151" s="574"/>
      <c r="AN151" s="574"/>
      <c r="AO151" s="574"/>
      <c r="AP151" s="574"/>
      <c r="AQ151" s="574"/>
      <c r="AR151" s="574"/>
      <c r="AS151" s="574"/>
      <c r="AT151" s="574"/>
      <c r="AU151" s="574"/>
      <c r="AV151" s="574"/>
      <c r="AW151" s="574"/>
      <c r="AX151" s="574"/>
      <c r="AY151" s="39"/>
    </row>
    <row r="152" spans="1:51" ht="9" customHeight="1" thickTop="1" x14ac:dyDescent="0.2">
      <c r="A152" s="147"/>
      <c r="B152" s="147"/>
      <c r="C152" s="147"/>
      <c r="D152" s="147"/>
      <c r="E152" s="147"/>
      <c r="F152" s="147"/>
      <c r="G152" s="147"/>
      <c r="H152" s="147"/>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49"/>
      <c r="AK152" s="149"/>
      <c r="AL152" s="149"/>
      <c r="AM152" s="149"/>
      <c r="AN152" s="149"/>
      <c r="AO152" s="149"/>
      <c r="AP152" s="149"/>
      <c r="AQ152" s="149"/>
      <c r="AR152" s="149"/>
      <c r="AS152" s="149"/>
      <c r="AT152" s="149"/>
      <c r="AU152" s="37"/>
      <c r="AV152" s="37"/>
      <c r="AW152" s="37"/>
      <c r="AX152" s="37"/>
    </row>
    <row r="153" spans="1:51" ht="13.5" thickBot="1" x14ac:dyDescent="0.25">
      <c r="A153" s="39" t="s">
        <v>336</v>
      </c>
      <c r="B153" s="39"/>
      <c r="C153" s="39"/>
      <c r="D153" s="39"/>
      <c r="E153" s="578" t="e">
        <f>_xlfn.CONCAT(#REF!,", ",#REF!," ",#REF!)</f>
        <v>#REF!</v>
      </c>
      <c r="F153" s="578"/>
      <c r="G153" s="578"/>
      <c r="H153" s="578"/>
      <c r="I153" s="578"/>
      <c r="J153" s="578"/>
      <c r="K153" s="578"/>
      <c r="L153" s="578"/>
      <c r="M153" s="578"/>
      <c r="N153" s="578"/>
      <c r="O153" s="578"/>
      <c r="P153" s="578"/>
      <c r="Q153" s="578"/>
      <c r="R153" s="578"/>
      <c r="S153" s="578"/>
      <c r="T153" s="39"/>
      <c r="U153" s="39"/>
      <c r="V153" s="39" t="s">
        <v>337</v>
      </c>
      <c r="W153" s="39"/>
      <c r="X153" s="39"/>
      <c r="Y153" s="39"/>
      <c r="Z153" s="39"/>
      <c r="AA153" s="579" t="e">
        <f>#REF!</f>
        <v>#REF!</v>
      </c>
      <c r="AB153" s="579"/>
      <c r="AC153" s="579"/>
      <c r="AD153" s="579"/>
      <c r="AE153" s="579"/>
      <c r="AF153" s="579"/>
      <c r="AG153" s="39"/>
      <c r="AH153" s="39"/>
      <c r="AI153" s="39" t="s">
        <v>582</v>
      </c>
      <c r="AJ153" s="39"/>
      <c r="AK153" s="39"/>
      <c r="AL153" s="39"/>
      <c r="AM153" s="39"/>
      <c r="AN153" s="579" t="e">
        <f>#REF!</f>
        <v>#REF!</v>
      </c>
      <c r="AO153" s="579"/>
      <c r="AP153" s="579"/>
      <c r="AQ153" s="579"/>
      <c r="AR153" s="579"/>
      <c r="AS153" s="579"/>
      <c r="AT153" s="579"/>
      <c r="AU153" s="37"/>
      <c r="AV153" s="37"/>
      <c r="AW153" s="37"/>
      <c r="AX153" s="37"/>
    </row>
    <row r="154" spans="1:51" ht="13.5" thickTop="1" x14ac:dyDescent="0.2">
      <c r="A154" t="s">
        <v>3267</v>
      </c>
      <c r="E154" s="218">
        <f>EventHistory!F19</f>
        <v>0</v>
      </c>
      <c r="F154" s="219"/>
      <c r="G154" s="219"/>
      <c r="H154" s="219"/>
      <c r="I154" s="219"/>
      <c r="J154" s="219"/>
      <c r="L154" t="s">
        <v>3268</v>
      </c>
      <c r="P154" s="576">
        <f>EventHistory!B19</f>
        <v>0</v>
      </c>
      <c r="Q154" s="576"/>
      <c r="R154" s="576"/>
      <c r="S154" s="576"/>
      <c r="T154" s="576"/>
      <c r="U154" s="576"/>
      <c r="V154" s="576"/>
      <c r="W154" s="576"/>
      <c r="X154" s="576"/>
      <c r="Y154" s="576"/>
      <c r="Z154" s="576"/>
      <c r="AA154" t="s">
        <v>3269</v>
      </c>
      <c r="AF154" s="218">
        <f>EventHistory!C19</f>
        <v>0</v>
      </c>
      <c r="AG154" s="219"/>
      <c r="AH154" s="219"/>
      <c r="AI154" s="219"/>
      <c r="AJ154" s="219"/>
      <c r="AK154" s="219"/>
      <c r="AL154" s="219"/>
      <c r="AN154" t="s">
        <v>3273</v>
      </c>
      <c r="AS154" s="576" t="str">
        <f>_xlfn.CONCAT(IF(AND(EventHistory!L19="",EventHistory!M19="",EventHistory!K19=TRUE),"Next Visit Date",""),IF(AND(EventHistory!L19="",EventHistory!M19="",EventHistory!K19=FALSE),"Not Required",""),IF(EventHistory!L19="","",TEXT(EventHistory!L19,"mm/dd/yyyy")))</f>
        <v>Not Required</v>
      </c>
      <c r="AT154" s="576"/>
      <c r="AU154" s="576"/>
      <c r="AV154" s="576"/>
      <c r="AW154" s="576"/>
      <c r="AX154" s="576"/>
    </row>
    <row r="155" spans="1:51" x14ac:dyDescent="0.2">
      <c r="B155" t="s">
        <v>3272</v>
      </c>
      <c r="I155" s="295" t="str">
        <f>_xlfn.CONCAT(IF(EventHistory!B19="Fall","No Additional Specifics",""),IF(EventHistory!B19="Hospital - ER","Admission Date: "&amp;TEXT(EventHistory!O19,"mm/dd/yyyy")&amp;"  Discharge Date: "&amp;IF(EventHistory!P19="","Unknown at this time.",TEXT(EventHistory!P19,"mm/dd/yyyy")),""),IF(EventHistory!B19="Hospital - Admission","Admission Date: "&amp;TEXT(EventHistory!O19,"mm/dd/yyyy")&amp;"  Discharge Date: "&amp;IF(EventHistory!P19="","Unknown at this time.",TEXT(EventHistory!P19,"mm/dd/yyyy")),""),IF(EventHistory!B19="Rehab","Admission Date: "&amp;TEXT(EventHistory!O19,"mm/dd/yyyy")&amp;"  Discharge Date: "&amp;IF(EventHistory!P19="","Unknown at this time.",TEXT(EventHistory!P19,"mm/dd/yyyy")),""),IF(EventHistory!B19="Inpatient Procedure","Admission Date: "&amp;TEXT(EventHistory!O19,"mm/dd/yyyy")&amp;"  Discharge Date: "&amp;IF(EventHistory!P19="","Unknown at this time.",TEXT(EventHistory!P19,"mm/dd/yyyy")),""),IF(EventHistory!B19="Physician Appointment",EventHistory!D19&amp;" "&amp;EventHistory!Q19&amp;" for "&amp;EventHistory!U19&amp;". "&amp;IF(EventHistory!E19="No","No changes reported. ","Changes listed below in details."),""),IF(EventHistory!B19="Outpatient Procedure","No Additional Specifics",""),IF(EventHistory!B19="Illness/Urgent Care","No Additional Specifics",""),IF(EventHistory!B19="Event/Change (All others)","No Additional Specifics",""))</f>
        <v/>
      </c>
      <c r="J155" s="295"/>
      <c r="K155" s="295"/>
      <c r="L155" s="295"/>
      <c r="M155" s="295"/>
      <c r="N155" s="295"/>
      <c r="O155" s="295"/>
      <c r="P155" s="295"/>
      <c r="Q155" s="295"/>
      <c r="R155" s="295"/>
      <c r="S155" s="295"/>
      <c r="T155" s="295"/>
      <c r="U155" s="295"/>
      <c r="V155" s="295"/>
      <c r="W155" s="295"/>
      <c r="X155" s="295"/>
      <c r="Y155" s="295"/>
      <c r="Z155" s="295"/>
      <c r="AA155" s="295"/>
      <c r="AB155" s="295"/>
      <c r="AC155" s="295"/>
      <c r="AD155" s="295"/>
      <c r="AE155" s="295"/>
      <c r="AF155" s="295"/>
      <c r="AG155" s="295"/>
      <c r="AH155" s="295"/>
      <c r="AI155" s="295"/>
      <c r="AJ155" s="295"/>
      <c r="AK155" s="295"/>
      <c r="AL155" s="295"/>
      <c r="AM155" s="295"/>
      <c r="AN155" s="295"/>
      <c r="AO155" s="295"/>
      <c r="AP155" s="295"/>
      <c r="AQ155" s="295"/>
      <c r="AR155" s="295"/>
      <c r="AS155" s="295"/>
      <c r="AT155" s="295"/>
      <c r="AU155" s="295"/>
      <c r="AV155" s="295"/>
      <c r="AW155" s="295"/>
      <c r="AX155" s="295"/>
    </row>
    <row r="156" spans="1:51" x14ac:dyDescent="0.2">
      <c r="B156" t="s">
        <v>3270</v>
      </c>
      <c r="I156" s="216">
        <f>EventHistory!J19</f>
        <v>0</v>
      </c>
      <c r="J156" s="216"/>
      <c r="K156" s="216"/>
      <c r="L156" s="216"/>
      <c r="M156" s="216"/>
      <c r="N156" s="216"/>
      <c r="O156" s="216"/>
      <c r="P156" s="216"/>
      <c r="Q156" s="216"/>
      <c r="R156" s="216"/>
      <c r="S156" s="216"/>
      <c r="T156" s="216"/>
      <c r="U156" s="216"/>
      <c r="V156" s="216"/>
      <c r="W156" s="216"/>
      <c r="X156" s="216"/>
      <c r="Y156" s="216"/>
      <c r="Z156" s="216"/>
      <c r="AA156" s="216"/>
      <c r="AB156" s="216"/>
      <c r="AC156" s="216"/>
      <c r="AD156" s="216"/>
      <c r="AE156" s="216"/>
      <c r="AF156" s="216"/>
      <c r="AG156" s="216"/>
      <c r="AH156" s="216"/>
      <c r="AI156" s="216"/>
      <c r="AJ156" s="216"/>
      <c r="AK156" s="216"/>
      <c r="AL156" s="216"/>
      <c r="AM156" s="216"/>
      <c r="AN156" s="216"/>
      <c r="AO156" s="216"/>
      <c r="AP156" s="216"/>
      <c r="AQ156" s="216"/>
      <c r="AR156" s="216"/>
      <c r="AS156" s="216"/>
      <c r="AT156" s="216"/>
      <c r="AU156" s="216"/>
      <c r="AV156" s="216"/>
      <c r="AW156" s="216"/>
      <c r="AX156" s="216"/>
    </row>
    <row r="157" spans="1:51" x14ac:dyDescent="0.2">
      <c r="I157" s="216"/>
      <c r="J157" s="216"/>
      <c r="K157" s="216"/>
      <c r="L157" s="216"/>
      <c r="M157" s="216"/>
      <c r="N157" s="216"/>
      <c r="O157" s="216"/>
      <c r="P157" s="216"/>
      <c r="Q157" s="216"/>
      <c r="R157" s="216"/>
      <c r="S157" s="216"/>
      <c r="T157" s="216"/>
      <c r="U157" s="216"/>
      <c r="V157" s="216"/>
      <c r="W157" s="216"/>
      <c r="X157" s="216"/>
      <c r="Y157" s="216"/>
      <c r="Z157" s="216"/>
      <c r="AA157" s="216"/>
      <c r="AB157" s="216"/>
      <c r="AC157" s="216"/>
      <c r="AD157" s="216"/>
      <c r="AE157" s="216"/>
      <c r="AF157" s="216"/>
      <c r="AG157" s="216"/>
      <c r="AH157" s="216"/>
      <c r="AI157" s="216"/>
      <c r="AJ157" s="216"/>
      <c r="AK157" s="216"/>
      <c r="AL157" s="216"/>
      <c r="AM157" s="216"/>
      <c r="AN157" s="216"/>
      <c r="AO157" s="216"/>
      <c r="AP157" s="216"/>
      <c r="AQ157" s="216"/>
      <c r="AR157" s="216"/>
      <c r="AS157" s="216"/>
      <c r="AT157" s="216"/>
      <c r="AU157" s="216"/>
      <c r="AV157" s="216"/>
      <c r="AW157" s="216"/>
      <c r="AX157" s="216"/>
    </row>
    <row r="158" spans="1:51" x14ac:dyDescent="0.2">
      <c r="B158" t="s">
        <v>3271</v>
      </c>
      <c r="I158" s="216" t="str">
        <f>IF(AND(EventHistory!K19=FALSE,EventHistory!M19=""),"No follow up required","")&amp;IF(AND(EventHistory!K19=TRUE,EventHistory!M19=""),"Follow up will occur on next supervisory visit.","")&amp;IF(EventHistory!M19&lt;&gt;"",EventHistory!M19,"")</f>
        <v>No follow up required</v>
      </c>
      <c r="J158" s="216"/>
      <c r="K158" s="216"/>
      <c r="L158" s="216"/>
      <c r="M158" s="216"/>
      <c r="N158" s="216"/>
      <c r="O158" s="216"/>
      <c r="P158" s="216"/>
      <c r="Q158" s="216"/>
      <c r="R158" s="216"/>
      <c r="S158" s="216"/>
      <c r="T158" s="216"/>
      <c r="U158" s="216"/>
      <c r="V158" s="216"/>
      <c r="W158" s="216"/>
      <c r="X158" s="216"/>
      <c r="Y158" s="216"/>
      <c r="Z158" s="216"/>
      <c r="AA158" s="216"/>
      <c r="AB158" s="216"/>
      <c r="AC158" s="216"/>
      <c r="AD158" s="216"/>
      <c r="AE158" s="216"/>
      <c r="AF158" s="216"/>
      <c r="AG158" s="216"/>
      <c r="AH158" s="216"/>
      <c r="AI158" s="216"/>
      <c r="AJ158" s="216"/>
      <c r="AK158" s="216"/>
      <c r="AL158" s="216"/>
      <c r="AM158" s="216"/>
      <c r="AN158" s="216"/>
      <c r="AO158" s="216"/>
      <c r="AP158" s="216"/>
      <c r="AQ158" s="216"/>
      <c r="AR158" s="216"/>
      <c r="AS158" s="216"/>
      <c r="AT158" s="216"/>
      <c r="AU158" s="216"/>
      <c r="AV158" s="216"/>
      <c r="AW158" s="216"/>
      <c r="AX158" s="216"/>
    </row>
    <row r="159" spans="1:51" ht="13.5" thickBot="1" x14ac:dyDescent="0.25">
      <c r="A159" s="39"/>
      <c r="B159" s="39"/>
      <c r="C159" s="39"/>
      <c r="D159" s="39"/>
      <c r="E159" s="39"/>
      <c r="F159" s="39"/>
      <c r="G159" s="39"/>
      <c r="H159" s="39"/>
      <c r="I159" s="574"/>
      <c r="J159" s="574"/>
      <c r="K159" s="574"/>
      <c r="L159" s="574"/>
      <c r="M159" s="574"/>
      <c r="N159" s="574"/>
      <c r="O159" s="574"/>
      <c r="P159" s="574"/>
      <c r="Q159" s="574"/>
      <c r="R159" s="574"/>
      <c r="S159" s="574"/>
      <c r="T159" s="574"/>
      <c r="U159" s="574"/>
      <c r="V159" s="574"/>
      <c r="W159" s="574"/>
      <c r="X159" s="574"/>
      <c r="Y159" s="574"/>
      <c r="Z159" s="574"/>
      <c r="AA159" s="574"/>
      <c r="AB159" s="574"/>
      <c r="AC159" s="574"/>
      <c r="AD159" s="574"/>
      <c r="AE159" s="574"/>
      <c r="AF159" s="574"/>
      <c r="AG159" s="574"/>
      <c r="AH159" s="574"/>
      <c r="AI159" s="574"/>
      <c r="AJ159" s="574"/>
      <c r="AK159" s="574"/>
      <c r="AL159" s="574"/>
      <c r="AM159" s="574"/>
      <c r="AN159" s="574"/>
      <c r="AO159" s="574"/>
      <c r="AP159" s="574"/>
      <c r="AQ159" s="574"/>
      <c r="AR159" s="574"/>
      <c r="AS159" s="574"/>
      <c r="AT159" s="574"/>
      <c r="AU159" s="574"/>
      <c r="AV159" s="574"/>
      <c r="AW159" s="574"/>
      <c r="AX159" s="574"/>
      <c r="AY159" s="39"/>
    </row>
    <row r="160" spans="1:51" ht="13.5" thickTop="1" x14ac:dyDescent="0.2">
      <c r="A160" t="s">
        <v>3267</v>
      </c>
      <c r="E160" s="218">
        <f>EventHistory!F20</f>
        <v>0</v>
      </c>
      <c r="F160" s="219"/>
      <c r="G160" s="219"/>
      <c r="H160" s="219"/>
      <c r="I160" s="219"/>
      <c r="J160" s="219"/>
      <c r="L160" t="s">
        <v>3268</v>
      </c>
      <c r="P160" s="575">
        <f>EventHistory!B20</f>
        <v>0</v>
      </c>
      <c r="Q160" s="575"/>
      <c r="R160" s="575"/>
      <c r="S160" s="575"/>
      <c r="T160" s="575"/>
      <c r="U160" s="575"/>
      <c r="V160" s="575"/>
      <c r="W160" s="575"/>
      <c r="X160" s="575"/>
      <c r="Y160" s="575"/>
      <c r="Z160" s="575"/>
      <c r="AA160" t="s">
        <v>3269</v>
      </c>
      <c r="AF160" s="218">
        <f>EventHistory!C20</f>
        <v>0</v>
      </c>
      <c r="AG160" s="219"/>
      <c r="AH160" s="219"/>
      <c r="AI160" s="219"/>
      <c r="AJ160" s="219"/>
      <c r="AK160" s="219"/>
      <c r="AL160" s="219"/>
      <c r="AN160" t="s">
        <v>3273</v>
      </c>
      <c r="AS160" s="576" t="str">
        <f>_xlfn.CONCAT(IF(AND(EventHistory!L20="",EventHistory!M20="",EventHistory!K20=TRUE),"Next Visit Date",""),IF(AND(EventHistory!L20="",EventHistory!M20="",EventHistory!K20=FALSE),"Not Required",""),IF(EventHistory!L20="","",TEXT(EventHistory!L20,"mm/dd/yyyy")))</f>
        <v>Not Required</v>
      </c>
      <c r="AT160" s="576"/>
      <c r="AU160" s="576"/>
      <c r="AV160" s="576"/>
      <c r="AW160" s="576"/>
      <c r="AX160" s="576"/>
    </row>
    <row r="161" spans="1:51" x14ac:dyDescent="0.2">
      <c r="B161" t="s">
        <v>3272</v>
      </c>
      <c r="I161" s="295" t="str">
        <f>_xlfn.CONCAT(IF(EventHistory!B20="Fall","No Additional Specifics",""),IF(EventHistory!B20="Hospital - ER","Admission Date: "&amp;TEXT(EventHistory!O20,"mm/dd/yyyy")&amp;"  Discharge Date: "&amp;IF(EventHistory!P20="","Unknown at this time.",TEXT(EventHistory!P20,"mm/dd/yyyy")),""),IF(EventHistory!B20="Hospital - Admission","Admission Date: "&amp;TEXT(EventHistory!O20,"mm/dd/yyyy")&amp;"  Discharge Date: "&amp;IF(EventHistory!P20="","Unknown at this time.",TEXT(EventHistory!P20,"mm/dd/yyyy")),""),IF(EventHistory!B20="Rehab","Admission Date: "&amp;TEXT(EventHistory!O20,"mm/dd/yyyy")&amp;"  Discharge Date: "&amp;IF(EventHistory!P20="","Unknown at this time.",TEXT(EventHistory!P20,"mm/dd/yyyy")),""),IF(EventHistory!B20="Inpatient Procedure","Admission Date: "&amp;TEXT(EventHistory!O20,"mm/dd/yyyy")&amp;"  Discharge Date: "&amp;IF(EventHistory!P20="","Unknown at this time.",TEXT(EventHistory!P20,"mm/dd/yyyy")),""),IF(EventHistory!B20="Physician Appointment",EventHistory!D20&amp;" "&amp;EventHistory!Q20&amp;" for "&amp;EventHistory!U20&amp;". "&amp;IF(EventHistory!E20="No","No changes reported. ","Changes listed below in details."),""),IF(EventHistory!B20="Outpatient Procedure","No Additional Specifics",""),IF(EventHistory!B20="Illness/Urgent Care","No Additional Specifics",""),IF(EventHistory!B20="Event/Change (All others)","No Additional Specifics",""))</f>
        <v/>
      </c>
      <c r="J161" s="295"/>
      <c r="K161" s="295"/>
      <c r="L161" s="295"/>
      <c r="M161" s="295"/>
      <c r="N161" s="295"/>
      <c r="O161" s="295"/>
      <c r="P161" s="295"/>
      <c r="Q161" s="295"/>
      <c r="R161" s="295"/>
      <c r="S161" s="295"/>
      <c r="T161" s="295"/>
      <c r="U161" s="295"/>
      <c r="V161" s="295"/>
      <c r="W161" s="295"/>
      <c r="X161" s="295"/>
      <c r="Y161" s="295"/>
      <c r="Z161" s="295"/>
      <c r="AA161" s="295"/>
      <c r="AB161" s="295"/>
      <c r="AC161" s="295"/>
      <c r="AD161" s="295"/>
      <c r="AE161" s="295"/>
      <c r="AF161" s="295"/>
      <c r="AG161" s="295"/>
      <c r="AH161" s="295"/>
      <c r="AI161" s="295"/>
      <c r="AJ161" s="295"/>
      <c r="AK161" s="295"/>
      <c r="AL161" s="295"/>
      <c r="AM161" s="295"/>
      <c r="AN161" s="295"/>
      <c r="AO161" s="295"/>
      <c r="AP161" s="295"/>
      <c r="AQ161" s="295"/>
      <c r="AR161" s="295"/>
      <c r="AS161" s="295"/>
      <c r="AT161" s="295"/>
      <c r="AU161" s="295"/>
      <c r="AV161" s="295"/>
      <c r="AW161" s="295"/>
      <c r="AX161" s="295"/>
    </row>
    <row r="162" spans="1:51" x14ac:dyDescent="0.2">
      <c r="B162" t="s">
        <v>3270</v>
      </c>
      <c r="I162" s="216">
        <f>EventHistory!J20</f>
        <v>0</v>
      </c>
      <c r="J162" s="216"/>
      <c r="K162" s="216"/>
      <c r="L162" s="216"/>
      <c r="M162" s="216"/>
      <c r="N162" s="216"/>
      <c r="O162" s="216"/>
      <c r="P162" s="216"/>
      <c r="Q162" s="216"/>
      <c r="R162" s="216"/>
      <c r="S162" s="216"/>
      <c r="T162" s="216"/>
      <c r="U162" s="216"/>
      <c r="V162" s="216"/>
      <c r="W162" s="216"/>
      <c r="X162" s="216"/>
      <c r="Y162" s="216"/>
      <c r="Z162" s="216"/>
      <c r="AA162" s="216"/>
      <c r="AB162" s="216"/>
      <c r="AC162" s="216"/>
      <c r="AD162" s="216"/>
      <c r="AE162" s="216"/>
      <c r="AF162" s="216"/>
      <c r="AG162" s="216"/>
      <c r="AH162" s="216"/>
      <c r="AI162" s="216"/>
      <c r="AJ162" s="216"/>
      <c r="AK162" s="216"/>
      <c r="AL162" s="216"/>
      <c r="AM162" s="216"/>
      <c r="AN162" s="216"/>
      <c r="AO162" s="216"/>
      <c r="AP162" s="216"/>
      <c r="AQ162" s="216"/>
      <c r="AR162" s="216"/>
      <c r="AS162" s="216"/>
      <c r="AT162" s="216"/>
      <c r="AU162" s="216"/>
      <c r="AV162" s="216"/>
      <c r="AW162" s="216"/>
      <c r="AX162" s="216"/>
    </row>
    <row r="163" spans="1:51" x14ac:dyDescent="0.2">
      <c r="I163" s="216"/>
      <c r="J163" s="216"/>
      <c r="K163" s="216"/>
      <c r="L163" s="216"/>
      <c r="M163" s="216"/>
      <c r="N163" s="216"/>
      <c r="O163" s="216"/>
      <c r="P163" s="216"/>
      <c r="Q163" s="216"/>
      <c r="R163" s="216"/>
      <c r="S163" s="216"/>
      <c r="T163" s="216"/>
      <c r="U163" s="216"/>
      <c r="V163" s="216"/>
      <c r="W163" s="216"/>
      <c r="X163" s="216"/>
      <c r="Y163" s="216"/>
      <c r="Z163" s="216"/>
      <c r="AA163" s="216"/>
      <c r="AB163" s="216"/>
      <c r="AC163" s="216"/>
      <c r="AD163" s="216"/>
      <c r="AE163" s="216"/>
      <c r="AF163" s="216"/>
      <c r="AG163" s="216"/>
      <c r="AH163" s="216"/>
      <c r="AI163" s="216"/>
      <c r="AJ163" s="216"/>
      <c r="AK163" s="216"/>
      <c r="AL163" s="216"/>
      <c r="AM163" s="216"/>
      <c r="AN163" s="216"/>
      <c r="AO163" s="216"/>
      <c r="AP163" s="216"/>
      <c r="AQ163" s="216"/>
      <c r="AR163" s="216"/>
      <c r="AS163" s="216"/>
      <c r="AT163" s="216"/>
      <c r="AU163" s="216"/>
      <c r="AV163" s="216"/>
      <c r="AW163" s="216"/>
      <c r="AX163" s="216"/>
    </row>
    <row r="164" spans="1:51" x14ac:dyDescent="0.2">
      <c r="B164" t="s">
        <v>3271</v>
      </c>
      <c r="I164" s="216" t="str">
        <f>IF(AND(EventHistory!K20=FALSE,EventHistory!M20=""),"No follow up required","")&amp;IF(AND(EventHistory!K20=TRUE,EventHistory!M20=""),"Follow up will occur on next supervisory visit.","")&amp;IF(EventHistory!M20&lt;&gt;"",EventHistory!M20,"")</f>
        <v>No follow up required</v>
      </c>
      <c r="J164" s="216"/>
      <c r="K164" s="216"/>
      <c r="L164" s="216"/>
      <c r="M164" s="216"/>
      <c r="N164" s="216"/>
      <c r="O164" s="216"/>
      <c r="P164" s="216"/>
      <c r="Q164" s="216"/>
      <c r="R164" s="216"/>
      <c r="S164" s="216"/>
      <c r="T164" s="216"/>
      <c r="U164" s="216"/>
      <c r="V164" s="216"/>
      <c r="W164" s="216"/>
      <c r="X164" s="216"/>
      <c r="Y164" s="216"/>
      <c r="Z164" s="216"/>
      <c r="AA164" s="216"/>
      <c r="AB164" s="216"/>
      <c r="AC164" s="216"/>
      <c r="AD164" s="216"/>
      <c r="AE164" s="216"/>
      <c r="AF164" s="216"/>
      <c r="AG164" s="216"/>
      <c r="AH164" s="216"/>
      <c r="AI164" s="216"/>
      <c r="AJ164" s="216"/>
      <c r="AK164" s="216"/>
      <c r="AL164" s="216"/>
      <c r="AM164" s="216"/>
      <c r="AN164" s="216"/>
      <c r="AO164" s="216"/>
      <c r="AP164" s="216"/>
      <c r="AQ164" s="216"/>
      <c r="AR164" s="216"/>
      <c r="AS164" s="216"/>
      <c r="AT164" s="216"/>
      <c r="AU164" s="216"/>
      <c r="AV164" s="216"/>
      <c r="AW164" s="216"/>
      <c r="AX164" s="216"/>
    </row>
    <row r="165" spans="1:51" ht="13.5" thickBot="1" x14ac:dyDescent="0.25">
      <c r="A165" s="39"/>
      <c r="B165" s="39"/>
      <c r="C165" s="39"/>
      <c r="D165" s="39"/>
      <c r="E165" s="39"/>
      <c r="F165" s="39"/>
      <c r="G165" s="39"/>
      <c r="H165" s="39"/>
      <c r="I165" s="574"/>
      <c r="J165" s="574"/>
      <c r="K165" s="574"/>
      <c r="L165" s="574"/>
      <c r="M165" s="574"/>
      <c r="N165" s="574"/>
      <c r="O165" s="574"/>
      <c r="P165" s="574"/>
      <c r="Q165" s="574"/>
      <c r="R165" s="574"/>
      <c r="S165" s="574"/>
      <c r="T165" s="574"/>
      <c r="U165" s="574"/>
      <c r="V165" s="574"/>
      <c r="W165" s="574"/>
      <c r="X165" s="574"/>
      <c r="Y165" s="574"/>
      <c r="Z165" s="574"/>
      <c r="AA165" s="574"/>
      <c r="AB165" s="574"/>
      <c r="AC165" s="574"/>
      <c r="AD165" s="574"/>
      <c r="AE165" s="574"/>
      <c r="AF165" s="574"/>
      <c r="AG165" s="574"/>
      <c r="AH165" s="574"/>
      <c r="AI165" s="574"/>
      <c r="AJ165" s="574"/>
      <c r="AK165" s="574"/>
      <c r="AL165" s="574"/>
      <c r="AM165" s="574"/>
      <c r="AN165" s="574"/>
      <c r="AO165" s="574"/>
      <c r="AP165" s="574"/>
      <c r="AQ165" s="574"/>
      <c r="AR165" s="574"/>
      <c r="AS165" s="574"/>
      <c r="AT165" s="574"/>
      <c r="AU165" s="574"/>
      <c r="AV165" s="574"/>
      <c r="AW165" s="574"/>
      <c r="AX165" s="574"/>
      <c r="AY165" s="39"/>
    </row>
    <row r="166" spans="1:51" ht="13.5" thickTop="1" x14ac:dyDescent="0.2">
      <c r="A166" t="s">
        <v>3267</v>
      </c>
      <c r="E166" s="218">
        <f>EventHistory!F21</f>
        <v>0</v>
      </c>
      <c r="F166" s="219"/>
      <c r="G166" s="219"/>
      <c r="H166" s="219"/>
      <c r="I166" s="219"/>
      <c r="J166" s="219"/>
      <c r="L166" t="s">
        <v>3268</v>
      </c>
      <c r="P166" s="576">
        <f>EventHistory!B21</f>
        <v>0</v>
      </c>
      <c r="Q166" s="576"/>
      <c r="R166" s="576"/>
      <c r="S166" s="576"/>
      <c r="T166" s="576"/>
      <c r="U166" s="576"/>
      <c r="V166" s="576"/>
      <c r="W166" s="576"/>
      <c r="X166" s="576"/>
      <c r="Y166" s="576"/>
      <c r="Z166" s="576"/>
      <c r="AA166" t="s">
        <v>3269</v>
      </c>
      <c r="AF166" s="218">
        <f>EventHistory!C21</f>
        <v>0</v>
      </c>
      <c r="AG166" s="219"/>
      <c r="AH166" s="219"/>
      <c r="AI166" s="219"/>
      <c r="AJ166" s="219"/>
      <c r="AK166" s="219"/>
      <c r="AL166" s="219"/>
      <c r="AN166" t="s">
        <v>3273</v>
      </c>
      <c r="AS166" s="577" t="str">
        <f>_xlfn.CONCAT(IF(AND(EventHistory!L21="",EventHistory!M21="",EventHistory!K21=TRUE),"Next Visit Date",""),IF(AND(EventHistory!L21="",EventHistory!M21="",EventHistory!K21=FALSE),"Not Required",""),IF(EventHistory!L21="","",TEXT(EventHistory!L21,"mm/dd/yyyy")))</f>
        <v>Not Required</v>
      </c>
      <c r="AT166" s="577"/>
      <c r="AU166" s="577"/>
      <c r="AV166" s="577"/>
      <c r="AW166" s="577"/>
      <c r="AX166" s="577"/>
    </row>
    <row r="167" spans="1:51" x14ac:dyDescent="0.2">
      <c r="B167" t="s">
        <v>3272</v>
      </c>
      <c r="I167" s="295" t="str">
        <f>_xlfn.CONCAT(IF(EventHistory!B21="Fall","No Additional Specifics",""),IF(EventHistory!B21="Hospital - ER","Admission Date: "&amp;TEXT(EventHistory!O21,"mm/dd/yyyy")&amp;"  Discharge Date: "&amp;IF(EventHistory!P21="","Unknown at this time.",TEXT(EventHistory!P21,"mm/dd/yyyy")),""),IF(EventHistory!B21="Hospital - Admission","Admission Date: "&amp;TEXT(EventHistory!O21,"mm/dd/yyyy")&amp;"  Discharge Date: "&amp;IF(EventHistory!P21="","Unknown at this time.",TEXT(EventHistory!P21,"mm/dd/yyyy")),""),IF(EventHistory!B21="Rehab","Admission Date: "&amp;TEXT(EventHistory!O21,"mm/dd/yyyy")&amp;"  Discharge Date: "&amp;IF(EventHistory!P21="","Unknown at this time.",TEXT(EventHistory!P21,"mm/dd/yyyy")),""),IF(EventHistory!B21="Inpatient Procedure","Admission Date: "&amp;TEXT(EventHistory!O21,"mm/dd/yyyy")&amp;"  Discharge Date: "&amp;IF(EventHistory!P21="","Unknown at this time.",TEXT(EventHistory!P21,"mm/dd/yyyy")),""),IF(EventHistory!B21="Physician Appointment",EventHistory!D21&amp;" "&amp;EventHistory!Q21&amp;" for "&amp;EventHistory!U21&amp;". "&amp;IF(EventHistory!E21="No","No changes reported. ","Changes listed below in details."),""),IF(EventHistory!B21="Outpatient Procedure","No Additional Specifics",""),IF(EventHistory!B21="Illness/Urgent Care","No Additional Specifics",""),IF(EventHistory!B21="Event/Change (All others)","No Additional Specifics",""))</f>
        <v/>
      </c>
      <c r="J167" s="295"/>
      <c r="K167" s="295"/>
      <c r="L167" s="295"/>
      <c r="M167" s="295"/>
      <c r="N167" s="295"/>
      <c r="O167" s="295"/>
      <c r="P167" s="295"/>
      <c r="Q167" s="295"/>
      <c r="R167" s="295"/>
      <c r="S167" s="295"/>
      <c r="T167" s="295"/>
      <c r="U167" s="295"/>
      <c r="V167" s="295"/>
      <c r="W167" s="295"/>
      <c r="X167" s="295"/>
      <c r="Y167" s="295"/>
      <c r="Z167" s="295"/>
      <c r="AA167" s="295"/>
      <c r="AB167" s="295"/>
      <c r="AC167" s="295"/>
      <c r="AD167" s="295"/>
      <c r="AE167" s="295"/>
      <c r="AF167" s="295"/>
      <c r="AG167" s="295"/>
      <c r="AH167" s="295"/>
      <c r="AI167" s="295"/>
      <c r="AJ167" s="295"/>
      <c r="AK167" s="295"/>
      <c r="AL167" s="295"/>
      <c r="AM167" s="295"/>
      <c r="AN167" s="295"/>
      <c r="AO167" s="295"/>
      <c r="AP167" s="295"/>
      <c r="AQ167" s="295"/>
      <c r="AR167" s="295"/>
      <c r="AS167" s="295"/>
      <c r="AT167" s="295"/>
      <c r="AU167" s="295"/>
      <c r="AV167" s="295"/>
      <c r="AW167" s="295"/>
      <c r="AX167" s="295"/>
    </row>
    <row r="168" spans="1:51" x14ac:dyDescent="0.2">
      <c r="B168" t="s">
        <v>3270</v>
      </c>
      <c r="I168" s="216">
        <f>EventHistory!J21</f>
        <v>0</v>
      </c>
      <c r="J168" s="216"/>
      <c r="K168" s="216"/>
      <c r="L168" s="216"/>
      <c r="M168" s="216"/>
      <c r="N168" s="216"/>
      <c r="O168" s="216"/>
      <c r="P168" s="216"/>
      <c r="Q168" s="216"/>
      <c r="R168" s="216"/>
      <c r="S168" s="216"/>
      <c r="T168" s="216"/>
      <c r="U168" s="216"/>
      <c r="V168" s="216"/>
      <c r="W168" s="216"/>
      <c r="X168" s="216"/>
      <c r="Y168" s="216"/>
      <c r="Z168" s="216"/>
      <c r="AA168" s="216"/>
      <c r="AB168" s="216"/>
      <c r="AC168" s="216"/>
      <c r="AD168" s="216"/>
      <c r="AE168" s="216"/>
      <c r="AF168" s="216"/>
      <c r="AG168" s="216"/>
      <c r="AH168" s="216"/>
      <c r="AI168" s="216"/>
      <c r="AJ168" s="216"/>
      <c r="AK168" s="216"/>
      <c r="AL168" s="216"/>
      <c r="AM168" s="216"/>
      <c r="AN168" s="216"/>
      <c r="AO168" s="216"/>
      <c r="AP168" s="216"/>
      <c r="AQ168" s="216"/>
      <c r="AR168" s="216"/>
      <c r="AS168" s="216"/>
      <c r="AT168" s="216"/>
      <c r="AU168" s="216"/>
      <c r="AV168" s="216"/>
      <c r="AW168" s="216"/>
      <c r="AX168" s="216"/>
    </row>
    <row r="169" spans="1:51" x14ac:dyDescent="0.2">
      <c r="I169" s="216"/>
      <c r="J169" s="216"/>
      <c r="K169" s="216"/>
      <c r="L169" s="216"/>
      <c r="M169" s="216"/>
      <c r="N169" s="216"/>
      <c r="O169" s="216"/>
      <c r="P169" s="216"/>
      <c r="Q169" s="216"/>
      <c r="R169" s="216"/>
      <c r="S169" s="216"/>
      <c r="T169" s="216"/>
      <c r="U169" s="216"/>
      <c r="V169" s="216"/>
      <c r="W169" s="216"/>
      <c r="X169" s="216"/>
      <c r="Y169" s="216"/>
      <c r="Z169" s="216"/>
      <c r="AA169" s="216"/>
      <c r="AB169" s="216"/>
      <c r="AC169" s="216"/>
      <c r="AD169" s="216"/>
      <c r="AE169" s="216"/>
      <c r="AF169" s="216"/>
      <c r="AG169" s="216"/>
      <c r="AH169" s="216"/>
      <c r="AI169" s="216"/>
      <c r="AJ169" s="216"/>
      <c r="AK169" s="216"/>
      <c r="AL169" s="216"/>
      <c r="AM169" s="216"/>
      <c r="AN169" s="216"/>
      <c r="AO169" s="216"/>
      <c r="AP169" s="216"/>
      <c r="AQ169" s="216"/>
      <c r="AR169" s="216"/>
      <c r="AS169" s="216"/>
      <c r="AT169" s="216"/>
      <c r="AU169" s="216"/>
      <c r="AV169" s="216"/>
      <c r="AW169" s="216"/>
      <c r="AX169" s="216"/>
    </row>
    <row r="170" spans="1:51" x14ac:dyDescent="0.2">
      <c r="B170" t="s">
        <v>3271</v>
      </c>
      <c r="I170" s="216" t="str">
        <f>IF(AND(EventHistory!K21=FALSE,EventHistory!M21=""),"No follow up required","")&amp;IF(AND(EventHistory!K21=TRUE,EventHistory!M21=""),"Follow up will occur on next supervisory visit.","")&amp;IF(EventHistory!M21&lt;&gt;"",EventHistory!M21,"")</f>
        <v>No follow up required</v>
      </c>
      <c r="J170" s="216"/>
      <c r="K170" s="216"/>
      <c r="L170" s="216"/>
      <c r="M170" s="216"/>
      <c r="N170" s="216"/>
      <c r="O170" s="216"/>
      <c r="P170" s="216"/>
      <c r="Q170" s="216"/>
      <c r="R170" s="216"/>
      <c r="S170" s="216"/>
      <c r="T170" s="216"/>
      <c r="U170" s="216"/>
      <c r="V170" s="216"/>
      <c r="W170" s="216"/>
      <c r="X170" s="216"/>
      <c r="Y170" s="216"/>
      <c r="Z170" s="216"/>
      <c r="AA170" s="216"/>
      <c r="AB170" s="216"/>
      <c r="AC170" s="216"/>
      <c r="AD170" s="216"/>
      <c r="AE170" s="216"/>
      <c r="AF170" s="216"/>
      <c r="AG170" s="216"/>
      <c r="AH170" s="216"/>
      <c r="AI170" s="216"/>
      <c r="AJ170" s="216"/>
      <c r="AK170" s="216"/>
      <c r="AL170" s="216"/>
      <c r="AM170" s="216"/>
      <c r="AN170" s="216"/>
      <c r="AO170" s="216"/>
      <c r="AP170" s="216"/>
      <c r="AQ170" s="216"/>
      <c r="AR170" s="216"/>
      <c r="AS170" s="216"/>
      <c r="AT170" s="216"/>
      <c r="AU170" s="216"/>
      <c r="AV170" s="216"/>
      <c r="AW170" s="216"/>
      <c r="AX170" s="216"/>
    </row>
    <row r="171" spans="1:51" ht="13.5" thickBot="1" x14ac:dyDescent="0.25">
      <c r="A171" s="39"/>
      <c r="B171" s="39"/>
      <c r="C171" s="39"/>
      <c r="D171" s="39"/>
      <c r="E171" s="39"/>
      <c r="F171" s="39"/>
      <c r="G171" s="39"/>
      <c r="H171" s="39"/>
      <c r="I171" s="574"/>
      <c r="J171" s="574"/>
      <c r="K171" s="574"/>
      <c r="L171" s="574"/>
      <c r="M171" s="574"/>
      <c r="N171" s="574"/>
      <c r="O171" s="574"/>
      <c r="P171" s="574"/>
      <c r="Q171" s="574"/>
      <c r="R171" s="574"/>
      <c r="S171" s="574"/>
      <c r="T171" s="574"/>
      <c r="U171" s="574"/>
      <c r="V171" s="574"/>
      <c r="W171" s="574"/>
      <c r="X171" s="574"/>
      <c r="Y171" s="574"/>
      <c r="Z171" s="574"/>
      <c r="AA171" s="574"/>
      <c r="AB171" s="574"/>
      <c r="AC171" s="574"/>
      <c r="AD171" s="574"/>
      <c r="AE171" s="574"/>
      <c r="AF171" s="574"/>
      <c r="AG171" s="574"/>
      <c r="AH171" s="574"/>
      <c r="AI171" s="574"/>
      <c r="AJ171" s="574"/>
      <c r="AK171" s="574"/>
      <c r="AL171" s="574"/>
      <c r="AM171" s="574"/>
      <c r="AN171" s="574"/>
      <c r="AO171" s="574"/>
      <c r="AP171" s="574"/>
      <c r="AQ171" s="574"/>
      <c r="AR171" s="574"/>
      <c r="AS171" s="574"/>
      <c r="AT171" s="574"/>
      <c r="AU171" s="574"/>
      <c r="AV171" s="574"/>
      <c r="AW171" s="574"/>
      <c r="AX171" s="574"/>
      <c r="AY171" s="39"/>
    </row>
    <row r="172" spans="1:51" ht="13.5" thickTop="1" x14ac:dyDescent="0.2">
      <c r="A172" t="s">
        <v>3267</v>
      </c>
      <c r="E172" s="218">
        <f>EventHistory!F22</f>
        <v>0</v>
      </c>
      <c r="F172" s="219"/>
      <c r="G172" s="219"/>
      <c r="H172" s="219"/>
      <c r="I172" s="219"/>
      <c r="J172" s="219"/>
      <c r="L172" t="s">
        <v>3268</v>
      </c>
      <c r="P172" s="576">
        <f>EventHistory!B22</f>
        <v>0</v>
      </c>
      <c r="Q172" s="576"/>
      <c r="R172" s="576"/>
      <c r="S172" s="576"/>
      <c r="T172" s="576"/>
      <c r="U172" s="576"/>
      <c r="V172" s="576"/>
      <c r="W172" s="576"/>
      <c r="X172" s="576"/>
      <c r="Y172" s="576"/>
      <c r="Z172" s="576"/>
      <c r="AA172" t="s">
        <v>3269</v>
      </c>
      <c r="AF172" s="218">
        <f>EventHistory!C22</f>
        <v>0</v>
      </c>
      <c r="AG172" s="219"/>
      <c r="AH172" s="219"/>
      <c r="AI172" s="219"/>
      <c r="AJ172" s="219"/>
      <c r="AK172" s="219"/>
      <c r="AL172" s="219"/>
      <c r="AN172" t="s">
        <v>3273</v>
      </c>
      <c r="AS172" s="577" t="str">
        <f>_xlfn.CONCAT(IF(AND(EventHistory!L22="",EventHistory!M22="",EventHistory!K22=TRUE),"Next Visit Date",""),IF(AND(EventHistory!L22="",EventHistory!M22="",EventHistory!K22=FALSE),"Not Required",""),IF(EventHistory!L22="","",TEXT(EventHistory!L22,"mm/dd/yyyy")))</f>
        <v>Not Required</v>
      </c>
      <c r="AT172" s="576"/>
      <c r="AU172" s="576"/>
      <c r="AV172" s="576"/>
      <c r="AW172" s="576"/>
      <c r="AX172" s="576"/>
    </row>
    <row r="173" spans="1:51" x14ac:dyDescent="0.2">
      <c r="B173" t="s">
        <v>3272</v>
      </c>
      <c r="I173" s="295" t="str">
        <f>_xlfn.CONCAT(IF(EventHistory!B22="Fall","No Additional Specifics",""),IF(EventHistory!B22="Hospital - ER","Admission Date: "&amp;TEXT(EventHistory!O22,"mm/dd/yyyy")&amp;"  Discharge Date: "&amp;IF(EventHistory!P22="","Unknown at this time.",TEXT(EventHistory!P22,"mm/dd/yyyy")),""),IF(EventHistory!B22="Hospital - Admission","Admission Date: "&amp;TEXT(EventHistory!O22,"mm/dd/yyyy")&amp;"  Discharge Date: "&amp;IF(EventHistory!P22="","Unknown at this time.",TEXT(EventHistory!P22,"mm/dd/yyyy")),""),IF(EventHistory!B22="Rehab","Admission Date: "&amp;TEXT(EventHistory!O22,"mm/dd/yyyy")&amp;"  Discharge Date: "&amp;IF(EventHistory!P22="","Unknown at this time.",TEXT(EventHistory!P22,"mm/dd/yyyy")),""),IF(EventHistory!B22="Inpatient Procedure","Admission Date: "&amp;TEXT(EventHistory!O22,"mm/dd/yyyy")&amp;"  Discharge Date: "&amp;IF(EventHistory!P22="","Unknown at this time.",TEXT(EventHistory!P22,"mm/dd/yyyy")),""),IF(EventHistory!B22="Physician Appointment",EventHistory!D22&amp;" "&amp;EventHistory!Q22&amp;" for "&amp;EventHistory!U22&amp;". "&amp;IF(EventHistory!E22="No","No changes reported. ","Changes listed below in details."),""),IF(EventHistory!B22="Outpatient Procedure","No Additional Specifics",""),IF(EventHistory!B22="Illness/Urgent Care","No Additional Specifics",""),IF(EventHistory!B22="Event/Change (All others)","No Additional Specifics",""))</f>
        <v/>
      </c>
      <c r="J173" s="295"/>
      <c r="K173" s="295"/>
      <c r="L173" s="295"/>
      <c r="M173" s="295"/>
      <c r="N173" s="295"/>
      <c r="O173" s="295"/>
      <c r="P173" s="295"/>
      <c r="Q173" s="295"/>
      <c r="R173" s="295"/>
      <c r="S173" s="295"/>
      <c r="T173" s="295"/>
      <c r="U173" s="295"/>
      <c r="V173" s="295"/>
      <c r="W173" s="295"/>
      <c r="X173" s="295"/>
      <c r="Y173" s="295"/>
      <c r="Z173" s="295"/>
      <c r="AA173" s="295"/>
      <c r="AB173" s="295"/>
      <c r="AC173" s="295"/>
      <c r="AD173" s="295"/>
      <c r="AE173" s="295"/>
      <c r="AF173" s="295"/>
      <c r="AG173" s="295"/>
      <c r="AH173" s="295"/>
      <c r="AI173" s="295"/>
      <c r="AJ173" s="295"/>
      <c r="AK173" s="295"/>
      <c r="AL173" s="295"/>
      <c r="AM173" s="295"/>
      <c r="AN173" s="295"/>
      <c r="AO173" s="295"/>
      <c r="AP173" s="295"/>
      <c r="AQ173" s="295"/>
      <c r="AR173" s="295"/>
      <c r="AS173" s="295"/>
      <c r="AT173" s="295"/>
      <c r="AU173" s="295"/>
      <c r="AV173" s="295"/>
      <c r="AW173" s="295"/>
      <c r="AX173" s="295"/>
    </row>
    <row r="174" spans="1:51" x14ac:dyDescent="0.2">
      <c r="B174" t="s">
        <v>3270</v>
      </c>
      <c r="I174" s="216">
        <f>EventHistory!J22</f>
        <v>0</v>
      </c>
      <c r="J174" s="216"/>
      <c r="K174" s="216"/>
      <c r="L174" s="216"/>
      <c r="M174" s="216"/>
      <c r="N174" s="216"/>
      <c r="O174" s="216"/>
      <c r="P174" s="216"/>
      <c r="Q174" s="216"/>
      <c r="R174" s="216"/>
      <c r="S174" s="216"/>
      <c r="T174" s="216"/>
      <c r="U174" s="216"/>
      <c r="V174" s="216"/>
      <c r="W174" s="216"/>
      <c r="X174" s="216"/>
      <c r="Y174" s="216"/>
      <c r="Z174" s="216"/>
      <c r="AA174" s="216"/>
      <c r="AB174" s="216"/>
      <c r="AC174" s="216"/>
      <c r="AD174" s="216"/>
      <c r="AE174" s="216"/>
      <c r="AF174" s="216"/>
      <c r="AG174" s="216"/>
      <c r="AH174" s="216"/>
      <c r="AI174" s="216"/>
      <c r="AJ174" s="216"/>
      <c r="AK174" s="216"/>
      <c r="AL174" s="216"/>
      <c r="AM174" s="216"/>
      <c r="AN174" s="216"/>
      <c r="AO174" s="216"/>
      <c r="AP174" s="216"/>
      <c r="AQ174" s="216"/>
      <c r="AR174" s="216"/>
      <c r="AS174" s="216"/>
      <c r="AT174" s="216"/>
      <c r="AU174" s="216"/>
      <c r="AV174" s="216"/>
      <c r="AW174" s="216"/>
      <c r="AX174" s="216"/>
    </row>
    <row r="175" spans="1:51" x14ac:dyDescent="0.2">
      <c r="I175" s="216"/>
      <c r="J175" s="216"/>
      <c r="K175" s="216"/>
      <c r="L175" s="216"/>
      <c r="M175" s="216"/>
      <c r="N175" s="216"/>
      <c r="O175" s="216"/>
      <c r="P175" s="216"/>
      <c r="Q175" s="216"/>
      <c r="R175" s="216"/>
      <c r="S175" s="216"/>
      <c r="T175" s="216"/>
      <c r="U175" s="216"/>
      <c r="V175" s="216"/>
      <c r="W175" s="216"/>
      <c r="X175" s="216"/>
      <c r="Y175" s="216"/>
      <c r="Z175" s="216"/>
      <c r="AA175" s="216"/>
      <c r="AB175" s="216"/>
      <c r="AC175" s="216"/>
      <c r="AD175" s="216"/>
      <c r="AE175" s="216"/>
      <c r="AF175" s="216"/>
      <c r="AG175" s="216"/>
      <c r="AH175" s="216"/>
      <c r="AI175" s="216"/>
      <c r="AJ175" s="216"/>
      <c r="AK175" s="216"/>
      <c r="AL175" s="216"/>
      <c r="AM175" s="216"/>
      <c r="AN175" s="216"/>
      <c r="AO175" s="216"/>
      <c r="AP175" s="216"/>
      <c r="AQ175" s="216"/>
      <c r="AR175" s="216"/>
      <c r="AS175" s="216"/>
      <c r="AT175" s="216"/>
      <c r="AU175" s="216"/>
      <c r="AV175" s="216"/>
      <c r="AW175" s="216"/>
      <c r="AX175" s="216"/>
    </row>
    <row r="176" spans="1:51" x14ac:dyDescent="0.2">
      <c r="B176" t="s">
        <v>3271</v>
      </c>
      <c r="I176" s="216" t="str">
        <f>IF(AND(EventHistory!K22=FALSE,EventHistory!M22=""),"No follow up required","")&amp;IF(AND(EventHistory!K22=TRUE,EventHistory!M22=""),"Follow up will occur on next supervisory visit.","")&amp;IF(EventHistory!M22&lt;&gt;"",EventHistory!M22,"")</f>
        <v>No follow up required</v>
      </c>
      <c r="J176" s="216"/>
      <c r="K176" s="216"/>
      <c r="L176" s="216"/>
      <c r="M176" s="216"/>
      <c r="N176" s="216"/>
      <c r="O176" s="216"/>
      <c r="P176" s="216"/>
      <c r="Q176" s="216"/>
      <c r="R176" s="216"/>
      <c r="S176" s="216"/>
      <c r="T176" s="216"/>
      <c r="U176" s="216"/>
      <c r="V176" s="216"/>
      <c r="W176" s="216"/>
      <c r="X176" s="216"/>
      <c r="Y176" s="216"/>
      <c r="Z176" s="216"/>
      <c r="AA176" s="216"/>
      <c r="AB176" s="216"/>
      <c r="AC176" s="216"/>
      <c r="AD176" s="216"/>
      <c r="AE176" s="216"/>
      <c r="AF176" s="216"/>
      <c r="AG176" s="216"/>
      <c r="AH176" s="216"/>
      <c r="AI176" s="216"/>
      <c r="AJ176" s="216"/>
      <c r="AK176" s="216"/>
      <c r="AL176" s="216"/>
      <c r="AM176" s="216"/>
      <c r="AN176" s="216"/>
      <c r="AO176" s="216"/>
      <c r="AP176" s="216"/>
      <c r="AQ176" s="216"/>
      <c r="AR176" s="216"/>
      <c r="AS176" s="216"/>
      <c r="AT176" s="216"/>
      <c r="AU176" s="216"/>
      <c r="AV176" s="216"/>
      <c r="AW176" s="216"/>
      <c r="AX176" s="216"/>
    </row>
    <row r="177" spans="1:51" ht="13.5" thickBot="1" x14ac:dyDescent="0.25">
      <c r="A177" s="39"/>
      <c r="B177" s="39"/>
      <c r="C177" s="39"/>
      <c r="D177" s="39"/>
      <c r="E177" s="39"/>
      <c r="F177" s="39"/>
      <c r="G177" s="39"/>
      <c r="H177" s="39"/>
      <c r="I177" s="574"/>
      <c r="J177" s="574"/>
      <c r="K177" s="574"/>
      <c r="L177" s="574"/>
      <c r="M177" s="574"/>
      <c r="N177" s="574"/>
      <c r="O177" s="574"/>
      <c r="P177" s="574"/>
      <c r="Q177" s="574"/>
      <c r="R177" s="574"/>
      <c r="S177" s="574"/>
      <c r="T177" s="574"/>
      <c r="U177" s="574"/>
      <c r="V177" s="574"/>
      <c r="W177" s="574"/>
      <c r="X177" s="574"/>
      <c r="Y177" s="574"/>
      <c r="Z177" s="574"/>
      <c r="AA177" s="574"/>
      <c r="AB177" s="574"/>
      <c r="AC177" s="574"/>
      <c r="AD177" s="574"/>
      <c r="AE177" s="574"/>
      <c r="AF177" s="574"/>
      <c r="AG177" s="574"/>
      <c r="AH177" s="574"/>
      <c r="AI177" s="574"/>
      <c r="AJ177" s="574"/>
      <c r="AK177" s="574"/>
      <c r="AL177" s="574"/>
      <c r="AM177" s="574"/>
      <c r="AN177" s="574"/>
      <c r="AO177" s="574"/>
      <c r="AP177" s="574"/>
      <c r="AQ177" s="574"/>
      <c r="AR177" s="574"/>
      <c r="AS177" s="574"/>
      <c r="AT177" s="574"/>
      <c r="AU177" s="574"/>
      <c r="AV177" s="574"/>
      <c r="AW177" s="574"/>
      <c r="AX177" s="574"/>
      <c r="AY177" s="39"/>
    </row>
    <row r="178" spans="1:51" ht="13.5" thickTop="1" x14ac:dyDescent="0.2">
      <c r="A178" t="s">
        <v>3267</v>
      </c>
      <c r="E178" s="218">
        <f>EventHistory!F23</f>
        <v>0</v>
      </c>
      <c r="F178" s="219"/>
      <c r="G178" s="219"/>
      <c r="H178" s="219"/>
      <c r="I178" s="219"/>
      <c r="J178" s="219"/>
      <c r="L178" t="s">
        <v>3268</v>
      </c>
      <c r="P178" s="576">
        <f>EventHistory!B23</f>
        <v>0</v>
      </c>
      <c r="Q178" s="576"/>
      <c r="R178" s="576"/>
      <c r="S178" s="576"/>
      <c r="T178" s="576"/>
      <c r="U178" s="576"/>
      <c r="V178" s="576"/>
      <c r="W178" s="576"/>
      <c r="X178" s="576"/>
      <c r="Y178" s="576"/>
      <c r="Z178" s="576"/>
      <c r="AA178" t="s">
        <v>3269</v>
      </c>
      <c r="AF178" s="218">
        <f>EventHistory!C23</f>
        <v>0</v>
      </c>
      <c r="AG178" s="219"/>
      <c r="AH178" s="219"/>
      <c r="AI178" s="219"/>
      <c r="AJ178" s="219"/>
      <c r="AK178" s="219"/>
      <c r="AL178" s="219"/>
      <c r="AN178" t="s">
        <v>3273</v>
      </c>
      <c r="AS178" s="577" t="str">
        <f>_xlfn.CONCAT(IF(AND(EventHistory!L23="",EventHistory!M23="",EventHistory!K23=TRUE),"Next Visit Date",""),IF(AND(EventHistory!L23="",EventHistory!M23="",EventHistory!K23=FALSE),"Not Required",""),IF(EventHistory!L23="","",TEXT(EventHistory!L23,"mm/dd/yyyy")))</f>
        <v>Not Required</v>
      </c>
      <c r="AT178" s="576"/>
      <c r="AU178" s="576"/>
      <c r="AV178" s="576"/>
      <c r="AW178" s="576"/>
      <c r="AX178" s="576"/>
    </row>
    <row r="179" spans="1:51" x14ac:dyDescent="0.2">
      <c r="B179" t="s">
        <v>3272</v>
      </c>
      <c r="I179" s="295" t="str">
        <f>_xlfn.CONCAT(IF(EventHistory!B23="Fall","No Additional Specifics",""),IF(EventHistory!B23="Hospital - ER","Admission Date: "&amp;TEXT(EventHistory!O23,"mm/dd/yyyy")&amp;"  Discharge Date: "&amp;IF(EventHistory!P23="","Unknown at this time.",TEXT(EventHistory!P23,"mm/dd/yyyy")),""),IF(EventHistory!B23="Hospital - Admission","Admission Date: "&amp;TEXT(EventHistory!O23,"mm/dd/yyyy")&amp;"  Discharge Date: "&amp;IF(EventHistory!P23="","Unknown at this time.",TEXT(EventHistory!P23,"mm/dd/yyyy")),""),IF(EventHistory!B23="Rehab","Admission Date: "&amp;TEXT(EventHistory!O23,"mm/dd/yyyy")&amp;"  Discharge Date: "&amp;IF(EventHistory!P23="","Unknown at this time.",TEXT(EventHistory!P23,"mm/dd/yyyy")),""),IF(EventHistory!B23="Inpatient Procedure","Admission Date: "&amp;TEXT(EventHistory!O23,"mm/dd/yyyy")&amp;"  Discharge Date: "&amp;IF(EventHistory!P23="","Unknown at this time.",TEXT(EventHistory!P23,"mm/dd/yyyy")),""),IF(EventHistory!B23="Physician Appointment",EventHistory!D23&amp;" "&amp;EventHistory!Q23&amp;" for "&amp;EventHistory!U23&amp;". "&amp;IF(EventHistory!E23="No","No changes reported. ","Changes listed below in details."),""),IF(EventHistory!B23="Outpatient Procedure","No Additional Specifics",""),IF(EventHistory!B23="Illness/Urgent Care","No Additional Specifics",""),IF(EventHistory!B23="Event/Change (All others)","No Additional Specifics",""))</f>
        <v/>
      </c>
      <c r="J179" s="295"/>
      <c r="K179" s="295"/>
      <c r="L179" s="295"/>
      <c r="M179" s="295"/>
      <c r="N179" s="295"/>
      <c r="O179" s="295"/>
      <c r="P179" s="295"/>
      <c r="Q179" s="295"/>
      <c r="R179" s="295"/>
      <c r="S179" s="295"/>
      <c r="T179" s="295"/>
      <c r="U179" s="295"/>
      <c r="V179" s="295"/>
      <c r="W179" s="295"/>
      <c r="X179" s="295"/>
      <c r="Y179" s="295"/>
      <c r="Z179" s="295"/>
      <c r="AA179" s="295"/>
      <c r="AB179" s="295"/>
      <c r="AC179" s="295"/>
      <c r="AD179" s="295"/>
      <c r="AE179" s="295"/>
      <c r="AF179" s="295"/>
      <c r="AG179" s="295"/>
      <c r="AH179" s="295"/>
      <c r="AI179" s="295"/>
      <c r="AJ179" s="295"/>
      <c r="AK179" s="295"/>
      <c r="AL179" s="295"/>
      <c r="AM179" s="295"/>
      <c r="AN179" s="295"/>
      <c r="AO179" s="295"/>
      <c r="AP179" s="295"/>
      <c r="AQ179" s="295"/>
      <c r="AR179" s="295"/>
      <c r="AS179" s="295"/>
      <c r="AT179" s="295"/>
      <c r="AU179" s="295"/>
      <c r="AV179" s="295"/>
      <c r="AW179" s="295"/>
      <c r="AX179" s="295"/>
    </row>
    <row r="180" spans="1:51" x14ac:dyDescent="0.2">
      <c r="B180" t="s">
        <v>3270</v>
      </c>
      <c r="I180" s="216">
        <f>EventHistory!J23</f>
        <v>0</v>
      </c>
      <c r="J180" s="216"/>
      <c r="K180" s="216"/>
      <c r="L180" s="216"/>
      <c r="M180" s="216"/>
      <c r="N180" s="216"/>
      <c r="O180" s="216"/>
      <c r="P180" s="216"/>
      <c r="Q180" s="216"/>
      <c r="R180" s="216"/>
      <c r="S180" s="216"/>
      <c r="T180" s="216"/>
      <c r="U180" s="216"/>
      <c r="V180" s="216"/>
      <c r="W180" s="216"/>
      <c r="X180" s="216"/>
      <c r="Y180" s="216"/>
      <c r="Z180" s="216"/>
      <c r="AA180" s="216"/>
      <c r="AB180" s="216"/>
      <c r="AC180" s="216"/>
      <c r="AD180" s="216"/>
      <c r="AE180" s="216"/>
      <c r="AF180" s="216"/>
      <c r="AG180" s="216"/>
      <c r="AH180" s="216"/>
      <c r="AI180" s="216"/>
      <c r="AJ180" s="216"/>
      <c r="AK180" s="216"/>
      <c r="AL180" s="216"/>
      <c r="AM180" s="216"/>
      <c r="AN180" s="216"/>
      <c r="AO180" s="216"/>
      <c r="AP180" s="216"/>
      <c r="AQ180" s="216"/>
      <c r="AR180" s="216"/>
      <c r="AS180" s="216"/>
      <c r="AT180" s="216"/>
      <c r="AU180" s="216"/>
      <c r="AV180" s="216"/>
      <c r="AW180" s="216"/>
      <c r="AX180" s="216"/>
    </row>
    <row r="181" spans="1:51" x14ac:dyDescent="0.2">
      <c r="I181" s="216"/>
      <c r="J181" s="216"/>
      <c r="K181" s="216"/>
      <c r="L181" s="216"/>
      <c r="M181" s="216"/>
      <c r="N181" s="216"/>
      <c r="O181" s="216"/>
      <c r="P181" s="216"/>
      <c r="Q181" s="216"/>
      <c r="R181" s="216"/>
      <c r="S181" s="216"/>
      <c r="T181" s="216"/>
      <c r="U181" s="216"/>
      <c r="V181" s="216"/>
      <c r="W181" s="216"/>
      <c r="X181" s="216"/>
      <c r="Y181" s="216"/>
      <c r="Z181" s="216"/>
      <c r="AA181" s="216"/>
      <c r="AB181" s="216"/>
      <c r="AC181" s="216"/>
      <c r="AD181" s="216"/>
      <c r="AE181" s="216"/>
      <c r="AF181" s="216"/>
      <c r="AG181" s="216"/>
      <c r="AH181" s="216"/>
      <c r="AI181" s="216"/>
      <c r="AJ181" s="216"/>
      <c r="AK181" s="216"/>
      <c r="AL181" s="216"/>
      <c r="AM181" s="216"/>
      <c r="AN181" s="216"/>
      <c r="AO181" s="216"/>
      <c r="AP181" s="216"/>
      <c r="AQ181" s="216"/>
      <c r="AR181" s="216"/>
      <c r="AS181" s="216"/>
      <c r="AT181" s="216"/>
      <c r="AU181" s="216"/>
      <c r="AV181" s="216"/>
      <c r="AW181" s="216"/>
      <c r="AX181" s="216"/>
    </row>
    <row r="182" spans="1:51" x14ac:dyDescent="0.2">
      <c r="B182" t="s">
        <v>3271</v>
      </c>
      <c r="I182" s="216" t="str">
        <f>IF(AND(EventHistory!K23=FALSE,EventHistory!M23=""),"No follow up required","")&amp;IF(AND(EventHistory!K23=TRUE,EventHistory!M23=""),"Follow up will occur on next supervisory visit.","")&amp;IF(EventHistory!M23&lt;&gt;"",EventHistory!M23,"")</f>
        <v>No follow up required</v>
      </c>
      <c r="J182" s="216"/>
      <c r="K182" s="216"/>
      <c r="L182" s="216"/>
      <c r="M182" s="216"/>
      <c r="N182" s="216"/>
      <c r="O182" s="216"/>
      <c r="P182" s="216"/>
      <c r="Q182" s="216"/>
      <c r="R182" s="216"/>
      <c r="S182" s="216"/>
      <c r="T182" s="216"/>
      <c r="U182" s="216"/>
      <c r="V182" s="216"/>
      <c r="W182" s="216"/>
      <c r="X182" s="216"/>
      <c r="Y182" s="216"/>
      <c r="Z182" s="216"/>
      <c r="AA182" s="216"/>
      <c r="AB182" s="216"/>
      <c r="AC182" s="216"/>
      <c r="AD182" s="216"/>
      <c r="AE182" s="216"/>
      <c r="AF182" s="216"/>
      <c r="AG182" s="216"/>
      <c r="AH182" s="216"/>
      <c r="AI182" s="216"/>
      <c r="AJ182" s="216"/>
      <c r="AK182" s="216"/>
      <c r="AL182" s="216"/>
      <c r="AM182" s="216"/>
      <c r="AN182" s="216"/>
      <c r="AO182" s="216"/>
      <c r="AP182" s="216"/>
      <c r="AQ182" s="216"/>
      <c r="AR182" s="216"/>
      <c r="AS182" s="216"/>
      <c r="AT182" s="216"/>
      <c r="AU182" s="216"/>
      <c r="AV182" s="216"/>
      <c r="AW182" s="216"/>
      <c r="AX182" s="216"/>
    </row>
    <row r="183" spans="1:51" ht="13.5" thickBot="1" x14ac:dyDescent="0.25">
      <c r="A183" s="39"/>
      <c r="B183" s="39"/>
      <c r="C183" s="39"/>
      <c r="D183" s="39"/>
      <c r="E183" s="39"/>
      <c r="F183" s="39"/>
      <c r="G183" s="39"/>
      <c r="H183" s="39"/>
      <c r="I183" s="574"/>
      <c r="J183" s="574"/>
      <c r="K183" s="574"/>
      <c r="L183" s="574"/>
      <c r="M183" s="574"/>
      <c r="N183" s="574"/>
      <c r="O183" s="574"/>
      <c r="P183" s="574"/>
      <c r="Q183" s="574"/>
      <c r="R183" s="574"/>
      <c r="S183" s="574"/>
      <c r="T183" s="574"/>
      <c r="U183" s="574"/>
      <c r="V183" s="574"/>
      <c r="W183" s="574"/>
      <c r="X183" s="574"/>
      <c r="Y183" s="574"/>
      <c r="Z183" s="574"/>
      <c r="AA183" s="574"/>
      <c r="AB183" s="574"/>
      <c r="AC183" s="574"/>
      <c r="AD183" s="574"/>
      <c r="AE183" s="574"/>
      <c r="AF183" s="574"/>
      <c r="AG183" s="574"/>
      <c r="AH183" s="574"/>
      <c r="AI183" s="574"/>
      <c r="AJ183" s="574"/>
      <c r="AK183" s="574"/>
      <c r="AL183" s="574"/>
      <c r="AM183" s="574"/>
      <c r="AN183" s="574"/>
      <c r="AO183" s="574"/>
      <c r="AP183" s="574"/>
      <c r="AQ183" s="574"/>
      <c r="AR183" s="574"/>
      <c r="AS183" s="574"/>
      <c r="AT183" s="574"/>
      <c r="AU183" s="574"/>
      <c r="AV183" s="574"/>
      <c r="AW183" s="574"/>
      <c r="AX183" s="574"/>
      <c r="AY183" s="39"/>
    </row>
    <row r="184" spans="1:51" ht="13.5" thickTop="1" x14ac:dyDescent="0.2">
      <c r="A184" t="s">
        <v>3267</v>
      </c>
      <c r="E184" s="218">
        <f>EventHistory!F24</f>
        <v>0</v>
      </c>
      <c r="F184" s="219"/>
      <c r="G184" s="219"/>
      <c r="H184" s="219"/>
      <c r="I184" s="219"/>
      <c r="J184" s="219"/>
      <c r="L184" t="s">
        <v>3268</v>
      </c>
      <c r="P184" s="576">
        <f>EventHistory!B24</f>
        <v>0</v>
      </c>
      <c r="Q184" s="576"/>
      <c r="R184" s="576"/>
      <c r="S184" s="576"/>
      <c r="T184" s="576"/>
      <c r="U184" s="576"/>
      <c r="V184" s="576"/>
      <c r="W184" s="576"/>
      <c r="X184" s="576"/>
      <c r="Y184" s="576"/>
      <c r="Z184" s="576"/>
      <c r="AA184" t="s">
        <v>3269</v>
      </c>
      <c r="AF184" s="218">
        <f>EventHistory!C24</f>
        <v>0</v>
      </c>
      <c r="AG184" s="219"/>
      <c r="AH184" s="219"/>
      <c r="AI184" s="219"/>
      <c r="AJ184" s="219"/>
      <c r="AK184" s="219"/>
      <c r="AL184" s="219"/>
      <c r="AN184" t="s">
        <v>3273</v>
      </c>
      <c r="AS184" s="577" t="str">
        <f>_xlfn.CONCAT(IF(AND(EventHistory!L24="",EventHistory!M24="",EventHistory!K24=TRUE),"Next Visit Date",""),IF(AND(EventHistory!L24="",EventHistory!M24="",EventHistory!K24=FALSE),"Not Required",""),IF(EventHistory!L24="","",TEXT(EventHistory!L24,"mm/dd/yyyy")))</f>
        <v>Not Required</v>
      </c>
      <c r="AT184" s="576"/>
      <c r="AU184" s="576"/>
      <c r="AV184" s="576"/>
      <c r="AW184" s="576"/>
      <c r="AX184" s="576"/>
    </row>
    <row r="185" spans="1:51" x14ac:dyDescent="0.2">
      <c r="B185" t="s">
        <v>3272</v>
      </c>
      <c r="I185" s="295" t="str">
        <f>_xlfn.CONCAT(IF(EventHistory!B24="Fall","No Additional Specifics",""),IF(EventHistory!B24="Hospital - ER","Admission Date: "&amp;TEXT(EventHistory!O24,"mm/dd/yyyy")&amp;"  Discharge Date: "&amp;IF(EventHistory!P24="","Unknown at this time.",TEXT(EventHistory!P24,"mm/dd/yyyy")),""),IF(EventHistory!B24="Hospital - Admission","Admission Date: "&amp;TEXT(EventHistory!O24,"mm/dd/yyyy")&amp;"  Discharge Date: "&amp;IF(EventHistory!P24="","Unknown at this time.",TEXT(EventHistory!P24,"mm/dd/yyyy")),""),IF(EventHistory!B24="Rehab","Admission Date: "&amp;TEXT(EventHistory!O24,"mm/dd/yyyy")&amp;"  Discharge Date: "&amp;IF(EventHistory!P24="","Unknown at this time.",TEXT(EventHistory!P24,"mm/dd/yyyy")),""),IF(EventHistory!B24="Inpatient Procedure","Admission Date: "&amp;TEXT(EventHistory!O24,"mm/dd/yyyy")&amp;"  Discharge Date: "&amp;IF(EventHistory!P24="","Unknown at this time.",TEXT(EventHistory!P24,"mm/dd/yyyy")),""),IF(EventHistory!B24="Physician Appointment",EventHistory!D24&amp;" "&amp;EventHistory!Q24&amp;" for "&amp;EventHistory!U24&amp;". "&amp;IF(EventHistory!E24="No","No changes reported. ","Changes listed below in details."),""),IF(EventHistory!B24="Outpatient Procedure","No Additional Specifics",""),IF(EventHistory!B24="Illness/Urgent Care","No Additional Specifics",""),IF(EventHistory!B24="Event/Change (All others)","No Additional Specifics",""))</f>
        <v/>
      </c>
      <c r="J185" s="295"/>
      <c r="K185" s="295"/>
      <c r="L185" s="295"/>
      <c r="M185" s="295"/>
      <c r="N185" s="295"/>
      <c r="O185" s="295"/>
      <c r="P185" s="295"/>
      <c r="Q185" s="295"/>
      <c r="R185" s="295"/>
      <c r="S185" s="295"/>
      <c r="T185" s="295"/>
      <c r="U185" s="295"/>
      <c r="V185" s="295"/>
      <c r="W185" s="295"/>
      <c r="X185" s="295"/>
      <c r="Y185" s="295"/>
      <c r="Z185" s="295"/>
      <c r="AA185" s="295"/>
      <c r="AB185" s="295"/>
      <c r="AC185" s="295"/>
      <c r="AD185" s="295"/>
      <c r="AE185" s="295"/>
      <c r="AF185" s="295"/>
      <c r="AG185" s="295"/>
      <c r="AH185" s="295"/>
      <c r="AI185" s="295"/>
      <c r="AJ185" s="295"/>
      <c r="AK185" s="295"/>
      <c r="AL185" s="295"/>
      <c r="AM185" s="295"/>
      <c r="AN185" s="295"/>
      <c r="AO185" s="295"/>
      <c r="AP185" s="295"/>
      <c r="AQ185" s="295"/>
      <c r="AR185" s="295"/>
      <c r="AS185" s="295"/>
      <c r="AT185" s="295"/>
      <c r="AU185" s="295"/>
      <c r="AV185" s="295"/>
      <c r="AW185" s="295"/>
      <c r="AX185" s="295"/>
    </row>
    <row r="186" spans="1:51" x14ac:dyDescent="0.2">
      <c r="B186" t="s">
        <v>3270</v>
      </c>
      <c r="I186" s="216">
        <f>EventHistory!J24</f>
        <v>0</v>
      </c>
      <c r="J186" s="216"/>
      <c r="K186" s="216"/>
      <c r="L186" s="216"/>
      <c r="M186" s="216"/>
      <c r="N186" s="216"/>
      <c r="O186" s="216"/>
      <c r="P186" s="216"/>
      <c r="Q186" s="216"/>
      <c r="R186" s="216"/>
      <c r="S186" s="216"/>
      <c r="T186" s="216"/>
      <c r="U186" s="216"/>
      <c r="V186" s="216"/>
      <c r="W186" s="216"/>
      <c r="X186" s="216"/>
      <c r="Y186" s="216"/>
      <c r="Z186" s="216"/>
      <c r="AA186" s="216"/>
      <c r="AB186" s="216"/>
      <c r="AC186" s="216"/>
      <c r="AD186" s="216"/>
      <c r="AE186" s="216"/>
      <c r="AF186" s="216"/>
      <c r="AG186" s="216"/>
      <c r="AH186" s="216"/>
      <c r="AI186" s="216"/>
      <c r="AJ186" s="216"/>
      <c r="AK186" s="216"/>
      <c r="AL186" s="216"/>
      <c r="AM186" s="216"/>
      <c r="AN186" s="216"/>
      <c r="AO186" s="216"/>
      <c r="AP186" s="216"/>
      <c r="AQ186" s="216"/>
      <c r="AR186" s="216"/>
      <c r="AS186" s="216"/>
      <c r="AT186" s="216"/>
      <c r="AU186" s="216"/>
      <c r="AV186" s="216"/>
      <c r="AW186" s="216"/>
      <c r="AX186" s="216"/>
    </row>
    <row r="187" spans="1:51" x14ac:dyDescent="0.2">
      <c r="I187" s="216"/>
      <c r="J187" s="216"/>
      <c r="K187" s="216"/>
      <c r="L187" s="216"/>
      <c r="M187" s="216"/>
      <c r="N187" s="216"/>
      <c r="O187" s="216"/>
      <c r="P187" s="216"/>
      <c r="Q187" s="216"/>
      <c r="R187" s="216"/>
      <c r="S187" s="216"/>
      <c r="T187" s="216"/>
      <c r="U187" s="216"/>
      <c r="V187" s="216"/>
      <c r="W187" s="216"/>
      <c r="X187" s="216"/>
      <c r="Y187" s="216"/>
      <c r="Z187" s="216"/>
      <c r="AA187" s="216"/>
      <c r="AB187" s="216"/>
      <c r="AC187" s="216"/>
      <c r="AD187" s="216"/>
      <c r="AE187" s="216"/>
      <c r="AF187" s="216"/>
      <c r="AG187" s="216"/>
      <c r="AH187" s="216"/>
      <c r="AI187" s="216"/>
      <c r="AJ187" s="216"/>
      <c r="AK187" s="216"/>
      <c r="AL187" s="216"/>
      <c r="AM187" s="216"/>
      <c r="AN187" s="216"/>
      <c r="AO187" s="216"/>
      <c r="AP187" s="216"/>
      <c r="AQ187" s="216"/>
      <c r="AR187" s="216"/>
      <c r="AS187" s="216"/>
      <c r="AT187" s="216"/>
      <c r="AU187" s="216"/>
      <c r="AV187" s="216"/>
      <c r="AW187" s="216"/>
      <c r="AX187" s="216"/>
    </row>
    <row r="188" spans="1:51" x14ac:dyDescent="0.2">
      <c r="B188" t="s">
        <v>3271</v>
      </c>
      <c r="I188" s="216" t="str">
        <f>IF(AND(EventHistory!K24=FALSE,EventHistory!M24=""),"No follow up required","")&amp;IF(AND(EventHistory!K24=TRUE,EventHistory!M24=""),"Follow up will occur on next supervisory visit.","")&amp;IF(EventHistory!M24&lt;&gt;"",EventHistory!M24,"")</f>
        <v>No follow up required</v>
      </c>
      <c r="J188" s="216"/>
      <c r="K188" s="216"/>
      <c r="L188" s="216"/>
      <c r="M188" s="216"/>
      <c r="N188" s="216"/>
      <c r="O188" s="216"/>
      <c r="P188" s="216"/>
      <c r="Q188" s="216"/>
      <c r="R188" s="216"/>
      <c r="S188" s="216"/>
      <c r="T188" s="216"/>
      <c r="U188" s="216"/>
      <c r="V188" s="216"/>
      <c r="W188" s="216"/>
      <c r="X188" s="216"/>
      <c r="Y188" s="216"/>
      <c r="Z188" s="216"/>
      <c r="AA188" s="216"/>
      <c r="AB188" s="216"/>
      <c r="AC188" s="216"/>
      <c r="AD188" s="216"/>
      <c r="AE188" s="216"/>
      <c r="AF188" s="216"/>
      <c r="AG188" s="216"/>
      <c r="AH188" s="216"/>
      <c r="AI188" s="216"/>
      <c r="AJ188" s="216"/>
      <c r="AK188" s="216"/>
      <c r="AL188" s="216"/>
      <c r="AM188" s="216"/>
      <c r="AN188" s="216"/>
      <c r="AO188" s="216"/>
      <c r="AP188" s="216"/>
      <c r="AQ188" s="216"/>
      <c r="AR188" s="216"/>
      <c r="AS188" s="216"/>
      <c r="AT188" s="216"/>
      <c r="AU188" s="216"/>
      <c r="AV188" s="216"/>
      <c r="AW188" s="216"/>
      <c r="AX188" s="216"/>
    </row>
    <row r="189" spans="1:51" ht="13.5" thickBot="1" x14ac:dyDescent="0.25">
      <c r="A189" s="39"/>
      <c r="B189" s="39"/>
      <c r="C189" s="39"/>
      <c r="D189" s="39"/>
      <c r="E189" s="39"/>
      <c r="F189" s="39"/>
      <c r="G189" s="39"/>
      <c r="H189" s="39"/>
      <c r="I189" s="574"/>
      <c r="J189" s="574"/>
      <c r="K189" s="574"/>
      <c r="L189" s="574"/>
      <c r="M189" s="574"/>
      <c r="N189" s="574"/>
      <c r="O189" s="574"/>
      <c r="P189" s="574"/>
      <c r="Q189" s="574"/>
      <c r="R189" s="574"/>
      <c r="S189" s="574"/>
      <c r="T189" s="574"/>
      <c r="U189" s="574"/>
      <c r="V189" s="574"/>
      <c r="W189" s="574"/>
      <c r="X189" s="574"/>
      <c r="Y189" s="574"/>
      <c r="Z189" s="574"/>
      <c r="AA189" s="574"/>
      <c r="AB189" s="574"/>
      <c r="AC189" s="574"/>
      <c r="AD189" s="574"/>
      <c r="AE189" s="574"/>
      <c r="AF189" s="574"/>
      <c r="AG189" s="574"/>
      <c r="AH189" s="574"/>
      <c r="AI189" s="574"/>
      <c r="AJ189" s="574"/>
      <c r="AK189" s="574"/>
      <c r="AL189" s="574"/>
      <c r="AM189" s="574"/>
      <c r="AN189" s="574"/>
      <c r="AO189" s="574"/>
      <c r="AP189" s="574"/>
      <c r="AQ189" s="574"/>
      <c r="AR189" s="574"/>
      <c r="AS189" s="574"/>
      <c r="AT189" s="574"/>
      <c r="AU189" s="574"/>
      <c r="AV189" s="574"/>
      <c r="AW189" s="574"/>
      <c r="AX189" s="574"/>
      <c r="AY189" s="39"/>
    </row>
    <row r="190" spans="1:51" ht="13.5" thickTop="1" x14ac:dyDescent="0.2"/>
  </sheetData>
  <mergeCells count="225">
    <mergeCell ref="E184:J184"/>
    <mergeCell ref="P184:Z184"/>
    <mergeCell ref="AF184:AL184"/>
    <mergeCell ref="AS184:AX184"/>
    <mergeCell ref="I185:AX185"/>
    <mergeCell ref="I186:AX187"/>
    <mergeCell ref="I188:AX189"/>
    <mergeCell ref="I179:AX179"/>
    <mergeCell ref="I180:AX181"/>
    <mergeCell ref="I182:AX183"/>
    <mergeCell ref="I173:AX173"/>
    <mergeCell ref="I174:AX175"/>
    <mergeCell ref="I176:AX177"/>
    <mergeCell ref="E178:J178"/>
    <mergeCell ref="P178:Z178"/>
    <mergeCell ref="AF178:AL178"/>
    <mergeCell ref="AS178:AX178"/>
    <mergeCell ref="I167:AX167"/>
    <mergeCell ref="I168:AX169"/>
    <mergeCell ref="I170:AX171"/>
    <mergeCell ref="E172:J172"/>
    <mergeCell ref="P172:Z172"/>
    <mergeCell ref="AF172:AL172"/>
    <mergeCell ref="AS172:AX172"/>
    <mergeCell ref="I161:AX161"/>
    <mergeCell ref="I162:AX163"/>
    <mergeCell ref="I164:AX165"/>
    <mergeCell ref="E166:J166"/>
    <mergeCell ref="P166:Z166"/>
    <mergeCell ref="AF166:AL166"/>
    <mergeCell ref="AS166:AX166"/>
    <mergeCell ref="I155:AX155"/>
    <mergeCell ref="I156:AX157"/>
    <mergeCell ref="I158:AX159"/>
    <mergeCell ref="E160:J160"/>
    <mergeCell ref="P160:Z160"/>
    <mergeCell ref="AF160:AL160"/>
    <mergeCell ref="AS160:AX160"/>
    <mergeCell ref="I148:AX149"/>
    <mergeCell ref="I150:AX151"/>
    <mergeCell ref="E154:J154"/>
    <mergeCell ref="P154:Z154"/>
    <mergeCell ref="AF154:AL154"/>
    <mergeCell ref="AS154:AX154"/>
    <mergeCell ref="E153:S153"/>
    <mergeCell ref="AA153:AF153"/>
    <mergeCell ref="AN153:AT153"/>
    <mergeCell ref="E146:J146"/>
    <mergeCell ref="P146:Z146"/>
    <mergeCell ref="AF146:AL146"/>
    <mergeCell ref="AS146:AX146"/>
    <mergeCell ref="I147:AX147"/>
    <mergeCell ref="I141:AX141"/>
    <mergeCell ref="I142:AX143"/>
    <mergeCell ref="I144:AX145"/>
    <mergeCell ref="I135:AX135"/>
    <mergeCell ref="I136:AX137"/>
    <mergeCell ref="I138:AX139"/>
    <mergeCell ref="E140:J140"/>
    <mergeCell ref="P140:Z140"/>
    <mergeCell ref="AF140:AL140"/>
    <mergeCell ref="AS140:AX140"/>
    <mergeCell ref="I129:AX129"/>
    <mergeCell ref="I130:AX131"/>
    <mergeCell ref="I132:AX133"/>
    <mergeCell ref="E134:J134"/>
    <mergeCell ref="P134:Z134"/>
    <mergeCell ref="AF134:AL134"/>
    <mergeCell ref="AS134:AX134"/>
    <mergeCell ref="I123:AX123"/>
    <mergeCell ref="I124:AX125"/>
    <mergeCell ref="I126:AX127"/>
    <mergeCell ref="E128:J128"/>
    <mergeCell ref="P128:Z128"/>
    <mergeCell ref="AF128:AL128"/>
    <mergeCell ref="AS128:AX128"/>
    <mergeCell ref="I117:AX117"/>
    <mergeCell ref="I118:AX119"/>
    <mergeCell ref="I120:AX121"/>
    <mergeCell ref="E122:J122"/>
    <mergeCell ref="P122:Z122"/>
    <mergeCell ref="AF122:AL122"/>
    <mergeCell ref="AS122:AX122"/>
    <mergeCell ref="I110:AX111"/>
    <mergeCell ref="I112:AX113"/>
    <mergeCell ref="E116:J116"/>
    <mergeCell ref="P116:Z116"/>
    <mergeCell ref="AF116:AL116"/>
    <mergeCell ref="AS116:AX116"/>
    <mergeCell ref="E108:J108"/>
    <mergeCell ref="P108:Z108"/>
    <mergeCell ref="AF108:AL108"/>
    <mergeCell ref="AS108:AX108"/>
    <mergeCell ref="I109:AX109"/>
    <mergeCell ref="E115:S115"/>
    <mergeCell ref="AA115:AF115"/>
    <mergeCell ref="AN115:AT115"/>
    <mergeCell ref="I103:AX103"/>
    <mergeCell ref="I104:AX105"/>
    <mergeCell ref="I106:AX107"/>
    <mergeCell ref="I97:AX97"/>
    <mergeCell ref="I98:AX99"/>
    <mergeCell ref="I100:AX101"/>
    <mergeCell ref="E102:J102"/>
    <mergeCell ref="P102:Z102"/>
    <mergeCell ref="AF102:AL102"/>
    <mergeCell ref="AS102:AX102"/>
    <mergeCell ref="I91:AX91"/>
    <mergeCell ref="I92:AX93"/>
    <mergeCell ref="I94:AX95"/>
    <mergeCell ref="E96:J96"/>
    <mergeCell ref="P96:Z96"/>
    <mergeCell ref="AF96:AL96"/>
    <mergeCell ref="AS96:AX96"/>
    <mergeCell ref="I85:AX85"/>
    <mergeCell ref="I86:AX87"/>
    <mergeCell ref="I88:AX89"/>
    <mergeCell ref="E90:J90"/>
    <mergeCell ref="P90:Z90"/>
    <mergeCell ref="AF90:AL90"/>
    <mergeCell ref="AS90:AX90"/>
    <mergeCell ref="I79:AX79"/>
    <mergeCell ref="I80:AX81"/>
    <mergeCell ref="I82:AX83"/>
    <mergeCell ref="E84:J84"/>
    <mergeCell ref="P84:Z84"/>
    <mergeCell ref="AF84:AL84"/>
    <mergeCell ref="AS84:AX84"/>
    <mergeCell ref="I72:AX73"/>
    <mergeCell ref="I74:AX75"/>
    <mergeCell ref="E78:J78"/>
    <mergeCell ref="P78:Z78"/>
    <mergeCell ref="AF78:AL78"/>
    <mergeCell ref="AS78:AX78"/>
    <mergeCell ref="E77:S77"/>
    <mergeCell ref="AA77:AF77"/>
    <mergeCell ref="AN77:AT77"/>
    <mergeCell ref="E70:J70"/>
    <mergeCell ref="P70:Z70"/>
    <mergeCell ref="AF70:AL70"/>
    <mergeCell ref="AS70:AX70"/>
    <mergeCell ref="I71:AX71"/>
    <mergeCell ref="I65:AX65"/>
    <mergeCell ref="I66:AX67"/>
    <mergeCell ref="I68:AX69"/>
    <mergeCell ref="I59:AX59"/>
    <mergeCell ref="I60:AX61"/>
    <mergeCell ref="I62:AX63"/>
    <mergeCell ref="E64:J64"/>
    <mergeCell ref="P64:Z64"/>
    <mergeCell ref="AF64:AL64"/>
    <mergeCell ref="AS64:AX64"/>
    <mergeCell ref="I53:AX53"/>
    <mergeCell ref="I54:AX55"/>
    <mergeCell ref="I56:AX57"/>
    <mergeCell ref="E58:J58"/>
    <mergeCell ref="P58:Z58"/>
    <mergeCell ref="AF58:AL58"/>
    <mergeCell ref="AS58:AX58"/>
    <mergeCell ref="I47:AX47"/>
    <mergeCell ref="I48:AX49"/>
    <mergeCell ref="I50:AX51"/>
    <mergeCell ref="E52:J52"/>
    <mergeCell ref="P52:Z52"/>
    <mergeCell ref="AF52:AL52"/>
    <mergeCell ref="AS52:AX52"/>
    <mergeCell ref="I41:AX41"/>
    <mergeCell ref="I42:AX43"/>
    <mergeCell ref="I44:AX45"/>
    <mergeCell ref="E46:J46"/>
    <mergeCell ref="P46:Z46"/>
    <mergeCell ref="AF46:AL46"/>
    <mergeCell ref="AS46:AX46"/>
    <mergeCell ref="I33:AX33"/>
    <mergeCell ref="I34:AX35"/>
    <mergeCell ref="I36:AX37"/>
    <mergeCell ref="E40:J40"/>
    <mergeCell ref="P40:Z40"/>
    <mergeCell ref="AF40:AL40"/>
    <mergeCell ref="AS40:AX40"/>
    <mergeCell ref="E32:J32"/>
    <mergeCell ref="P32:Z32"/>
    <mergeCell ref="AF32:AL32"/>
    <mergeCell ref="AS32:AX32"/>
    <mergeCell ref="E39:S39"/>
    <mergeCell ref="AA39:AF39"/>
    <mergeCell ref="AN39:AT39"/>
    <mergeCell ref="E2:J2"/>
    <mergeCell ref="AF2:AL2"/>
    <mergeCell ref="I3:AX3"/>
    <mergeCell ref="E20:J20"/>
    <mergeCell ref="AF20:AL20"/>
    <mergeCell ref="AS20:AX20"/>
    <mergeCell ref="I4:AX5"/>
    <mergeCell ref="I6:AX7"/>
    <mergeCell ref="AS2:AX2"/>
    <mergeCell ref="E8:J8"/>
    <mergeCell ref="AF8:AL8"/>
    <mergeCell ref="I9:AX9"/>
    <mergeCell ref="I10:AX11"/>
    <mergeCell ref="I12:AX13"/>
    <mergeCell ref="AS8:AX8"/>
    <mergeCell ref="I21:AX21"/>
    <mergeCell ref="I22:AX23"/>
    <mergeCell ref="I28:AX29"/>
    <mergeCell ref="I30:AX31"/>
    <mergeCell ref="E1:S1"/>
    <mergeCell ref="AA1:AF1"/>
    <mergeCell ref="AN1:AT1"/>
    <mergeCell ref="P2:Z2"/>
    <mergeCell ref="P8:Z8"/>
    <mergeCell ref="P14:Z14"/>
    <mergeCell ref="P20:Z20"/>
    <mergeCell ref="I24:AX25"/>
    <mergeCell ref="E26:J26"/>
    <mergeCell ref="AF26:AL26"/>
    <mergeCell ref="AS26:AX26"/>
    <mergeCell ref="I27:AX27"/>
    <mergeCell ref="P26:Z26"/>
    <mergeCell ref="E14:J14"/>
    <mergeCell ref="AF14:AL14"/>
    <mergeCell ref="I15:AX15"/>
    <mergeCell ref="I16:AX17"/>
    <mergeCell ref="I18:AX19"/>
    <mergeCell ref="AS14:AX14"/>
  </mergeCells>
  <pageMargins left="0.25" right="0.25" top="0.75" bottom="0.75" header="0.3" footer="0.3"/>
  <pageSetup orientation="landscape" verticalDpi="1200" r:id="rId1"/>
  <headerFooter>
    <oddHeader>&amp;L&amp;G&amp;RClient Event History Log
See corresponding Supervisory Visits , Re-Evaluations or Progress Notes for Nurse Signatures.</oddHeader>
    <oddFooter>&amp;C3088 Mercer University Drive Suite 100 Atlanta, GA 30341
678-310-6305 Fax 404-935-6110</oddFooter>
  </headerFooter>
  <legacyDrawingHF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AD172B-1483-4831-AA11-154F4FF060B0}">
  <sheetPr codeName="Sheet47">
    <tabColor rgb="FFFFFF00"/>
  </sheetPr>
  <dimension ref="A1:AC37"/>
  <sheetViews>
    <sheetView workbookViewId="0">
      <selection activeCell="T5" sqref="T5:AC22"/>
    </sheetView>
  </sheetViews>
  <sheetFormatPr defaultRowHeight="12.75" x14ac:dyDescent="0.2"/>
  <sheetData>
    <row r="1" spans="1:29" x14ac:dyDescent="0.2">
      <c r="A1" s="163" t="str">
        <f>IF(AND(EventHistory!F2&gt;=Data!B1691,EventHistory!F2&lt;=Data!B1692),"** "&amp;TEXT(EventHistory!F2,"mm/dd/yyyy")&amp;" - "&amp;EventHistory!B2&amp;" Details: "&amp;EventHistory!J2&amp;" Follow Up: "&amp;IF(AND(EventHistory!K2=FALSE,EventHistory!M2=""),"No follow up required","")&amp;IF(AND(EventHistory!K2=TRUE,EventHistory!M2=""),"Follow up will occur on next supervisory visit.","")&amp;IF(EventHistory!M2&lt;&gt;"",EventHistory!M2,""),"")</f>
        <v>** 01/00/1900 -  Details:  Follow Up: No follow up required</v>
      </c>
      <c r="T1" s="195"/>
      <c r="U1" s="195"/>
      <c r="V1" s="195"/>
      <c r="W1" s="195"/>
      <c r="X1" s="195"/>
      <c r="Y1" s="195"/>
      <c r="Z1" s="195"/>
      <c r="AA1" s="195"/>
      <c r="AB1" s="195"/>
      <c r="AC1" s="195"/>
    </row>
    <row r="2" spans="1:29" x14ac:dyDescent="0.2">
      <c r="A2" s="163" t="str">
        <f>IF(AND(EventHistory!F3&gt;=Data!B1691,EventHistory!F3&lt;=Data!B1692),"** "&amp;TEXT(EventHistory!F3,"mm/dd/yyyy")&amp;" - "&amp;EventHistory!B3&amp;" Details: "&amp;EventHistory!J3&amp;" Follow Up: "&amp;IF(AND(EventHistory!K3=FALSE,EventHistory!M3=""),"No follow up required","")&amp;IF(AND(EventHistory!K3=TRUE,EventHistory!M3=""),"Follow up will occur on next supervisory visit.","")&amp;IF(EventHistory!M3&lt;&gt;"",EventHistory!M3,""),"")</f>
        <v>** 01/00/1900 -  Details:  Follow Up: No follow up required</v>
      </c>
      <c r="T2" s="195"/>
      <c r="U2" s="195"/>
      <c r="V2" s="195"/>
      <c r="W2" s="195"/>
      <c r="X2" s="195"/>
      <c r="Y2" s="195"/>
      <c r="Z2" s="195"/>
      <c r="AA2" s="195"/>
      <c r="AB2" s="195"/>
      <c r="AC2" s="195"/>
    </row>
    <row r="3" spans="1:29" x14ac:dyDescent="0.2">
      <c r="A3" s="163" t="str">
        <f>IF(AND(EventHistory!F4&gt;=Data!B1691,EventHistory!F4&lt;=Data!B1692),"** "&amp;TEXT(EventHistory!F4,"mm/dd/yyyy")&amp;" - "&amp;EventHistory!B4&amp;" Details: "&amp;EventHistory!J4&amp;" Follow Up: "&amp;IF(AND(EventHistory!K4=FALSE,EventHistory!M4=""),"No follow up required","")&amp;IF(AND(EventHistory!K4=TRUE,EventHistory!M4=""),"Follow up will occur on next supervisory visit.","")&amp;IF(EventHistory!M4&lt;&gt;"",EventHistory!M4,""),"")</f>
        <v>** 01/00/1900 -  Details:  Follow Up: No follow up required</v>
      </c>
      <c r="T3" s="195"/>
      <c r="U3" s="195"/>
      <c r="V3" s="195"/>
      <c r="W3" s="195"/>
      <c r="X3" s="195"/>
      <c r="Y3" s="195"/>
      <c r="Z3" s="195"/>
      <c r="AA3" s="195"/>
      <c r="AB3" s="195"/>
      <c r="AC3" s="195"/>
    </row>
    <row r="4" spans="1:29" x14ac:dyDescent="0.2">
      <c r="A4" s="163" t="str">
        <f>IF(AND(EventHistory!F5&gt;=Data!B1691,EventHistory!F5&lt;=Data!B1692),"** "&amp;TEXT(EventHistory!F5,"mm/dd/yyyy")&amp;" - "&amp;EventHistory!B5&amp;" Details: "&amp;EventHistory!J5&amp;" Follow Up: "&amp;IF(AND(EventHistory!K5=FALSE,EventHistory!M5=""),"No follow up required","")&amp;IF(AND(EventHistory!K5=TRUE,EventHistory!M5=""),"Follow up will occur on next supervisory visit.","")&amp;IF(EventHistory!M5&lt;&gt;"",EventHistory!M5,""),"")</f>
        <v>** 01/00/1900 -  Details:  Follow Up: No follow up required</v>
      </c>
      <c r="T4" s="195"/>
      <c r="U4" s="195"/>
      <c r="V4" s="195"/>
      <c r="W4" s="195"/>
      <c r="X4" s="195"/>
      <c r="Y4" s="195"/>
      <c r="Z4" s="195"/>
      <c r="AA4" s="195"/>
      <c r="AB4" s="195"/>
      <c r="AC4" s="195"/>
    </row>
    <row r="5" spans="1:29" x14ac:dyDescent="0.2">
      <c r="A5" s="163" t="str">
        <f>IF(AND(EventHistory!F6&gt;=Data!B1691,EventHistory!F6&lt;=Data!B1692),"** "&amp;TEXT(EventHistory!F6,"mm/dd/yyyy")&amp;" - "&amp;EventHistory!B6&amp;" Details: "&amp;EventHistory!J6&amp;" Follow Up: "&amp;IF(AND(EventHistory!K6=FALSE,EventHistory!M6=""),"No follow up required","")&amp;IF(AND(EventHistory!K6=TRUE,EventHistory!M6=""),"Follow up will occur on next supervisory visit.","")&amp;IF(EventHistory!M6&lt;&gt;"",EventHistory!M6,""),"")</f>
        <v>** 01/00/1900 -  Details:  Follow Up: No follow up required</v>
      </c>
      <c r="T5" s="216" t="str">
        <f>IF(A1&lt;&gt;"",A1&amp;CHAR(10),"")&amp;IF(A2&lt;&gt;"",A2&amp;CHAR(10),"")&amp;IF(A3&lt;&gt;"",A3&amp;CHAR(10),"")&amp;IF(A4&lt;&gt;"",A4&amp;CHAR(10),"")&amp;IF(A5&lt;&gt;"",A5&amp;CHAR(10),"")&amp;IF(A6&lt;&gt;"",A6&amp;CHAR(10),"")&amp;IF(A7&lt;&gt;"",A7&amp;CHAR(10),"")&amp;IF(A8&lt;&gt;"",A8&amp;CHAR(10),"")&amp;IF(A9&lt;&gt;"",A9&amp;CHAR(10),"")&amp;IF(A10&lt;&gt;"",A10&amp;CHAR(10),"")&amp;IF(A11&lt;&gt;"",A11&amp;CHAR(10),"")&amp;IF(A12&lt;&gt;"",A12&amp;CHAR(10),"")&amp;IF(A13&lt;&gt;"",A13&amp;CHAR(10)&amp;IF(A14&lt;&gt;"",A14&amp;CHAR(10),""),"")&amp;IF(A15&lt;&gt;"",A15&amp;CHAR(10),"")&amp;IF(A16&lt;&gt;"",A16&amp;CHAR(10),"")&amp;IF(A17&lt;&gt;"",A17&amp;CHAR(10),"")&amp;IF(A18&lt;&gt;"",A18&amp;CHAR(10),"")&amp;IF(A19&lt;&gt;"",A19&amp;CHAR(10),"")&amp;IF(A20&lt;&gt;"",A20&amp;CHAR(10),"")&amp;IF(A21&lt;&gt;"",A21&amp;CHAR(10),"")&amp;IF(A22&lt;&gt;"",A22&amp;CHAR(10),"")&amp;IF(A23&lt;&gt;"",A23&amp;CHAR(10),"")&amp;IF(A24&lt;&gt;"",A24&amp;CHAR(10),"")&amp;IF(A25&lt;&gt;"",A25&amp;CHAR(10),"")&amp;IF(A26&lt;&gt;"",A26&amp;CHAR(10),"")&amp;IF(A27&lt;&gt;"",A27&amp;CHAR(10),"")&amp;IF(A28&lt;&gt;"",A28&amp;CHAR(10),"")&amp;IF(A29&lt;&gt;"",A29&amp;CHAR(10),"")&amp;IF(A30&lt;&gt;"",A30&amp;CHAR(10),"")</f>
        <v xml:space="preserve">**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v>
      </c>
      <c r="U5" s="216"/>
      <c r="V5" s="216"/>
      <c r="W5" s="216"/>
      <c r="X5" s="216"/>
      <c r="Y5" s="216"/>
      <c r="Z5" s="216"/>
      <c r="AA5" s="216"/>
      <c r="AB5" s="216"/>
      <c r="AC5" s="216"/>
    </row>
    <row r="6" spans="1:29" x14ac:dyDescent="0.2">
      <c r="A6" s="163" t="str">
        <f>IF(AND(EventHistory!F7&gt;=Data!B1691,EventHistory!F7&lt;=Data!B1692),"** "&amp;TEXT(EventHistory!F7,"mm/dd/yyyy")&amp;" - "&amp;EventHistory!B7&amp;" Details: "&amp;EventHistory!J7&amp;" Follow Up: "&amp;IF(AND(EventHistory!K7=FALSE,EventHistory!M7=""),"No follow up required","")&amp;IF(AND(EventHistory!K7=TRUE,EventHistory!M7=""),"Follow up will occur on next supervisory visit.","")&amp;IF(EventHistory!M7&lt;&gt;"",EventHistory!M7,""),"")</f>
        <v>** 01/00/1900 -  Details:  Follow Up: No follow up required</v>
      </c>
      <c r="T6" s="216"/>
      <c r="U6" s="216"/>
      <c r="V6" s="216"/>
      <c r="W6" s="216"/>
      <c r="X6" s="216"/>
      <c r="Y6" s="216"/>
      <c r="Z6" s="216"/>
      <c r="AA6" s="216"/>
      <c r="AB6" s="216"/>
      <c r="AC6" s="216"/>
    </row>
    <row r="7" spans="1:29" x14ac:dyDescent="0.2">
      <c r="A7" s="163" t="str">
        <f>IF(AND(EventHistory!F8&gt;=Data!B1691,EventHistory!F8&lt;=Data!B1692),"** "&amp;TEXT(EventHistory!F8,"mm/dd/yyyy")&amp;" - "&amp;EventHistory!B8&amp;" Details: "&amp;EventHistory!J8&amp;" Follow Up: "&amp;IF(AND(EventHistory!K8=FALSE,EventHistory!M8=""),"No follow up required","")&amp;IF(AND(EventHistory!K8=TRUE,EventHistory!M8=""),"Follow up will occur on next supervisory visit.","")&amp;IF(EventHistory!M8&lt;&gt;"",EventHistory!M8,""),"")</f>
        <v>** 01/00/1900 -  Details:  Follow Up: No follow up required</v>
      </c>
      <c r="T7" s="216"/>
      <c r="U7" s="216"/>
      <c r="V7" s="216"/>
      <c r="W7" s="216"/>
      <c r="X7" s="216"/>
      <c r="Y7" s="216"/>
      <c r="Z7" s="216"/>
      <c r="AA7" s="216"/>
      <c r="AB7" s="216"/>
      <c r="AC7" s="216"/>
    </row>
    <row r="8" spans="1:29" x14ac:dyDescent="0.2">
      <c r="A8" s="163" t="str">
        <f>IF(AND(EventHistory!F9&gt;=Data!B1691,EventHistory!F9&lt;=Data!B1692),"** "&amp;TEXT(EventHistory!F9,"mm/dd/yyyy")&amp;" - "&amp;EventHistory!B9&amp;" Details: "&amp;EventHistory!J9&amp;" Follow Up: "&amp;IF(AND(EventHistory!K9=FALSE,EventHistory!M9=""),"No follow up required","")&amp;IF(AND(EventHistory!K9=TRUE,EventHistory!M9=""),"Follow up will occur on next supervisory visit.","")&amp;IF(EventHistory!M9&lt;&gt;"",EventHistory!M9,""),"")</f>
        <v>** 01/00/1900 -  Details:  Follow Up: No follow up required</v>
      </c>
      <c r="T8" s="216"/>
      <c r="U8" s="216"/>
      <c r="V8" s="216"/>
      <c r="W8" s="216"/>
      <c r="X8" s="216"/>
      <c r="Y8" s="216"/>
      <c r="Z8" s="216"/>
      <c r="AA8" s="216"/>
      <c r="AB8" s="216"/>
      <c r="AC8" s="216"/>
    </row>
    <row r="9" spans="1:29" x14ac:dyDescent="0.2">
      <c r="A9" s="163" t="str">
        <f>IF(AND(EventHistory!F10&gt;=Data!B1691,EventHistory!F10&lt;=Data!B1692),"** "&amp;TEXT(EventHistory!F10,"mm/dd/yyyy")&amp;" - "&amp;EventHistory!B10&amp;" Details: "&amp;EventHistory!J10&amp;" Follow Up: "&amp;IF(AND(EventHistory!K10=FALSE,EventHistory!M10=""),"No follow up required","")&amp;IF(AND(EventHistory!K10=TRUE,EventHistory!M10=""),"Follow up will occur on next supervisory visit.","")&amp;IF(EventHistory!M10&lt;&gt;"",EventHistory!M10,""),"")</f>
        <v>** 01/00/1900 -  Details:  Follow Up: No follow up required</v>
      </c>
      <c r="T9" s="216"/>
      <c r="U9" s="216"/>
      <c r="V9" s="216"/>
      <c r="W9" s="216"/>
      <c r="X9" s="216"/>
      <c r="Y9" s="216"/>
      <c r="Z9" s="216"/>
      <c r="AA9" s="216"/>
      <c r="AB9" s="216"/>
      <c r="AC9" s="216"/>
    </row>
    <row r="10" spans="1:29" x14ac:dyDescent="0.2">
      <c r="A10" s="163" t="str">
        <f>IF(AND(EventHistory!F11&gt;=Data!B1691,EventHistory!F11&lt;=Data!B1692),"** "&amp;TEXT(EventHistory!F11,"mm/dd/yyyy")&amp;" - "&amp;EventHistory!B11&amp;" Details: "&amp;EventHistory!J11&amp;" Follow Up: "&amp;IF(AND(EventHistory!K11=FALSE,EventHistory!M11=""),"No follow up required","")&amp;IF(AND(EventHistory!K11=TRUE,EventHistory!M11=""),"Follow up will occur on next supervisory visit.","")&amp;IF(EventHistory!M11&lt;&gt;"",EventHistory!M11,""),"")</f>
        <v>** 01/00/1900 -  Details:  Follow Up: No follow up required</v>
      </c>
      <c r="T10" s="216"/>
      <c r="U10" s="216"/>
      <c r="V10" s="216"/>
      <c r="W10" s="216"/>
      <c r="X10" s="216"/>
      <c r="Y10" s="216"/>
      <c r="Z10" s="216"/>
      <c r="AA10" s="216"/>
      <c r="AB10" s="216"/>
      <c r="AC10" s="216"/>
    </row>
    <row r="11" spans="1:29" x14ac:dyDescent="0.2">
      <c r="A11" s="163" t="str">
        <f>IF(AND(EventHistory!F12&gt;=Data!B1691,EventHistory!F12&lt;=Data!B1692),"** "&amp;TEXT(EventHistory!F12,"mm/dd/yyyy")&amp;" - "&amp;EventHistory!B12&amp;" Details: "&amp;EventHistory!J12&amp;" Follow Up: "&amp;IF(AND(EventHistory!K12=FALSE,EventHistory!M12=""),"No follow up required","")&amp;IF(AND(EventHistory!K12=TRUE,EventHistory!M12=""),"Follow up will occur on next supervisory visit.","")&amp;IF(EventHistory!M12&lt;&gt;"",EventHistory!M12,""),"")</f>
        <v>** 01/00/1900 -  Details:  Follow Up: No follow up required</v>
      </c>
      <c r="T11" s="216"/>
      <c r="U11" s="216"/>
      <c r="V11" s="216"/>
      <c r="W11" s="216"/>
      <c r="X11" s="216"/>
      <c r="Y11" s="216"/>
      <c r="Z11" s="216"/>
      <c r="AA11" s="216"/>
      <c r="AB11" s="216"/>
      <c r="AC11" s="216"/>
    </row>
    <row r="12" spans="1:29" x14ac:dyDescent="0.2">
      <c r="A12" s="163" t="str">
        <f>IF(AND(EventHistory!F13&gt;=Data!B1691,EventHistory!F13&lt;=Data!B1692),"** "&amp;TEXT(EventHistory!F13,"mm/dd/yyyy")&amp;" - "&amp;EventHistory!B13&amp;" Details: "&amp;EventHistory!J13&amp;" Follow Up: "&amp;IF(AND(EventHistory!K13=FALSE,EventHistory!M13=""),"No follow up required","")&amp;IF(AND(EventHistory!K13=TRUE,EventHistory!M13=""),"Follow up will occur on next supervisory visit.","")&amp;IF(EventHistory!M13&lt;&gt;"",EventHistory!M13,""),"")</f>
        <v>** 01/00/1900 -  Details:  Follow Up: No follow up required</v>
      </c>
      <c r="T12" s="216"/>
      <c r="U12" s="216"/>
      <c r="V12" s="216"/>
      <c r="W12" s="216"/>
      <c r="X12" s="216"/>
      <c r="Y12" s="216"/>
      <c r="Z12" s="216"/>
      <c r="AA12" s="216"/>
      <c r="AB12" s="216"/>
      <c r="AC12" s="216"/>
    </row>
    <row r="13" spans="1:29" x14ac:dyDescent="0.2">
      <c r="A13" s="163" t="str">
        <f>IF(AND(EventHistory!F14&gt;=Data!B1691,EventHistory!F14&lt;=Data!B1692),"** "&amp;TEXT(EventHistory!F14,"mm/dd/yyyy")&amp;" - "&amp;EventHistory!B14&amp;" Details: "&amp;EventHistory!J14&amp;" Follow Up: "&amp;IF(AND(EventHistory!K14=FALSE,EventHistory!M14=""),"No follow up required","")&amp;IF(AND(EventHistory!K14=TRUE,EventHistory!M14=""),"Follow up will occur on next supervisory visit.","")&amp;IF(EventHistory!M14&lt;&gt;"",EventHistory!M14,""),"")</f>
        <v>** 01/00/1900 -  Details:  Follow Up: No follow up required</v>
      </c>
      <c r="T13" s="216"/>
      <c r="U13" s="216"/>
      <c r="V13" s="216"/>
      <c r="W13" s="216"/>
      <c r="X13" s="216"/>
      <c r="Y13" s="216"/>
      <c r="Z13" s="216"/>
      <c r="AA13" s="216"/>
      <c r="AB13" s="216"/>
      <c r="AC13" s="216"/>
    </row>
    <row r="14" spans="1:29" x14ac:dyDescent="0.2">
      <c r="A14" s="163" t="str">
        <f>IF(AND(EventHistory!F15&gt;=Data!B1691,EventHistory!F15&lt;=Data!B1692),"** "&amp;TEXT(EventHistory!F15,"mm/dd/yyyy")&amp;" - "&amp;EventHistory!B15&amp;" Details: "&amp;EventHistory!J15&amp;" Follow Up: "&amp;IF(AND(EventHistory!K15=FALSE,EventHistory!M15=""),"No follow up required","")&amp;IF(AND(EventHistory!K15=TRUE,EventHistory!M15=""),"Follow up will occur on next supervisory visit.","")&amp;IF(EventHistory!M15&lt;&gt;"",EventHistory!M15,""),"")</f>
        <v>** 01/00/1900 -  Details:  Follow Up: No follow up required</v>
      </c>
      <c r="T14" s="216"/>
      <c r="U14" s="216"/>
      <c r="V14" s="216"/>
      <c r="W14" s="216"/>
      <c r="X14" s="216"/>
      <c r="Y14" s="216"/>
      <c r="Z14" s="216"/>
      <c r="AA14" s="216"/>
      <c r="AB14" s="216"/>
      <c r="AC14" s="216"/>
    </row>
    <row r="15" spans="1:29" x14ac:dyDescent="0.2">
      <c r="A15" s="163" t="str">
        <f>IF(AND(EventHistory!F16&gt;=Data!B1691,EventHistory!F16&lt;=Data!B1692),"** "&amp;TEXT(EventHistory!F16,"mm/dd/yyyy")&amp;" - "&amp;EventHistory!B16&amp;" Details: "&amp;EventHistory!J16&amp;" Follow Up: "&amp;IF(AND(EventHistory!K16=FALSE,EventHistory!M16=""),"No follow up required","")&amp;IF(AND(EventHistory!K16=TRUE,EventHistory!M16=""),"Follow up will occur on next supervisory visit.","")&amp;IF(EventHistory!M16&lt;&gt;"",EventHistory!M16,""),"")</f>
        <v>** 01/00/1900 -  Details:  Follow Up: No follow up required</v>
      </c>
      <c r="T15" s="216"/>
      <c r="U15" s="216"/>
      <c r="V15" s="216"/>
      <c r="W15" s="216"/>
      <c r="X15" s="216"/>
      <c r="Y15" s="216"/>
      <c r="Z15" s="216"/>
      <c r="AA15" s="216"/>
      <c r="AB15" s="216"/>
      <c r="AC15" s="216"/>
    </row>
    <row r="16" spans="1:29" x14ac:dyDescent="0.2">
      <c r="A16" s="163" t="str">
        <f>IF(AND(EventHistory!F17&gt;=Data!B1691,EventHistory!F17&lt;=Data!B1692),"** "&amp;TEXT(EventHistory!F17,"mm/dd/yyyy")&amp;" - "&amp;EventHistory!B17&amp;" Details: "&amp;EventHistory!J17&amp;" Follow Up: "&amp;IF(AND(EventHistory!K17=FALSE,EventHistory!M17=""),"No follow up required","")&amp;IF(AND(EventHistory!K17=TRUE,EventHistory!M17=""),"Follow up will occur on next supervisory visit.","")&amp;IF(EventHistory!M17&lt;&gt;"",EventHistory!M17,""),"")</f>
        <v>** 01/00/1900 -  Details:  Follow Up: No follow up required</v>
      </c>
      <c r="T16" s="216"/>
      <c r="U16" s="216"/>
      <c r="V16" s="216"/>
      <c r="W16" s="216"/>
      <c r="X16" s="216"/>
      <c r="Y16" s="216"/>
      <c r="Z16" s="216"/>
      <c r="AA16" s="216"/>
      <c r="AB16" s="216"/>
      <c r="AC16" s="216"/>
    </row>
    <row r="17" spans="1:29" x14ac:dyDescent="0.2">
      <c r="A17" s="163" t="str">
        <f>IF(AND(EventHistory!F18&gt;=Data!B1691,EventHistory!F18&lt;=Data!B1692),"** "&amp;TEXT(EventHistory!F18,"mm/dd/yyyy")&amp;" - "&amp;EventHistory!B18&amp;" Details: "&amp;EventHistory!J18&amp;" Follow Up: "&amp;IF(AND(EventHistory!K18=FALSE,EventHistory!M18=""),"No follow up required","")&amp;IF(AND(EventHistory!K18=TRUE,EventHistory!M18=""),"Follow up will occur on next supervisory visit.","")&amp;IF(EventHistory!M18&lt;&gt;"",EventHistory!M18,""),"")</f>
        <v>** 01/00/1900 -  Details:  Follow Up: No follow up required</v>
      </c>
      <c r="T17" s="216"/>
      <c r="U17" s="216"/>
      <c r="V17" s="216"/>
      <c r="W17" s="216"/>
      <c r="X17" s="216"/>
      <c r="Y17" s="216"/>
      <c r="Z17" s="216"/>
      <c r="AA17" s="216"/>
      <c r="AB17" s="216"/>
      <c r="AC17" s="216"/>
    </row>
    <row r="18" spans="1:29" x14ac:dyDescent="0.2">
      <c r="A18" s="163" t="str">
        <f>IF(AND(EventHistory!F19&gt;=Data!B1691,EventHistory!F19&lt;=Data!B1692),"** "&amp;TEXT(EventHistory!F19,"mm/dd/yyyy")&amp;" - "&amp;EventHistory!B19&amp;" Details: "&amp;EventHistory!J19&amp;" Follow Up: "&amp;IF(AND(EventHistory!K19=FALSE,EventHistory!M19=""),"No follow up required","")&amp;IF(AND(EventHistory!K19=TRUE,EventHistory!M19=""),"Follow up will occur on next supervisory visit.","")&amp;IF(EventHistory!M19&lt;&gt;"",EventHistory!M19,""),"")</f>
        <v>** 01/00/1900 -  Details:  Follow Up: No follow up required</v>
      </c>
      <c r="T18" s="216"/>
      <c r="U18" s="216"/>
      <c r="V18" s="216"/>
      <c r="W18" s="216"/>
      <c r="X18" s="216"/>
      <c r="Y18" s="216"/>
      <c r="Z18" s="216"/>
      <c r="AA18" s="216"/>
      <c r="AB18" s="216"/>
      <c r="AC18" s="216"/>
    </row>
    <row r="19" spans="1:29" x14ac:dyDescent="0.2">
      <c r="A19" s="163" t="str">
        <f>IF(AND(EventHistory!F20&gt;=Data!B1691,EventHistory!F20&lt;=Data!B1692),"** "&amp;TEXT(EventHistory!F20,"mm/dd/yyyy")&amp;" - "&amp;EventHistory!B20&amp;" Details: "&amp;EventHistory!J20&amp;" Follow Up: "&amp;IF(AND(EventHistory!K20=FALSE,EventHistory!M20=""),"No follow up required","")&amp;IF(AND(EventHistory!K20=TRUE,EventHistory!M20=""),"Follow up will occur on next supervisory visit.","")&amp;IF(EventHistory!M20&lt;&gt;"",EventHistory!M20,""),"")</f>
        <v>** 01/00/1900 -  Details:  Follow Up: No follow up required</v>
      </c>
      <c r="T19" s="216"/>
      <c r="U19" s="216"/>
      <c r="V19" s="216"/>
      <c r="W19" s="216"/>
      <c r="X19" s="216"/>
      <c r="Y19" s="216"/>
      <c r="Z19" s="216"/>
      <c r="AA19" s="216"/>
      <c r="AB19" s="216"/>
      <c r="AC19" s="216"/>
    </row>
    <row r="20" spans="1:29" x14ac:dyDescent="0.2">
      <c r="A20" s="163" t="str">
        <f>IF(AND(EventHistory!F21&gt;=Data!B1691,EventHistory!F21&lt;=Data!B1692),"** "&amp;TEXT(EventHistory!F21,"mm/dd/yyyy")&amp;" - "&amp;EventHistory!B21&amp;" Details: "&amp;EventHistory!J21&amp;" Follow Up: "&amp;IF(AND(EventHistory!K21=FALSE,EventHistory!M21=""),"No follow up required","")&amp;IF(AND(EventHistory!K21=TRUE,EventHistory!M21=""),"Follow up will occur on next supervisory visit.","")&amp;IF(EventHistory!M21&lt;&gt;"",EventHistory!M21,""),"")</f>
        <v>** 01/00/1900 -  Details:  Follow Up: No follow up required</v>
      </c>
      <c r="T20" s="216"/>
      <c r="U20" s="216"/>
      <c r="V20" s="216"/>
      <c r="W20" s="216"/>
      <c r="X20" s="216"/>
      <c r="Y20" s="216"/>
      <c r="Z20" s="216"/>
      <c r="AA20" s="216"/>
      <c r="AB20" s="216"/>
      <c r="AC20" s="216"/>
    </row>
    <row r="21" spans="1:29" x14ac:dyDescent="0.2">
      <c r="A21" s="163" t="str">
        <f>IF(AND(EventHistory!F22&gt;=Data!B1691,EventHistory!F22&lt;=Data!B1692),"** "&amp;TEXT(EventHistory!F22,"mm/dd/yyyy")&amp;" - "&amp;EventHistory!B22&amp;" Details: "&amp;EventHistory!J22&amp;" Follow Up: "&amp;IF(AND(EventHistory!K22=FALSE,EventHistory!M22=""),"No follow up required","")&amp;IF(AND(EventHistory!K22=TRUE,EventHistory!M22=""),"Follow up will occur on next supervisory visit.","")&amp;IF(EventHistory!M22&lt;&gt;"",EventHistory!M22,""),"")</f>
        <v>** 01/00/1900 -  Details:  Follow Up: No follow up required</v>
      </c>
      <c r="T21" s="216"/>
      <c r="U21" s="216"/>
      <c r="V21" s="216"/>
      <c r="W21" s="216"/>
      <c r="X21" s="216"/>
      <c r="Y21" s="216"/>
      <c r="Z21" s="216"/>
      <c r="AA21" s="216"/>
      <c r="AB21" s="216"/>
      <c r="AC21" s="216"/>
    </row>
    <row r="22" spans="1:29" x14ac:dyDescent="0.2">
      <c r="A22" s="163" t="str">
        <f>IF(AND(EventHistory!F23&gt;=Data!B1691,EventHistory!F23&lt;=Data!B1692),"** "&amp;TEXT(EventHistory!F23,"mm/dd/yyyy")&amp;" - "&amp;EventHistory!B23&amp;" Details: "&amp;EventHistory!J23&amp;" Follow Up: "&amp;IF(AND(EventHistory!K23=FALSE,EventHistory!M23=""),"No follow up required","")&amp;IF(AND(EventHistory!K23=TRUE,EventHistory!M23=""),"Follow up will occur on next supervisory visit.","")&amp;IF(EventHistory!M23&lt;&gt;"",EventHistory!M23,""),"")</f>
        <v>** 01/00/1900 -  Details:  Follow Up: No follow up required</v>
      </c>
      <c r="T22" s="216"/>
      <c r="U22" s="216"/>
      <c r="V22" s="216"/>
      <c r="W22" s="216"/>
      <c r="X22" s="216"/>
      <c r="Y22" s="216"/>
      <c r="Z22" s="216"/>
      <c r="AA22" s="216"/>
      <c r="AB22" s="216"/>
      <c r="AC22" s="216"/>
    </row>
    <row r="23" spans="1:29" x14ac:dyDescent="0.2">
      <c r="A23" s="163" t="str">
        <f>IF(AND(EventHistory!F24&gt;=Data!B1691,EventHistory!F24&lt;=Data!B1692),"** "&amp;TEXT(EventHistory!F24,"mm/dd/yyyy")&amp;" - "&amp;EventHistory!B24&amp;" Details: "&amp;EventHistory!J24&amp;" Follow Up: "&amp;IF(AND(EventHistory!K24=FALSE,EventHistory!M24=""),"No follow up required","")&amp;IF(AND(EventHistory!K24=TRUE,EventHistory!M24=""),"Follow up will occur on next supervisory visit.","")&amp;IF(EventHistory!M24&lt;&gt;"",EventHistory!M24,""),"")</f>
        <v>** 01/00/1900 -  Details:  Follow Up: No follow up required</v>
      </c>
    </row>
    <row r="24" spans="1:29" x14ac:dyDescent="0.2">
      <c r="A24" s="163" t="str">
        <f>IF(AND(EventHistory!F25&gt;=Data!B1691,EventHistory!F25&lt;=Data!B1692),"** "&amp;TEXT(EventHistory!F25,"mm/dd/yyyy")&amp;" - "&amp;EventHistory!B25&amp;" Details: "&amp;EventHistory!J25&amp;" Follow Up: "&amp;IF(AND(EventHistory!K25=FALSE,EventHistory!M25=""),"No follow up required","")&amp;IF(AND(EventHistory!K25=TRUE,EventHistory!M25=""),"Follow up will occur on next supervisory visit.","")&amp;IF(EventHistory!M25&lt;&gt;"",EventHistory!M25,""),"")</f>
        <v>** 01/00/1900 -  Details:  Follow Up: No follow up required</v>
      </c>
    </row>
    <row r="25" spans="1:29" x14ac:dyDescent="0.2">
      <c r="A25" s="163" t="str">
        <f>IF(AND(EventHistory!F26&gt;=Data!B1691,EventHistory!F26&lt;=Data!B1692),"** "&amp;TEXT(EventHistory!F26,"mm/dd/yyyy")&amp;" - "&amp;EventHistory!B26&amp;" Details: "&amp;EventHistory!J26&amp;" Follow Up: "&amp;IF(AND(EventHistory!K26=FALSE,EventHistory!M26=""),"No follow up required","")&amp;IF(AND(EventHistory!K26=TRUE,EventHistory!M26=""),"Follow up will occur on next supervisory visit.","")&amp;IF(EventHistory!M26&lt;&gt;"",EventHistory!M26,""),"")</f>
        <v>** 01/00/1900 -  Details:  Follow Up: No follow up required</v>
      </c>
    </row>
    <row r="26" spans="1:29" x14ac:dyDescent="0.2">
      <c r="A26" s="163" t="str">
        <f>IF(AND(EventHistory!F27&gt;=Data!B1691,EventHistory!F27&lt;=Data!B1692),"** "&amp;TEXT(EventHistory!F27,"mm/dd/yyyy")&amp;" - "&amp;EventHistory!B27&amp;" Details: "&amp;EventHistory!J27&amp;" Follow Up: "&amp;IF(AND(EventHistory!K27=FALSE,EventHistory!M27=""),"No follow up required","")&amp;IF(AND(EventHistory!K27=TRUE,EventHistory!M27=""),"Follow up will occur on next supervisory visit.","")&amp;IF(EventHistory!M27&lt;&gt;"",EventHistory!M27,""),"")</f>
        <v>** 01/00/1900 -  Details:  Follow Up: No follow up required</v>
      </c>
    </row>
    <row r="27" spans="1:29" x14ac:dyDescent="0.2">
      <c r="A27" s="163" t="str">
        <f>IF(AND(EventHistory!F28&gt;=Data!B1691,EventHistory!F28&lt;=Data!B1692),"** "&amp;TEXT(EventHistory!F28,"mm/dd/yyyy")&amp;" - "&amp;EventHistory!B28&amp;" Details: "&amp;EventHistory!J28&amp;" Follow Up: "&amp;IF(AND(EventHistory!K28=FALSE,EventHistory!M28=""),"No follow up required","")&amp;IF(AND(EventHistory!K28=TRUE,EventHistory!M28=""),"Follow up will occur on next supervisory visit.","")&amp;IF(EventHistory!M28&lt;&gt;"",EventHistory!M28,""),"")</f>
        <v>** 01/00/1900 -  Details:  Follow Up: No follow up required</v>
      </c>
    </row>
    <row r="28" spans="1:29" x14ac:dyDescent="0.2">
      <c r="A28" s="163"/>
    </row>
    <row r="29" spans="1:29" x14ac:dyDescent="0.2">
      <c r="A29" s="163"/>
    </row>
    <row r="30" spans="1:29" x14ac:dyDescent="0.2">
      <c r="A30" s="163"/>
    </row>
    <row r="31" spans="1:29" x14ac:dyDescent="0.2">
      <c r="A31" s="163"/>
    </row>
    <row r="32" spans="1:29" x14ac:dyDescent="0.2">
      <c r="A32" s="163"/>
    </row>
    <row r="33" spans="1:1" x14ac:dyDescent="0.2">
      <c r="A33" s="163"/>
    </row>
    <row r="34" spans="1:1" x14ac:dyDescent="0.2">
      <c r="A34" s="163"/>
    </row>
    <row r="35" spans="1:1" x14ac:dyDescent="0.2">
      <c r="A35" s="163"/>
    </row>
    <row r="36" spans="1:1" x14ac:dyDescent="0.2">
      <c r="A36" s="163"/>
    </row>
    <row r="37" spans="1:1" x14ac:dyDescent="0.2">
      <c r="A37" s="163"/>
    </row>
  </sheetData>
  <mergeCells count="1">
    <mergeCell ref="T5:AC22"/>
  </mergeCells>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4CB03-06FC-41DD-93F0-446B4B5236DD}">
  <sheetPr codeName="Sheet43">
    <tabColor rgb="FFFFFF00"/>
  </sheetPr>
  <dimension ref="A1:AL46"/>
  <sheetViews>
    <sheetView showZeros="0" view="pageLayout" topLeftCell="A19" zoomScaleNormal="100" workbookViewId="0">
      <selection activeCell="A36" sqref="A36:U40"/>
    </sheetView>
  </sheetViews>
  <sheetFormatPr defaultColWidth="2.7109375" defaultRowHeight="12.75" x14ac:dyDescent="0.2"/>
  <sheetData>
    <row r="1" spans="1:38" x14ac:dyDescent="0.2">
      <c r="A1" t="s">
        <v>336</v>
      </c>
      <c r="F1" s="233" t="str">
        <f>_xlfn.CONCAT(Data!B2,", ",Data!B3," ",Data!B4)</f>
        <v xml:space="preserve">,  </v>
      </c>
      <c r="G1" s="233"/>
      <c r="H1" s="233"/>
      <c r="I1" s="233"/>
      <c r="J1" s="233"/>
      <c r="K1" s="233"/>
      <c r="L1" s="233"/>
      <c r="M1" s="233"/>
      <c r="N1" s="233"/>
      <c r="O1" s="233"/>
      <c r="P1" s="233"/>
      <c r="Q1" s="233"/>
      <c r="R1" s="233"/>
      <c r="S1" s="233"/>
      <c r="T1" s="233"/>
      <c r="U1" s="233"/>
      <c r="Y1" t="s">
        <v>3275</v>
      </c>
      <c r="AD1" s="218">
        <f>Data!B1850</f>
        <v>0</v>
      </c>
      <c r="AE1" s="218"/>
      <c r="AF1" s="218"/>
      <c r="AG1" s="218"/>
      <c r="AH1" s="218"/>
      <c r="AI1" s="218"/>
    </row>
    <row r="2" spans="1:38" s="163" customFormat="1" x14ac:dyDescent="0.2">
      <c r="F2" s="164"/>
      <c r="G2" s="164"/>
      <c r="H2" s="164"/>
      <c r="I2" s="164"/>
      <c r="J2" s="164"/>
      <c r="K2" s="164"/>
      <c r="L2" s="164"/>
      <c r="M2" s="164"/>
      <c r="N2" s="164"/>
      <c r="O2" s="164"/>
      <c r="P2" s="164"/>
      <c r="Q2" s="164"/>
      <c r="R2" s="164"/>
      <c r="S2" s="164"/>
      <c r="T2" s="164"/>
      <c r="U2" s="164"/>
      <c r="AD2" s="166"/>
      <c r="AE2" s="166"/>
      <c r="AF2" s="166"/>
      <c r="AG2" s="166"/>
      <c r="AH2" s="166"/>
      <c r="AI2" s="166"/>
    </row>
    <row r="3" spans="1:38" ht="18" x14ac:dyDescent="0.25">
      <c r="A3" s="580" t="str">
        <f>"Event Type: "&amp;Data!B1854</f>
        <v xml:space="preserve">Event Type: </v>
      </c>
      <c r="B3" s="581"/>
      <c r="C3" s="581"/>
      <c r="D3" s="581"/>
      <c r="E3" s="581"/>
      <c r="F3" s="581"/>
      <c r="G3" s="581"/>
      <c r="H3" s="581"/>
      <c r="I3" s="581"/>
      <c r="J3" s="581"/>
      <c r="K3" s="581"/>
      <c r="L3" s="581"/>
      <c r="M3" s="581"/>
      <c r="N3" s="581"/>
      <c r="O3" s="581"/>
      <c r="P3" s="581"/>
      <c r="Q3" s="581"/>
      <c r="R3" s="581"/>
      <c r="S3" s="581"/>
      <c r="T3" s="581"/>
      <c r="U3" s="581"/>
      <c r="V3" s="581"/>
      <c r="W3" s="581"/>
      <c r="X3" s="581"/>
      <c r="Y3" s="581"/>
      <c r="Z3" s="581"/>
      <c r="AA3" s="581"/>
      <c r="AB3" s="581"/>
      <c r="AC3" s="581"/>
      <c r="AD3" s="581"/>
      <c r="AE3" s="581"/>
      <c r="AF3" s="581"/>
      <c r="AG3" s="581"/>
      <c r="AH3" s="581"/>
      <c r="AI3" s="581"/>
      <c r="AJ3" s="581"/>
      <c r="AK3" s="581"/>
    </row>
    <row r="4" spans="1:38" ht="18" x14ac:dyDescent="0.25">
      <c r="A4" s="99" t="s">
        <v>3269</v>
      </c>
      <c r="B4" s="8"/>
      <c r="C4" s="8"/>
      <c r="D4" s="8"/>
      <c r="E4" s="8"/>
      <c r="F4" s="218">
        <f>Data!B1850</f>
        <v>0</v>
      </c>
      <c r="G4" s="218"/>
      <c r="H4" s="218"/>
      <c r="I4" s="218"/>
      <c r="J4" s="218"/>
      <c r="K4" s="218"/>
      <c r="L4" s="218"/>
      <c r="M4" s="218"/>
      <c r="N4" s="218"/>
      <c r="O4" s="218"/>
      <c r="P4" s="8"/>
      <c r="Q4" s="8"/>
      <c r="R4" s="8"/>
      <c r="S4" s="8"/>
      <c r="T4" s="8"/>
      <c r="U4" s="16" t="s">
        <v>3267</v>
      </c>
      <c r="V4" s="8"/>
      <c r="W4" s="104"/>
      <c r="X4" s="104"/>
      <c r="Y4" s="218">
        <f>Data!B1855</f>
        <v>0</v>
      </c>
      <c r="Z4" s="218"/>
      <c r="AA4" s="218"/>
      <c r="AB4" s="218"/>
      <c r="AC4" s="218"/>
      <c r="AD4" s="218"/>
      <c r="AE4" s="218"/>
      <c r="AF4" s="218"/>
      <c r="AG4" s="218"/>
      <c r="AH4" s="218"/>
      <c r="AI4" s="218"/>
      <c r="AJ4" s="218"/>
      <c r="AK4" s="218"/>
      <c r="AL4" s="218"/>
    </row>
    <row r="5" spans="1:38" x14ac:dyDescent="0.2">
      <c r="F5" s="218"/>
      <c r="G5" s="219"/>
      <c r="H5" s="219"/>
      <c r="I5" s="219"/>
      <c r="J5" s="219"/>
      <c r="K5" s="219"/>
      <c r="Q5" s="166"/>
      <c r="R5" s="166"/>
      <c r="S5" s="166"/>
      <c r="T5" s="166"/>
      <c r="U5" s="582" t="str">
        <f>IF(Data!B1856=TRUE,"Event date is approximate.","")</f>
        <v/>
      </c>
      <c r="V5" s="582"/>
      <c r="W5" s="582"/>
      <c r="X5" s="582"/>
      <c r="Y5" s="582"/>
      <c r="Z5" s="582"/>
      <c r="AA5" s="582"/>
      <c r="AB5" s="582"/>
      <c r="AC5" s="582"/>
      <c r="AD5" s="582"/>
      <c r="AE5" s="582"/>
      <c r="AF5" s="582"/>
      <c r="AG5" s="582"/>
      <c r="AH5" s="582"/>
      <c r="AI5" s="582"/>
      <c r="AJ5" s="582"/>
      <c r="AK5" s="582"/>
      <c r="AL5" s="582"/>
    </row>
    <row r="6" spans="1:38" s="163" customFormat="1" x14ac:dyDescent="0.2">
      <c r="F6" s="166"/>
      <c r="G6" s="165"/>
      <c r="H6" s="165"/>
      <c r="I6" s="165"/>
      <c r="J6" s="165"/>
      <c r="K6" s="165"/>
      <c r="Q6" s="166"/>
      <c r="R6" s="166"/>
      <c r="S6" s="166"/>
      <c r="T6" s="166"/>
      <c r="U6" s="153"/>
      <c r="V6" s="153"/>
      <c r="W6" s="153"/>
      <c r="X6" s="153"/>
      <c r="Y6" s="153"/>
      <c r="Z6" s="153"/>
      <c r="AA6" s="153"/>
      <c r="AB6" s="153"/>
      <c r="AC6" s="153"/>
      <c r="AD6" s="153"/>
      <c r="AE6" s="153"/>
      <c r="AF6" s="153"/>
      <c r="AG6" s="153"/>
      <c r="AH6" s="153"/>
      <c r="AI6" s="153"/>
      <c r="AJ6" s="153"/>
      <c r="AK6" s="153"/>
      <c r="AL6" s="153"/>
    </row>
    <row r="7" spans="1:38" x14ac:dyDescent="0.2">
      <c r="A7" t="s">
        <v>3276</v>
      </c>
      <c r="E7" s="219">
        <f>Data!B1851</f>
        <v>0</v>
      </c>
      <c r="F7" s="219"/>
      <c r="G7" s="219"/>
      <c r="H7" s="219"/>
      <c r="I7" s="219"/>
      <c r="J7" s="219"/>
      <c r="K7" s="219"/>
      <c r="L7" s="219"/>
      <c r="M7" s="219"/>
      <c r="N7" s="219"/>
      <c r="O7" s="219"/>
      <c r="P7" s="219"/>
      <c r="Q7" s="219"/>
      <c r="R7" s="219"/>
      <c r="S7" s="219"/>
      <c r="U7" t="s">
        <v>928</v>
      </c>
      <c r="AA7" s="219">
        <f>Data!B1852</f>
        <v>0</v>
      </c>
      <c r="AB7" s="219"/>
      <c r="AC7" s="219"/>
      <c r="AD7" s="219"/>
      <c r="AE7" s="219"/>
      <c r="AF7" s="219"/>
      <c r="AG7" s="219"/>
      <c r="AH7" s="219"/>
      <c r="AI7" s="219"/>
    </row>
    <row r="9" spans="1:38" x14ac:dyDescent="0.2">
      <c r="A9" s="278" t="s">
        <v>3255</v>
      </c>
      <c r="B9" s="278"/>
      <c r="C9" s="278"/>
      <c r="D9" s="278"/>
      <c r="E9" s="278"/>
      <c r="F9" s="278"/>
      <c r="G9" s="278"/>
      <c r="H9" s="278"/>
      <c r="I9" s="278"/>
      <c r="J9" s="278"/>
      <c r="K9" s="278"/>
      <c r="L9" s="278"/>
      <c r="M9" s="278"/>
      <c r="N9" s="278"/>
      <c r="O9" s="278"/>
      <c r="P9" s="278"/>
      <c r="Q9" s="278"/>
      <c r="R9" s="278"/>
      <c r="S9" s="278"/>
      <c r="T9" s="278"/>
      <c r="U9" s="278"/>
      <c r="V9" s="278"/>
      <c r="W9" s="278"/>
      <c r="X9" s="278"/>
      <c r="Y9" s="278"/>
      <c r="Z9" s="278"/>
      <c r="AA9" s="278"/>
      <c r="AB9" s="278"/>
      <c r="AC9" s="278"/>
      <c r="AD9" s="278"/>
      <c r="AE9" s="278"/>
      <c r="AF9" s="278"/>
      <c r="AG9" s="278"/>
      <c r="AH9" s="278"/>
      <c r="AI9" s="278"/>
      <c r="AJ9" s="278"/>
      <c r="AK9" s="278"/>
    </row>
    <row r="10" spans="1:38" x14ac:dyDescent="0.2">
      <c r="B10" t="s">
        <v>571</v>
      </c>
      <c r="G10" s="219">
        <f>Data!B1866</f>
        <v>0</v>
      </c>
      <c r="H10" s="219"/>
      <c r="I10" s="219"/>
      <c r="J10" s="219"/>
      <c r="K10" s="219"/>
      <c r="L10" s="219"/>
      <c r="M10" s="219"/>
      <c r="N10" s="219"/>
      <c r="O10" s="219"/>
      <c r="P10" s="219"/>
      <c r="Q10" s="219"/>
      <c r="R10" s="219"/>
      <c r="S10" s="219"/>
      <c r="U10" t="s">
        <v>3277</v>
      </c>
      <c r="AC10" s="219">
        <f>Data!B1868</f>
        <v>0</v>
      </c>
      <c r="AD10" s="219"/>
      <c r="AE10" s="219"/>
      <c r="AF10" s="219"/>
      <c r="AG10" s="219"/>
      <c r="AH10" s="219"/>
      <c r="AI10" s="219"/>
      <c r="AJ10" s="219"/>
      <c r="AK10" s="219"/>
    </row>
    <row r="11" spans="1:38" x14ac:dyDescent="0.2">
      <c r="B11" t="s">
        <v>3372</v>
      </c>
      <c r="F11" s="219">
        <f>Data!B1867</f>
        <v>0</v>
      </c>
      <c r="G11" s="219"/>
      <c r="H11" s="219"/>
      <c r="I11" s="219"/>
      <c r="J11" s="219"/>
      <c r="K11" s="219"/>
      <c r="L11" s="219"/>
      <c r="M11" s="219"/>
      <c r="N11" s="219"/>
      <c r="O11" s="219"/>
      <c r="Q11" t="s">
        <v>3278</v>
      </c>
      <c r="AA11" s="219">
        <f>Data!B1869</f>
        <v>0</v>
      </c>
      <c r="AB11" s="219"/>
      <c r="AC11" s="219"/>
      <c r="AD11" s="219"/>
      <c r="AE11" s="219"/>
    </row>
    <row r="12" spans="1:38" x14ac:dyDescent="0.2">
      <c r="A12" s="256" t="s">
        <v>3279</v>
      </c>
      <c r="B12" s="256"/>
      <c r="C12" s="256"/>
      <c r="D12" s="256"/>
      <c r="E12" s="256"/>
      <c r="F12" s="256"/>
      <c r="G12" s="256"/>
      <c r="H12" s="256"/>
      <c r="I12" s="256"/>
      <c r="J12" s="256"/>
      <c r="K12" s="256"/>
      <c r="L12" s="256"/>
      <c r="M12" s="256"/>
      <c r="N12" s="256"/>
      <c r="O12" s="256"/>
      <c r="P12" s="256"/>
      <c r="Q12" s="256"/>
      <c r="R12" s="256"/>
      <c r="S12" s="256"/>
      <c r="T12" s="256"/>
      <c r="U12" s="256"/>
      <c r="V12" s="256"/>
      <c r="W12" s="256"/>
      <c r="X12" s="256"/>
      <c r="Y12" s="256"/>
      <c r="Z12" s="256"/>
      <c r="AA12" s="256"/>
      <c r="AB12" s="256"/>
      <c r="AC12" s="256"/>
      <c r="AD12" s="256"/>
      <c r="AE12" s="256"/>
      <c r="AF12" s="256"/>
      <c r="AG12" s="256"/>
      <c r="AH12" s="256"/>
      <c r="AI12" s="256"/>
      <c r="AJ12" s="256"/>
      <c r="AK12" s="256"/>
    </row>
    <row r="13" spans="1:38" x14ac:dyDescent="0.2">
      <c r="B13" t="s">
        <v>582</v>
      </c>
      <c r="G13" s="218">
        <f>Data!B1857</f>
        <v>0</v>
      </c>
      <c r="H13" s="218"/>
      <c r="I13" s="218"/>
      <c r="J13" s="218"/>
      <c r="K13" s="218"/>
      <c r="L13" s="218"/>
      <c r="M13" s="218"/>
      <c r="N13" s="218"/>
      <c r="Q13" t="s">
        <v>1010</v>
      </c>
      <c r="V13" s="218" t="str">
        <f>IF(Data!B1857&lt;&gt;"",IF(Data!B1858&lt;&gt;"",Data!B1858,"Not yet discharged"),"")</f>
        <v/>
      </c>
      <c r="W13" s="218"/>
      <c r="X13" s="218"/>
      <c r="Y13" s="218"/>
      <c r="Z13" s="218"/>
      <c r="AA13" s="218"/>
      <c r="AB13" s="218"/>
      <c r="AC13" s="218"/>
    </row>
    <row r="14" spans="1:38" s="163" customFormat="1" x14ac:dyDescent="0.2">
      <c r="G14" s="166"/>
      <c r="H14" s="166"/>
      <c r="I14" s="166"/>
      <c r="J14" s="166"/>
      <c r="K14" s="166"/>
      <c r="L14" s="166"/>
      <c r="M14" s="166"/>
      <c r="N14" s="166"/>
      <c r="V14" s="166"/>
      <c r="W14" s="166"/>
      <c r="X14" s="166"/>
      <c r="Y14" s="166"/>
      <c r="Z14" s="166"/>
      <c r="AA14" s="166"/>
      <c r="AB14" s="166"/>
      <c r="AC14" s="166"/>
    </row>
    <row r="15" spans="1:38" x14ac:dyDescent="0.2">
      <c r="A15" s="278" t="s">
        <v>3280</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c r="AH15" s="278"/>
      <c r="AI15" s="278"/>
      <c r="AJ15" s="278"/>
      <c r="AK15" s="278"/>
    </row>
    <row r="16" spans="1:38" x14ac:dyDescent="0.2">
      <c r="A16" s="239">
        <f>Data!B1859</f>
        <v>0</v>
      </c>
      <c r="B16" s="239"/>
      <c r="C16" s="239"/>
      <c r="D16" s="239"/>
      <c r="E16" s="239"/>
      <c r="F16" s="239"/>
      <c r="G16" s="239"/>
      <c r="H16" s="239"/>
      <c r="I16" s="239"/>
      <c r="J16" s="239"/>
      <c r="K16" s="239"/>
      <c r="L16" s="239"/>
      <c r="M16" s="239"/>
      <c r="N16" s="239"/>
      <c r="O16" s="239"/>
      <c r="P16" s="239"/>
      <c r="Q16" s="239"/>
      <c r="R16" s="239"/>
      <c r="S16" s="239"/>
      <c r="T16" s="239"/>
      <c r="U16" s="239"/>
      <c r="V16" s="239"/>
      <c r="W16" s="239"/>
      <c r="X16" s="239"/>
      <c r="Y16" s="239"/>
      <c r="Z16" s="239"/>
      <c r="AA16" s="239"/>
      <c r="AB16" s="239"/>
      <c r="AC16" s="239"/>
      <c r="AD16" s="239"/>
      <c r="AE16" s="239"/>
      <c r="AF16" s="239"/>
      <c r="AG16" s="239"/>
      <c r="AH16" s="239"/>
      <c r="AI16" s="239"/>
      <c r="AJ16" s="239"/>
      <c r="AK16" s="239"/>
    </row>
    <row r="17" spans="1:37" x14ac:dyDescent="0.2">
      <c r="A17" s="239"/>
      <c r="B17" s="239"/>
      <c r="C17" s="239"/>
      <c r="D17" s="239"/>
      <c r="E17" s="239"/>
      <c r="F17" s="239"/>
      <c r="G17" s="239"/>
      <c r="H17" s="239"/>
      <c r="I17" s="239"/>
      <c r="J17" s="239"/>
      <c r="K17" s="239"/>
      <c r="L17" s="239"/>
      <c r="M17" s="239"/>
      <c r="N17" s="239"/>
      <c r="O17" s="239"/>
      <c r="P17" s="239"/>
      <c r="Q17" s="239"/>
      <c r="R17" s="239"/>
      <c r="S17" s="239"/>
      <c r="T17" s="239"/>
      <c r="U17" s="239"/>
      <c r="V17" s="239"/>
      <c r="W17" s="239"/>
      <c r="X17" s="239"/>
      <c r="Y17" s="239"/>
      <c r="Z17" s="239"/>
      <c r="AA17" s="239"/>
      <c r="AB17" s="239"/>
      <c r="AC17" s="239"/>
      <c r="AD17" s="239"/>
      <c r="AE17" s="239"/>
      <c r="AF17" s="239"/>
      <c r="AG17" s="239"/>
      <c r="AH17" s="239"/>
      <c r="AI17" s="239"/>
      <c r="AJ17" s="239"/>
      <c r="AK17" s="239"/>
    </row>
    <row r="18" spans="1:37" x14ac:dyDescent="0.2">
      <c r="A18" s="239"/>
      <c r="B18" s="239"/>
      <c r="C18" s="239"/>
      <c r="D18" s="239"/>
      <c r="E18" s="239"/>
      <c r="F18" s="239"/>
      <c r="G18" s="239"/>
      <c r="H18" s="239"/>
      <c r="I18" s="239"/>
      <c r="J18" s="239"/>
      <c r="K18" s="239"/>
      <c r="L18" s="239"/>
      <c r="M18" s="239"/>
      <c r="N18" s="239"/>
      <c r="O18" s="239"/>
      <c r="P18" s="239"/>
      <c r="Q18" s="239"/>
      <c r="R18" s="239"/>
      <c r="S18" s="239"/>
      <c r="T18" s="239"/>
      <c r="U18" s="239"/>
      <c r="V18" s="239"/>
      <c r="W18" s="239"/>
      <c r="X18" s="239"/>
      <c r="Y18" s="239"/>
      <c r="Z18" s="239"/>
      <c r="AA18" s="239"/>
      <c r="AB18" s="239"/>
      <c r="AC18" s="239"/>
      <c r="AD18" s="239"/>
      <c r="AE18" s="239"/>
      <c r="AF18" s="239"/>
      <c r="AG18" s="239"/>
      <c r="AH18" s="239"/>
      <c r="AI18" s="239"/>
      <c r="AJ18" s="239"/>
      <c r="AK18" s="239"/>
    </row>
    <row r="19" spans="1:37" ht="52.5" customHeight="1" x14ac:dyDescent="0.2">
      <c r="A19" s="239"/>
      <c r="B19" s="239"/>
      <c r="C19" s="239"/>
      <c r="D19" s="239"/>
      <c r="E19" s="239"/>
      <c r="F19" s="239"/>
      <c r="G19" s="239"/>
      <c r="H19" s="239"/>
      <c r="I19" s="239"/>
      <c r="J19" s="239"/>
      <c r="K19" s="239"/>
      <c r="L19" s="239"/>
      <c r="M19" s="239"/>
      <c r="N19" s="239"/>
      <c r="O19" s="239"/>
      <c r="P19" s="239"/>
      <c r="Q19" s="239"/>
      <c r="R19" s="239"/>
      <c r="S19" s="239"/>
      <c r="T19" s="239"/>
      <c r="U19" s="239"/>
      <c r="V19" s="239"/>
      <c r="W19" s="239"/>
      <c r="X19" s="239"/>
      <c r="Y19" s="239"/>
      <c r="Z19" s="239"/>
      <c r="AA19" s="239"/>
      <c r="AB19" s="239"/>
      <c r="AC19" s="239"/>
      <c r="AD19" s="239"/>
      <c r="AE19" s="239"/>
      <c r="AF19" s="239"/>
      <c r="AG19" s="239"/>
      <c r="AH19" s="239"/>
      <c r="AI19" s="239"/>
      <c r="AJ19" s="239"/>
      <c r="AK19" s="239"/>
    </row>
    <row r="20" spans="1:37" s="162" customFormat="1" x14ac:dyDescent="0.2">
      <c r="A20"/>
      <c r="B20"/>
      <c r="C20"/>
      <c r="D20"/>
      <c r="E20"/>
      <c r="F20"/>
      <c r="G20"/>
      <c r="H20"/>
      <c r="I20"/>
      <c r="J20"/>
      <c r="K20"/>
      <c r="L20"/>
      <c r="M20"/>
      <c r="N20"/>
      <c r="O20"/>
      <c r="P20"/>
      <c r="Q20"/>
      <c r="R20"/>
      <c r="S20"/>
      <c r="T20"/>
      <c r="U20"/>
      <c r="V20"/>
      <c r="W20"/>
      <c r="X20"/>
      <c r="Y20"/>
      <c r="Z20"/>
      <c r="AA20"/>
      <c r="AB20"/>
      <c r="AC20"/>
      <c r="AD20"/>
      <c r="AE20"/>
      <c r="AF20"/>
      <c r="AG20"/>
    </row>
    <row r="21" spans="1:37" s="162" customFormat="1" x14ac:dyDescent="0.2"/>
    <row r="22" spans="1:37" x14ac:dyDescent="0.2">
      <c r="A22" s="585" t="s">
        <v>3281</v>
      </c>
      <c r="B22" s="585"/>
      <c r="C22" s="585"/>
      <c r="D22" s="585"/>
      <c r="E22" s="585"/>
      <c r="F22" s="585"/>
      <c r="G22" s="585"/>
      <c r="H22" s="585"/>
      <c r="I22" s="585"/>
      <c r="J22" s="585"/>
      <c r="K22" s="585"/>
      <c r="L22" s="585"/>
      <c r="M22" s="585"/>
      <c r="N22" s="585"/>
      <c r="O22" s="585"/>
      <c r="P22" s="585"/>
      <c r="Q22" s="585"/>
      <c r="R22" s="585"/>
      <c r="S22" s="585"/>
      <c r="T22" s="585"/>
      <c r="U22" s="585"/>
      <c r="V22" s="585"/>
      <c r="W22" s="585"/>
      <c r="X22" s="585"/>
      <c r="Y22" s="585"/>
      <c r="Z22" s="585"/>
      <c r="AA22" s="585"/>
      <c r="AB22" s="585"/>
      <c r="AC22" s="585"/>
      <c r="AD22" s="585"/>
      <c r="AE22" s="585"/>
      <c r="AF22" s="585"/>
      <c r="AG22" s="585"/>
      <c r="AH22" s="585"/>
      <c r="AI22" s="585"/>
      <c r="AJ22" s="585"/>
      <c r="AK22" s="585"/>
    </row>
    <row r="24" spans="1:37" x14ac:dyDescent="0.2">
      <c r="A24" t="s">
        <v>3273</v>
      </c>
      <c r="F24" s="218" t="str">
        <f>IF(Data!B1860=TRUE,IF(Data!B1862&lt;&gt;"",Data!B1862,"Follow Up Pending"),"No Follow Up Required")</f>
        <v>No Follow Up Required</v>
      </c>
      <c r="G24" s="219"/>
      <c r="H24" s="219"/>
      <c r="I24" s="219"/>
      <c r="J24" s="219"/>
      <c r="K24" s="219"/>
      <c r="L24" s="219"/>
      <c r="M24" s="219"/>
      <c r="O24" t="s">
        <v>1282</v>
      </c>
      <c r="S24" s="219" t="str">
        <f>IF(Data!B1860=FALSE,"N/A",IF(Data!B1861&lt;&gt;"",Data!B1861,Data!B1861))</f>
        <v>N/A</v>
      </c>
      <c r="T24" s="219"/>
      <c r="U24" s="219"/>
      <c r="V24" s="219"/>
      <c r="W24" s="219"/>
      <c r="X24" s="219"/>
      <c r="Y24" s="219"/>
      <c r="Z24" s="219"/>
      <c r="AA24" s="219"/>
      <c r="AB24" s="219"/>
      <c r="AC24" s="219"/>
      <c r="AD24" s="219"/>
      <c r="AE24" s="219"/>
    </row>
    <row r="26" spans="1:37" x14ac:dyDescent="0.2">
      <c r="A26" t="s">
        <v>3282</v>
      </c>
    </row>
    <row r="27" spans="1:37" x14ac:dyDescent="0.2">
      <c r="A27" s="239" t="str">
        <f>IF(Data!B1860=TRUE,IF(Data!B1863&lt;&gt;"",Data!B1863,"Follow Up Pending"),"No Follow Up Required")</f>
        <v>No Follow Up Required</v>
      </c>
      <c r="B27" s="239"/>
      <c r="C27" s="239"/>
      <c r="D27" s="239"/>
      <c r="E27" s="239"/>
      <c r="F27" s="239"/>
      <c r="G27" s="239"/>
      <c r="H27" s="239"/>
      <c r="I27" s="239"/>
      <c r="J27" s="239"/>
      <c r="K27" s="239"/>
      <c r="L27" s="239"/>
      <c r="M27" s="239"/>
      <c r="N27" s="239"/>
      <c r="O27" s="239"/>
      <c r="P27" s="239"/>
      <c r="Q27" s="239"/>
      <c r="R27" s="239"/>
      <c r="S27" s="239"/>
      <c r="T27" s="239"/>
      <c r="U27" s="239"/>
      <c r="V27" s="239"/>
      <c r="W27" s="239"/>
      <c r="X27" s="239"/>
      <c r="Y27" s="239"/>
      <c r="Z27" s="239"/>
      <c r="AA27" s="239"/>
      <c r="AB27" s="239"/>
      <c r="AC27" s="239"/>
      <c r="AD27" s="239"/>
      <c r="AE27" s="239"/>
      <c r="AF27" s="239"/>
      <c r="AG27" s="239"/>
      <c r="AH27" s="239"/>
      <c r="AI27" s="239"/>
      <c r="AJ27" s="239"/>
      <c r="AK27" s="239"/>
    </row>
    <row r="28" spans="1:37" x14ac:dyDescent="0.2">
      <c r="A28" s="239"/>
      <c r="B28" s="239"/>
      <c r="C28" s="239"/>
      <c r="D28" s="239"/>
      <c r="E28" s="239"/>
      <c r="F28" s="239"/>
      <c r="G28" s="239"/>
      <c r="H28" s="239"/>
      <c r="I28" s="239"/>
      <c r="J28" s="239"/>
      <c r="K28" s="239"/>
      <c r="L28" s="239"/>
      <c r="M28" s="239"/>
      <c r="N28" s="239"/>
      <c r="O28" s="239"/>
      <c r="P28" s="239"/>
      <c r="Q28" s="239"/>
      <c r="R28" s="239"/>
      <c r="S28" s="239"/>
      <c r="T28" s="239"/>
      <c r="U28" s="239"/>
      <c r="V28" s="239"/>
      <c r="W28" s="239"/>
      <c r="X28" s="239"/>
      <c r="Y28" s="239"/>
      <c r="Z28" s="239"/>
      <c r="AA28" s="239"/>
      <c r="AB28" s="239"/>
      <c r="AC28" s="239"/>
      <c r="AD28" s="239"/>
      <c r="AE28" s="239"/>
      <c r="AF28" s="239"/>
      <c r="AG28" s="239"/>
      <c r="AH28" s="239"/>
      <c r="AI28" s="239"/>
      <c r="AJ28" s="239"/>
      <c r="AK28" s="239"/>
    </row>
    <row r="29" spans="1:37" x14ac:dyDescent="0.2">
      <c r="A29" s="239"/>
      <c r="B29" s="239"/>
      <c r="C29" s="239"/>
      <c r="D29" s="239"/>
      <c r="E29" s="239"/>
      <c r="F29" s="239"/>
      <c r="G29" s="239"/>
      <c r="H29" s="239"/>
      <c r="I29" s="239"/>
      <c r="J29" s="239"/>
      <c r="K29" s="239"/>
      <c r="L29" s="239"/>
      <c r="M29" s="239"/>
      <c r="N29" s="239"/>
      <c r="O29" s="239"/>
      <c r="P29" s="239"/>
      <c r="Q29" s="239"/>
      <c r="R29" s="239"/>
      <c r="S29" s="239"/>
      <c r="T29" s="239"/>
      <c r="U29" s="239"/>
      <c r="V29" s="239"/>
      <c r="W29" s="239"/>
      <c r="X29" s="239"/>
      <c r="Y29" s="239"/>
      <c r="Z29" s="239"/>
      <c r="AA29" s="239"/>
      <c r="AB29" s="239"/>
      <c r="AC29" s="239"/>
      <c r="AD29" s="239"/>
      <c r="AE29" s="239"/>
      <c r="AF29" s="239"/>
      <c r="AG29" s="239"/>
      <c r="AH29" s="239"/>
      <c r="AI29" s="239"/>
      <c r="AJ29" s="239"/>
      <c r="AK29" s="239"/>
    </row>
    <row r="30" spans="1:37" x14ac:dyDescent="0.2">
      <c r="A30" s="239"/>
      <c r="B30" s="239"/>
      <c r="C30" s="239"/>
      <c r="D30" s="239"/>
      <c r="E30" s="239"/>
      <c r="F30" s="239"/>
      <c r="G30" s="239"/>
      <c r="H30" s="239"/>
      <c r="I30" s="239"/>
      <c r="J30" s="239"/>
      <c r="K30" s="239"/>
      <c r="L30" s="239"/>
      <c r="M30" s="239"/>
      <c r="N30" s="239"/>
      <c r="O30" s="239"/>
      <c r="P30" s="239"/>
      <c r="Q30" s="239"/>
      <c r="R30" s="239"/>
      <c r="S30" s="239"/>
      <c r="T30" s="239"/>
      <c r="U30" s="239"/>
      <c r="V30" s="239"/>
      <c r="W30" s="239"/>
      <c r="X30" s="239"/>
      <c r="Y30" s="239"/>
      <c r="Z30" s="239"/>
      <c r="AA30" s="239"/>
      <c r="AB30" s="239"/>
      <c r="AC30" s="239"/>
      <c r="AD30" s="239"/>
      <c r="AE30" s="239"/>
      <c r="AF30" s="239"/>
      <c r="AG30" s="239"/>
      <c r="AH30" s="239"/>
      <c r="AI30" s="239"/>
      <c r="AJ30" s="239"/>
      <c r="AK30" s="239"/>
    </row>
    <row r="31" spans="1:37" x14ac:dyDescent="0.2">
      <c r="A31" s="239"/>
      <c r="B31" s="239"/>
      <c r="C31" s="239"/>
      <c r="D31" s="239"/>
      <c r="E31" s="239"/>
      <c r="F31" s="239"/>
      <c r="G31" s="239"/>
      <c r="H31" s="239"/>
      <c r="I31" s="239"/>
      <c r="J31" s="239"/>
      <c r="K31" s="239"/>
      <c r="L31" s="239"/>
      <c r="M31" s="239"/>
      <c r="N31" s="239"/>
      <c r="O31" s="239"/>
      <c r="P31" s="239"/>
      <c r="Q31" s="239"/>
      <c r="R31" s="239"/>
      <c r="S31" s="239"/>
      <c r="T31" s="239"/>
      <c r="U31" s="239"/>
      <c r="V31" s="239"/>
      <c r="W31" s="239"/>
      <c r="X31" s="239"/>
      <c r="Y31" s="239"/>
      <c r="Z31" s="239"/>
      <c r="AA31" s="239"/>
      <c r="AB31" s="239"/>
      <c r="AC31" s="239"/>
      <c r="AD31" s="239"/>
      <c r="AE31" s="239"/>
      <c r="AF31" s="239"/>
      <c r="AG31" s="239"/>
      <c r="AH31" s="239"/>
      <c r="AI31" s="239"/>
      <c r="AJ31" s="239"/>
      <c r="AK31" s="239"/>
    </row>
    <row r="32" spans="1:37" x14ac:dyDescent="0.2">
      <c r="A32" s="239"/>
      <c r="B32" s="239"/>
      <c r="C32" s="239"/>
      <c r="D32" s="239"/>
      <c r="E32" s="239"/>
      <c r="F32" s="239"/>
      <c r="G32" s="239"/>
      <c r="H32" s="239"/>
      <c r="I32" s="239"/>
      <c r="J32" s="239"/>
      <c r="K32" s="239"/>
      <c r="L32" s="239"/>
      <c r="M32" s="239"/>
      <c r="N32" s="239"/>
      <c r="O32" s="239"/>
      <c r="P32" s="239"/>
      <c r="Q32" s="239"/>
      <c r="R32" s="239"/>
      <c r="S32" s="239"/>
      <c r="T32" s="239"/>
      <c r="U32" s="239"/>
      <c r="V32" s="239"/>
      <c r="W32" s="239"/>
      <c r="X32" s="239"/>
      <c r="Y32" s="239"/>
      <c r="Z32" s="239"/>
      <c r="AA32" s="239"/>
      <c r="AB32" s="239"/>
      <c r="AC32" s="239"/>
      <c r="AD32" s="239"/>
      <c r="AE32" s="239"/>
      <c r="AF32" s="239"/>
      <c r="AG32" s="239"/>
      <c r="AH32" s="239"/>
      <c r="AI32" s="239"/>
      <c r="AJ32" s="239"/>
      <c r="AK32" s="239"/>
    </row>
    <row r="33" spans="1:33" ht="6.75" customHeight="1" x14ac:dyDescent="0.2"/>
    <row r="34" spans="1:33" ht="7.5" customHeight="1" x14ac:dyDescent="0.2"/>
    <row r="36" spans="1:33" x14ac:dyDescent="0.2">
      <c r="A36" s="583" t="str">
        <f>IF(Data!B1865=TRUE,"Digitally signed using a unique password by "&amp;Data!B1861&amp;" on "&amp;IF(Data!B1862="Follow Up Pending",TEXT(Data!B1850,"mm/dd/yyyy"),TEXT(Data!B1862,"mm/dd/yyyy")),"")</f>
        <v/>
      </c>
      <c r="B36" s="583"/>
      <c r="C36" s="583"/>
      <c r="D36" s="583"/>
      <c r="E36" s="583"/>
      <c r="F36" s="583"/>
      <c r="G36" s="583"/>
      <c r="H36" s="583"/>
      <c r="I36" s="583"/>
      <c r="J36" s="583"/>
      <c r="K36" s="583"/>
      <c r="L36" s="583"/>
      <c r="M36" s="583"/>
      <c r="N36" s="583"/>
      <c r="O36" s="583"/>
      <c r="P36" s="583"/>
      <c r="Q36" s="583"/>
      <c r="R36" s="583"/>
      <c r="S36" s="583"/>
      <c r="T36" s="583"/>
      <c r="U36" s="583"/>
    </row>
    <row r="37" spans="1:33" x14ac:dyDescent="0.2">
      <c r="A37" s="583"/>
      <c r="B37" s="583"/>
      <c r="C37" s="583"/>
      <c r="D37" s="583"/>
      <c r="E37" s="583"/>
      <c r="F37" s="583"/>
      <c r="G37" s="583"/>
      <c r="H37" s="583"/>
      <c r="I37" s="583"/>
      <c r="J37" s="583"/>
      <c r="K37" s="583"/>
      <c r="L37" s="583"/>
      <c r="M37" s="583"/>
      <c r="N37" s="583"/>
      <c r="O37" s="583"/>
      <c r="P37" s="583"/>
      <c r="Q37" s="583"/>
      <c r="R37" s="583"/>
      <c r="S37" s="583"/>
      <c r="T37" s="583"/>
      <c r="U37" s="583"/>
    </row>
    <row r="38" spans="1:33" x14ac:dyDescent="0.2">
      <c r="A38" s="583"/>
      <c r="B38" s="583"/>
      <c r="C38" s="583"/>
      <c r="D38" s="583"/>
      <c r="E38" s="583"/>
      <c r="F38" s="583"/>
      <c r="G38" s="583"/>
      <c r="H38" s="583"/>
      <c r="I38" s="583"/>
      <c r="J38" s="583"/>
      <c r="K38" s="583"/>
      <c r="L38" s="583"/>
      <c r="M38" s="583"/>
      <c r="N38" s="583"/>
      <c r="O38" s="583"/>
      <c r="P38" s="583"/>
      <c r="Q38" s="583"/>
      <c r="R38" s="583"/>
      <c r="S38" s="583"/>
      <c r="T38" s="583"/>
      <c r="U38" s="583"/>
    </row>
    <row r="39" spans="1:33" x14ac:dyDescent="0.2">
      <c r="A39" s="583"/>
      <c r="B39" s="583"/>
      <c r="C39" s="583"/>
      <c r="D39" s="583"/>
      <c r="E39" s="583"/>
      <c r="F39" s="583"/>
      <c r="G39" s="583"/>
      <c r="H39" s="583"/>
      <c r="I39" s="583"/>
      <c r="J39" s="583"/>
      <c r="K39" s="583"/>
      <c r="L39" s="583"/>
      <c r="M39" s="583"/>
      <c r="N39" s="583"/>
      <c r="O39" s="583"/>
      <c r="P39" s="583"/>
      <c r="Q39" s="583"/>
      <c r="R39" s="583"/>
      <c r="S39" s="583"/>
      <c r="T39" s="583"/>
      <c r="U39" s="583"/>
    </row>
    <row r="40" spans="1:33" x14ac:dyDescent="0.2">
      <c r="A40" s="584"/>
      <c r="B40" s="584"/>
      <c r="C40" s="584"/>
      <c r="D40" s="584"/>
      <c r="E40" s="584"/>
      <c r="F40" s="584"/>
      <c r="G40" s="584"/>
      <c r="H40" s="584"/>
      <c r="I40" s="584"/>
      <c r="J40" s="584"/>
      <c r="K40" s="584"/>
      <c r="L40" s="584"/>
      <c r="M40" s="584"/>
      <c r="N40" s="584"/>
      <c r="O40" s="584"/>
      <c r="P40" s="584"/>
      <c r="Q40" s="584"/>
      <c r="R40" s="584"/>
      <c r="S40" s="584"/>
      <c r="T40" s="584"/>
      <c r="U40" s="584"/>
      <c r="X40" s="269">
        <f>IF(Data!B1862="",Data!B1850,Data!B1862)</f>
        <v>0</v>
      </c>
      <c r="Y40" s="269"/>
      <c r="Z40" s="269"/>
      <c r="AA40" s="269"/>
      <c r="AB40" s="269"/>
      <c r="AC40" s="269"/>
      <c r="AD40" s="269"/>
      <c r="AE40" s="269"/>
      <c r="AF40" s="269"/>
      <c r="AG40" s="269"/>
    </row>
    <row r="41" spans="1:33" x14ac:dyDescent="0.2">
      <c r="A41" t="s">
        <v>3285</v>
      </c>
      <c r="X41" t="s">
        <v>368</v>
      </c>
    </row>
    <row r="43" spans="1:33" x14ac:dyDescent="0.2">
      <c r="A43" s="184"/>
    </row>
    <row r="45" spans="1:33" x14ac:dyDescent="0.2">
      <c r="A45" s="34"/>
      <c r="B45" s="34"/>
      <c r="C45" s="34"/>
      <c r="D45" s="34"/>
      <c r="E45" s="34"/>
      <c r="F45" s="34"/>
      <c r="G45" s="34"/>
      <c r="H45" s="34"/>
      <c r="I45" s="34"/>
      <c r="J45" s="34"/>
      <c r="K45" s="34"/>
      <c r="L45" s="34"/>
      <c r="M45" s="34"/>
      <c r="N45" s="34"/>
      <c r="O45" s="34"/>
      <c r="P45" s="34"/>
      <c r="Q45" s="34"/>
      <c r="R45" s="34"/>
      <c r="S45" s="34"/>
      <c r="T45" s="34"/>
      <c r="U45" s="34"/>
      <c r="X45" s="358"/>
      <c r="Y45" s="358"/>
      <c r="Z45" s="358"/>
      <c r="AA45" s="358"/>
      <c r="AB45" s="358"/>
      <c r="AC45" s="358"/>
      <c r="AD45" s="358"/>
      <c r="AE45" s="358"/>
      <c r="AF45" s="358"/>
      <c r="AG45" s="358"/>
    </row>
    <row r="46" spans="1:33" x14ac:dyDescent="0.2">
      <c r="A46" t="s">
        <v>3286</v>
      </c>
      <c r="X46" t="s">
        <v>368</v>
      </c>
    </row>
  </sheetData>
  <mergeCells count="26">
    <mergeCell ref="G13:N13"/>
    <mergeCell ref="V13:AC13"/>
    <mergeCell ref="A12:AK12"/>
    <mergeCell ref="E7:S7"/>
    <mergeCell ref="AA7:AI7"/>
    <mergeCell ref="A9:AK9"/>
    <mergeCell ref="G10:S10"/>
    <mergeCell ref="AC10:AK10"/>
    <mergeCell ref="F11:O11"/>
    <mergeCell ref="AA11:AE11"/>
    <mergeCell ref="X40:AG40"/>
    <mergeCell ref="X45:AG45"/>
    <mergeCell ref="A36:U40"/>
    <mergeCell ref="A15:AK15"/>
    <mergeCell ref="A16:AK19"/>
    <mergeCell ref="A22:AK22"/>
    <mergeCell ref="F24:M24"/>
    <mergeCell ref="S24:AE24"/>
    <mergeCell ref="A27:AK32"/>
    <mergeCell ref="F1:U1"/>
    <mergeCell ref="AD1:AI1"/>
    <mergeCell ref="A3:AK3"/>
    <mergeCell ref="F5:K5"/>
    <mergeCell ref="F4:O4"/>
    <mergeCell ref="Y4:AL4"/>
    <mergeCell ref="U5:AL5"/>
  </mergeCells>
  <pageMargins left="0.25" right="0.25" top="0.75" bottom="0.75" header="0.3" footer="0.3"/>
  <pageSetup orientation="portrait" verticalDpi="1200" r:id="rId1"/>
  <headerFooter>
    <oddHeader>&amp;L&amp;G&amp;RClient Event Report</oddHeader>
    <oddFooter>&amp;C3088 Mercer University Drive Suite 100 Atlanta, GA 30341
678-310-6305 Fax 404-935-6110</oddFooter>
  </headerFooter>
  <legacyDrawingHF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55291-D121-4E29-8097-2C2699C4B0DD}">
  <sheetPr codeName="Sheet75">
    <tabColor rgb="FFFFFF00"/>
  </sheetPr>
  <dimension ref="A2:AH20"/>
  <sheetViews>
    <sheetView workbookViewId="0">
      <selection activeCell="X28" sqref="X28"/>
    </sheetView>
  </sheetViews>
  <sheetFormatPr defaultColWidth="2.7109375" defaultRowHeight="12.75" x14ac:dyDescent="0.2"/>
  <sheetData>
    <row r="2" spans="1:34" x14ac:dyDescent="0.2">
      <c r="A2" s="477" t="s">
        <v>3294</v>
      </c>
      <c r="B2" s="477"/>
      <c r="C2" s="477"/>
      <c r="D2" s="477"/>
      <c r="E2" s="477"/>
      <c r="F2" s="477"/>
      <c r="G2" s="477"/>
      <c r="H2" s="477"/>
      <c r="I2" s="477"/>
      <c r="J2" s="477"/>
      <c r="K2" s="477"/>
      <c r="L2" s="477"/>
      <c r="M2" s="477"/>
      <c r="N2" s="477"/>
      <c r="O2" s="477"/>
      <c r="P2" s="477"/>
      <c r="Q2" s="477"/>
      <c r="R2" s="477"/>
      <c r="S2" s="477"/>
      <c r="T2" s="477"/>
      <c r="U2" s="477"/>
      <c r="V2" s="477"/>
      <c r="W2" s="477"/>
      <c r="X2" s="477"/>
      <c r="Y2" s="477"/>
      <c r="Z2" s="477"/>
      <c r="AA2" s="477"/>
      <c r="AB2" s="477"/>
      <c r="AC2" s="477"/>
      <c r="AD2" s="477"/>
      <c r="AE2" s="477"/>
      <c r="AF2" s="477"/>
      <c r="AG2" s="477"/>
      <c r="AH2" s="477"/>
    </row>
    <row r="3" spans="1:34" x14ac:dyDescent="0.2">
      <c r="A3" s="150"/>
      <c r="B3" s="150"/>
      <c r="C3" s="150"/>
      <c r="D3" s="150"/>
      <c r="E3" s="150"/>
      <c r="F3" s="150"/>
      <c r="G3" s="150"/>
      <c r="H3" s="150"/>
      <c r="I3" s="150"/>
      <c r="J3" s="150"/>
      <c r="K3" s="150"/>
      <c r="L3" s="150"/>
      <c r="M3" s="150"/>
      <c r="N3" s="150"/>
      <c r="O3" s="150"/>
      <c r="P3" s="150"/>
      <c r="Q3" s="150"/>
      <c r="R3" s="150"/>
      <c r="S3" s="150"/>
      <c r="T3" s="150"/>
      <c r="U3" s="150"/>
      <c r="V3" s="150"/>
      <c r="W3" s="150"/>
      <c r="X3" s="150"/>
      <c r="Y3" s="150"/>
      <c r="Z3" s="150"/>
      <c r="AA3" s="150"/>
      <c r="AB3" s="150"/>
      <c r="AC3" s="150"/>
      <c r="AD3" s="150"/>
      <c r="AE3" s="150"/>
      <c r="AF3" s="150"/>
      <c r="AG3" s="150"/>
      <c r="AH3" s="150"/>
    </row>
    <row r="4" spans="1:34" x14ac:dyDescent="0.2">
      <c r="A4" s="150"/>
      <c r="B4" s="150"/>
      <c r="C4" s="150"/>
      <c r="D4" s="150"/>
      <c r="E4" s="150"/>
      <c r="F4" s="150"/>
      <c r="G4" s="150"/>
      <c r="H4" s="150"/>
      <c r="I4" s="150"/>
      <c r="J4" s="150"/>
      <c r="K4" s="150"/>
      <c r="L4" s="150"/>
      <c r="M4" s="150"/>
      <c r="N4" s="150"/>
      <c r="O4" s="150"/>
      <c r="P4" s="150"/>
      <c r="Q4" s="150"/>
      <c r="R4" s="150"/>
      <c r="S4" s="150"/>
      <c r="T4" s="150"/>
      <c r="U4" s="150"/>
      <c r="V4" s="150"/>
      <c r="W4" s="150"/>
      <c r="X4" s="150"/>
      <c r="Y4" s="150"/>
      <c r="Z4" s="150"/>
      <c r="AA4" s="150"/>
      <c r="AB4" s="150"/>
      <c r="AC4" s="150"/>
      <c r="AD4" s="150"/>
      <c r="AE4" s="150"/>
      <c r="AF4" s="150"/>
      <c r="AG4" s="150"/>
      <c r="AH4" s="150"/>
    </row>
    <row r="5" spans="1:34" x14ac:dyDescent="0.2">
      <c r="A5" s="150"/>
      <c r="B5" s="150"/>
      <c r="C5" s="150"/>
      <c r="D5" s="150"/>
      <c r="E5" s="150"/>
      <c r="F5" s="150"/>
      <c r="G5" s="150"/>
      <c r="H5" s="150"/>
      <c r="I5" s="150"/>
      <c r="J5" s="150"/>
      <c r="K5" s="150"/>
      <c r="L5" s="150"/>
      <c r="M5" s="150"/>
      <c r="N5" s="150"/>
      <c r="O5" s="150"/>
      <c r="P5" s="150"/>
      <c r="Q5" s="150"/>
      <c r="R5" s="150"/>
      <c r="S5" s="150"/>
      <c r="T5" s="150"/>
      <c r="U5" s="150"/>
      <c r="V5" s="150"/>
      <c r="W5" s="150"/>
      <c r="X5" s="150"/>
      <c r="Y5" s="150"/>
      <c r="Z5" s="150"/>
      <c r="AA5" s="150"/>
      <c r="AB5" s="150"/>
      <c r="AC5" s="150"/>
      <c r="AD5" s="150"/>
      <c r="AE5" s="150"/>
      <c r="AF5" s="150"/>
      <c r="AG5" s="150"/>
      <c r="AH5" s="150"/>
    </row>
    <row r="6" spans="1:34" x14ac:dyDescent="0.2">
      <c r="A6" s="150"/>
      <c r="B6" s="150"/>
      <c r="C6" s="150"/>
      <c r="D6" s="150"/>
      <c r="E6" s="150"/>
      <c r="F6" s="150"/>
      <c r="G6" s="150"/>
      <c r="H6" s="150"/>
      <c r="I6" s="150"/>
      <c r="J6" s="150"/>
      <c r="K6" s="150"/>
      <c r="L6" s="150"/>
      <c r="M6" s="150"/>
      <c r="N6" s="150"/>
      <c r="O6" s="150"/>
      <c r="P6" s="150"/>
      <c r="Q6" s="150"/>
      <c r="R6" s="150"/>
      <c r="S6" s="150"/>
      <c r="T6" s="150"/>
      <c r="U6" s="150"/>
      <c r="V6" s="150"/>
      <c r="W6" s="150"/>
      <c r="X6" s="150"/>
      <c r="Y6" s="150"/>
      <c r="Z6" s="150"/>
      <c r="AA6" s="150"/>
      <c r="AB6" s="150"/>
      <c r="AC6" s="150"/>
      <c r="AD6" s="150"/>
      <c r="AE6" s="150"/>
      <c r="AF6" s="150"/>
      <c r="AG6" s="150"/>
      <c r="AH6" s="150"/>
    </row>
    <row r="7" spans="1:34" x14ac:dyDescent="0.2">
      <c r="A7" s="150"/>
      <c r="B7" s="150"/>
      <c r="C7" s="150"/>
      <c r="D7" s="150"/>
      <c r="E7" s="150"/>
      <c r="F7" s="150"/>
      <c r="G7" s="150"/>
      <c r="H7" s="150"/>
      <c r="I7" s="150"/>
      <c r="J7" s="150"/>
      <c r="K7" s="150"/>
      <c r="L7" s="150"/>
      <c r="M7" s="150"/>
      <c r="N7" s="150"/>
      <c r="O7" s="150"/>
      <c r="P7" s="150"/>
      <c r="Q7" s="150"/>
      <c r="R7" s="150"/>
      <c r="S7" s="150"/>
      <c r="T7" s="150"/>
      <c r="U7" s="150"/>
      <c r="V7" s="150"/>
      <c r="W7" s="150"/>
      <c r="X7" s="150"/>
      <c r="Y7" s="150"/>
      <c r="Z7" s="150"/>
      <c r="AA7" s="150"/>
      <c r="AB7" s="150"/>
      <c r="AC7" s="150"/>
      <c r="AD7" s="150"/>
      <c r="AE7" s="150"/>
      <c r="AF7" s="150"/>
      <c r="AG7" s="150"/>
      <c r="AH7" s="150"/>
    </row>
    <row r="8" spans="1:34" x14ac:dyDescent="0.2">
      <c r="A8" s="150"/>
      <c r="B8" s="150"/>
      <c r="C8" s="150"/>
      <c r="D8" s="150"/>
      <c r="E8" s="150"/>
      <c r="F8" s="150"/>
      <c r="G8" s="150"/>
      <c r="H8" s="150"/>
      <c r="I8" s="150"/>
      <c r="J8" s="150"/>
      <c r="K8" s="150"/>
      <c r="L8" s="150"/>
      <c r="M8" s="150"/>
      <c r="N8" s="150"/>
      <c r="O8" s="150"/>
      <c r="P8" s="150"/>
      <c r="Q8" s="150"/>
      <c r="R8" s="150"/>
      <c r="S8" s="150"/>
      <c r="T8" s="150"/>
      <c r="U8" s="150"/>
      <c r="V8" s="150"/>
      <c r="W8" s="150"/>
      <c r="X8" s="150"/>
      <c r="Y8" s="150"/>
      <c r="Z8" s="150"/>
      <c r="AA8" s="150"/>
      <c r="AB8" s="150"/>
      <c r="AC8" s="150"/>
      <c r="AD8" s="150"/>
      <c r="AE8" s="150"/>
      <c r="AF8" s="150"/>
      <c r="AG8" s="150"/>
      <c r="AH8" s="150"/>
    </row>
    <row r="9" spans="1:34" x14ac:dyDescent="0.2">
      <c r="A9" s="150"/>
      <c r="B9" s="150"/>
      <c r="C9" s="150"/>
      <c r="D9" s="150"/>
      <c r="E9" s="150"/>
      <c r="F9" s="150"/>
      <c r="G9" s="150"/>
      <c r="H9" s="150"/>
      <c r="I9" s="150"/>
      <c r="J9" s="150"/>
      <c r="K9" s="150"/>
      <c r="L9" s="150"/>
      <c r="M9" s="150"/>
      <c r="N9" s="150"/>
      <c r="O9" s="150"/>
      <c r="P9" s="150"/>
      <c r="Q9" s="150"/>
      <c r="R9" s="150"/>
      <c r="S9" s="150"/>
      <c r="T9" s="150"/>
      <c r="U9" s="150"/>
      <c r="V9" s="150"/>
      <c r="W9" s="150"/>
      <c r="X9" s="150"/>
      <c r="Y9" s="150"/>
      <c r="Z9" s="150"/>
      <c r="AA9" s="150"/>
      <c r="AB9" s="150"/>
      <c r="AC9" s="150"/>
      <c r="AD9" s="150"/>
      <c r="AE9" s="150"/>
      <c r="AF9" s="150"/>
      <c r="AG9" s="150"/>
      <c r="AH9" s="150"/>
    </row>
    <row r="10" spans="1:34" x14ac:dyDescent="0.2">
      <c r="A10" s="150"/>
      <c r="B10" s="150"/>
      <c r="C10" s="150"/>
      <c r="D10" s="150"/>
      <c r="E10" s="150"/>
      <c r="F10" s="150"/>
      <c r="G10" s="150"/>
      <c r="H10" s="150"/>
      <c r="I10" s="150"/>
      <c r="J10" s="150"/>
      <c r="K10" s="150"/>
      <c r="L10" s="150"/>
      <c r="M10" s="150"/>
      <c r="N10" s="150"/>
      <c r="O10" s="150"/>
      <c r="P10" s="150"/>
      <c r="Q10" s="150"/>
      <c r="R10" s="150"/>
      <c r="S10" s="150"/>
      <c r="T10" s="150"/>
      <c r="U10" s="150"/>
      <c r="V10" s="150"/>
      <c r="W10" s="150"/>
      <c r="X10" s="150"/>
      <c r="Y10" s="150"/>
      <c r="Z10" s="150"/>
      <c r="AA10" s="150"/>
      <c r="AB10" s="150"/>
      <c r="AC10" s="150"/>
      <c r="AD10" s="150"/>
      <c r="AE10" s="150"/>
      <c r="AF10" s="150"/>
      <c r="AG10" s="150"/>
      <c r="AH10" s="150"/>
    </row>
    <row r="11" spans="1:34" x14ac:dyDescent="0.2">
      <c r="A11" s="150"/>
      <c r="B11" s="150"/>
      <c r="C11" s="150"/>
      <c r="D11" s="150"/>
      <c r="E11" s="150"/>
      <c r="F11" s="150"/>
      <c r="G11" s="150"/>
      <c r="H11" s="150"/>
      <c r="I11" s="150"/>
      <c r="J11" s="150"/>
      <c r="K11" s="150"/>
      <c r="L11" s="150"/>
      <c r="M11" s="150"/>
      <c r="N11" s="150"/>
      <c r="O11" s="150"/>
      <c r="P11" s="150"/>
      <c r="Q11" s="150"/>
      <c r="R11" s="150"/>
      <c r="S11" s="150"/>
      <c r="T11" s="150"/>
      <c r="U11" s="150"/>
      <c r="V11" s="150"/>
      <c r="W11" s="150"/>
      <c r="X11" s="150"/>
      <c r="Y11" s="150"/>
      <c r="Z11" s="150"/>
      <c r="AA11" s="150"/>
      <c r="AB11" s="150"/>
      <c r="AC11" s="150"/>
      <c r="AD11" s="150"/>
      <c r="AE11" s="150"/>
      <c r="AF11" s="150"/>
      <c r="AG11" s="150"/>
      <c r="AH11" s="150"/>
    </row>
    <row r="12" spans="1:34" x14ac:dyDescent="0.2">
      <c r="A12" s="150"/>
      <c r="B12" s="150"/>
      <c r="C12" s="150"/>
      <c r="D12" s="150"/>
      <c r="E12" s="150"/>
      <c r="F12" s="150"/>
      <c r="G12" s="150"/>
      <c r="H12" s="150"/>
      <c r="I12" s="150"/>
      <c r="J12" s="150"/>
      <c r="K12" s="150"/>
      <c r="L12" s="150"/>
      <c r="M12" s="150"/>
      <c r="N12" s="150"/>
      <c r="O12" s="150"/>
      <c r="P12" s="150"/>
      <c r="Q12" s="150"/>
      <c r="R12" s="150"/>
      <c r="S12" s="150"/>
      <c r="T12" s="150"/>
      <c r="U12" s="150"/>
      <c r="V12" s="150"/>
      <c r="W12" s="150"/>
      <c r="X12" s="150"/>
      <c r="Y12" s="150"/>
      <c r="Z12" s="150"/>
      <c r="AA12" s="150"/>
      <c r="AB12" s="150"/>
      <c r="AC12" s="150"/>
      <c r="AD12" s="150"/>
      <c r="AE12" s="150"/>
      <c r="AF12" s="150"/>
      <c r="AG12" s="150"/>
      <c r="AH12" s="150"/>
    </row>
    <row r="13" spans="1:34" x14ac:dyDescent="0.2">
      <c r="A13" s="150"/>
      <c r="B13" s="150"/>
      <c r="C13" s="150"/>
      <c r="D13" s="150"/>
      <c r="E13" s="150"/>
      <c r="F13" s="150"/>
      <c r="G13" s="150"/>
      <c r="H13" s="150"/>
      <c r="I13" s="150"/>
      <c r="J13" s="150"/>
      <c r="K13" s="150"/>
      <c r="L13" s="150"/>
      <c r="M13" s="150"/>
      <c r="N13" s="150"/>
      <c r="O13" s="150"/>
      <c r="P13" s="150"/>
      <c r="Q13" s="150"/>
      <c r="R13" s="150"/>
      <c r="S13" s="150"/>
      <c r="T13" s="150"/>
      <c r="U13" s="150"/>
      <c r="V13" s="150"/>
      <c r="W13" s="150"/>
      <c r="X13" s="150"/>
      <c r="Y13" s="150"/>
      <c r="Z13" s="150"/>
      <c r="AA13" s="150"/>
      <c r="AB13" s="150"/>
      <c r="AC13" s="150"/>
      <c r="AD13" s="150"/>
      <c r="AE13" s="150"/>
      <c r="AF13" s="150"/>
      <c r="AG13" s="150"/>
      <c r="AH13" s="150"/>
    </row>
    <row r="14" spans="1:34" x14ac:dyDescent="0.2">
      <c r="A14" s="150"/>
      <c r="B14" s="150"/>
      <c r="C14" s="150"/>
      <c r="D14" s="150"/>
      <c r="E14" s="150"/>
      <c r="F14" s="150"/>
      <c r="G14" s="150"/>
      <c r="H14" s="150"/>
      <c r="I14" s="150"/>
      <c r="J14" s="150"/>
      <c r="K14" s="150"/>
      <c r="L14" s="150"/>
      <c r="M14" s="150"/>
      <c r="N14" s="150"/>
      <c r="O14" s="150"/>
      <c r="P14" s="150"/>
      <c r="Q14" s="150"/>
      <c r="R14" s="150"/>
      <c r="S14" s="150"/>
      <c r="T14" s="150"/>
      <c r="U14" s="150"/>
      <c r="V14" s="150"/>
      <c r="W14" s="150"/>
      <c r="X14" s="150"/>
      <c r="Y14" s="150"/>
      <c r="Z14" s="150"/>
      <c r="AA14" s="150"/>
      <c r="AB14" s="150"/>
      <c r="AC14" s="150"/>
      <c r="AD14" s="150"/>
      <c r="AE14" s="150"/>
      <c r="AF14" s="150"/>
      <c r="AG14" s="150"/>
      <c r="AH14" s="150"/>
    </row>
    <row r="15" spans="1:34" x14ac:dyDescent="0.2">
      <c r="A15" s="150"/>
      <c r="B15" s="150"/>
      <c r="C15" s="150"/>
      <c r="D15" s="150"/>
      <c r="E15" s="150"/>
      <c r="F15" s="150"/>
      <c r="G15" s="150"/>
      <c r="H15" s="150"/>
      <c r="I15" s="150"/>
      <c r="J15" s="150"/>
      <c r="K15" s="150"/>
      <c r="L15" s="150"/>
      <c r="M15" s="150"/>
      <c r="N15" s="150"/>
      <c r="O15" s="150"/>
      <c r="P15" s="150"/>
      <c r="Q15" s="150"/>
      <c r="R15" s="150"/>
      <c r="S15" s="150"/>
      <c r="T15" s="150"/>
      <c r="U15" s="150"/>
      <c r="V15" s="150"/>
      <c r="W15" s="150"/>
      <c r="X15" s="150"/>
      <c r="Y15" s="150"/>
      <c r="Z15" s="150"/>
      <c r="AA15" s="150"/>
      <c r="AB15" s="150"/>
      <c r="AC15" s="150"/>
      <c r="AD15" s="150"/>
      <c r="AE15" s="150"/>
      <c r="AF15" s="150"/>
      <c r="AG15" s="150"/>
      <c r="AH15" s="150"/>
    </row>
    <row r="16" spans="1:34" x14ac:dyDescent="0.2">
      <c r="A16" s="150"/>
      <c r="B16" s="150"/>
      <c r="C16" s="150"/>
      <c r="D16" s="150"/>
      <c r="E16" s="150"/>
      <c r="F16" s="150"/>
      <c r="G16" s="150"/>
      <c r="H16" s="150"/>
      <c r="I16" s="150"/>
      <c r="J16" s="150"/>
      <c r="K16" s="150"/>
      <c r="L16" s="150"/>
      <c r="M16" s="150"/>
      <c r="N16" s="150"/>
      <c r="O16" s="150"/>
      <c r="P16" s="150"/>
      <c r="Q16" s="150"/>
      <c r="R16" s="150"/>
      <c r="S16" s="150"/>
      <c r="T16" s="150"/>
      <c r="U16" s="150"/>
      <c r="V16" s="150"/>
      <c r="W16" s="150"/>
      <c r="X16" s="150"/>
      <c r="Y16" s="150"/>
      <c r="Z16" s="150"/>
      <c r="AA16" s="150"/>
      <c r="AB16" s="150"/>
      <c r="AC16" s="150"/>
      <c r="AD16" s="150"/>
      <c r="AE16" s="150"/>
      <c r="AF16" s="150"/>
      <c r="AG16" s="150"/>
      <c r="AH16" s="150"/>
    </row>
    <row r="17" spans="1:34" x14ac:dyDescent="0.2">
      <c r="A17" s="150"/>
      <c r="B17" s="150"/>
      <c r="C17" s="150"/>
      <c r="D17" s="150"/>
      <c r="E17" s="150"/>
      <c r="F17" s="150"/>
      <c r="G17" s="150"/>
      <c r="H17" s="150"/>
      <c r="I17" s="150"/>
      <c r="J17" s="150"/>
      <c r="K17" s="150"/>
      <c r="L17" s="150"/>
      <c r="M17" s="150"/>
      <c r="N17" s="150"/>
      <c r="O17" s="150"/>
      <c r="P17" s="150"/>
      <c r="Q17" s="150"/>
      <c r="R17" s="150"/>
      <c r="S17" s="150"/>
      <c r="T17" s="150"/>
      <c r="U17" s="150"/>
      <c r="V17" s="150"/>
      <c r="W17" s="150"/>
      <c r="X17" s="150"/>
      <c r="Y17" s="150"/>
      <c r="Z17" s="150"/>
      <c r="AA17" s="150"/>
      <c r="AB17" s="150"/>
      <c r="AC17" s="150"/>
      <c r="AD17" s="150"/>
      <c r="AE17" s="150"/>
      <c r="AF17" s="150"/>
      <c r="AG17" s="150"/>
      <c r="AH17" s="150"/>
    </row>
    <row r="18" spans="1:34" x14ac:dyDescent="0.2">
      <c r="A18" s="150"/>
      <c r="B18" s="150"/>
      <c r="C18" s="150"/>
      <c r="D18" s="150"/>
      <c r="E18" s="150"/>
      <c r="F18" s="150"/>
      <c r="G18" s="150"/>
      <c r="H18" s="150"/>
      <c r="I18" s="150"/>
      <c r="J18" s="150"/>
      <c r="K18" s="150"/>
      <c r="L18" s="150"/>
      <c r="M18" s="150"/>
      <c r="N18" s="150"/>
      <c r="O18" s="150"/>
      <c r="P18" s="150"/>
      <c r="Q18" s="150"/>
      <c r="R18" s="150"/>
      <c r="S18" s="150"/>
      <c r="T18" s="150"/>
      <c r="U18" s="150"/>
      <c r="V18" s="150"/>
      <c r="W18" s="150"/>
      <c r="X18" s="150"/>
      <c r="Y18" s="150"/>
      <c r="Z18" s="150"/>
      <c r="AA18" s="150"/>
      <c r="AB18" s="150"/>
      <c r="AC18" s="150"/>
      <c r="AD18" s="150"/>
      <c r="AE18" s="150"/>
      <c r="AF18" s="150"/>
      <c r="AG18" s="150"/>
      <c r="AH18" s="150"/>
    </row>
    <row r="19" spans="1:34" x14ac:dyDescent="0.2">
      <c r="A19" s="150"/>
      <c r="B19" s="150"/>
      <c r="C19" s="150"/>
      <c r="D19" s="150"/>
      <c r="E19" s="150"/>
      <c r="F19" s="150"/>
      <c r="G19" s="150"/>
      <c r="H19" s="150"/>
      <c r="I19" s="150"/>
      <c r="J19" s="150"/>
      <c r="K19" s="150"/>
      <c r="L19" s="150"/>
      <c r="M19" s="150"/>
      <c r="N19" s="150"/>
      <c r="O19" s="150"/>
      <c r="P19" s="150"/>
      <c r="Q19" s="150"/>
      <c r="R19" s="150"/>
      <c r="S19" s="150"/>
      <c r="T19" s="150"/>
      <c r="U19" s="150"/>
      <c r="V19" s="150"/>
      <c r="W19" s="150"/>
      <c r="X19" s="150"/>
      <c r="Y19" s="150"/>
      <c r="Z19" s="150"/>
      <c r="AA19" s="150"/>
      <c r="AB19" s="150"/>
      <c r="AC19" s="150"/>
      <c r="AD19" s="150"/>
      <c r="AE19" s="150"/>
      <c r="AF19" s="150"/>
      <c r="AG19" s="150"/>
      <c r="AH19" s="150"/>
    </row>
    <row r="20" spans="1:34" x14ac:dyDescent="0.2">
      <c r="A20" s="150"/>
      <c r="B20" s="150"/>
      <c r="C20" s="150"/>
      <c r="D20" s="150"/>
      <c r="E20" s="150"/>
      <c r="F20" s="150"/>
      <c r="G20" s="150"/>
      <c r="H20" s="150"/>
      <c r="I20" s="150"/>
      <c r="J20" s="150"/>
      <c r="K20" s="150"/>
      <c r="L20" s="150"/>
      <c r="M20" s="150"/>
      <c r="N20" s="150"/>
      <c r="O20" s="150"/>
      <c r="P20" s="150"/>
      <c r="Q20" s="150"/>
      <c r="R20" s="150"/>
      <c r="S20" s="150"/>
      <c r="T20" s="150"/>
      <c r="U20" s="150"/>
      <c r="V20" s="150"/>
      <c r="W20" s="150"/>
      <c r="X20" s="150"/>
      <c r="Y20" s="150"/>
      <c r="Z20" s="150"/>
      <c r="AA20" s="150"/>
      <c r="AB20" s="150"/>
      <c r="AC20" s="150"/>
      <c r="AD20" s="150"/>
      <c r="AE20" s="150"/>
      <c r="AF20" s="150"/>
      <c r="AG20" s="150"/>
      <c r="AH20" s="150"/>
    </row>
  </sheetData>
  <mergeCells count="1">
    <mergeCell ref="A2:AH2"/>
  </mergeCells>
  <pageMargins left="0.7" right="0.7" top="0.75" bottom="0.75" header="0.3" footer="0.3"/>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49">
    <tabColor rgb="FFFFFF00"/>
  </sheetPr>
  <dimension ref="A1:J319"/>
  <sheetViews>
    <sheetView topLeftCell="A142" workbookViewId="0">
      <selection activeCell="J161" sqref="J161"/>
    </sheetView>
  </sheetViews>
  <sheetFormatPr defaultColWidth="13.5703125" defaultRowHeight="12.75" x14ac:dyDescent="0.2"/>
  <cols>
    <col min="9" max="10" width="13.85546875" style="6" bestFit="1" customWidth="1"/>
  </cols>
  <sheetData>
    <row r="1" spans="1:10" x14ac:dyDescent="0.2">
      <c r="A1" t="s">
        <v>144</v>
      </c>
      <c r="B1" t="s">
        <v>1493</v>
      </c>
      <c r="C1" t="s">
        <v>59</v>
      </c>
      <c r="D1" t="s">
        <v>24</v>
      </c>
      <c r="E1" t="s">
        <v>25</v>
      </c>
      <c r="F1" t="s">
        <v>26</v>
      </c>
      <c r="G1" t="s">
        <v>1494</v>
      </c>
      <c r="H1" t="s">
        <v>1495</v>
      </c>
      <c r="I1" s="6" t="s">
        <v>60</v>
      </c>
      <c r="J1" s="6" t="s">
        <v>61</v>
      </c>
    </row>
    <row r="2" spans="1:10" x14ac:dyDescent="0.2">
      <c r="A2" t="s">
        <v>1496</v>
      </c>
      <c r="B2" t="s">
        <v>2592</v>
      </c>
      <c r="C2">
        <v>1200</v>
      </c>
      <c r="D2" t="s">
        <v>1497</v>
      </c>
      <c r="E2" t="s">
        <v>1498</v>
      </c>
      <c r="F2">
        <v>30342</v>
      </c>
      <c r="G2" t="s">
        <v>1499</v>
      </c>
      <c r="I2" s="6" t="s">
        <v>1500</v>
      </c>
      <c r="J2" s="6" t="s">
        <v>1501</v>
      </c>
    </row>
    <row r="3" spans="1:10" x14ac:dyDescent="0.2">
      <c r="A3" t="s">
        <v>1502</v>
      </c>
      <c r="B3" t="s">
        <v>2593</v>
      </c>
      <c r="C3" t="s">
        <v>1503</v>
      </c>
      <c r="D3" t="s">
        <v>1504</v>
      </c>
      <c r="E3" t="s">
        <v>1498</v>
      </c>
      <c r="F3">
        <v>30009</v>
      </c>
      <c r="H3" t="s">
        <v>1505</v>
      </c>
      <c r="I3" s="6" t="s">
        <v>1506</v>
      </c>
      <c r="J3" s="6" t="s">
        <v>1507</v>
      </c>
    </row>
    <row r="4" spans="1:10" x14ac:dyDescent="0.2">
      <c r="A4" t="s">
        <v>1508</v>
      </c>
      <c r="B4" t="s">
        <v>2594</v>
      </c>
      <c r="C4" t="s">
        <v>1509</v>
      </c>
      <c r="D4" t="s">
        <v>1510</v>
      </c>
      <c r="E4" t="s">
        <v>1498</v>
      </c>
      <c r="F4">
        <v>30024</v>
      </c>
      <c r="H4" t="s">
        <v>1511</v>
      </c>
      <c r="I4" s="6" t="s">
        <v>1512</v>
      </c>
      <c r="J4" s="6" t="s">
        <v>1513</v>
      </c>
    </row>
    <row r="5" spans="1:10" x14ac:dyDescent="0.2">
      <c r="A5" t="s">
        <v>1514</v>
      </c>
      <c r="B5" t="s">
        <v>2595</v>
      </c>
      <c r="D5" t="s">
        <v>1515</v>
      </c>
      <c r="E5" t="s">
        <v>1498</v>
      </c>
      <c r="F5">
        <v>30338</v>
      </c>
      <c r="H5" t="s">
        <v>1516</v>
      </c>
      <c r="I5" s="6" t="s">
        <v>1517</v>
      </c>
      <c r="J5" s="6" t="s">
        <v>1518</v>
      </c>
    </row>
    <row r="6" spans="1:10" x14ac:dyDescent="0.2">
      <c r="A6" t="s">
        <v>1519</v>
      </c>
      <c r="B6" t="s">
        <v>2596</v>
      </c>
      <c r="D6" t="s">
        <v>1520</v>
      </c>
      <c r="E6" t="s">
        <v>1498</v>
      </c>
      <c r="F6">
        <v>30012</v>
      </c>
      <c r="H6" t="s">
        <v>1521</v>
      </c>
      <c r="I6" s="6" t="s">
        <v>1522</v>
      </c>
      <c r="J6" s="6" t="s">
        <v>1523</v>
      </c>
    </row>
    <row r="7" spans="1:10" ht="25.5" x14ac:dyDescent="0.2">
      <c r="A7" t="s">
        <v>1524</v>
      </c>
      <c r="B7" s="5" t="s">
        <v>2597</v>
      </c>
      <c r="D7" t="s">
        <v>1525</v>
      </c>
      <c r="E7" t="s">
        <v>1498</v>
      </c>
      <c r="F7">
        <v>30092</v>
      </c>
      <c r="I7" s="6" t="s">
        <v>1526</v>
      </c>
      <c r="J7" s="6" t="s">
        <v>1527</v>
      </c>
    </row>
    <row r="8" spans="1:10" x14ac:dyDescent="0.2">
      <c r="A8" t="s">
        <v>1528</v>
      </c>
      <c r="B8" t="s">
        <v>2598</v>
      </c>
      <c r="D8" t="s">
        <v>1529</v>
      </c>
      <c r="E8" t="s">
        <v>1498</v>
      </c>
      <c r="F8">
        <v>30047</v>
      </c>
      <c r="H8" t="s">
        <v>1530</v>
      </c>
      <c r="I8" s="6" t="s">
        <v>1531</v>
      </c>
      <c r="J8" s="6" t="s">
        <v>1532</v>
      </c>
    </row>
    <row r="9" spans="1:10" x14ac:dyDescent="0.2">
      <c r="A9" t="s">
        <v>1533</v>
      </c>
      <c r="B9" t="s">
        <v>2599</v>
      </c>
      <c r="C9">
        <v>230</v>
      </c>
      <c r="D9" t="s">
        <v>1534</v>
      </c>
      <c r="E9" t="s">
        <v>1498</v>
      </c>
      <c r="F9">
        <v>30189</v>
      </c>
      <c r="I9" s="6" t="s">
        <v>1535</v>
      </c>
      <c r="J9" s="6" t="s">
        <v>1536</v>
      </c>
    </row>
    <row r="10" spans="1:10" x14ac:dyDescent="0.2">
      <c r="A10" t="s">
        <v>1537</v>
      </c>
      <c r="B10" t="s">
        <v>2600</v>
      </c>
      <c r="C10" t="s">
        <v>1538</v>
      </c>
      <c r="D10" t="s">
        <v>1539</v>
      </c>
      <c r="E10" t="s">
        <v>1498</v>
      </c>
      <c r="F10">
        <v>30039</v>
      </c>
      <c r="H10" t="s">
        <v>1540</v>
      </c>
      <c r="I10" s="6" t="s">
        <v>1541</v>
      </c>
      <c r="J10" s="6" t="s">
        <v>1542</v>
      </c>
    </row>
    <row r="11" spans="1:10" x14ac:dyDescent="0.2">
      <c r="A11" t="s">
        <v>1543</v>
      </c>
      <c r="B11" t="s">
        <v>2601</v>
      </c>
      <c r="D11" t="s">
        <v>1544</v>
      </c>
      <c r="E11" t="s">
        <v>1498</v>
      </c>
      <c r="F11">
        <v>30303</v>
      </c>
      <c r="H11" t="s">
        <v>1545</v>
      </c>
      <c r="I11" s="6" t="s">
        <v>1546</v>
      </c>
    </row>
    <row r="12" spans="1:10" x14ac:dyDescent="0.2">
      <c r="A12" t="s">
        <v>1547</v>
      </c>
      <c r="B12" t="s">
        <v>2602</v>
      </c>
      <c r="C12">
        <v>1100</v>
      </c>
      <c r="D12" t="s">
        <v>1544</v>
      </c>
      <c r="E12" t="s">
        <v>1498</v>
      </c>
      <c r="F12">
        <v>30342</v>
      </c>
      <c r="I12" s="6" t="s">
        <v>1548</v>
      </c>
      <c r="J12" s="6" t="s">
        <v>1549</v>
      </c>
    </row>
    <row r="13" spans="1:10" x14ac:dyDescent="0.2">
      <c r="A13" t="s">
        <v>1550</v>
      </c>
      <c r="B13" t="s">
        <v>2603</v>
      </c>
      <c r="D13" t="s">
        <v>1551</v>
      </c>
      <c r="E13" t="s">
        <v>1498</v>
      </c>
      <c r="F13">
        <v>30032</v>
      </c>
      <c r="I13" s="6" t="s">
        <v>1552</v>
      </c>
      <c r="J13" s="6" t="s">
        <v>1553</v>
      </c>
    </row>
    <row r="14" spans="1:10" x14ac:dyDescent="0.2">
      <c r="A14" t="s">
        <v>1554</v>
      </c>
      <c r="B14" t="s">
        <v>2604</v>
      </c>
      <c r="C14">
        <v>1120</v>
      </c>
      <c r="D14" t="s">
        <v>1555</v>
      </c>
      <c r="E14" t="s">
        <v>1498</v>
      </c>
      <c r="F14">
        <v>30064</v>
      </c>
      <c r="H14" t="s">
        <v>1556</v>
      </c>
      <c r="I14" s="6" t="s">
        <v>1557</v>
      </c>
      <c r="J14" s="6" t="s">
        <v>1558</v>
      </c>
    </row>
    <row r="15" spans="1:10" x14ac:dyDescent="0.2">
      <c r="A15" t="s">
        <v>1559</v>
      </c>
      <c r="B15" t="s">
        <v>2592</v>
      </c>
      <c r="C15">
        <v>1200</v>
      </c>
      <c r="D15" t="s">
        <v>1544</v>
      </c>
      <c r="E15" t="s">
        <v>1498</v>
      </c>
      <c r="F15">
        <v>30342</v>
      </c>
      <c r="H15" t="s">
        <v>1560</v>
      </c>
      <c r="I15" s="6" t="s">
        <v>1500</v>
      </c>
      <c r="J15" s="6" t="s">
        <v>1501</v>
      </c>
    </row>
    <row r="16" spans="1:10" x14ac:dyDescent="0.2">
      <c r="A16" t="s">
        <v>1561</v>
      </c>
      <c r="B16" t="s">
        <v>2605</v>
      </c>
      <c r="D16" t="s">
        <v>1551</v>
      </c>
      <c r="E16" t="s">
        <v>1498</v>
      </c>
      <c r="F16">
        <v>30035</v>
      </c>
      <c r="I16" s="6" t="s">
        <v>1562</v>
      </c>
      <c r="J16" s="6" t="s">
        <v>1563</v>
      </c>
    </row>
    <row r="17" spans="1:10" x14ac:dyDescent="0.2">
      <c r="A17" t="s">
        <v>1564</v>
      </c>
      <c r="B17" t="s">
        <v>2606</v>
      </c>
      <c r="D17" t="s">
        <v>1565</v>
      </c>
      <c r="E17" t="s">
        <v>1498</v>
      </c>
      <c r="F17">
        <v>30045</v>
      </c>
      <c r="I17" s="6" t="s">
        <v>1566</v>
      </c>
      <c r="J17" s="6" t="s">
        <v>1567</v>
      </c>
    </row>
    <row r="18" spans="1:10" x14ac:dyDescent="0.2">
      <c r="A18" t="s">
        <v>1568</v>
      </c>
      <c r="B18" t="s">
        <v>2607</v>
      </c>
      <c r="C18">
        <v>203</v>
      </c>
      <c r="D18" t="s">
        <v>1569</v>
      </c>
      <c r="E18" t="s">
        <v>1498</v>
      </c>
      <c r="F18">
        <v>30297</v>
      </c>
      <c r="I18" s="6" t="s">
        <v>1570</v>
      </c>
      <c r="J18" s="6" t="s">
        <v>1571</v>
      </c>
    </row>
    <row r="19" spans="1:10" x14ac:dyDescent="0.2">
      <c r="A19" t="s">
        <v>1572</v>
      </c>
      <c r="B19" t="s">
        <v>2608</v>
      </c>
      <c r="D19" t="s">
        <v>1544</v>
      </c>
      <c r="E19" t="s">
        <v>1498</v>
      </c>
      <c r="F19">
        <v>30338</v>
      </c>
      <c r="H19" t="s">
        <v>1573</v>
      </c>
      <c r="I19" s="6" t="s">
        <v>1517</v>
      </c>
      <c r="J19" s="6" t="s">
        <v>1518</v>
      </c>
    </row>
    <row r="20" spans="1:10" x14ac:dyDescent="0.2">
      <c r="A20" t="s">
        <v>1574</v>
      </c>
      <c r="B20" t="s">
        <v>2609</v>
      </c>
      <c r="C20">
        <v>200</v>
      </c>
      <c r="D20" t="s">
        <v>1575</v>
      </c>
      <c r="E20" t="s">
        <v>1498</v>
      </c>
      <c r="F20">
        <v>30096</v>
      </c>
      <c r="H20" t="s">
        <v>1576</v>
      </c>
      <c r="I20" s="6" t="s">
        <v>1577</v>
      </c>
      <c r="J20" s="6" t="s">
        <v>1578</v>
      </c>
    </row>
    <row r="21" spans="1:10" x14ac:dyDescent="0.2">
      <c r="A21" t="s">
        <v>1579</v>
      </c>
      <c r="B21" t="s">
        <v>2610</v>
      </c>
      <c r="D21" t="s">
        <v>1510</v>
      </c>
      <c r="E21" t="s">
        <v>1498</v>
      </c>
      <c r="F21">
        <v>30024</v>
      </c>
      <c r="I21" s="6" t="s">
        <v>1580</v>
      </c>
      <c r="J21" s="6" t="s">
        <v>1581</v>
      </c>
    </row>
    <row r="22" spans="1:10" x14ac:dyDescent="0.2">
      <c r="A22" t="s">
        <v>1582</v>
      </c>
      <c r="B22" t="s">
        <v>2611</v>
      </c>
      <c r="D22" t="s">
        <v>1544</v>
      </c>
      <c r="E22" t="s">
        <v>1498</v>
      </c>
      <c r="F22">
        <v>30308</v>
      </c>
      <c r="I22" s="6" t="s">
        <v>1583</v>
      </c>
    </row>
    <row r="23" spans="1:10" x14ac:dyDescent="0.2">
      <c r="A23" t="s">
        <v>1584</v>
      </c>
      <c r="B23" t="s">
        <v>2612</v>
      </c>
      <c r="C23">
        <v>120</v>
      </c>
      <c r="D23" t="s">
        <v>1510</v>
      </c>
      <c r="E23" t="s">
        <v>1498</v>
      </c>
      <c r="F23">
        <v>30024</v>
      </c>
      <c r="H23" t="s">
        <v>1585</v>
      </c>
      <c r="I23" s="6" t="s">
        <v>1586</v>
      </c>
      <c r="J23" s="6" t="s">
        <v>1587</v>
      </c>
    </row>
    <row r="24" spans="1:10" x14ac:dyDescent="0.2">
      <c r="A24" t="s">
        <v>1588</v>
      </c>
      <c r="B24" t="s">
        <v>2613</v>
      </c>
      <c r="D24" t="s">
        <v>1544</v>
      </c>
      <c r="E24" t="s">
        <v>1498</v>
      </c>
      <c r="F24">
        <v>30322</v>
      </c>
      <c r="H24" t="s">
        <v>1589</v>
      </c>
      <c r="I24" s="6" t="s">
        <v>1590</v>
      </c>
      <c r="J24" s="6" t="s">
        <v>1591</v>
      </c>
    </row>
    <row r="25" spans="1:10" x14ac:dyDescent="0.2">
      <c r="A25" t="s">
        <v>1592</v>
      </c>
      <c r="B25" t="s">
        <v>2614</v>
      </c>
      <c r="D25" t="s">
        <v>1504</v>
      </c>
      <c r="E25" t="s">
        <v>1498</v>
      </c>
      <c r="F25">
        <v>30005</v>
      </c>
      <c r="I25" s="6" t="s">
        <v>1593</v>
      </c>
      <c r="J25" s="6" t="s">
        <v>1594</v>
      </c>
    </row>
    <row r="26" spans="1:10" x14ac:dyDescent="0.2">
      <c r="A26" t="s">
        <v>1595</v>
      </c>
      <c r="B26" t="s">
        <v>2615</v>
      </c>
      <c r="D26" t="s">
        <v>1596</v>
      </c>
      <c r="E26" t="s">
        <v>1498</v>
      </c>
      <c r="F26">
        <v>30122</v>
      </c>
      <c r="H26" t="s">
        <v>1597</v>
      </c>
      <c r="I26" s="6" t="s">
        <v>1598</v>
      </c>
      <c r="J26" s="6" t="s">
        <v>1599</v>
      </c>
    </row>
    <row r="27" spans="1:10" x14ac:dyDescent="0.2">
      <c r="A27" t="s">
        <v>1600</v>
      </c>
      <c r="B27" t="s">
        <v>2616</v>
      </c>
      <c r="C27">
        <v>308</v>
      </c>
      <c r="D27" t="s">
        <v>1489</v>
      </c>
      <c r="E27" t="s">
        <v>1498</v>
      </c>
      <c r="F27">
        <v>30909</v>
      </c>
      <c r="H27" t="s">
        <v>1601</v>
      </c>
      <c r="I27" s="6" t="s">
        <v>1602</v>
      </c>
      <c r="J27" s="6" t="s">
        <v>1603</v>
      </c>
    </row>
    <row r="28" spans="1:10" x14ac:dyDescent="0.2">
      <c r="A28" t="s">
        <v>1604</v>
      </c>
      <c r="B28" t="s">
        <v>2617</v>
      </c>
      <c r="C28">
        <v>601</v>
      </c>
      <c r="D28" t="s">
        <v>1605</v>
      </c>
      <c r="E28" t="s">
        <v>1498</v>
      </c>
      <c r="F28">
        <v>30033</v>
      </c>
      <c r="H28" t="s">
        <v>1606</v>
      </c>
      <c r="I28" s="6" t="s">
        <v>1607</v>
      </c>
      <c r="J28" s="6" t="s">
        <v>1608</v>
      </c>
    </row>
    <row r="29" spans="1:10" x14ac:dyDescent="0.2">
      <c r="A29" t="s">
        <v>1609</v>
      </c>
      <c r="B29" t="s">
        <v>2618</v>
      </c>
      <c r="C29" t="s">
        <v>1610</v>
      </c>
      <c r="D29" t="s">
        <v>1611</v>
      </c>
      <c r="E29" t="s">
        <v>1498</v>
      </c>
      <c r="F29">
        <v>30809</v>
      </c>
      <c r="I29" s="6" t="s">
        <v>1612</v>
      </c>
      <c r="J29" s="6" t="s">
        <v>1613</v>
      </c>
    </row>
    <row r="30" spans="1:10" x14ac:dyDescent="0.2">
      <c r="A30" t="s">
        <v>1614</v>
      </c>
      <c r="B30" t="s">
        <v>2619</v>
      </c>
      <c r="C30">
        <v>200</v>
      </c>
      <c r="D30" t="s">
        <v>1544</v>
      </c>
      <c r="E30" t="s">
        <v>1498</v>
      </c>
      <c r="F30">
        <v>30309</v>
      </c>
      <c r="I30" s="6" t="s">
        <v>1615</v>
      </c>
      <c r="J30" s="6" t="s">
        <v>1616</v>
      </c>
    </row>
    <row r="31" spans="1:10" x14ac:dyDescent="0.2">
      <c r="A31" t="s">
        <v>1617</v>
      </c>
      <c r="B31" t="s">
        <v>2620</v>
      </c>
      <c r="C31">
        <v>107</v>
      </c>
      <c r="D31" t="s">
        <v>1618</v>
      </c>
      <c r="E31" t="s">
        <v>1498</v>
      </c>
      <c r="F31">
        <v>30080</v>
      </c>
      <c r="H31" t="s">
        <v>1619</v>
      </c>
      <c r="I31" s="6" t="s">
        <v>1620</v>
      </c>
      <c r="J31" s="6" t="s">
        <v>1621</v>
      </c>
    </row>
    <row r="32" spans="1:10" x14ac:dyDescent="0.2">
      <c r="A32" t="s">
        <v>1622</v>
      </c>
      <c r="B32" t="s">
        <v>2621</v>
      </c>
      <c r="D32" t="s">
        <v>1623</v>
      </c>
      <c r="E32" t="s">
        <v>1498</v>
      </c>
      <c r="F32">
        <v>30680</v>
      </c>
      <c r="I32" s="6" t="s">
        <v>1624</v>
      </c>
      <c r="J32" s="6" t="s">
        <v>1625</v>
      </c>
    </row>
    <row r="33" spans="1:10" x14ac:dyDescent="0.2">
      <c r="A33" t="s">
        <v>1626</v>
      </c>
      <c r="B33" t="s">
        <v>2622</v>
      </c>
      <c r="C33">
        <v>200</v>
      </c>
      <c r="D33" t="s">
        <v>1544</v>
      </c>
      <c r="E33" t="s">
        <v>1498</v>
      </c>
      <c r="F33">
        <v>30342</v>
      </c>
      <c r="H33" t="s">
        <v>1627</v>
      </c>
      <c r="I33" s="6" t="s">
        <v>1628</v>
      </c>
      <c r="J33" s="6" t="s">
        <v>1629</v>
      </c>
    </row>
    <row r="34" spans="1:10" x14ac:dyDescent="0.2">
      <c r="A34" t="s">
        <v>1630</v>
      </c>
      <c r="B34" t="s">
        <v>2623</v>
      </c>
      <c r="C34">
        <v>414</v>
      </c>
      <c r="D34" t="s">
        <v>1544</v>
      </c>
      <c r="E34" t="s">
        <v>1498</v>
      </c>
      <c r="F34">
        <v>30342</v>
      </c>
      <c r="H34" t="s">
        <v>1631</v>
      </c>
      <c r="I34" s="6" t="s">
        <v>1632</v>
      </c>
      <c r="J34" s="6" t="s">
        <v>1633</v>
      </c>
    </row>
    <row r="35" spans="1:10" x14ac:dyDescent="0.2">
      <c r="A35" t="s">
        <v>1634</v>
      </c>
      <c r="B35" t="s">
        <v>2624</v>
      </c>
      <c r="C35">
        <v>414</v>
      </c>
      <c r="D35" t="s">
        <v>1544</v>
      </c>
      <c r="E35" t="s">
        <v>1498</v>
      </c>
      <c r="F35">
        <v>30312</v>
      </c>
      <c r="I35" s="6" t="s">
        <v>1635</v>
      </c>
      <c r="J35" s="6" t="s">
        <v>1636</v>
      </c>
    </row>
    <row r="36" spans="1:10" x14ac:dyDescent="0.2">
      <c r="A36" t="s">
        <v>1637</v>
      </c>
      <c r="B36" t="s">
        <v>2625</v>
      </c>
      <c r="C36">
        <v>202</v>
      </c>
      <c r="D36" t="s">
        <v>1638</v>
      </c>
      <c r="E36" t="s">
        <v>1498</v>
      </c>
      <c r="F36">
        <v>30083</v>
      </c>
      <c r="H36" t="s">
        <v>1639</v>
      </c>
      <c r="I36" s="6" t="s">
        <v>1640</v>
      </c>
      <c r="J36" s="6" t="s">
        <v>1641</v>
      </c>
    </row>
    <row r="37" spans="1:10" x14ac:dyDescent="0.2">
      <c r="A37" t="s">
        <v>1642</v>
      </c>
      <c r="B37" t="s">
        <v>2626</v>
      </c>
      <c r="C37">
        <v>201</v>
      </c>
      <c r="D37" t="s">
        <v>1643</v>
      </c>
      <c r="E37" t="s">
        <v>1498</v>
      </c>
      <c r="F37">
        <v>30144</v>
      </c>
      <c r="H37" t="s">
        <v>1644</v>
      </c>
      <c r="I37" s="6" t="s">
        <v>1645</v>
      </c>
      <c r="J37" s="6" t="s">
        <v>1646</v>
      </c>
    </row>
    <row r="38" spans="1:10" x14ac:dyDescent="0.2">
      <c r="A38" t="s">
        <v>1647</v>
      </c>
      <c r="B38" t="s">
        <v>2627</v>
      </c>
      <c r="C38">
        <v>102</v>
      </c>
      <c r="D38" t="s">
        <v>1555</v>
      </c>
      <c r="E38" t="s">
        <v>1498</v>
      </c>
      <c r="F38">
        <v>30067</v>
      </c>
      <c r="H38" t="s">
        <v>1648</v>
      </c>
      <c r="I38" s="6" t="s">
        <v>1649</v>
      </c>
      <c r="J38" s="6" t="s">
        <v>1650</v>
      </c>
    </row>
    <row r="39" spans="1:10" x14ac:dyDescent="0.2">
      <c r="A39" t="s">
        <v>1651</v>
      </c>
      <c r="B39" t="s">
        <v>2628</v>
      </c>
      <c r="C39">
        <v>130</v>
      </c>
      <c r="D39" t="s">
        <v>1575</v>
      </c>
      <c r="E39" t="s">
        <v>1498</v>
      </c>
      <c r="F39">
        <v>30096</v>
      </c>
      <c r="I39" s="6" t="s">
        <v>1359</v>
      </c>
      <c r="J39" s="6" t="s">
        <v>1373</v>
      </c>
    </row>
    <row r="40" spans="1:10" x14ac:dyDescent="0.2">
      <c r="A40" t="s">
        <v>1652</v>
      </c>
      <c r="B40" t="s">
        <v>2629</v>
      </c>
      <c r="C40">
        <v>201</v>
      </c>
      <c r="D40" t="s">
        <v>1489</v>
      </c>
      <c r="E40" t="s">
        <v>1498</v>
      </c>
      <c r="F40">
        <v>30909</v>
      </c>
      <c r="H40" t="s">
        <v>1653</v>
      </c>
      <c r="I40" s="6" t="s">
        <v>1654</v>
      </c>
      <c r="J40" s="6" t="s">
        <v>1603</v>
      </c>
    </row>
    <row r="41" spans="1:10" x14ac:dyDescent="0.2">
      <c r="A41" t="s">
        <v>1655</v>
      </c>
      <c r="B41" t="s">
        <v>2630</v>
      </c>
      <c r="D41" t="s">
        <v>1489</v>
      </c>
      <c r="E41" t="s">
        <v>1498</v>
      </c>
      <c r="F41">
        <v>30904</v>
      </c>
      <c r="H41" t="s">
        <v>1656</v>
      </c>
      <c r="I41" s="6" t="s">
        <v>1657</v>
      </c>
      <c r="J41" s="6" t="s">
        <v>1658</v>
      </c>
    </row>
    <row r="42" spans="1:10" x14ac:dyDescent="0.2">
      <c r="A42" t="s">
        <v>1659</v>
      </c>
      <c r="B42" t="s">
        <v>2631</v>
      </c>
      <c r="C42">
        <v>118</v>
      </c>
      <c r="D42" t="s">
        <v>1544</v>
      </c>
      <c r="E42" t="s">
        <v>1498</v>
      </c>
      <c r="F42">
        <v>30338</v>
      </c>
      <c r="H42" t="s">
        <v>1660</v>
      </c>
      <c r="I42" s="6" t="s">
        <v>1661</v>
      </c>
      <c r="J42" s="6" t="s">
        <v>1662</v>
      </c>
    </row>
    <row r="43" spans="1:10" x14ac:dyDescent="0.2">
      <c r="A43" t="s">
        <v>1663</v>
      </c>
      <c r="B43" t="s">
        <v>2632</v>
      </c>
      <c r="D43" t="s">
        <v>1539</v>
      </c>
      <c r="E43" t="s">
        <v>1498</v>
      </c>
      <c r="F43">
        <v>30039</v>
      </c>
      <c r="I43" s="6" t="s">
        <v>1664</v>
      </c>
    </row>
    <row r="44" spans="1:10" x14ac:dyDescent="0.2">
      <c r="A44" t="s">
        <v>1665</v>
      </c>
      <c r="B44" t="s">
        <v>2633</v>
      </c>
      <c r="D44" t="s">
        <v>1544</v>
      </c>
      <c r="E44" t="s">
        <v>1498</v>
      </c>
      <c r="F44">
        <v>30329</v>
      </c>
      <c r="I44" s="6" t="s">
        <v>1590</v>
      </c>
      <c r="J44" s="6" t="s">
        <v>1591</v>
      </c>
    </row>
    <row r="45" spans="1:10" x14ac:dyDescent="0.2">
      <c r="A45" t="s">
        <v>1666</v>
      </c>
      <c r="B45" t="s">
        <v>2634</v>
      </c>
      <c r="C45">
        <v>100</v>
      </c>
      <c r="D45" t="s">
        <v>1667</v>
      </c>
      <c r="E45" t="s">
        <v>1498</v>
      </c>
      <c r="F45">
        <v>30341</v>
      </c>
      <c r="I45" s="6" t="s">
        <v>1668</v>
      </c>
      <c r="J45" s="6" t="s">
        <v>1669</v>
      </c>
    </row>
    <row r="46" spans="1:10" x14ac:dyDescent="0.2">
      <c r="A46" t="s">
        <v>1670</v>
      </c>
      <c r="B46" t="s">
        <v>2635</v>
      </c>
      <c r="C46" t="s">
        <v>1538</v>
      </c>
      <c r="D46" t="s">
        <v>1667</v>
      </c>
      <c r="E46" t="s">
        <v>1498</v>
      </c>
      <c r="F46">
        <v>30341</v>
      </c>
      <c r="H46" t="s">
        <v>1671</v>
      </c>
      <c r="I46" s="6" t="s">
        <v>1672</v>
      </c>
      <c r="J46" s="6" t="s">
        <v>1673</v>
      </c>
    </row>
    <row r="47" spans="1:10" x14ac:dyDescent="0.2">
      <c r="A47" t="s">
        <v>1674</v>
      </c>
      <c r="B47" t="s">
        <v>2636</v>
      </c>
      <c r="C47">
        <v>3300</v>
      </c>
      <c r="D47" t="s">
        <v>1675</v>
      </c>
      <c r="E47" t="s">
        <v>1498</v>
      </c>
      <c r="F47">
        <v>30606</v>
      </c>
      <c r="H47" t="s">
        <v>1676</v>
      </c>
      <c r="I47" s="6" t="s">
        <v>1677</v>
      </c>
      <c r="J47" s="6" t="s">
        <v>1678</v>
      </c>
    </row>
    <row r="48" spans="1:10" x14ac:dyDescent="0.2">
      <c r="A48" t="s">
        <v>1679</v>
      </c>
      <c r="B48" t="s">
        <v>2637</v>
      </c>
      <c r="D48" t="s">
        <v>1544</v>
      </c>
      <c r="E48" t="s">
        <v>1498</v>
      </c>
      <c r="F48">
        <v>30354</v>
      </c>
      <c r="I48" s="6" t="s">
        <v>1680</v>
      </c>
      <c r="J48" s="6" t="s">
        <v>1681</v>
      </c>
    </row>
    <row r="49" spans="1:10" x14ac:dyDescent="0.2">
      <c r="A49" t="s">
        <v>1682</v>
      </c>
      <c r="B49" t="s">
        <v>2638</v>
      </c>
      <c r="C49">
        <v>100</v>
      </c>
      <c r="D49" t="s">
        <v>1575</v>
      </c>
      <c r="E49" t="s">
        <v>1498</v>
      </c>
      <c r="F49">
        <v>30096</v>
      </c>
      <c r="I49" s="6" t="s">
        <v>1683</v>
      </c>
      <c r="J49" s="6" t="s">
        <v>1684</v>
      </c>
    </row>
    <row r="50" spans="1:10" x14ac:dyDescent="0.2">
      <c r="A50" t="s">
        <v>1685</v>
      </c>
      <c r="B50" t="s">
        <v>2639</v>
      </c>
      <c r="C50">
        <v>300</v>
      </c>
      <c r="D50" t="s">
        <v>1551</v>
      </c>
      <c r="E50" t="s">
        <v>1498</v>
      </c>
      <c r="F50">
        <v>30034</v>
      </c>
      <c r="I50" s="6" t="s">
        <v>1686</v>
      </c>
      <c r="J50" s="6" t="s">
        <v>1687</v>
      </c>
    </row>
    <row r="51" spans="1:10" x14ac:dyDescent="0.2">
      <c r="A51" t="s">
        <v>1688</v>
      </c>
      <c r="B51" t="s">
        <v>2640</v>
      </c>
      <c r="C51">
        <v>400</v>
      </c>
      <c r="D51" t="s">
        <v>1544</v>
      </c>
      <c r="E51" t="s">
        <v>1498</v>
      </c>
      <c r="F51">
        <v>30309</v>
      </c>
      <c r="I51" s="6" t="s">
        <v>1689</v>
      </c>
      <c r="J51" s="6" t="s">
        <v>1690</v>
      </c>
    </row>
    <row r="52" spans="1:10" x14ac:dyDescent="0.2">
      <c r="A52" t="s">
        <v>1691</v>
      </c>
      <c r="B52" t="s">
        <v>2641</v>
      </c>
      <c r="D52" t="s">
        <v>1692</v>
      </c>
      <c r="E52" t="s">
        <v>1498</v>
      </c>
      <c r="F52">
        <v>30294</v>
      </c>
      <c r="H52" t="s">
        <v>1693</v>
      </c>
      <c r="I52" s="6" t="s">
        <v>1694</v>
      </c>
      <c r="J52" s="6" t="s">
        <v>1695</v>
      </c>
    </row>
    <row r="53" spans="1:10" x14ac:dyDescent="0.2">
      <c r="A53" t="s">
        <v>1696</v>
      </c>
      <c r="B53" t="s">
        <v>2642</v>
      </c>
      <c r="C53">
        <v>5</v>
      </c>
      <c r="D53" t="s">
        <v>1697</v>
      </c>
      <c r="E53" t="s">
        <v>1498</v>
      </c>
      <c r="F53">
        <v>30106</v>
      </c>
      <c r="I53" s="6" t="s">
        <v>1698</v>
      </c>
      <c r="J53" s="6" t="s">
        <v>1699</v>
      </c>
    </row>
    <row r="54" spans="1:10" x14ac:dyDescent="0.2">
      <c r="A54" t="s">
        <v>1700</v>
      </c>
      <c r="B54" t="s">
        <v>2643</v>
      </c>
      <c r="C54">
        <v>100</v>
      </c>
      <c r="D54" t="s">
        <v>1701</v>
      </c>
      <c r="E54" t="s">
        <v>1498</v>
      </c>
      <c r="F54">
        <v>30214</v>
      </c>
      <c r="I54" s="6" t="s">
        <v>1702</v>
      </c>
    </row>
    <row r="55" spans="1:10" x14ac:dyDescent="0.2">
      <c r="A55" t="s">
        <v>1703</v>
      </c>
      <c r="B55" t="s">
        <v>2644</v>
      </c>
      <c r="C55">
        <v>7220</v>
      </c>
      <c r="D55" t="s">
        <v>1544</v>
      </c>
      <c r="E55" t="s">
        <v>1498</v>
      </c>
      <c r="F55">
        <v>30363</v>
      </c>
      <c r="I55" s="6" t="s">
        <v>1704</v>
      </c>
    </row>
    <row r="56" spans="1:10" x14ac:dyDescent="0.2">
      <c r="A56" t="s">
        <v>1705</v>
      </c>
      <c r="B56" t="s">
        <v>2645</v>
      </c>
      <c r="D56" t="s">
        <v>1596</v>
      </c>
      <c r="E56" t="s">
        <v>1498</v>
      </c>
      <c r="F56">
        <v>30122</v>
      </c>
      <c r="H56" t="s">
        <v>1706</v>
      </c>
      <c r="I56" s="6" t="s">
        <v>1707</v>
      </c>
      <c r="J56" s="6" t="s">
        <v>1599</v>
      </c>
    </row>
    <row r="57" spans="1:10" x14ac:dyDescent="0.2">
      <c r="A57" t="s">
        <v>1708</v>
      </c>
      <c r="B57" t="s">
        <v>2646</v>
      </c>
      <c r="C57">
        <v>101</v>
      </c>
      <c r="D57" t="s">
        <v>1611</v>
      </c>
      <c r="E57" t="s">
        <v>1498</v>
      </c>
      <c r="F57">
        <v>30809</v>
      </c>
      <c r="I57" s="6" t="s">
        <v>1709</v>
      </c>
      <c r="J57" s="6" t="s">
        <v>1710</v>
      </c>
    </row>
    <row r="58" spans="1:10" x14ac:dyDescent="0.2">
      <c r="A58" t="s">
        <v>1711</v>
      </c>
      <c r="B58" t="s">
        <v>2647</v>
      </c>
      <c r="C58">
        <v>101</v>
      </c>
      <c r="D58" t="s">
        <v>1489</v>
      </c>
      <c r="E58" t="s">
        <v>1498</v>
      </c>
      <c r="F58">
        <v>30909</v>
      </c>
      <c r="H58" t="s">
        <v>1712</v>
      </c>
      <c r="I58" s="6" t="s">
        <v>1713</v>
      </c>
      <c r="J58" s="6" t="s">
        <v>1714</v>
      </c>
    </row>
    <row r="59" spans="1:10" x14ac:dyDescent="0.2">
      <c r="A59" t="s">
        <v>1715</v>
      </c>
      <c r="B59" t="s">
        <v>2648</v>
      </c>
      <c r="D59" t="s">
        <v>1544</v>
      </c>
      <c r="E59" t="s">
        <v>1498</v>
      </c>
      <c r="F59">
        <v>30312</v>
      </c>
      <c r="H59" t="s">
        <v>1716</v>
      </c>
      <c r="I59" s="6" t="s">
        <v>1717</v>
      </c>
      <c r="J59" s="6" t="s">
        <v>1718</v>
      </c>
    </row>
    <row r="60" spans="1:10" x14ac:dyDescent="0.2">
      <c r="A60" t="s">
        <v>1719</v>
      </c>
      <c r="B60" t="s">
        <v>2649</v>
      </c>
      <c r="D60" t="s">
        <v>1575</v>
      </c>
      <c r="E60" t="s">
        <v>1498</v>
      </c>
      <c r="F60">
        <v>30096</v>
      </c>
      <c r="I60" s="6" t="s">
        <v>1720</v>
      </c>
      <c r="J60" s="6" t="s">
        <v>1721</v>
      </c>
    </row>
    <row r="61" spans="1:10" x14ac:dyDescent="0.2">
      <c r="A61" t="s">
        <v>1722</v>
      </c>
      <c r="B61" t="s">
        <v>2650</v>
      </c>
      <c r="D61" t="s">
        <v>1565</v>
      </c>
      <c r="E61" t="s">
        <v>1498</v>
      </c>
      <c r="F61">
        <v>30046</v>
      </c>
      <c r="I61" s="6" t="s">
        <v>1723</v>
      </c>
      <c r="J61" s="6" t="s">
        <v>1724</v>
      </c>
    </row>
    <row r="62" spans="1:10" x14ac:dyDescent="0.2">
      <c r="A62" t="s">
        <v>1725</v>
      </c>
      <c r="B62" t="s">
        <v>2651</v>
      </c>
      <c r="D62" t="s">
        <v>1726</v>
      </c>
      <c r="E62" t="s">
        <v>1498</v>
      </c>
      <c r="F62">
        <v>30518</v>
      </c>
      <c r="H62" t="s">
        <v>1727</v>
      </c>
      <c r="I62" s="6" t="s">
        <v>1728</v>
      </c>
      <c r="J62" s="6" t="s">
        <v>1729</v>
      </c>
    </row>
    <row r="63" spans="1:10" x14ac:dyDescent="0.2">
      <c r="A63" t="s">
        <v>1730</v>
      </c>
      <c r="B63" t="s">
        <v>2652</v>
      </c>
      <c r="C63">
        <v>650</v>
      </c>
      <c r="D63" t="s">
        <v>1544</v>
      </c>
      <c r="E63" t="s">
        <v>1498</v>
      </c>
      <c r="F63">
        <v>30318</v>
      </c>
      <c r="I63" s="6" t="s">
        <v>1731</v>
      </c>
      <c r="J63" s="6" t="s">
        <v>1732</v>
      </c>
    </row>
    <row r="64" spans="1:10" x14ac:dyDescent="0.2">
      <c r="A64" t="s">
        <v>1733</v>
      </c>
      <c r="B64" t="s">
        <v>2653</v>
      </c>
      <c r="D64" t="s">
        <v>1618</v>
      </c>
      <c r="E64" t="s">
        <v>1498</v>
      </c>
      <c r="F64">
        <v>30082</v>
      </c>
      <c r="H64" t="s">
        <v>1734</v>
      </c>
      <c r="I64" s="6" t="s">
        <v>1735</v>
      </c>
      <c r="J64" s="6" t="s">
        <v>1736</v>
      </c>
    </row>
    <row r="65" spans="1:10" x14ac:dyDescent="0.2">
      <c r="A65" t="s">
        <v>1737</v>
      </c>
      <c r="B65" t="s">
        <v>1738</v>
      </c>
      <c r="E65" t="s">
        <v>1498</v>
      </c>
      <c r="I65" s="6" t="s">
        <v>1739</v>
      </c>
    </row>
    <row r="66" spans="1:10" x14ac:dyDescent="0.2">
      <c r="A66" t="s">
        <v>1740</v>
      </c>
      <c r="B66" t="s">
        <v>2654</v>
      </c>
      <c r="C66">
        <v>100</v>
      </c>
      <c r="D66" t="s">
        <v>1565</v>
      </c>
      <c r="E66" t="s">
        <v>1498</v>
      </c>
      <c r="F66">
        <v>30045</v>
      </c>
      <c r="I66" s="6" t="s">
        <v>1741</v>
      </c>
      <c r="J66" s="6" t="s">
        <v>1742</v>
      </c>
    </row>
    <row r="67" spans="1:10" x14ac:dyDescent="0.2">
      <c r="A67" t="s">
        <v>1743</v>
      </c>
      <c r="B67" t="s">
        <v>2655</v>
      </c>
      <c r="D67" t="s">
        <v>1575</v>
      </c>
      <c r="E67" t="s">
        <v>1498</v>
      </c>
      <c r="F67">
        <v>30096</v>
      </c>
      <c r="I67" s="6" t="s">
        <v>1744</v>
      </c>
      <c r="J67" s="6" t="s">
        <v>1745</v>
      </c>
    </row>
    <row r="68" spans="1:10" x14ac:dyDescent="0.2">
      <c r="A68" t="s">
        <v>1746</v>
      </c>
      <c r="B68" t="s">
        <v>2656</v>
      </c>
      <c r="D68" t="s">
        <v>1489</v>
      </c>
      <c r="E68" t="s">
        <v>1498</v>
      </c>
      <c r="F68">
        <v>30909</v>
      </c>
      <c r="H68" t="s">
        <v>1747</v>
      </c>
      <c r="I68" s="6" t="s">
        <v>1748</v>
      </c>
      <c r="J68" s="6" t="s">
        <v>1749</v>
      </c>
    </row>
    <row r="69" spans="1:10" x14ac:dyDescent="0.2">
      <c r="A69" t="s">
        <v>1750</v>
      </c>
      <c r="B69" t="s">
        <v>2657</v>
      </c>
      <c r="D69" t="s">
        <v>1555</v>
      </c>
      <c r="E69" t="s">
        <v>1498</v>
      </c>
      <c r="F69">
        <v>30067</v>
      </c>
      <c r="H69" t="s">
        <v>1751</v>
      </c>
      <c r="I69" s="6" t="s">
        <v>1752</v>
      </c>
      <c r="J69" s="6" t="s">
        <v>1753</v>
      </c>
    </row>
    <row r="70" spans="1:10" x14ac:dyDescent="0.2">
      <c r="A70" t="s">
        <v>1754</v>
      </c>
      <c r="B70" t="s">
        <v>2658</v>
      </c>
      <c r="D70" t="s">
        <v>1755</v>
      </c>
      <c r="E70" t="s">
        <v>1498</v>
      </c>
      <c r="F70">
        <v>30236</v>
      </c>
      <c r="I70" s="6" t="s">
        <v>1756</v>
      </c>
      <c r="J70" s="6" t="s">
        <v>1757</v>
      </c>
    </row>
    <row r="71" spans="1:10" x14ac:dyDescent="0.2">
      <c r="A71" t="s">
        <v>1758</v>
      </c>
      <c r="B71" t="s">
        <v>2659</v>
      </c>
      <c r="D71" t="s">
        <v>1544</v>
      </c>
      <c r="E71" t="s">
        <v>1498</v>
      </c>
      <c r="F71">
        <v>30322</v>
      </c>
      <c r="I71" s="6" t="s">
        <v>1759</v>
      </c>
    </row>
    <row r="72" spans="1:10" x14ac:dyDescent="0.2">
      <c r="A72" t="s">
        <v>1760</v>
      </c>
      <c r="B72" t="s">
        <v>2660</v>
      </c>
      <c r="C72">
        <v>105</v>
      </c>
      <c r="D72" t="s">
        <v>1761</v>
      </c>
      <c r="E72" t="s">
        <v>1498</v>
      </c>
      <c r="F72">
        <v>30677</v>
      </c>
      <c r="H72" t="s">
        <v>1762</v>
      </c>
      <c r="I72" s="6" t="s">
        <v>1763</v>
      </c>
      <c r="J72" s="6" t="s">
        <v>1764</v>
      </c>
    </row>
    <row r="73" spans="1:10" x14ac:dyDescent="0.2">
      <c r="A73" t="s">
        <v>1765</v>
      </c>
      <c r="B73" t="s">
        <v>2661</v>
      </c>
      <c r="C73">
        <v>330</v>
      </c>
      <c r="D73" t="s">
        <v>1551</v>
      </c>
      <c r="E73" t="s">
        <v>1498</v>
      </c>
      <c r="F73">
        <v>30033</v>
      </c>
      <c r="H73" t="s">
        <v>1766</v>
      </c>
      <c r="I73" s="6" t="s">
        <v>1767</v>
      </c>
      <c r="J73" s="6" t="s">
        <v>1768</v>
      </c>
    </row>
    <row r="74" spans="1:10" x14ac:dyDescent="0.2">
      <c r="A74" t="s">
        <v>1769</v>
      </c>
      <c r="B74" t="s">
        <v>2662</v>
      </c>
      <c r="C74">
        <v>120</v>
      </c>
      <c r="D74" t="s">
        <v>1770</v>
      </c>
      <c r="E74" t="s">
        <v>1498</v>
      </c>
      <c r="F74">
        <v>30076</v>
      </c>
      <c r="H74" t="s">
        <v>1771</v>
      </c>
      <c r="I74" s="6" t="s">
        <v>1772</v>
      </c>
      <c r="J74" s="6" t="s">
        <v>1773</v>
      </c>
    </row>
    <row r="75" spans="1:10" x14ac:dyDescent="0.2">
      <c r="A75" t="s">
        <v>1774</v>
      </c>
      <c r="B75" t="s">
        <v>2663</v>
      </c>
      <c r="C75">
        <v>175</v>
      </c>
      <c r="D75" t="s">
        <v>1544</v>
      </c>
      <c r="E75" t="s">
        <v>1498</v>
      </c>
      <c r="F75">
        <v>30309</v>
      </c>
      <c r="I75" s="6" t="s">
        <v>1775</v>
      </c>
      <c r="J75" s="6" t="s">
        <v>1776</v>
      </c>
    </row>
    <row r="76" spans="1:10" x14ac:dyDescent="0.2">
      <c r="A76" t="s">
        <v>1777</v>
      </c>
      <c r="B76" t="s">
        <v>2664</v>
      </c>
      <c r="C76">
        <v>210</v>
      </c>
      <c r="D76" t="s">
        <v>1778</v>
      </c>
      <c r="E76" t="s">
        <v>1498</v>
      </c>
      <c r="F76">
        <v>30041</v>
      </c>
      <c r="H76" t="s">
        <v>1779</v>
      </c>
      <c r="I76" s="6" t="s">
        <v>1780</v>
      </c>
      <c r="J76" s="6" t="s">
        <v>1781</v>
      </c>
    </row>
    <row r="77" spans="1:10" x14ac:dyDescent="0.2">
      <c r="A77" t="s">
        <v>1782</v>
      </c>
      <c r="B77" t="s">
        <v>2665</v>
      </c>
      <c r="D77" t="s">
        <v>1778</v>
      </c>
      <c r="E77" t="s">
        <v>1498</v>
      </c>
      <c r="F77">
        <v>30040</v>
      </c>
      <c r="I77" s="6" t="s">
        <v>1783</v>
      </c>
      <c r="J77" s="6" t="s">
        <v>1784</v>
      </c>
    </row>
    <row r="78" spans="1:10" x14ac:dyDescent="0.2">
      <c r="A78" t="s">
        <v>1785</v>
      </c>
      <c r="B78" t="s">
        <v>2666</v>
      </c>
      <c r="C78" t="s">
        <v>1786</v>
      </c>
      <c r="D78" t="s">
        <v>1787</v>
      </c>
      <c r="E78" t="s">
        <v>1498</v>
      </c>
      <c r="F78">
        <v>30058</v>
      </c>
      <c r="H78" t="s">
        <v>1788</v>
      </c>
      <c r="I78" s="6" t="s">
        <v>1789</v>
      </c>
      <c r="J78" s="6" t="s">
        <v>1790</v>
      </c>
    </row>
    <row r="79" spans="1:10" x14ac:dyDescent="0.2">
      <c r="A79" t="s">
        <v>1791</v>
      </c>
      <c r="B79" t="s">
        <v>2667</v>
      </c>
      <c r="D79" t="s">
        <v>1770</v>
      </c>
      <c r="E79" t="s">
        <v>1498</v>
      </c>
      <c r="F79">
        <v>30076</v>
      </c>
      <c r="H79" t="s">
        <v>1792</v>
      </c>
      <c r="I79" s="6" t="s">
        <v>1793</v>
      </c>
      <c r="J79" s="6" t="s">
        <v>1794</v>
      </c>
    </row>
    <row r="80" spans="1:10" x14ac:dyDescent="0.2">
      <c r="A80" t="s">
        <v>1795</v>
      </c>
      <c r="B80" t="s">
        <v>2668</v>
      </c>
      <c r="C80" t="s">
        <v>1796</v>
      </c>
      <c r="D80" t="s">
        <v>1797</v>
      </c>
      <c r="E80" t="s">
        <v>1498</v>
      </c>
      <c r="F80">
        <v>30269</v>
      </c>
      <c r="I80" s="6" t="s">
        <v>1798</v>
      </c>
    </row>
    <row r="81" spans="1:10" x14ac:dyDescent="0.2">
      <c r="A81" t="s">
        <v>1799</v>
      </c>
      <c r="B81" t="s">
        <v>2669</v>
      </c>
      <c r="C81">
        <v>550</v>
      </c>
      <c r="D81" t="s">
        <v>1544</v>
      </c>
      <c r="E81" t="s">
        <v>1498</v>
      </c>
      <c r="H81" t="s">
        <v>1800</v>
      </c>
      <c r="I81" s="6" t="s">
        <v>1801</v>
      </c>
      <c r="J81" s="6" t="s">
        <v>1802</v>
      </c>
    </row>
    <row r="82" spans="1:10" x14ac:dyDescent="0.2">
      <c r="A82" t="s">
        <v>1803</v>
      </c>
      <c r="B82" t="s">
        <v>2596</v>
      </c>
      <c r="D82" t="s">
        <v>1520</v>
      </c>
      <c r="E82" t="s">
        <v>1498</v>
      </c>
      <c r="F82">
        <v>30012</v>
      </c>
      <c r="I82" s="6" t="s">
        <v>1522</v>
      </c>
      <c r="J82" s="6" t="s">
        <v>1523</v>
      </c>
    </row>
    <row r="83" spans="1:10" x14ac:dyDescent="0.2">
      <c r="A83" t="s">
        <v>1804</v>
      </c>
      <c r="B83" t="s">
        <v>2670</v>
      </c>
      <c r="D83" t="s">
        <v>1805</v>
      </c>
      <c r="E83" t="s">
        <v>1498</v>
      </c>
      <c r="F83">
        <v>30344</v>
      </c>
      <c r="H83" t="s">
        <v>1806</v>
      </c>
      <c r="I83" s="6" t="s">
        <v>1807</v>
      </c>
      <c r="J83" s="6" t="s">
        <v>1808</v>
      </c>
    </row>
    <row r="84" spans="1:10" x14ac:dyDescent="0.2">
      <c r="A84" t="s">
        <v>1809</v>
      </c>
      <c r="B84" t="s">
        <v>2671</v>
      </c>
      <c r="D84" t="s">
        <v>1755</v>
      </c>
      <c r="E84" t="s">
        <v>1498</v>
      </c>
      <c r="F84">
        <v>30236</v>
      </c>
      <c r="I84" s="6" t="s">
        <v>1810</v>
      </c>
      <c r="J84" s="6" t="s">
        <v>1811</v>
      </c>
    </row>
    <row r="85" spans="1:10" x14ac:dyDescent="0.2">
      <c r="A85" t="s">
        <v>1812</v>
      </c>
      <c r="B85" t="s">
        <v>2672</v>
      </c>
      <c r="C85">
        <v>210</v>
      </c>
      <c r="D85" t="s">
        <v>1510</v>
      </c>
      <c r="E85" t="s">
        <v>1498</v>
      </c>
      <c r="F85">
        <v>30024</v>
      </c>
      <c r="I85" s="6" t="s">
        <v>1813</v>
      </c>
      <c r="J85" s="6" t="s">
        <v>1814</v>
      </c>
    </row>
    <row r="86" spans="1:10" x14ac:dyDescent="0.2">
      <c r="A86" t="s">
        <v>1815</v>
      </c>
      <c r="B86" t="s">
        <v>2673</v>
      </c>
      <c r="D86" t="s">
        <v>1544</v>
      </c>
      <c r="E86" t="s">
        <v>1498</v>
      </c>
      <c r="F86">
        <v>30350</v>
      </c>
      <c r="H86" t="s">
        <v>1816</v>
      </c>
    </row>
    <row r="87" spans="1:10" x14ac:dyDescent="0.2">
      <c r="A87" t="s">
        <v>1817</v>
      </c>
      <c r="B87" t="s">
        <v>2613</v>
      </c>
      <c r="C87" t="s">
        <v>1818</v>
      </c>
      <c r="D87" t="s">
        <v>1544</v>
      </c>
      <c r="E87" t="s">
        <v>1498</v>
      </c>
      <c r="F87">
        <v>30322</v>
      </c>
      <c r="I87" s="6" t="s">
        <v>1819</v>
      </c>
      <c r="J87" s="6" t="s">
        <v>1820</v>
      </c>
    </row>
    <row r="88" spans="1:10" x14ac:dyDescent="0.2">
      <c r="A88" t="s">
        <v>1821</v>
      </c>
      <c r="B88" t="s">
        <v>2674</v>
      </c>
      <c r="C88">
        <v>100</v>
      </c>
      <c r="D88" t="s">
        <v>1643</v>
      </c>
      <c r="E88" t="s">
        <v>1498</v>
      </c>
      <c r="F88">
        <v>30144</v>
      </c>
      <c r="I88" s="6" t="s">
        <v>1822</v>
      </c>
      <c r="J88" s="6" t="s">
        <v>1823</v>
      </c>
    </row>
    <row r="89" spans="1:10" x14ac:dyDescent="0.2">
      <c r="A89" t="s">
        <v>1824</v>
      </c>
      <c r="B89" t="s">
        <v>2644</v>
      </c>
      <c r="C89">
        <v>7220</v>
      </c>
      <c r="D89" t="s">
        <v>1544</v>
      </c>
      <c r="E89" t="s">
        <v>1498</v>
      </c>
      <c r="F89">
        <v>30363</v>
      </c>
      <c r="H89" t="s">
        <v>1825</v>
      </c>
      <c r="I89" s="6" t="s">
        <v>1826</v>
      </c>
      <c r="J89" s="6" t="s">
        <v>1827</v>
      </c>
    </row>
    <row r="90" spans="1:10" x14ac:dyDescent="0.2">
      <c r="A90" t="s">
        <v>1828</v>
      </c>
      <c r="B90" t="s">
        <v>2675</v>
      </c>
      <c r="D90" t="s">
        <v>1697</v>
      </c>
      <c r="E90" t="s">
        <v>1498</v>
      </c>
      <c r="F90">
        <v>30106</v>
      </c>
      <c r="I90" s="6" t="s">
        <v>1829</v>
      </c>
      <c r="J90" s="6" t="s">
        <v>1830</v>
      </c>
    </row>
    <row r="91" spans="1:10" x14ac:dyDescent="0.2">
      <c r="A91" t="s">
        <v>1831</v>
      </c>
      <c r="B91" t="s">
        <v>2598</v>
      </c>
      <c r="C91">
        <v>105</v>
      </c>
      <c r="D91" t="s">
        <v>1529</v>
      </c>
      <c r="E91" t="s">
        <v>1498</v>
      </c>
      <c r="F91">
        <v>30047</v>
      </c>
      <c r="H91" t="s">
        <v>1832</v>
      </c>
      <c r="I91" s="6" t="s">
        <v>1833</v>
      </c>
      <c r="J91" s="6" t="s">
        <v>1834</v>
      </c>
    </row>
    <row r="92" spans="1:10" x14ac:dyDescent="0.2">
      <c r="A92" t="s">
        <v>1835</v>
      </c>
      <c r="B92" t="s">
        <v>2676</v>
      </c>
      <c r="C92">
        <v>320</v>
      </c>
      <c r="D92" t="s">
        <v>1555</v>
      </c>
      <c r="E92" t="s">
        <v>1498</v>
      </c>
      <c r="F92">
        <v>30062</v>
      </c>
      <c r="I92" s="6" t="s">
        <v>1836</v>
      </c>
      <c r="J92" s="6" t="s">
        <v>1837</v>
      </c>
    </row>
    <row r="93" spans="1:10" x14ac:dyDescent="0.2">
      <c r="A93" t="s">
        <v>1838</v>
      </c>
      <c r="B93" t="s">
        <v>2677</v>
      </c>
      <c r="C93">
        <v>170</v>
      </c>
      <c r="D93" t="s">
        <v>1839</v>
      </c>
      <c r="E93" t="s">
        <v>1498</v>
      </c>
      <c r="F93">
        <v>30084</v>
      </c>
      <c r="I93" s="6" t="s">
        <v>1840</v>
      </c>
      <c r="J93" s="6" t="s">
        <v>1841</v>
      </c>
    </row>
    <row r="94" spans="1:10" x14ac:dyDescent="0.2">
      <c r="A94" t="s">
        <v>1842</v>
      </c>
      <c r="B94" t="s">
        <v>2678</v>
      </c>
      <c r="C94">
        <v>100</v>
      </c>
      <c r="D94" t="s">
        <v>1544</v>
      </c>
      <c r="E94" t="s">
        <v>1498</v>
      </c>
      <c r="F94">
        <v>30342</v>
      </c>
      <c r="I94" s="6" t="s">
        <v>1843</v>
      </c>
      <c r="J94" s="6" t="s">
        <v>1844</v>
      </c>
    </row>
    <row r="95" spans="1:10" x14ac:dyDescent="0.2">
      <c r="A95" t="s">
        <v>1845</v>
      </c>
      <c r="B95" t="s">
        <v>2679</v>
      </c>
      <c r="C95">
        <v>1550</v>
      </c>
      <c r="D95" t="s">
        <v>1544</v>
      </c>
      <c r="E95" t="s">
        <v>1498</v>
      </c>
      <c r="F95">
        <v>30308</v>
      </c>
      <c r="I95" s="6" t="s">
        <v>1846</v>
      </c>
      <c r="J95" s="6" t="s">
        <v>1847</v>
      </c>
    </row>
    <row r="96" spans="1:10" x14ac:dyDescent="0.2">
      <c r="A96" t="s">
        <v>1848</v>
      </c>
      <c r="B96" t="s">
        <v>2680</v>
      </c>
      <c r="D96" t="s">
        <v>1555</v>
      </c>
      <c r="E96" t="s">
        <v>1498</v>
      </c>
      <c r="F96">
        <v>30060</v>
      </c>
      <c r="I96" s="6" t="s">
        <v>1849</v>
      </c>
      <c r="J96" s="6" t="s">
        <v>1850</v>
      </c>
    </row>
    <row r="97" spans="1:10" x14ac:dyDescent="0.2">
      <c r="A97" t="s">
        <v>1851</v>
      </c>
      <c r="B97" t="s">
        <v>2681</v>
      </c>
      <c r="D97" t="s">
        <v>1534</v>
      </c>
      <c r="E97" t="s">
        <v>1498</v>
      </c>
      <c r="F97">
        <v>30188</v>
      </c>
      <c r="H97" t="s">
        <v>1852</v>
      </c>
      <c r="I97" s="6" t="s">
        <v>1853</v>
      </c>
      <c r="J97" s="6" t="s">
        <v>1854</v>
      </c>
    </row>
    <row r="98" spans="1:10" x14ac:dyDescent="0.2">
      <c r="A98" t="s">
        <v>1855</v>
      </c>
      <c r="B98" t="s">
        <v>2682</v>
      </c>
      <c r="D98" t="s">
        <v>1544</v>
      </c>
      <c r="E98" t="s">
        <v>1498</v>
      </c>
      <c r="F98">
        <v>30322</v>
      </c>
      <c r="I98" s="6" t="s">
        <v>1819</v>
      </c>
    </row>
    <row r="99" spans="1:10" x14ac:dyDescent="0.2">
      <c r="A99" t="s">
        <v>1856</v>
      </c>
      <c r="B99" t="s">
        <v>2683</v>
      </c>
      <c r="C99">
        <v>30</v>
      </c>
      <c r="D99" t="s">
        <v>1544</v>
      </c>
      <c r="E99" t="s">
        <v>1498</v>
      </c>
      <c r="F99">
        <v>30338</v>
      </c>
      <c r="H99" t="s">
        <v>1857</v>
      </c>
      <c r="I99" s="6" t="s">
        <v>1858</v>
      </c>
      <c r="J99" s="6" t="s">
        <v>1859</v>
      </c>
    </row>
    <row r="100" spans="1:10" x14ac:dyDescent="0.2">
      <c r="A100" t="s">
        <v>1860</v>
      </c>
      <c r="B100" t="s">
        <v>2684</v>
      </c>
      <c r="C100" t="s">
        <v>1861</v>
      </c>
      <c r="D100" t="s">
        <v>1638</v>
      </c>
      <c r="E100" t="s">
        <v>1498</v>
      </c>
      <c r="F100">
        <v>30083</v>
      </c>
      <c r="I100" s="6" t="s">
        <v>1862</v>
      </c>
      <c r="J100" s="6" t="s">
        <v>1863</v>
      </c>
    </row>
    <row r="101" spans="1:10" x14ac:dyDescent="0.2">
      <c r="A101" t="s">
        <v>1864</v>
      </c>
      <c r="B101" t="s">
        <v>2643</v>
      </c>
      <c r="C101">
        <v>200</v>
      </c>
      <c r="D101" t="s">
        <v>1701</v>
      </c>
      <c r="E101" t="s">
        <v>1498</v>
      </c>
      <c r="F101">
        <v>30214</v>
      </c>
      <c r="H101" t="s">
        <v>1865</v>
      </c>
      <c r="I101" s="6" t="s">
        <v>1866</v>
      </c>
      <c r="J101" s="6" t="s">
        <v>1867</v>
      </c>
    </row>
    <row r="102" spans="1:10" x14ac:dyDescent="0.2">
      <c r="A102" t="s">
        <v>1868</v>
      </c>
      <c r="B102" t="s">
        <v>2601</v>
      </c>
      <c r="D102" t="s">
        <v>1544</v>
      </c>
      <c r="E102" t="s">
        <v>1498</v>
      </c>
      <c r="F102">
        <v>30303</v>
      </c>
      <c r="I102" s="6" t="s">
        <v>1869</v>
      </c>
    </row>
    <row r="103" spans="1:10" x14ac:dyDescent="0.2">
      <c r="A103" t="s">
        <v>1870</v>
      </c>
      <c r="B103" t="s">
        <v>2685</v>
      </c>
      <c r="D103" t="s">
        <v>1544</v>
      </c>
      <c r="E103" t="s">
        <v>1498</v>
      </c>
      <c r="F103">
        <v>30303</v>
      </c>
      <c r="I103" s="6" t="s">
        <v>1869</v>
      </c>
    </row>
    <row r="104" spans="1:10" x14ac:dyDescent="0.2">
      <c r="A104" t="s">
        <v>1871</v>
      </c>
      <c r="B104" t="s">
        <v>2686</v>
      </c>
      <c r="D104" t="s">
        <v>1544</v>
      </c>
      <c r="E104" t="s">
        <v>1498</v>
      </c>
      <c r="F104">
        <v>30329</v>
      </c>
      <c r="I104" s="6" t="s">
        <v>1590</v>
      </c>
    </row>
    <row r="105" spans="1:10" x14ac:dyDescent="0.2">
      <c r="A105" t="s">
        <v>1872</v>
      </c>
      <c r="B105" t="s">
        <v>2687</v>
      </c>
      <c r="C105">
        <v>200</v>
      </c>
      <c r="D105" t="s">
        <v>1551</v>
      </c>
      <c r="E105" t="s">
        <v>1498</v>
      </c>
      <c r="F105">
        <v>30033</v>
      </c>
      <c r="H105" t="s">
        <v>1873</v>
      </c>
      <c r="I105" s="6" t="s">
        <v>1874</v>
      </c>
      <c r="J105" s="6" t="s">
        <v>1875</v>
      </c>
    </row>
    <row r="106" spans="1:10" x14ac:dyDescent="0.2">
      <c r="A106" t="s">
        <v>1876</v>
      </c>
      <c r="B106" t="s">
        <v>2688</v>
      </c>
      <c r="D106" t="s">
        <v>1529</v>
      </c>
      <c r="E106" t="s">
        <v>1498</v>
      </c>
      <c r="F106">
        <v>30047</v>
      </c>
      <c r="I106" s="6" t="s">
        <v>1877</v>
      </c>
      <c r="J106" s="6" t="s">
        <v>1878</v>
      </c>
    </row>
    <row r="107" spans="1:10" x14ac:dyDescent="0.2">
      <c r="A107" t="s">
        <v>1879</v>
      </c>
      <c r="B107" t="s">
        <v>2689</v>
      </c>
      <c r="D107" t="s">
        <v>1539</v>
      </c>
      <c r="E107" t="s">
        <v>1498</v>
      </c>
      <c r="F107">
        <v>30078</v>
      </c>
      <c r="H107" t="s">
        <v>1880</v>
      </c>
      <c r="I107" s="6" t="s">
        <v>1881</v>
      </c>
      <c r="J107" s="6" t="s">
        <v>1882</v>
      </c>
    </row>
    <row r="108" spans="1:10" x14ac:dyDescent="0.2">
      <c r="A108" t="s">
        <v>1883</v>
      </c>
      <c r="B108" t="s">
        <v>2690</v>
      </c>
      <c r="C108">
        <v>402</v>
      </c>
      <c r="D108" t="s">
        <v>1778</v>
      </c>
      <c r="E108" t="s">
        <v>1498</v>
      </c>
      <c r="F108">
        <v>30041</v>
      </c>
      <c r="I108" s="6" t="s">
        <v>1884</v>
      </c>
    </row>
    <row r="109" spans="1:10" x14ac:dyDescent="0.2">
      <c r="A109" t="s">
        <v>1885</v>
      </c>
      <c r="B109" t="s">
        <v>2691</v>
      </c>
      <c r="C109">
        <v>295</v>
      </c>
      <c r="D109" t="s">
        <v>1551</v>
      </c>
      <c r="E109" t="s">
        <v>1498</v>
      </c>
      <c r="F109">
        <v>30033</v>
      </c>
      <c r="I109" s="6" t="s">
        <v>1886</v>
      </c>
      <c r="J109" s="6" t="s">
        <v>1887</v>
      </c>
    </row>
    <row r="110" spans="1:10" x14ac:dyDescent="0.2">
      <c r="A110" t="s">
        <v>1888</v>
      </c>
      <c r="B110" t="s">
        <v>2692</v>
      </c>
      <c r="C110" t="s">
        <v>1538</v>
      </c>
      <c r="D110" t="s">
        <v>1551</v>
      </c>
      <c r="E110" t="s">
        <v>1498</v>
      </c>
      <c r="F110">
        <v>30030</v>
      </c>
      <c r="H110" t="s">
        <v>1889</v>
      </c>
      <c r="I110" s="6" t="s">
        <v>1810</v>
      </c>
    </row>
    <row r="111" spans="1:10" x14ac:dyDescent="0.2">
      <c r="A111" t="s">
        <v>1890</v>
      </c>
      <c r="B111" t="s">
        <v>2693</v>
      </c>
      <c r="C111" t="s">
        <v>1891</v>
      </c>
      <c r="D111" t="s">
        <v>1638</v>
      </c>
      <c r="E111" t="s">
        <v>1498</v>
      </c>
      <c r="F111">
        <v>30083</v>
      </c>
      <c r="I111" s="6" t="s">
        <v>1892</v>
      </c>
      <c r="J111" s="6" t="s">
        <v>1893</v>
      </c>
    </row>
    <row r="112" spans="1:10" x14ac:dyDescent="0.2">
      <c r="A112" t="s">
        <v>1894</v>
      </c>
      <c r="B112" t="s">
        <v>2694</v>
      </c>
      <c r="D112" t="s">
        <v>1551</v>
      </c>
      <c r="E112" t="s">
        <v>1498</v>
      </c>
      <c r="F112">
        <v>30033</v>
      </c>
      <c r="H112" t="s">
        <v>1895</v>
      </c>
      <c r="I112" s="6" t="s">
        <v>1896</v>
      </c>
      <c r="J112" s="6" t="s">
        <v>1897</v>
      </c>
    </row>
    <row r="113" spans="1:10" x14ac:dyDescent="0.2">
      <c r="A113" t="s">
        <v>1898</v>
      </c>
      <c r="B113" t="s">
        <v>2695</v>
      </c>
      <c r="C113" t="s">
        <v>1899</v>
      </c>
      <c r="D113" t="s">
        <v>1611</v>
      </c>
      <c r="E113" t="s">
        <v>1498</v>
      </c>
      <c r="F113">
        <v>30809</v>
      </c>
      <c r="H113" t="s">
        <v>1900</v>
      </c>
      <c r="I113" s="6" t="s">
        <v>1901</v>
      </c>
      <c r="J113" s="6" t="s">
        <v>1902</v>
      </c>
    </row>
    <row r="114" spans="1:10" x14ac:dyDescent="0.2">
      <c r="A114" t="s">
        <v>1903</v>
      </c>
      <c r="B114" t="s">
        <v>2696</v>
      </c>
      <c r="C114">
        <v>310</v>
      </c>
      <c r="D114" t="s">
        <v>1544</v>
      </c>
      <c r="E114" t="s">
        <v>1498</v>
      </c>
      <c r="F114">
        <v>30309</v>
      </c>
      <c r="I114" s="6" t="s">
        <v>1904</v>
      </c>
      <c r="J114" s="6" t="s">
        <v>1905</v>
      </c>
    </row>
    <row r="115" spans="1:10" x14ac:dyDescent="0.2">
      <c r="A115" t="s">
        <v>1906</v>
      </c>
      <c r="B115" t="s">
        <v>2697</v>
      </c>
      <c r="C115">
        <v>435</v>
      </c>
      <c r="D115" t="s">
        <v>1544</v>
      </c>
      <c r="E115" t="s">
        <v>1498</v>
      </c>
      <c r="F115">
        <v>30312</v>
      </c>
      <c r="H115" t="s">
        <v>1907</v>
      </c>
      <c r="I115" s="6" t="s">
        <v>1908</v>
      </c>
      <c r="J115" s="6" t="s">
        <v>1909</v>
      </c>
    </row>
    <row r="116" spans="1:10" x14ac:dyDescent="0.2">
      <c r="A116" t="s">
        <v>1910</v>
      </c>
      <c r="B116" t="s">
        <v>2698</v>
      </c>
      <c r="D116" t="s">
        <v>1555</v>
      </c>
      <c r="E116" t="s">
        <v>1498</v>
      </c>
      <c r="F116">
        <v>30068</v>
      </c>
      <c r="I116" s="6" t="s">
        <v>1911</v>
      </c>
      <c r="J116" s="6" t="s">
        <v>1912</v>
      </c>
    </row>
    <row r="117" spans="1:10" x14ac:dyDescent="0.2">
      <c r="A117" t="s">
        <v>1913</v>
      </c>
      <c r="B117" t="s">
        <v>2699</v>
      </c>
      <c r="C117">
        <v>300</v>
      </c>
      <c r="D117" t="s">
        <v>1555</v>
      </c>
      <c r="E117" t="s">
        <v>1498</v>
      </c>
      <c r="F117">
        <v>30062</v>
      </c>
      <c r="I117" s="6" t="s">
        <v>1914</v>
      </c>
      <c r="J117" s="6" t="s">
        <v>1915</v>
      </c>
    </row>
    <row r="118" spans="1:10" x14ac:dyDescent="0.2">
      <c r="A118" t="s">
        <v>1916</v>
      </c>
      <c r="B118" t="s">
        <v>2700</v>
      </c>
      <c r="D118" t="s">
        <v>1917</v>
      </c>
      <c r="E118" t="s">
        <v>1498</v>
      </c>
      <c r="F118">
        <v>30518</v>
      </c>
      <c r="H118" t="s">
        <v>1918</v>
      </c>
      <c r="I118" s="6" t="s">
        <v>1919</v>
      </c>
      <c r="J118" s="6" t="s">
        <v>1920</v>
      </c>
    </row>
    <row r="119" spans="1:10" x14ac:dyDescent="0.2">
      <c r="A119" t="s">
        <v>1921</v>
      </c>
      <c r="B119" t="s">
        <v>2701</v>
      </c>
      <c r="C119">
        <v>113</v>
      </c>
      <c r="D119" t="s">
        <v>1922</v>
      </c>
      <c r="E119" t="s">
        <v>1498</v>
      </c>
      <c r="F119">
        <v>30907</v>
      </c>
      <c r="I119" s="6" t="s">
        <v>1923</v>
      </c>
      <c r="J119" s="6" t="s">
        <v>1924</v>
      </c>
    </row>
    <row r="120" spans="1:10" x14ac:dyDescent="0.2">
      <c r="A120" t="s">
        <v>1925</v>
      </c>
      <c r="B120" t="s">
        <v>2702</v>
      </c>
      <c r="C120" t="s">
        <v>1926</v>
      </c>
      <c r="D120" t="s">
        <v>1544</v>
      </c>
      <c r="E120" t="s">
        <v>1498</v>
      </c>
      <c r="F120">
        <v>30342</v>
      </c>
      <c r="I120" s="6" t="s">
        <v>1927</v>
      </c>
      <c r="J120" s="6" t="s">
        <v>1928</v>
      </c>
    </row>
    <row r="121" spans="1:10" x14ac:dyDescent="0.2">
      <c r="A121" t="s">
        <v>1929</v>
      </c>
      <c r="B121" t="s">
        <v>2703</v>
      </c>
      <c r="C121">
        <v>300</v>
      </c>
      <c r="D121" t="s">
        <v>1544</v>
      </c>
      <c r="E121" t="s">
        <v>1498</v>
      </c>
      <c r="F121">
        <v>30342</v>
      </c>
      <c r="I121" s="6" t="s">
        <v>1930</v>
      </c>
      <c r="J121" s="6" t="s">
        <v>1931</v>
      </c>
    </row>
    <row r="122" spans="1:10" x14ac:dyDescent="0.2">
      <c r="A122" t="s">
        <v>1932</v>
      </c>
      <c r="B122" t="s">
        <v>2704</v>
      </c>
      <c r="C122" t="s">
        <v>1796</v>
      </c>
      <c r="D122" t="s">
        <v>1489</v>
      </c>
      <c r="E122" t="s">
        <v>1498</v>
      </c>
      <c r="F122">
        <v>30909</v>
      </c>
      <c r="H122" t="s">
        <v>1933</v>
      </c>
      <c r="I122" s="6" t="s">
        <v>1934</v>
      </c>
      <c r="J122" s="6" t="s">
        <v>1935</v>
      </c>
    </row>
    <row r="123" spans="1:10" x14ac:dyDescent="0.2">
      <c r="A123" t="s">
        <v>1936</v>
      </c>
      <c r="B123" t="s">
        <v>2705</v>
      </c>
      <c r="C123">
        <v>500</v>
      </c>
      <c r="D123" t="s">
        <v>1937</v>
      </c>
      <c r="E123" t="s">
        <v>1498</v>
      </c>
      <c r="F123">
        <v>30328</v>
      </c>
      <c r="H123" t="s">
        <v>1938</v>
      </c>
      <c r="I123" s="6" t="s">
        <v>1939</v>
      </c>
      <c r="J123" s="6" t="s">
        <v>1940</v>
      </c>
    </row>
    <row r="124" spans="1:10" x14ac:dyDescent="0.2">
      <c r="A124" t="s">
        <v>1941</v>
      </c>
      <c r="B124" t="s">
        <v>2695</v>
      </c>
      <c r="C124" t="s">
        <v>1899</v>
      </c>
      <c r="D124" t="s">
        <v>1611</v>
      </c>
      <c r="E124" t="s">
        <v>1498</v>
      </c>
      <c r="F124">
        <v>30809</v>
      </c>
      <c r="H124" t="s">
        <v>1942</v>
      </c>
      <c r="I124" s="6" t="s">
        <v>1901</v>
      </c>
      <c r="J124" s="6" t="s">
        <v>1902</v>
      </c>
    </row>
    <row r="125" spans="1:10" x14ac:dyDescent="0.2">
      <c r="A125" t="s">
        <v>1943</v>
      </c>
      <c r="B125" t="s">
        <v>2706</v>
      </c>
      <c r="C125" t="s">
        <v>1944</v>
      </c>
      <c r="D125" t="s">
        <v>1770</v>
      </c>
      <c r="E125" t="s">
        <v>1498</v>
      </c>
      <c r="F125">
        <v>30076</v>
      </c>
      <c r="I125" s="6" t="s">
        <v>1945</v>
      </c>
      <c r="J125" s="6" t="s">
        <v>1946</v>
      </c>
    </row>
    <row r="126" spans="1:10" x14ac:dyDescent="0.2">
      <c r="A126" t="s">
        <v>1947</v>
      </c>
      <c r="B126" t="s">
        <v>2707</v>
      </c>
      <c r="C126">
        <v>203</v>
      </c>
      <c r="D126" t="s">
        <v>1948</v>
      </c>
      <c r="E126" t="s">
        <v>1498</v>
      </c>
      <c r="F126">
        <v>30281</v>
      </c>
      <c r="H126" t="s">
        <v>1949</v>
      </c>
      <c r="I126" s="6" t="s">
        <v>1950</v>
      </c>
      <c r="J126" s="6" t="s">
        <v>1951</v>
      </c>
    </row>
    <row r="127" spans="1:10" x14ac:dyDescent="0.2">
      <c r="A127" t="s">
        <v>1952</v>
      </c>
      <c r="B127" t="s">
        <v>2708</v>
      </c>
      <c r="D127" t="s">
        <v>1520</v>
      </c>
      <c r="E127" t="s">
        <v>1498</v>
      </c>
      <c r="F127">
        <v>30013</v>
      </c>
      <c r="I127" s="6" t="s">
        <v>1953</v>
      </c>
      <c r="J127" s="6" t="s">
        <v>1954</v>
      </c>
    </row>
    <row r="128" spans="1:10" x14ac:dyDescent="0.2">
      <c r="A128" t="s">
        <v>1955</v>
      </c>
      <c r="B128" t="s">
        <v>2709</v>
      </c>
      <c r="D128" t="s">
        <v>1489</v>
      </c>
      <c r="E128" t="s">
        <v>1498</v>
      </c>
      <c r="F128">
        <v>30909</v>
      </c>
      <c r="H128" t="s">
        <v>1956</v>
      </c>
      <c r="I128" s="6" t="s">
        <v>1748</v>
      </c>
      <c r="J128" s="6" t="s">
        <v>1749</v>
      </c>
    </row>
    <row r="129" spans="1:10" x14ac:dyDescent="0.2">
      <c r="A129" t="s">
        <v>1957</v>
      </c>
      <c r="B129" t="s">
        <v>2710</v>
      </c>
      <c r="D129" t="s">
        <v>1489</v>
      </c>
      <c r="E129" t="s">
        <v>1498</v>
      </c>
      <c r="F129">
        <v>30907</v>
      </c>
      <c r="I129" s="6" t="s">
        <v>1958</v>
      </c>
      <c r="J129" s="6" t="s">
        <v>1959</v>
      </c>
    </row>
    <row r="130" spans="1:10" x14ac:dyDescent="0.2">
      <c r="A130" t="s">
        <v>1960</v>
      </c>
      <c r="B130" t="s">
        <v>2711</v>
      </c>
      <c r="C130">
        <v>206</v>
      </c>
      <c r="D130" t="s">
        <v>1544</v>
      </c>
      <c r="E130" t="s">
        <v>1498</v>
      </c>
      <c r="F130">
        <v>30311</v>
      </c>
      <c r="I130" s="6" t="s">
        <v>1961</v>
      </c>
      <c r="J130" s="6" t="s">
        <v>1962</v>
      </c>
    </row>
    <row r="131" spans="1:10" x14ac:dyDescent="0.2">
      <c r="A131" t="s">
        <v>1963</v>
      </c>
      <c r="B131" t="s">
        <v>2712</v>
      </c>
      <c r="D131" t="s">
        <v>1964</v>
      </c>
      <c r="E131" t="s">
        <v>1498</v>
      </c>
      <c r="F131">
        <v>30179</v>
      </c>
      <c r="I131" s="6" t="s">
        <v>1965</v>
      </c>
      <c r="J131" s="6" t="s">
        <v>1966</v>
      </c>
    </row>
    <row r="132" spans="1:10" x14ac:dyDescent="0.2">
      <c r="A132" t="s">
        <v>1967</v>
      </c>
      <c r="B132" t="s">
        <v>2713</v>
      </c>
      <c r="C132">
        <v>200</v>
      </c>
      <c r="D132" t="s">
        <v>1534</v>
      </c>
      <c r="E132" t="s">
        <v>1498</v>
      </c>
      <c r="F132">
        <v>30188</v>
      </c>
      <c r="I132" s="6" t="s">
        <v>1968</v>
      </c>
      <c r="J132" s="6" t="s">
        <v>1969</v>
      </c>
    </row>
    <row r="133" spans="1:10" x14ac:dyDescent="0.2">
      <c r="A133" t="s">
        <v>1970</v>
      </c>
      <c r="B133" t="s">
        <v>2714</v>
      </c>
      <c r="C133">
        <v>101</v>
      </c>
      <c r="D133" t="s">
        <v>1638</v>
      </c>
      <c r="E133" t="s">
        <v>1498</v>
      </c>
      <c r="F133">
        <v>30087</v>
      </c>
      <c r="H133" t="s">
        <v>1971</v>
      </c>
      <c r="I133" s="6" t="s">
        <v>1972</v>
      </c>
      <c r="J133" s="6" t="s">
        <v>1973</v>
      </c>
    </row>
    <row r="134" spans="1:10" x14ac:dyDescent="0.2">
      <c r="A134" t="s">
        <v>1974</v>
      </c>
      <c r="B134" t="s">
        <v>2715</v>
      </c>
      <c r="D134" t="s">
        <v>1697</v>
      </c>
      <c r="E134" t="s">
        <v>1498</v>
      </c>
      <c r="F134">
        <v>30106</v>
      </c>
      <c r="I134" s="6" t="s">
        <v>1975</v>
      </c>
      <c r="J134" s="6" t="s">
        <v>1976</v>
      </c>
    </row>
    <row r="135" spans="1:10" x14ac:dyDescent="0.2">
      <c r="A135" t="s">
        <v>1977</v>
      </c>
      <c r="B135" t="s">
        <v>2716</v>
      </c>
      <c r="C135" t="s">
        <v>1796</v>
      </c>
      <c r="D135" t="s">
        <v>1978</v>
      </c>
      <c r="E135" t="s">
        <v>1498</v>
      </c>
      <c r="F135">
        <v>31210</v>
      </c>
      <c r="I135" s="6" t="s">
        <v>1979</v>
      </c>
      <c r="J135" s="6" t="s">
        <v>1980</v>
      </c>
    </row>
    <row r="136" spans="1:10" x14ac:dyDescent="0.2">
      <c r="A136" t="s">
        <v>1981</v>
      </c>
      <c r="B136" t="s">
        <v>2717</v>
      </c>
      <c r="C136">
        <v>200</v>
      </c>
      <c r="D136" t="s">
        <v>1539</v>
      </c>
      <c r="E136" t="s">
        <v>1498</v>
      </c>
      <c r="F136">
        <v>30078</v>
      </c>
      <c r="H136" t="s">
        <v>1982</v>
      </c>
      <c r="I136" s="6" t="s">
        <v>1983</v>
      </c>
      <c r="J136" s="6" t="s">
        <v>1984</v>
      </c>
    </row>
    <row r="137" spans="1:10" x14ac:dyDescent="0.2">
      <c r="A137" t="s">
        <v>1985</v>
      </c>
      <c r="B137" t="s">
        <v>2718</v>
      </c>
      <c r="C137" t="s">
        <v>1861</v>
      </c>
      <c r="D137" t="s">
        <v>1575</v>
      </c>
      <c r="E137" t="s">
        <v>1498</v>
      </c>
      <c r="F137">
        <v>30096</v>
      </c>
      <c r="I137" s="6" t="s">
        <v>1986</v>
      </c>
      <c r="J137" s="6" t="s">
        <v>1987</v>
      </c>
    </row>
    <row r="138" spans="1:10" x14ac:dyDescent="0.2">
      <c r="A138" t="s">
        <v>1988</v>
      </c>
      <c r="B138" t="s">
        <v>2719</v>
      </c>
      <c r="C138">
        <v>360</v>
      </c>
      <c r="D138" t="s">
        <v>1510</v>
      </c>
      <c r="E138" t="s">
        <v>1498</v>
      </c>
      <c r="F138">
        <v>30024</v>
      </c>
      <c r="I138" s="6" t="s">
        <v>1989</v>
      </c>
      <c r="J138" s="6" t="s">
        <v>1990</v>
      </c>
    </row>
    <row r="139" spans="1:10" x14ac:dyDescent="0.2">
      <c r="A139" t="s">
        <v>1991</v>
      </c>
      <c r="B139" t="s">
        <v>2720</v>
      </c>
      <c r="D139" t="s">
        <v>1544</v>
      </c>
      <c r="E139" t="s">
        <v>1498</v>
      </c>
      <c r="F139">
        <v>30309</v>
      </c>
      <c r="H139" t="s">
        <v>1992</v>
      </c>
      <c r="I139" s="6" t="s">
        <v>1993</v>
      </c>
      <c r="J139" s="6" t="s">
        <v>1994</v>
      </c>
    </row>
    <row r="140" spans="1:10" x14ac:dyDescent="0.2">
      <c r="A140" t="s">
        <v>1995</v>
      </c>
      <c r="B140" t="s">
        <v>2721</v>
      </c>
      <c r="D140" t="s">
        <v>1544</v>
      </c>
      <c r="E140" t="s">
        <v>1498</v>
      </c>
      <c r="F140">
        <v>30318</v>
      </c>
      <c r="I140" s="6" t="s">
        <v>1996</v>
      </c>
      <c r="J140" s="6" t="s">
        <v>1997</v>
      </c>
    </row>
    <row r="141" spans="1:10" x14ac:dyDescent="0.2">
      <c r="A141" t="s">
        <v>1998</v>
      </c>
      <c r="B141" t="s">
        <v>2722</v>
      </c>
      <c r="D141" t="s">
        <v>1544</v>
      </c>
      <c r="E141" t="s">
        <v>1498</v>
      </c>
      <c r="F141">
        <v>30308</v>
      </c>
      <c r="H141" t="s">
        <v>1999</v>
      </c>
      <c r="I141" s="6" t="s">
        <v>2000</v>
      </c>
      <c r="J141" s="6" t="s">
        <v>2001</v>
      </c>
    </row>
    <row r="142" spans="1:10" x14ac:dyDescent="0.2">
      <c r="A142" t="s">
        <v>2002</v>
      </c>
      <c r="B142" t="s">
        <v>2723</v>
      </c>
      <c r="D142" t="s">
        <v>1770</v>
      </c>
      <c r="E142" t="s">
        <v>1498</v>
      </c>
      <c r="F142">
        <v>30076</v>
      </c>
      <c r="I142" s="6" t="s">
        <v>2003</v>
      </c>
      <c r="J142" s="6" t="s">
        <v>2004</v>
      </c>
    </row>
    <row r="143" spans="1:10" x14ac:dyDescent="0.2">
      <c r="A143" t="s">
        <v>2005</v>
      </c>
      <c r="B143" t="s">
        <v>2724</v>
      </c>
      <c r="C143">
        <v>103</v>
      </c>
      <c r="D143" t="s">
        <v>1489</v>
      </c>
      <c r="E143" t="s">
        <v>1498</v>
      </c>
      <c r="F143">
        <v>30906</v>
      </c>
      <c r="H143" t="s">
        <v>2006</v>
      </c>
      <c r="I143" s="6" t="s">
        <v>2007</v>
      </c>
      <c r="J143" s="6" t="s">
        <v>2008</v>
      </c>
    </row>
    <row r="144" spans="1:10" x14ac:dyDescent="0.2">
      <c r="A144" t="s">
        <v>2009</v>
      </c>
      <c r="B144" t="s">
        <v>2725</v>
      </c>
      <c r="C144">
        <v>150</v>
      </c>
      <c r="D144" t="s">
        <v>2010</v>
      </c>
      <c r="E144" t="s">
        <v>1498</v>
      </c>
      <c r="F144">
        <v>30097</v>
      </c>
      <c r="H144" t="s">
        <v>2011</v>
      </c>
      <c r="I144" s="6" t="s">
        <v>2012</v>
      </c>
      <c r="J144" s="6" t="s">
        <v>2013</v>
      </c>
    </row>
    <row r="145" spans="1:10" x14ac:dyDescent="0.2">
      <c r="A145" t="s">
        <v>2014</v>
      </c>
      <c r="B145" t="s">
        <v>2726</v>
      </c>
      <c r="C145">
        <v>140</v>
      </c>
      <c r="D145" t="s">
        <v>1575</v>
      </c>
      <c r="E145" t="s">
        <v>1498</v>
      </c>
      <c r="F145">
        <v>30096</v>
      </c>
      <c r="I145" s="6" t="s">
        <v>2015</v>
      </c>
      <c r="J145" s="6" t="s">
        <v>2016</v>
      </c>
    </row>
    <row r="146" spans="1:10" x14ac:dyDescent="0.2">
      <c r="A146" t="s">
        <v>2017</v>
      </c>
      <c r="B146" t="s">
        <v>2727</v>
      </c>
      <c r="C146">
        <v>950</v>
      </c>
      <c r="D146" t="s">
        <v>1544</v>
      </c>
      <c r="E146" t="s">
        <v>1498</v>
      </c>
      <c r="F146">
        <v>30342</v>
      </c>
      <c r="H146" t="s">
        <v>2018</v>
      </c>
      <c r="I146" s="6" t="s">
        <v>2019</v>
      </c>
      <c r="J146" s="6" t="s">
        <v>2020</v>
      </c>
    </row>
    <row r="147" spans="1:10" x14ac:dyDescent="0.2">
      <c r="A147" t="s">
        <v>2021</v>
      </c>
      <c r="B147" t="s">
        <v>2679</v>
      </c>
      <c r="C147">
        <v>1700</v>
      </c>
      <c r="D147" t="s">
        <v>1544</v>
      </c>
      <c r="E147" t="s">
        <v>1498</v>
      </c>
      <c r="F147">
        <v>30308</v>
      </c>
      <c r="H147" t="s">
        <v>2022</v>
      </c>
      <c r="I147" s="6" t="s">
        <v>2023</v>
      </c>
      <c r="J147" s="6" t="s">
        <v>2024</v>
      </c>
    </row>
    <row r="148" spans="1:10" x14ac:dyDescent="0.2">
      <c r="A148" t="s">
        <v>2025</v>
      </c>
      <c r="B148" t="s">
        <v>2728</v>
      </c>
      <c r="C148">
        <v>105</v>
      </c>
      <c r="D148" t="s">
        <v>1529</v>
      </c>
      <c r="E148" t="s">
        <v>1498</v>
      </c>
      <c r="F148">
        <v>30047</v>
      </c>
      <c r="H148" t="s">
        <v>2026</v>
      </c>
      <c r="I148" s="6" t="s">
        <v>1833</v>
      </c>
      <c r="J148" s="6" t="s">
        <v>1834</v>
      </c>
    </row>
    <row r="149" spans="1:10" x14ac:dyDescent="0.2">
      <c r="A149" t="s">
        <v>2027</v>
      </c>
      <c r="B149" t="s">
        <v>2729</v>
      </c>
      <c r="D149" t="s">
        <v>1515</v>
      </c>
      <c r="E149" t="s">
        <v>1498</v>
      </c>
      <c r="F149">
        <v>30338</v>
      </c>
      <c r="I149" s="6" t="s">
        <v>2028</v>
      </c>
      <c r="J149" s="6" t="s">
        <v>2029</v>
      </c>
    </row>
    <row r="150" spans="1:10" x14ac:dyDescent="0.2">
      <c r="A150" t="s">
        <v>2030</v>
      </c>
      <c r="B150" t="s">
        <v>2730</v>
      </c>
      <c r="C150">
        <v>200</v>
      </c>
      <c r="D150" t="s">
        <v>1565</v>
      </c>
      <c r="E150" t="s">
        <v>1498</v>
      </c>
      <c r="F150">
        <v>30044</v>
      </c>
      <c r="I150" s="6" t="s">
        <v>2031</v>
      </c>
      <c r="J150" s="6" t="s">
        <v>2032</v>
      </c>
    </row>
    <row r="151" spans="1:10" x14ac:dyDescent="0.2">
      <c r="A151" t="s">
        <v>2033</v>
      </c>
      <c r="B151" t="s">
        <v>1450</v>
      </c>
      <c r="E151" t="s">
        <v>1498</v>
      </c>
      <c r="I151" s="6" t="s">
        <v>2034</v>
      </c>
    </row>
    <row r="152" spans="1:10" x14ac:dyDescent="0.2">
      <c r="A152" t="s">
        <v>2035</v>
      </c>
      <c r="B152" t="s">
        <v>2731</v>
      </c>
      <c r="D152" t="s">
        <v>1489</v>
      </c>
      <c r="E152" t="s">
        <v>1498</v>
      </c>
      <c r="F152">
        <v>30904</v>
      </c>
      <c r="H152" t="s">
        <v>2036</v>
      </c>
      <c r="I152" s="6" t="s">
        <v>2037</v>
      </c>
      <c r="J152" s="6" t="s">
        <v>2038</v>
      </c>
    </row>
    <row r="153" spans="1:10" x14ac:dyDescent="0.2">
      <c r="A153" t="s">
        <v>2039</v>
      </c>
      <c r="B153" t="s">
        <v>2732</v>
      </c>
      <c r="D153" t="s">
        <v>1839</v>
      </c>
      <c r="E153" t="s">
        <v>1498</v>
      </c>
      <c r="F153">
        <v>30084</v>
      </c>
      <c r="H153" t="s">
        <v>2040</v>
      </c>
      <c r="I153" s="6" t="s">
        <v>2041</v>
      </c>
      <c r="J153" s="6" t="s">
        <v>2042</v>
      </c>
    </row>
    <row r="154" spans="1:10" x14ac:dyDescent="0.2">
      <c r="A154" t="s">
        <v>2043</v>
      </c>
      <c r="B154" t="s">
        <v>2633</v>
      </c>
      <c r="D154" t="s">
        <v>2044</v>
      </c>
      <c r="E154" t="s">
        <v>1498</v>
      </c>
      <c r="F154">
        <v>30329</v>
      </c>
      <c r="I154" s="6" t="s">
        <v>1590</v>
      </c>
      <c r="J154" s="6" t="s">
        <v>1591</v>
      </c>
    </row>
    <row r="155" spans="1:10" x14ac:dyDescent="0.2">
      <c r="A155" t="s">
        <v>2045</v>
      </c>
      <c r="B155" t="s">
        <v>2733</v>
      </c>
      <c r="C155">
        <v>200</v>
      </c>
      <c r="D155" t="s">
        <v>1544</v>
      </c>
      <c r="E155" t="s">
        <v>1498</v>
      </c>
      <c r="F155">
        <v>30342</v>
      </c>
      <c r="I155" s="6" t="s">
        <v>2046</v>
      </c>
      <c r="J155" s="6" t="s">
        <v>2047</v>
      </c>
    </row>
    <row r="156" spans="1:10" x14ac:dyDescent="0.2">
      <c r="A156" t="s">
        <v>2048</v>
      </c>
      <c r="B156" t="s">
        <v>2734</v>
      </c>
      <c r="C156">
        <v>1</v>
      </c>
      <c r="D156" t="s">
        <v>1555</v>
      </c>
      <c r="E156" t="s">
        <v>1498</v>
      </c>
      <c r="F156">
        <v>30060</v>
      </c>
      <c r="I156" s="6" t="s">
        <v>2049</v>
      </c>
    </row>
    <row r="157" spans="1:10" x14ac:dyDescent="0.2">
      <c r="A157" t="s">
        <v>2050</v>
      </c>
      <c r="B157" t="s">
        <v>2735</v>
      </c>
      <c r="C157">
        <v>210</v>
      </c>
      <c r="D157" t="s">
        <v>1618</v>
      </c>
      <c r="E157" t="s">
        <v>1498</v>
      </c>
      <c r="F157">
        <v>30080</v>
      </c>
      <c r="H157" t="s">
        <v>2051</v>
      </c>
      <c r="I157" s="6" t="s">
        <v>2052</v>
      </c>
      <c r="J157" s="6" t="s">
        <v>2053</v>
      </c>
    </row>
    <row r="158" spans="1:10" x14ac:dyDescent="0.2">
      <c r="A158" t="s">
        <v>2054</v>
      </c>
      <c r="B158" t="s">
        <v>2736</v>
      </c>
      <c r="C158">
        <v>2007</v>
      </c>
      <c r="D158" t="s">
        <v>1510</v>
      </c>
      <c r="E158" t="s">
        <v>1498</v>
      </c>
      <c r="F158">
        <v>30024</v>
      </c>
      <c r="H158" t="s">
        <v>2055</v>
      </c>
      <c r="I158" s="6" t="s">
        <v>2056</v>
      </c>
      <c r="J158" s="6" t="s">
        <v>2057</v>
      </c>
    </row>
    <row r="159" spans="1:10" x14ac:dyDescent="0.2">
      <c r="A159" t="s">
        <v>2058</v>
      </c>
      <c r="B159" t="s">
        <v>2737</v>
      </c>
      <c r="C159" t="s">
        <v>2059</v>
      </c>
      <c r="D159" t="s">
        <v>1510</v>
      </c>
      <c r="E159" t="s">
        <v>1498</v>
      </c>
      <c r="F159">
        <v>30024</v>
      </c>
      <c r="I159" s="6" t="s">
        <v>2060</v>
      </c>
      <c r="J159" s="6" t="s">
        <v>2061</v>
      </c>
    </row>
    <row r="160" spans="1:10" x14ac:dyDescent="0.2">
      <c r="A160" t="s">
        <v>2062</v>
      </c>
      <c r="B160" t="s">
        <v>2738</v>
      </c>
      <c r="C160">
        <v>300</v>
      </c>
      <c r="D160" t="s">
        <v>1575</v>
      </c>
      <c r="E160" t="s">
        <v>1498</v>
      </c>
      <c r="F160">
        <v>30096</v>
      </c>
      <c r="I160" s="6" t="s">
        <v>2063</v>
      </c>
      <c r="J160" s="6" t="s">
        <v>2064</v>
      </c>
    </row>
    <row r="161" spans="1:10" x14ac:dyDescent="0.2">
      <c r="A161" t="s">
        <v>2065</v>
      </c>
      <c r="B161" t="s">
        <v>3004</v>
      </c>
      <c r="D161" t="s">
        <v>1575</v>
      </c>
      <c r="E161" t="s">
        <v>1498</v>
      </c>
      <c r="F161">
        <v>30096</v>
      </c>
      <c r="I161" s="6" t="s">
        <v>2066</v>
      </c>
      <c r="J161" s="6" t="s">
        <v>3005</v>
      </c>
    </row>
    <row r="162" spans="1:10" x14ac:dyDescent="0.2">
      <c r="A162" t="s">
        <v>2067</v>
      </c>
      <c r="B162" t="s">
        <v>2739</v>
      </c>
      <c r="C162" t="s">
        <v>2068</v>
      </c>
      <c r="D162" t="s">
        <v>1525</v>
      </c>
      <c r="E162" t="s">
        <v>1498</v>
      </c>
      <c r="F162">
        <v>30071</v>
      </c>
      <c r="H162" t="s">
        <v>2069</v>
      </c>
      <c r="I162" s="6" t="s">
        <v>2070</v>
      </c>
      <c r="J162" s="6" t="s">
        <v>2071</v>
      </c>
    </row>
    <row r="163" spans="1:10" x14ac:dyDescent="0.2">
      <c r="A163" t="s">
        <v>2072</v>
      </c>
      <c r="B163" t="s">
        <v>2739</v>
      </c>
      <c r="C163" t="s">
        <v>2068</v>
      </c>
      <c r="D163" t="s">
        <v>1525</v>
      </c>
      <c r="E163" t="s">
        <v>1498</v>
      </c>
      <c r="F163">
        <v>30071</v>
      </c>
      <c r="H163" t="s">
        <v>2073</v>
      </c>
      <c r="I163" s="6" t="s">
        <v>2070</v>
      </c>
      <c r="J163" s="6" t="s">
        <v>2071</v>
      </c>
    </row>
    <row r="164" spans="1:10" x14ac:dyDescent="0.2">
      <c r="A164" t="s">
        <v>2074</v>
      </c>
      <c r="B164" t="s">
        <v>2740</v>
      </c>
      <c r="C164">
        <v>150</v>
      </c>
      <c r="D164" t="s">
        <v>1544</v>
      </c>
      <c r="E164" t="s">
        <v>1498</v>
      </c>
      <c r="F164">
        <v>30342</v>
      </c>
      <c r="I164" s="6" t="s">
        <v>2075</v>
      </c>
    </row>
    <row r="165" spans="1:10" x14ac:dyDescent="0.2">
      <c r="A165" t="s">
        <v>2076</v>
      </c>
      <c r="B165" t="s">
        <v>2741</v>
      </c>
      <c r="C165">
        <v>250</v>
      </c>
      <c r="D165" t="s">
        <v>1544</v>
      </c>
      <c r="E165" t="s">
        <v>1498</v>
      </c>
      <c r="F165">
        <v>30342</v>
      </c>
      <c r="I165" s="6" t="s">
        <v>2077</v>
      </c>
      <c r="J165" s="6" t="s">
        <v>2078</v>
      </c>
    </row>
    <row r="166" spans="1:10" x14ac:dyDescent="0.2">
      <c r="A166" t="s">
        <v>2079</v>
      </c>
      <c r="B166" t="s">
        <v>2742</v>
      </c>
      <c r="C166" t="s">
        <v>1796</v>
      </c>
      <c r="D166" t="s">
        <v>1948</v>
      </c>
      <c r="E166" t="s">
        <v>1498</v>
      </c>
      <c r="F166">
        <v>30281</v>
      </c>
      <c r="H166" t="s">
        <v>2080</v>
      </c>
      <c r="I166" s="6" t="s">
        <v>2081</v>
      </c>
      <c r="J166" s="6" t="s">
        <v>2082</v>
      </c>
    </row>
    <row r="167" spans="1:10" x14ac:dyDescent="0.2">
      <c r="A167" t="s">
        <v>2083</v>
      </c>
      <c r="B167" t="s">
        <v>2672</v>
      </c>
      <c r="D167" t="s">
        <v>2084</v>
      </c>
      <c r="E167" t="s">
        <v>1498</v>
      </c>
      <c r="F167">
        <v>30340</v>
      </c>
      <c r="I167" s="6" t="s">
        <v>1813</v>
      </c>
      <c r="J167" s="6" t="s">
        <v>1814</v>
      </c>
    </row>
    <row r="168" spans="1:10" x14ac:dyDescent="0.2">
      <c r="A168" t="s">
        <v>2085</v>
      </c>
      <c r="B168" t="s">
        <v>2672</v>
      </c>
      <c r="C168">
        <v>120</v>
      </c>
      <c r="D168" t="s">
        <v>2084</v>
      </c>
      <c r="E168" t="s">
        <v>1498</v>
      </c>
      <c r="F168">
        <v>30340</v>
      </c>
      <c r="H168" t="s">
        <v>2086</v>
      </c>
      <c r="I168" s="6" t="s">
        <v>1813</v>
      </c>
      <c r="J168" s="6" t="s">
        <v>1814</v>
      </c>
    </row>
    <row r="169" spans="1:10" x14ac:dyDescent="0.2">
      <c r="A169" t="s">
        <v>2087</v>
      </c>
      <c r="B169" t="s">
        <v>2744</v>
      </c>
      <c r="C169">
        <v>1030</v>
      </c>
      <c r="D169" t="s">
        <v>1544</v>
      </c>
      <c r="E169" t="s">
        <v>1498</v>
      </c>
      <c r="F169">
        <v>30309</v>
      </c>
      <c r="H169" t="s">
        <v>2088</v>
      </c>
      <c r="I169" s="6" t="s">
        <v>2089</v>
      </c>
      <c r="J169" s="6" t="s">
        <v>2090</v>
      </c>
    </row>
    <row r="170" spans="1:10" x14ac:dyDescent="0.2">
      <c r="A170" t="s">
        <v>2091</v>
      </c>
      <c r="B170" t="s">
        <v>2745</v>
      </c>
      <c r="C170">
        <v>4011</v>
      </c>
      <c r="D170" t="s">
        <v>1618</v>
      </c>
      <c r="E170" t="s">
        <v>1498</v>
      </c>
      <c r="F170">
        <v>30080</v>
      </c>
      <c r="I170" s="6" t="s">
        <v>2092</v>
      </c>
      <c r="J170" s="6" t="s">
        <v>2093</v>
      </c>
    </row>
    <row r="171" spans="1:10" x14ac:dyDescent="0.2">
      <c r="A171" t="s">
        <v>2094</v>
      </c>
      <c r="B171" t="s">
        <v>2746</v>
      </c>
      <c r="C171" t="s">
        <v>2095</v>
      </c>
      <c r="D171" t="s">
        <v>1489</v>
      </c>
      <c r="E171" t="s">
        <v>1498</v>
      </c>
      <c r="F171">
        <v>30912</v>
      </c>
      <c r="I171" s="6" t="s">
        <v>2096</v>
      </c>
      <c r="J171" s="6" t="s">
        <v>2097</v>
      </c>
    </row>
    <row r="172" spans="1:10" x14ac:dyDescent="0.2">
      <c r="A172" t="s">
        <v>2098</v>
      </c>
      <c r="B172" t="s">
        <v>2693</v>
      </c>
      <c r="C172">
        <v>300</v>
      </c>
      <c r="D172" t="s">
        <v>1638</v>
      </c>
      <c r="E172" t="s">
        <v>1498</v>
      </c>
      <c r="F172">
        <v>30083</v>
      </c>
      <c r="I172" s="6" t="s">
        <v>1892</v>
      </c>
      <c r="J172" s="6" t="s">
        <v>1893</v>
      </c>
    </row>
    <row r="173" spans="1:10" x14ac:dyDescent="0.2">
      <c r="A173" t="s">
        <v>2099</v>
      </c>
      <c r="B173" t="s">
        <v>2747</v>
      </c>
      <c r="C173">
        <v>212</v>
      </c>
      <c r="D173" t="s">
        <v>2100</v>
      </c>
      <c r="E173" t="s">
        <v>1498</v>
      </c>
      <c r="F173">
        <v>30141</v>
      </c>
      <c r="H173" t="s">
        <v>2101</v>
      </c>
      <c r="I173" s="6" t="s">
        <v>2102</v>
      </c>
      <c r="J173" s="6" t="s">
        <v>2103</v>
      </c>
    </row>
    <row r="174" spans="1:10" x14ac:dyDescent="0.2">
      <c r="A174" t="s">
        <v>2104</v>
      </c>
      <c r="B174" t="s">
        <v>2748</v>
      </c>
      <c r="C174" t="s">
        <v>2105</v>
      </c>
      <c r="D174" t="s">
        <v>1504</v>
      </c>
      <c r="E174" t="s">
        <v>1498</v>
      </c>
      <c r="F174">
        <v>30005</v>
      </c>
      <c r="H174" t="s">
        <v>2106</v>
      </c>
      <c r="I174" s="6" t="s">
        <v>2107</v>
      </c>
      <c r="J174" s="6" t="s">
        <v>2108</v>
      </c>
    </row>
    <row r="175" spans="1:10" x14ac:dyDescent="0.2">
      <c r="A175" t="s">
        <v>2109</v>
      </c>
      <c r="B175" t="s">
        <v>2749</v>
      </c>
      <c r="D175" t="s">
        <v>1575</v>
      </c>
      <c r="E175" t="s">
        <v>1498</v>
      </c>
      <c r="F175">
        <v>30096</v>
      </c>
      <c r="I175" s="6" t="s">
        <v>2110</v>
      </c>
      <c r="J175" s="6" t="s">
        <v>2111</v>
      </c>
    </row>
    <row r="176" spans="1:10" x14ac:dyDescent="0.2">
      <c r="A176" t="s">
        <v>2112</v>
      </c>
      <c r="B176" t="s">
        <v>2750</v>
      </c>
      <c r="C176" t="s">
        <v>2113</v>
      </c>
      <c r="D176" t="s">
        <v>1489</v>
      </c>
      <c r="E176" t="s">
        <v>1498</v>
      </c>
      <c r="F176">
        <v>30901</v>
      </c>
      <c r="H176" t="s">
        <v>2114</v>
      </c>
      <c r="I176" s="6" t="s">
        <v>2115</v>
      </c>
      <c r="J176" s="6" t="s">
        <v>2116</v>
      </c>
    </row>
    <row r="177" spans="1:10" x14ac:dyDescent="0.2">
      <c r="A177" t="s">
        <v>2117</v>
      </c>
      <c r="B177" t="s">
        <v>2751</v>
      </c>
      <c r="D177" t="s">
        <v>1701</v>
      </c>
      <c r="E177" t="s">
        <v>1498</v>
      </c>
      <c r="F177">
        <v>30214</v>
      </c>
      <c r="I177" s="6" t="s">
        <v>2118</v>
      </c>
      <c r="J177" s="6" t="s">
        <v>2119</v>
      </c>
    </row>
    <row r="178" spans="1:10" x14ac:dyDescent="0.2">
      <c r="A178" t="s">
        <v>2120</v>
      </c>
      <c r="B178" t="s">
        <v>2700</v>
      </c>
      <c r="D178" t="s">
        <v>2121</v>
      </c>
      <c r="E178" t="s">
        <v>1498</v>
      </c>
      <c r="F178">
        <v>30518</v>
      </c>
      <c r="H178" t="s">
        <v>2122</v>
      </c>
      <c r="I178" s="6" t="s">
        <v>1919</v>
      </c>
      <c r="J178" s="6" t="s">
        <v>1920</v>
      </c>
    </row>
    <row r="179" spans="1:10" x14ac:dyDescent="0.2">
      <c r="A179" t="s">
        <v>2123</v>
      </c>
      <c r="B179" t="s">
        <v>2752</v>
      </c>
      <c r="C179">
        <v>6</v>
      </c>
      <c r="D179" t="s">
        <v>1551</v>
      </c>
      <c r="E179" t="s">
        <v>1498</v>
      </c>
      <c r="F179">
        <v>30034</v>
      </c>
      <c r="H179" t="s">
        <v>2124</v>
      </c>
      <c r="I179" s="6" t="s">
        <v>2125</v>
      </c>
      <c r="J179" s="6" t="s">
        <v>2126</v>
      </c>
    </row>
    <row r="180" spans="1:10" x14ac:dyDescent="0.2">
      <c r="A180" t="s">
        <v>2127</v>
      </c>
      <c r="B180" t="s">
        <v>2753</v>
      </c>
      <c r="C180">
        <v>530</v>
      </c>
      <c r="D180" t="s">
        <v>1544</v>
      </c>
      <c r="E180" t="s">
        <v>1498</v>
      </c>
      <c r="F180">
        <v>30328</v>
      </c>
      <c r="H180" t="s">
        <v>2128</v>
      </c>
      <c r="I180" s="6" t="s">
        <v>2129</v>
      </c>
      <c r="J180" s="6" t="s">
        <v>2130</v>
      </c>
    </row>
    <row r="181" spans="1:10" x14ac:dyDescent="0.2">
      <c r="A181" t="s">
        <v>2131</v>
      </c>
      <c r="B181" t="s">
        <v>2754</v>
      </c>
      <c r="D181" t="s">
        <v>1770</v>
      </c>
      <c r="E181" t="s">
        <v>1498</v>
      </c>
      <c r="F181">
        <v>30076</v>
      </c>
      <c r="I181" s="6" t="s">
        <v>2132</v>
      </c>
    </row>
    <row r="182" spans="1:10" x14ac:dyDescent="0.2">
      <c r="A182" t="s">
        <v>2133</v>
      </c>
      <c r="B182" t="s">
        <v>2755</v>
      </c>
      <c r="C182">
        <v>100</v>
      </c>
      <c r="D182" t="s">
        <v>1525</v>
      </c>
      <c r="E182" t="s">
        <v>1498</v>
      </c>
      <c r="F182">
        <v>30092</v>
      </c>
      <c r="H182" t="s">
        <v>2134</v>
      </c>
      <c r="I182" s="6" t="s">
        <v>2135</v>
      </c>
      <c r="J182" s="6" t="s">
        <v>2136</v>
      </c>
    </row>
    <row r="183" spans="1:10" x14ac:dyDescent="0.2">
      <c r="A183" t="s">
        <v>2137</v>
      </c>
      <c r="B183" t="s">
        <v>2756</v>
      </c>
      <c r="D183" t="s">
        <v>24</v>
      </c>
      <c r="E183" t="s">
        <v>1498</v>
      </c>
      <c r="F183">
        <v>30269</v>
      </c>
      <c r="I183" s="6" t="s">
        <v>2138</v>
      </c>
      <c r="J183" s="6" t="s">
        <v>2139</v>
      </c>
    </row>
    <row r="184" spans="1:10" x14ac:dyDescent="0.2">
      <c r="A184" t="s">
        <v>2140</v>
      </c>
      <c r="B184" t="s">
        <v>2757</v>
      </c>
      <c r="D184" t="s">
        <v>1839</v>
      </c>
      <c r="E184" t="s">
        <v>1498</v>
      </c>
      <c r="F184">
        <v>30084</v>
      </c>
      <c r="I184" s="6" t="s">
        <v>2141</v>
      </c>
      <c r="J184" s="6" t="s">
        <v>2142</v>
      </c>
    </row>
    <row r="185" spans="1:10" x14ac:dyDescent="0.2">
      <c r="A185" t="s">
        <v>2143</v>
      </c>
      <c r="B185" t="s">
        <v>2682</v>
      </c>
      <c r="D185" t="s">
        <v>1551</v>
      </c>
      <c r="E185" t="s">
        <v>1498</v>
      </c>
      <c r="F185">
        <v>30032</v>
      </c>
      <c r="H185" t="s">
        <v>2144</v>
      </c>
      <c r="I185" s="6" t="s">
        <v>2145</v>
      </c>
      <c r="J185" s="6" t="s">
        <v>2146</v>
      </c>
    </row>
    <row r="186" spans="1:10" x14ac:dyDescent="0.2">
      <c r="A186" t="s">
        <v>2147</v>
      </c>
      <c r="B186" t="s">
        <v>2758</v>
      </c>
      <c r="C186" t="s">
        <v>2148</v>
      </c>
      <c r="D186" t="s">
        <v>1948</v>
      </c>
      <c r="E186" t="s">
        <v>1498</v>
      </c>
      <c r="F186">
        <v>30281</v>
      </c>
      <c r="I186" s="6" t="s">
        <v>2149</v>
      </c>
      <c r="J186" s="6" t="s">
        <v>2150</v>
      </c>
    </row>
    <row r="187" spans="1:10" x14ac:dyDescent="0.2">
      <c r="A187" t="s">
        <v>2153</v>
      </c>
      <c r="B187" t="s">
        <v>2759</v>
      </c>
      <c r="D187" t="s">
        <v>1839</v>
      </c>
      <c r="E187" t="s">
        <v>1498</v>
      </c>
      <c r="F187">
        <v>30084</v>
      </c>
      <c r="H187" t="s">
        <v>2154</v>
      </c>
      <c r="I187" s="6" t="s">
        <v>2151</v>
      </c>
      <c r="J187" s="6" t="s">
        <v>2152</v>
      </c>
    </row>
    <row r="188" spans="1:10" x14ac:dyDescent="0.2">
      <c r="A188" t="s">
        <v>2155</v>
      </c>
      <c r="B188" t="s">
        <v>2760</v>
      </c>
      <c r="C188">
        <v>340</v>
      </c>
      <c r="D188" t="s">
        <v>1770</v>
      </c>
      <c r="E188" t="s">
        <v>1498</v>
      </c>
      <c r="F188">
        <v>30076</v>
      </c>
      <c r="I188" s="6" t="s">
        <v>2156</v>
      </c>
      <c r="J188" s="6" t="s">
        <v>2157</v>
      </c>
    </row>
    <row r="189" spans="1:10" x14ac:dyDescent="0.2">
      <c r="A189" t="s">
        <v>2158</v>
      </c>
      <c r="B189" t="s">
        <v>2761</v>
      </c>
      <c r="C189" t="s">
        <v>2159</v>
      </c>
      <c r="D189" t="s">
        <v>1504</v>
      </c>
      <c r="E189" t="s">
        <v>1498</v>
      </c>
      <c r="F189">
        <v>30005</v>
      </c>
      <c r="H189" t="s">
        <v>2160</v>
      </c>
      <c r="I189" s="6" t="s">
        <v>2161</v>
      </c>
      <c r="J189" s="6" t="s">
        <v>2162</v>
      </c>
    </row>
    <row r="190" spans="1:10" x14ac:dyDescent="0.2">
      <c r="A190" t="s">
        <v>2163</v>
      </c>
      <c r="B190" t="s">
        <v>2762</v>
      </c>
      <c r="D190" t="s">
        <v>1551</v>
      </c>
      <c r="E190" t="s">
        <v>1498</v>
      </c>
      <c r="F190">
        <v>30033</v>
      </c>
      <c r="I190" s="6" t="s">
        <v>2164</v>
      </c>
      <c r="J190" s="6" t="s">
        <v>2165</v>
      </c>
    </row>
    <row r="191" spans="1:10" x14ac:dyDescent="0.2">
      <c r="A191" t="s">
        <v>2166</v>
      </c>
      <c r="B191" t="s">
        <v>2683</v>
      </c>
      <c r="C191" t="s">
        <v>2167</v>
      </c>
      <c r="D191" t="s">
        <v>1515</v>
      </c>
      <c r="E191" t="s">
        <v>1498</v>
      </c>
      <c r="F191">
        <v>30338</v>
      </c>
      <c r="I191" s="6" t="s">
        <v>2168</v>
      </c>
      <c r="J191" s="6" t="s">
        <v>2169</v>
      </c>
    </row>
    <row r="192" spans="1:10" x14ac:dyDescent="0.2">
      <c r="A192" t="s">
        <v>2170</v>
      </c>
      <c r="B192" t="s">
        <v>2763</v>
      </c>
      <c r="C192" t="s">
        <v>2171</v>
      </c>
      <c r="D192" t="s">
        <v>1544</v>
      </c>
      <c r="E192" t="s">
        <v>1498</v>
      </c>
      <c r="F192">
        <v>30331</v>
      </c>
      <c r="I192" s="6" t="s">
        <v>2172</v>
      </c>
      <c r="J192" s="6" t="s">
        <v>2173</v>
      </c>
    </row>
    <row r="193" spans="1:10" x14ac:dyDescent="0.2">
      <c r="A193" t="s">
        <v>2174</v>
      </c>
      <c r="B193" t="s">
        <v>2764</v>
      </c>
      <c r="C193">
        <v>250</v>
      </c>
      <c r="D193" t="s">
        <v>1544</v>
      </c>
      <c r="E193" t="s">
        <v>1498</v>
      </c>
      <c r="F193">
        <v>30328</v>
      </c>
      <c r="H193" t="s">
        <v>2175</v>
      </c>
      <c r="I193" s="6" t="s">
        <v>2176</v>
      </c>
      <c r="J193" s="6" t="s">
        <v>2177</v>
      </c>
    </row>
    <row r="194" spans="1:10" x14ac:dyDescent="0.2">
      <c r="A194" t="s">
        <v>2178</v>
      </c>
      <c r="B194" t="s">
        <v>2765</v>
      </c>
      <c r="D194" t="s">
        <v>1489</v>
      </c>
      <c r="E194" t="s">
        <v>1498</v>
      </c>
      <c r="F194">
        <v>30913</v>
      </c>
      <c r="I194" s="6" t="s">
        <v>2179</v>
      </c>
      <c r="J194" s="6" t="s">
        <v>2180</v>
      </c>
    </row>
    <row r="195" spans="1:10" x14ac:dyDescent="0.2">
      <c r="A195" t="s">
        <v>2181</v>
      </c>
      <c r="B195" t="s">
        <v>2766</v>
      </c>
      <c r="C195">
        <v>150</v>
      </c>
      <c r="D195" t="s">
        <v>1544</v>
      </c>
      <c r="E195" t="s">
        <v>1498</v>
      </c>
      <c r="F195">
        <v>30309</v>
      </c>
      <c r="H195" t="s">
        <v>2182</v>
      </c>
      <c r="I195" s="6" t="s">
        <v>2183</v>
      </c>
      <c r="J195" s="6" t="s">
        <v>2184</v>
      </c>
    </row>
    <row r="196" spans="1:10" x14ac:dyDescent="0.2">
      <c r="A196" t="s">
        <v>2185</v>
      </c>
      <c r="B196" t="s">
        <v>2767</v>
      </c>
      <c r="C196">
        <v>100</v>
      </c>
      <c r="D196" t="s">
        <v>1787</v>
      </c>
      <c r="E196" t="s">
        <v>1498</v>
      </c>
      <c r="F196">
        <v>30058</v>
      </c>
      <c r="I196" s="6" t="s">
        <v>1686</v>
      </c>
      <c r="J196" s="6" t="s">
        <v>2186</v>
      </c>
    </row>
    <row r="197" spans="1:10" x14ac:dyDescent="0.2">
      <c r="A197" t="s">
        <v>2187</v>
      </c>
      <c r="B197" t="s">
        <v>2765</v>
      </c>
      <c r="D197" t="s">
        <v>1489</v>
      </c>
      <c r="E197" t="s">
        <v>1498</v>
      </c>
      <c r="F197">
        <v>30912</v>
      </c>
      <c r="I197" s="6" t="s">
        <v>2096</v>
      </c>
      <c r="J197" s="6" t="s">
        <v>2097</v>
      </c>
    </row>
    <row r="198" spans="1:10" x14ac:dyDescent="0.2">
      <c r="A198" t="s">
        <v>2188</v>
      </c>
      <c r="B198" t="s">
        <v>2768</v>
      </c>
      <c r="D198" t="s">
        <v>1575</v>
      </c>
      <c r="E198" t="s">
        <v>1498</v>
      </c>
      <c r="F198">
        <v>30096</v>
      </c>
      <c r="I198" s="6" t="s">
        <v>2189</v>
      </c>
      <c r="J198" s="6" t="s">
        <v>2190</v>
      </c>
    </row>
    <row r="199" spans="1:10" x14ac:dyDescent="0.2">
      <c r="A199" t="s">
        <v>2191</v>
      </c>
      <c r="B199" t="s">
        <v>2769</v>
      </c>
      <c r="D199" t="s">
        <v>1797</v>
      </c>
      <c r="E199" t="s">
        <v>1498</v>
      </c>
      <c r="F199">
        <v>30269</v>
      </c>
      <c r="H199" t="s">
        <v>2192</v>
      </c>
      <c r="I199" s="6" t="s">
        <v>2193</v>
      </c>
      <c r="J199" s="6" t="s">
        <v>2194</v>
      </c>
    </row>
    <row r="200" spans="1:10" x14ac:dyDescent="0.2">
      <c r="A200" t="s">
        <v>2195</v>
      </c>
      <c r="B200" t="s">
        <v>2765</v>
      </c>
      <c r="D200" t="s">
        <v>1489</v>
      </c>
      <c r="E200" t="s">
        <v>1498</v>
      </c>
      <c r="F200">
        <v>30912</v>
      </c>
      <c r="H200" t="s">
        <v>2196</v>
      </c>
      <c r="I200" s="6" t="s">
        <v>2197</v>
      </c>
      <c r="J200" s="6" t="s">
        <v>2198</v>
      </c>
    </row>
    <row r="201" spans="1:10" x14ac:dyDescent="0.2">
      <c r="A201" t="s">
        <v>2199</v>
      </c>
      <c r="B201" t="s">
        <v>2770</v>
      </c>
      <c r="C201">
        <v>300</v>
      </c>
      <c r="D201" t="s">
        <v>1544</v>
      </c>
      <c r="E201" t="s">
        <v>1498</v>
      </c>
      <c r="F201">
        <v>30312</v>
      </c>
      <c r="H201" t="s">
        <v>2200</v>
      </c>
      <c r="I201" s="6" t="s">
        <v>2201</v>
      </c>
      <c r="J201" s="6" t="s">
        <v>2202</v>
      </c>
    </row>
    <row r="202" spans="1:10" x14ac:dyDescent="0.2">
      <c r="A202" t="s">
        <v>2203</v>
      </c>
      <c r="B202" t="s">
        <v>2771</v>
      </c>
      <c r="D202" t="s">
        <v>2121</v>
      </c>
      <c r="E202" t="s">
        <v>1498</v>
      </c>
      <c r="F202">
        <v>30518</v>
      </c>
      <c r="I202" s="6" t="s">
        <v>2204</v>
      </c>
      <c r="J202" s="6" t="s">
        <v>2205</v>
      </c>
    </row>
    <row r="203" spans="1:10" x14ac:dyDescent="0.2">
      <c r="A203" t="s">
        <v>2206</v>
      </c>
      <c r="B203" t="s">
        <v>2772</v>
      </c>
      <c r="D203" t="s">
        <v>1510</v>
      </c>
      <c r="E203" t="s">
        <v>1498</v>
      </c>
      <c r="F203">
        <v>30024</v>
      </c>
      <c r="I203" s="6" t="s">
        <v>2207</v>
      </c>
    </row>
    <row r="204" spans="1:10" x14ac:dyDescent="0.2">
      <c r="A204" t="s">
        <v>2208</v>
      </c>
      <c r="B204" t="s">
        <v>2773</v>
      </c>
      <c r="D204" t="s">
        <v>1489</v>
      </c>
      <c r="E204" t="s">
        <v>1498</v>
      </c>
      <c r="F204">
        <v>30904</v>
      </c>
      <c r="H204" t="s">
        <v>2209</v>
      </c>
      <c r="I204" s="6" t="s">
        <v>2210</v>
      </c>
      <c r="J204" s="6" t="s">
        <v>2211</v>
      </c>
    </row>
    <row r="205" spans="1:10" x14ac:dyDescent="0.2">
      <c r="A205" t="s">
        <v>2212</v>
      </c>
      <c r="B205" t="s">
        <v>2666</v>
      </c>
      <c r="D205" t="s">
        <v>1787</v>
      </c>
      <c r="E205" t="s">
        <v>1498</v>
      </c>
      <c r="F205">
        <v>30058</v>
      </c>
      <c r="I205" s="6" t="s">
        <v>2213</v>
      </c>
      <c r="J205" s="6" t="s">
        <v>2214</v>
      </c>
    </row>
    <row r="206" spans="1:10" x14ac:dyDescent="0.2">
      <c r="A206" t="s">
        <v>2215</v>
      </c>
      <c r="B206" t="s">
        <v>2774</v>
      </c>
      <c r="C206" t="s">
        <v>1538</v>
      </c>
      <c r="D206" t="s">
        <v>1565</v>
      </c>
      <c r="E206" t="s">
        <v>1498</v>
      </c>
      <c r="F206">
        <v>30046</v>
      </c>
      <c r="I206" s="6" t="s">
        <v>2216</v>
      </c>
      <c r="J206" s="6" t="s">
        <v>2217</v>
      </c>
    </row>
    <row r="207" spans="1:10" x14ac:dyDescent="0.2">
      <c r="A207" t="s">
        <v>2218</v>
      </c>
      <c r="B207" t="s">
        <v>2775</v>
      </c>
      <c r="D207" t="s">
        <v>1544</v>
      </c>
      <c r="E207" t="s">
        <v>1498</v>
      </c>
      <c r="F207">
        <v>30319</v>
      </c>
      <c r="H207" t="s">
        <v>2219</v>
      </c>
      <c r="I207" s="6" t="s">
        <v>2220</v>
      </c>
      <c r="J207" s="6" t="s">
        <v>2221</v>
      </c>
    </row>
    <row r="208" spans="1:10" x14ac:dyDescent="0.2">
      <c r="A208" t="s">
        <v>2222</v>
      </c>
      <c r="B208" t="s">
        <v>2776</v>
      </c>
      <c r="C208">
        <v>250</v>
      </c>
      <c r="D208" t="s">
        <v>2223</v>
      </c>
      <c r="E208" t="s">
        <v>1498</v>
      </c>
      <c r="F208">
        <v>30349</v>
      </c>
      <c r="I208" s="6" t="s">
        <v>2224</v>
      </c>
      <c r="J208" s="6" t="s">
        <v>2225</v>
      </c>
    </row>
    <row r="209" spans="1:10" x14ac:dyDescent="0.2">
      <c r="A209" t="s">
        <v>2226</v>
      </c>
      <c r="B209" t="s">
        <v>2777</v>
      </c>
      <c r="D209" t="s">
        <v>24</v>
      </c>
      <c r="E209" t="s">
        <v>1498</v>
      </c>
      <c r="F209">
        <v>30269</v>
      </c>
      <c r="H209" t="s">
        <v>2227</v>
      </c>
      <c r="I209" s="6" t="s">
        <v>2228</v>
      </c>
      <c r="J209" s="6" t="s">
        <v>2229</v>
      </c>
    </row>
    <row r="210" spans="1:10" x14ac:dyDescent="0.2">
      <c r="A210" t="s">
        <v>2230</v>
      </c>
      <c r="B210" t="s">
        <v>2778</v>
      </c>
      <c r="C210">
        <v>240</v>
      </c>
      <c r="D210" t="s">
        <v>1787</v>
      </c>
      <c r="E210" t="s">
        <v>1498</v>
      </c>
      <c r="F210">
        <v>30038</v>
      </c>
      <c r="H210" t="s">
        <v>2231</v>
      </c>
      <c r="I210" s="6" t="s">
        <v>2232</v>
      </c>
      <c r="J210" s="6" t="s">
        <v>2233</v>
      </c>
    </row>
    <row r="211" spans="1:10" x14ac:dyDescent="0.2">
      <c r="A211" t="s">
        <v>2234</v>
      </c>
      <c r="B211" t="s">
        <v>2779</v>
      </c>
      <c r="C211" t="s">
        <v>1786</v>
      </c>
      <c r="D211" t="s">
        <v>1544</v>
      </c>
      <c r="E211" t="s">
        <v>1498</v>
      </c>
      <c r="F211">
        <v>30305</v>
      </c>
      <c r="I211" s="6" t="s">
        <v>2235</v>
      </c>
      <c r="J211" s="6" t="s">
        <v>2236</v>
      </c>
    </row>
    <row r="212" spans="1:10" x14ac:dyDescent="0.2">
      <c r="A212" t="s">
        <v>2237</v>
      </c>
      <c r="B212" t="s">
        <v>2780</v>
      </c>
      <c r="C212">
        <v>103</v>
      </c>
      <c r="D212" t="s">
        <v>1701</v>
      </c>
      <c r="E212" t="s">
        <v>1498</v>
      </c>
      <c r="F212">
        <v>30214</v>
      </c>
      <c r="H212" t="s">
        <v>2238</v>
      </c>
      <c r="I212" s="6" t="s">
        <v>2239</v>
      </c>
      <c r="J212" s="6" t="s">
        <v>2240</v>
      </c>
    </row>
    <row r="213" spans="1:10" x14ac:dyDescent="0.2">
      <c r="A213" t="s">
        <v>2241</v>
      </c>
      <c r="B213" t="s">
        <v>2781</v>
      </c>
      <c r="C213" t="s">
        <v>2242</v>
      </c>
      <c r="D213" t="s">
        <v>2243</v>
      </c>
      <c r="E213" t="s">
        <v>1498</v>
      </c>
      <c r="F213">
        <v>30344</v>
      </c>
      <c r="I213" s="6" t="s">
        <v>1807</v>
      </c>
    </row>
    <row r="214" spans="1:10" x14ac:dyDescent="0.2">
      <c r="A214" t="s">
        <v>2244</v>
      </c>
      <c r="B214" t="s">
        <v>2782</v>
      </c>
      <c r="D214" t="s">
        <v>1489</v>
      </c>
      <c r="E214" t="s">
        <v>1498</v>
      </c>
      <c r="F214">
        <v>30906</v>
      </c>
      <c r="H214" t="s">
        <v>2245</v>
      </c>
      <c r="I214" s="6" t="s">
        <v>2246</v>
      </c>
      <c r="J214" s="6" t="s">
        <v>2247</v>
      </c>
    </row>
    <row r="215" spans="1:10" x14ac:dyDescent="0.2">
      <c r="A215" t="s">
        <v>2248</v>
      </c>
      <c r="B215" t="s">
        <v>2783</v>
      </c>
      <c r="C215">
        <v>2600</v>
      </c>
      <c r="D215" t="s">
        <v>1778</v>
      </c>
      <c r="E215" t="s">
        <v>1498</v>
      </c>
      <c r="F215">
        <v>30041</v>
      </c>
      <c r="H215" t="s">
        <v>2249</v>
      </c>
      <c r="I215" s="6" t="s">
        <v>2250</v>
      </c>
      <c r="J215" s="6" t="s">
        <v>2251</v>
      </c>
    </row>
    <row r="216" spans="1:10" x14ac:dyDescent="0.2">
      <c r="A216" t="s">
        <v>2252</v>
      </c>
      <c r="B216" t="s">
        <v>2784</v>
      </c>
      <c r="C216" t="s">
        <v>2253</v>
      </c>
      <c r="D216" t="s">
        <v>1544</v>
      </c>
      <c r="E216" t="s">
        <v>1498</v>
      </c>
      <c r="F216">
        <v>30341</v>
      </c>
      <c r="I216" s="6" t="s">
        <v>2254</v>
      </c>
    </row>
    <row r="217" spans="1:10" x14ac:dyDescent="0.2">
      <c r="A217" t="s">
        <v>2255</v>
      </c>
      <c r="B217" t="s">
        <v>2785</v>
      </c>
      <c r="C217" t="s">
        <v>1861</v>
      </c>
      <c r="D217" t="s">
        <v>2256</v>
      </c>
      <c r="E217" t="s">
        <v>1498</v>
      </c>
      <c r="F217">
        <v>30655</v>
      </c>
      <c r="I217" s="6" t="s">
        <v>2257</v>
      </c>
    </row>
    <row r="218" spans="1:10" x14ac:dyDescent="0.2">
      <c r="A218" t="s">
        <v>2258</v>
      </c>
      <c r="B218" t="s">
        <v>2786</v>
      </c>
      <c r="C218">
        <v>103</v>
      </c>
      <c r="D218" t="s">
        <v>1544</v>
      </c>
      <c r="E218" t="s">
        <v>1498</v>
      </c>
      <c r="F218">
        <v>30329</v>
      </c>
      <c r="H218" t="s">
        <v>2259</v>
      </c>
      <c r="I218" s="6" t="s">
        <v>2260</v>
      </c>
      <c r="J218" s="6" t="s">
        <v>2261</v>
      </c>
    </row>
    <row r="219" spans="1:10" x14ac:dyDescent="0.2">
      <c r="A219" t="s">
        <v>2262</v>
      </c>
      <c r="B219" t="s">
        <v>2787</v>
      </c>
      <c r="C219">
        <v>100</v>
      </c>
      <c r="D219" t="s">
        <v>1565</v>
      </c>
      <c r="E219" t="s">
        <v>1498</v>
      </c>
      <c r="F219">
        <v>30046</v>
      </c>
      <c r="H219" t="s">
        <v>2263</v>
      </c>
      <c r="I219" s="6" t="s">
        <v>2264</v>
      </c>
      <c r="J219" s="6" t="s">
        <v>2265</v>
      </c>
    </row>
    <row r="220" spans="1:10" x14ac:dyDescent="0.2">
      <c r="A220" t="s">
        <v>2266</v>
      </c>
      <c r="B220" t="s">
        <v>2788</v>
      </c>
      <c r="C220">
        <v>1400</v>
      </c>
      <c r="D220" t="s">
        <v>1489</v>
      </c>
      <c r="E220" t="s">
        <v>1498</v>
      </c>
      <c r="F220">
        <v>30901</v>
      </c>
      <c r="H220" t="s">
        <v>2267</v>
      </c>
      <c r="I220" s="6" t="s">
        <v>2096</v>
      </c>
      <c r="J220" s="6" t="s">
        <v>2268</v>
      </c>
    </row>
    <row r="221" spans="1:10" x14ac:dyDescent="0.2">
      <c r="A221" t="s">
        <v>2269</v>
      </c>
      <c r="B221" t="s">
        <v>2789</v>
      </c>
      <c r="D221" t="s">
        <v>2270</v>
      </c>
      <c r="E221" t="s">
        <v>1498</v>
      </c>
      <c r="F221">
        <v>30087</v>
      </c>
      <c r="H221" t="s">
        <v>2271</v>
      </c>
      <c r="I221" s="6" t="s">
        <v>2272</v>
      </c>
      <c r="J221" s="6" t="s">
        <v>2273</v>
      </c>
    </row>
    <row r="222" spans="1:10" x14ac:dyDescent="0.2">
      <c r="A222" t="s">
        <v>2274</v>
      </c>
      <c r="B222" t="s">
        <v>2790</v>
      </c>
      <c r="C222" t="s">
        <v>2275</v>
      </c>
      <c r="D222" t="s">
        <v>1544</v>
      </c>
      <c r="E222" t="s">
        <v>1498</v>
      </c>
      <c r="F222">
        <v>30306</v>
      </c>
      <c r="I222" s="6" t="s">
        <v>2276</v>
      </c>
      <c r="J222" s="6" t="s">
        <v>2277</v>
      </c>
    </row>
    <row r="223" spans="1:10" x14ac:dyDescent="0.2">
      <c r="A223" t="s">
        <v>2278</v>
      </c>
      <c r="B223" t="s">
        <v>2791</v>
      </c>
      <c r="C223" t="s">
        <v>1538</v>
      </c>
      <c r="D223" t="s">
        <v>1937</v>
      </c>
      <c r="E223" t="s">
        <v>1498</v>
      </c>
      <c r="F223">
        <v>30350</v>
      </c>
      <c r="H223" t="s">
        <v>2279</v>
      </c>
      <c r="I223" s="6" t="s">
        <v>2280</v>
      </c>
      <c r="J223" s="6" t="s">
        <v>2281</v>
      </c>
    </row>
    <row r="224" spans="1:10" x14ac:dyDescent="0.2">
      <c r="A224" t="s">
        <v>2282</v>
      </c>
      <c r="B224" t="s">
        <v>2792</v>
      </c>
      <c r="C224">
        <v>221</v>
      </c>
      <c r="D224" t="s">
        <v>2243</v>
      </c>
      <c r="E224" t="s">
        <v>1498</v>
      </c>
      <c r="F224">
        <v>30344</v>
      </c>
      <c r="I224" s="6" t="s">
        <v>2283</v>
      </c>
    </row>
    <row r="225" spans="1:10" x14ac:dyDescent="0.2">
      <c r="A225" t="s">
        <v>2284</v>
      </c>
      <c r="B225" t="s">
        <v>2793</v>
      </c>
      <c r="C225" t="s">
        <v>1861</v>
      </c>
      <c r="D225" t="s">
        <v>1667</v>
      </c>
      <c r="E225" t="s">
        <v>1498</v>
      </c>
      <c r="F225">
        <v>30341</v>
      </c>
      <c r="H225" t="s">
        <v>2285</v>
      </c>
      <c r="I225" s="6" t="s">
        <v>2286</v>
      </c>
      <c r="J225" s="6" t="s">
        <v>2287</v>
      </c>
    </row>
    <row r="226" spans="1:10" x14ac:dyDescent="0.2">
      <c r="A226" t="s">
        <v>2288</v>
      </c>
      <c r="B226" t="s">
        <v>2794</v>
      </c>
      <c r="C226" t="s">
        <v>1861</v>
      </c>
      <c r="D226" t="s">
        <v>1555</v>
      </c>
      <c r="E226" t="s">
        <v>1498</v>
      </c>
      <c r="F226">
        <v>30062</v>
      </c>
      <c r="H226" t="s">
        <v>2289</v>
      </c>
      <c r="I226" s="6" t="s">
        <v>2290</v>
      </c>
      <c r="J226" s="6" t="s">
        <v>2291</v>
      </c>
    </row>
    <row r="227" spans="1:10" x14ac:dyDescent="0.2">
      <c r="A227" t="s">
        <v>2292</v>
      </c>
      <c r="B227" t="s">
        <v>2795</v>
      </c>
      <c r="C227">
        <v>250</v>
      </c>
      <c r="D227" t="s">
        <v>1544</v>
      </c>
      <c r="E227" t="s">
        <v>1498</v>
      </c>
      <c r="F227">
        <v>30328</v>
      </c>
      <c r="I227" s="6" t="s">
        <v>2176</v>
      </c>
      <c r="J227" s="6" t="s">
        <v>2293</v>
      </c>
    </row>
    <row r="228" spans="1:10" x14ac:dyDescent="0.2">
      <c r="A228" t="s">
        <v>2294</v>
      </c>
      <c r="B228" t="s">
        <v>2761</v>
      </c>
      <c r="C228" t="s">
        <v>2159</v>
      </c>
      <c r="D228" t="s">
        <v>1504</v>
      </c>
      <c r="E228" t="s">
        <v>1498</v>
      </c>
      <c r="F228">
        <v>30005</v>
      </c>
      <c r="I228" s="6" t="s">
        <v>2161</v>
      </c>
      <c r="J228" s="6" t="s">
        <v>2162</v>
      </c>
    </row>
    <row r="229" spans="1:10" x14ac:dyDescent="0.2">
      <c r="A229" t="s">
        <v>2295</v>
      </c>
      <c r="B229" t="s">
        <v>2765</v>
      </c>
      <c r="D229" t="s">
        <v>1489</v>
      </c>
      <c r="E229" t="s">
        <v>1498</v>
      </c>
      <c r="F229">
        <v>30912</v>
      </c>
      <c r="I229" s="6" t="s">
        <v>2296</v>
      </c>
      <c r="J229" s="6" t="s">
        <v>2297</v>
      </c>
    </row>
    <row r="230" spans="1:10" x14ac:dyDescent="0.2">
      <c r="A230" t="s">
        <v>2298</v>
      </c>
      <c r="B230" t="s">
        <v>2796</v>
      </c>
      <c r="D230" t="s">
        <v>2299</v>
      </c>
      <c r="E230" t="s">
        <v>1498</v>
      </c>
      <c r="F230">
        <v>30813</v>
      </c>
      <c r="I230" s="6" t="s">
        <v>2300</v>
      </c>
      <c r="J230" s="6" t="s">
        <v>2301</v>
      </c>
    </row>
    <row r="231" spans="1:10" x14ac:dyDescent="0.2">
      <c r="A231" t="s">
        <v>2302</v>
      </c>
      <c r="B231" t="s">
        <v>2797</v>
      </c>
      <c r="C231" t="s">
        <v>2303</v>
      </c>
      <c r="D231" t="s">
        <v>1544</v>
      </c>
      <c r="E231" t="s">
        <v>1498</v>
      </c>
      <c r="F231">
        <v>30328</v>
      </c>
      <c r="H231" t="s">
        <v>2304</v>
      </c>
      <c r="I231" s="6" t="s">
        <v>2305</v>
      </c>
      <c r="J231" s="6" t="s">
        <v>2306</v>
      </c>
    </row>
    <row r="232" spans="1:10" x14ac:dyDescent="0.2">
      <c r="A232" t="s">
        <v>2307</v>
      </c>
      <c r="B232" t="s">
        <v>2798</v>
      </c>
      <c r="D232" t="s">
        <v>1778</v>
      </c>
      <c r="E232" t="s">
        <v>1498</v>
      </c>
      <c r="F232">
        <v>30040</v>
      </c>
      <c r="I232" s="6" t="s">
        <v>2308</v>
      </c>
    </row>
    <row r="233" spans="1:10" x14ac:dyDescent="0.2">
      <c r="A233" t="s">
        <v>2309</v>
      </c>
      <c r="B233" t="s">
        <v>2799</v>
      </c>
      <c r="C233" t="s">
        <v>1538</v>
      </c>
      <c r="D233" t="s">
        <v>1529</v>
      </c>
      <c r="E233" t="s">
        <v>1498</v>
      </c>
      <c r="F233">
        <v>30047</v>
      </c>
      <c r="I233" s="6" t="s">
        <v>2310</v>
      </c>
      <c r="J233" s="6" t="s">
        <v>2311</v>
      </c>
    </row>
    <row r="234" spans="1:10" x14ac:dyDescent="0.2">
      <c r="A234" t="s">
        <v>2312</v>
      </c>
      <c r="B234" t="s">
        <v>2800</v>
      </c>
      <c r="D234" t="s">
        <v>2313</v>
      </c>
      <c r="E234" t="s">
        <v>1498</v>
      </c>
      <c r="F234">
        <v>30021</v>
      </c>
      <c r="H234" t="s">
        <v>2314</v>
      </c>
      <c r="I234" s="6" t="s">
        <v>2315</v>
      </c>
      <c r="J234" s="6" t="s">
        <v>2316</v>
      </c>
    </row>
    <row r="235" spans="1:10" x14ac:dyDescent="0.2">
      <c r="A235" t="s">
        <v>2317</v>
      </c>
      <c r="B235" t="s">
        <v>2661</v>
      </c>
      <c r="C235">
        <v>230</v>
      </c>
      <c r="D235" t="s">
        <v>1551</v>
      </c>
      <c r="E235" t="s">
        <v>1498</v>
      </c>
      <c r="F235">
        <v>30033</v>
      </c>
      <c r="I235" s="6" t="s">
        <v>2318</v>
      </c>
      <c r="J235" s="6" t="s">
        <v>2319</v>
      </c>
    </row>
    <row r="236" spans="1:10" x14ac:dyDescent="0.2">
      <c r="A236" t="s">
        <v>2320</v>
      </c>
      <c r="B236" t="s">
        <v>2801</v>
      </c>
      <c r="C236">
        <v>532</v>
      </c>
      <c r="D236" t="s">
        <v>1544</v>
      </c>
      <c r="E236" t="s">
        <v>1498</v>
      </c>
      <c r="F236">
        <v>30329</v>
      </c>
      <c r="H236" t="s">
        <v>2321</v>
      </c>
      <c r="I236" s="6" t="s">
        <v>2322</v>
      </c>
      <c r="J236" s="6" t="s">
        <v>2323</v>
      </c>
    </row>
    <row r="237" spans="1:10" x14ac:dyDescent="0.2">
      <c r="A237" t="s">
        <v>2324</v>
      </c>
      <c r="B237" t="s">
        <v>2662</v>
      </c>
      <c r="C237">
        <v>120</v>
      </c>
      <c r="D237" t="s">
        <v>1770</v>
      </c>
      <c r="E237" t="s">
        <v>1498</v>
      </c>
      <c r="F237">
        <v>30076</v>
      </c>
      <c r="H237" t="s">
        <v>2325</v>
      </c>
      <c r="I237" s="6" t="s">
        <v>1772</v>
      </c>
      <c r="J237" s="6" t="s">
        <v>1773</v>
      </c>
    </row>
    <row r="238" spans="1:10" x14ac:dyDescent="0.2">
      <c r="A238" t="s">
        <v>2326</v>
      </c>
      <c r="B238" t="s">
        <v>2802</v>
      </c>
      <c r="C238">
        <v>205</v>
      </c>
      <c r="D238" t="s">
        <v>1544</v>
      </c>
      <c r="E238" t="s">
        <v>1498</v>
      </c>
      <c r="F238">
        <v>30309</v>
      </c>
      <c r="I238" s="6" t="s">
        <v>2327</v>
      </c>
    </row>
    <row r="239" spans="1:10" x14ac:dyDescent="0.2">
      <c r="A239" t="s">
        <v>2328</v>
      </c>
      <c r="B239" t="s">
        <v>2803</v>
      </c>
      <c r="C239" t="s">
        <v>1538</v>
      </c>
      <c r="D239" t="s">
        <v>1489</v>
      </c>
      <c r="E239" t="s">
        <v>1498</v>
      </c>
      <c r="F239">
        <v>30909</v>
      </c>
      <c r="H239" t="s">
        <v>2329</v>
      </c>
      <c r="I239" s="6" t="s">
        <v>2330</v>
      </c>
      <c r="J239" s="6" t="s">
        <v>2331</v>
      </c>
    </row>
    <row r="240" spans="1:10" x14ac:dyDescent="0.2">
      <c r="A240" t="s">
        <v>2332</v>
      </c>
      <c r="B240" t="s">
        <v>2774</v>
      </c>
      <c r="D240" t="s">
        <v>1565</v>
      </c>
      <c r="E240" t="s">
        <v>1498</v>
      </c>
      <c r="F240">
        <v>30046</v>
      </c>
      <c r="I240" s="6" t="s">
        <v>2216</v>
      </c>
      <c r="J240" s="6" t="s">
        <v>2217</v>
      </c>
    </row>
    <row r="241" spans="1:10" x14ac:dyDescent="0.2">
      <c r="A241" t="s">
        <v>2333</v>
      </c>
      <c r="B241" t="s">
        <v>2804</v>
      </c>
      <c r="C241" t="s">
        <v>2275</v>
      </c>
      <c r="D241" t="s">
        <v>1539</v>
      </c>
      <c r="E241" t="s">
        <v>1498</v>
      </c>
      <c r="F241">
        <v>30078</v>
      </c>
      <c r="H241" t="s">
        <v>2334</v>
      </c>
      <c r="I241" s="6" t="s">
        <v>2335</v>
      </c>
      <c r="J241" s="6" t="s">
        <v>2336</v>
      </c>
    </row>
    <row r="242" spans="1:10" x14ac:dyDescent="0.2">
      <c r="A242" t="s">
        <v>2337</v>
      </c>
      <c r="B242" t="s">
        <v>2805</v>
      </c>
      <c r="D242" t="s">
        <v>1544</v>
      </c>
      <c r="E242" t="s">
        <v>1498</v>
      </c>
      <c r="F242">
        <v>30317</v>
      </c>
      <c r="I242" s="6" t="s">
        <v>2338</v>
      </c>
      <c r="J242" s="6" t="s">
        <v>2339</v>
      </c>
    </row>
    <row r="243" spans="1:10" x14ac:dyDescent="0.2">
      <c r="A243" t="s">
        <v>2340</v>
      </c>
      <c r="B243" t="s">
        <v>2806</v>
      </c>
      <c r="C243">
        <v>201</v>
      </c>
      <c r="D243" t="s">
        <v>1643</v>
      </c>
      <c r="E243" t="s">
        <v>1498</v>
      </c>
      <c r="F243">
        <v>30144</v>
      </c>
      <c r="I243" s="6" t="s">
        <v>2341</v>
      </c>
      <c r="J243" s="6" t="s">
        <v>2342</v>
      </c>
    </row>
    <row r="244" spans="1:10" x14ac:dyDescent="0.2">
      <c r="A244" t="s">
        <v>2343</v>
      </c>
      <c r="B244" t="s">
        <v>2691</v>
      </c>
      <c r="C244">
        <v>300</v>
      </c>
      <c r="D244" t="s">
        <v>1551</v>
      </c>
      <c r="E244" t="s">
        <v>1498</v>
      </c>
      <c r="F244">
        <v>30033</v>
      </c>
      <c r="I244" s="6" t="s">
        <v>2344</v>
      </c>
      <c r="J244" s="6" t="s">
        <v>2345</v>
      </c>
    </row>
    <row r="245" spans="1:10" x14ac:dyDescent="0.2">
      <c r="A245" t="s">
        <v>2346</v>
      </c>
      <c r="B245" t="s">
        <v>2807</v>
      </c>
      <c r="D245" t="s">
        <v>1575</v>
      </c>
      <c r="E245" t="s">
        <v>1498</v>
      </c>
      <c r="F245">
        <v>30096</v>
      </c>
      <c r="I245" s="6" t="s">
        <v>1810</v>
      </c>
      <c r="J245" s="6" t="s">
        <v>2347</v>
      </c>
    </row>
    <row r="246" spans="1:10" x14ac:dyDescent="0.2">
      <c r="A246" t="s">
        <v>2348</v>
      </c>
      <c r="B246" t="s">
        <v>2808</v>
      </c>
      <c r="C246">
        <v>100</v>
      </c>
      <c r="D246" t="s">
        <v>2349</v>
      </c>
      <c r="E246" t="s">
        <v>1498</v>
      </c>
      <c r="F246">
        <v>30019</v>
      </c>
      <c r="I246" s="6" t="s">
        <v>2350</v>
      </c>
      <c r="J246" s="6" t="s">
        <v>2351</v>
      </c>
    </row>
    <row r="247" spans="1:10" x14ac:dyDescent="0.2">
      <c r="A247" t="s">
        <v>2352</v>
      </c>
      <c r="B247" t="s">
        <v>2809</v>
      </c>
      <c r="D247" t="s">
        <v>1555</v>
      </c>
      <c r="E247" t="s">
        <v>1498</v>
      </c>
      <c r="F247">
        <v>30062</v>
      </c>
      <c r="I247" s="6" t="s">
        <v>2353</v>
      </c>
      <c r="J247" s="6" t="s">
        <v>2354</v>
      </c>
    </row>
    <row r="248" spans="1:10" x14ac:dyDescent="0.2">
      <c r="A248" t="s">
        <v>2355</v>
      </c>
      <c r="B248" t="s">
        <v>2356</v>
      </c>
      <c r="D248" t="s">
        <v>55</v>
      </c>
      <c r="E248" t="s">
        <v>1498</v>
      </c>
      <c r="H248" t="s">
        <v>2357</v>
      </c>
      <c r="I248" s="6" t="s">
        <v>2358</v>
      </c>
      <c r="J248" s="6" t="s">
        <v>2359</v>
      </c>
    </row>
    <row r="249" spans="1:10" x14ac:dyDescent="0.2">
      <c r="A249" t="s">
        <v>2360</v>
      </c>
      <c r="B249" t="s">
        <v>2679</v>
      </c>
      <c r="D249" t="s">
        <v>1544</v>
      </c>
      <c r="E249" t="s">
        <v>1498</v>
      </c>
      <c r="F249">
        <v>30308</v>
      </c>
      <c r="I249" s="6" t="s">
        <v>2361</v>
      </c>
    </row>
    <row r="250" spans="1:10" x14ac:dyDescent="0.2">
      <c r="A250" t="s">
        <v>2362</v>
      </c>
      <c r="B250" t="s">
        <v>2810</v>
      </c>
      <c r="D250" t="s">
        <v>1551</v>
      </c>
      <c r="E250" t="s">
        <v>1498</v>
      </c>
      <c r="F250">
        <v>30030</v>
      </c>
      <c r="H250" t="s">
        <v>2363</v>
      </c>
      <c r="I250" s="6" t="s">
        <v>2364</v>
      </c>
      <c r="J250" s="6" t="s">
        <v>2365</v>
      </c>
    </row>
    <row r="251" spans="1:10" x14ac:dyDescent="0.2">
      <c r="A251" t="s">
        <v>2366</v>
      </c>
      <c r="B251" t="s">
        <v>2811</v>
      </c>
      <c r="D251" t="s">
        <v>1555</v>
      </c>
      <c r="E251" t="s">
        <v>1498</v>
      </c>
      <c r="F251">
        <v>30062</v>
      </c>
      <c r="H251" t="s">
        <v>2367</v>
      </c>
      <c r="I251" s="6" t="s">
        <v>2368</v>
      </c>
      <c r="J251" s="6" t="s">
        <v>2369</v>
      </c>
    </row>
    <row r="252" spans="1:10" x14ac:dyDescent="0.2">
      <c r="A252" t="s">
        <v>2370</v>
      </c>
      <c r="B252" t="s">
        <v>2812</v>
      </c>
      <c r="C252">
        <v>3050</v>
      </c>
      <c r="D252" t="s">
        <v>1544</v>
      </c>
      <c r="E252" t="s">
        <v>1498</v>
      </c>
      <c r="F252">
        <v>30329</v>
      </c>
      <c r="H252" t="s">
        <v>2371</v>
      </c>
      <c r="I252" s="6" t="s">
        <v>2372</v>
      </c>
      <c r="J252" s="6" t="s">
        <v>2373</v>
      </c>
    </row>
    <row r="253" spans="1:10" x14ac:dyDescent="0.2">
      <c r="A253" t="s">
        <v>2374</v>
      </c>
      <c r="B253" t="s">
        <v>2813</v>
      </c>
      <c r="C253">
        <v>120</v>
      </c>
      <c r="D253" t="s">
        <v>1565</v>
      </c>
      <c r="E253" t="s">
        <v>1498</v>
      </c>
      <c r="F253">
        <v>30046</v>
      </c>
      <c r="H253" t="s">
        <v>2375</v>
      </c>
      <c r="I253" s="6" t="s">
        <v>2376</v>
      </c>
      <c r="J253" s="6" t="s">
        <v>2377</v>
      </c>
    </row>
    <row r="254" spans="1:10" x14ac:dyDescent="0.2">
      <c r="A254" t="s">
        <v>2378</v>
      </c>
      <c r="B254" t="s">
        <v>2722</v>
      </c>
      <c r="D254" t="s">
        <v>1544</v>
      </c>
      <c r="E254" t="s">
        <v>1498</v>
      </c>
      <c r="F254">
        <v>30308</v>
      </c>
      <c r="I254" s="6" t="s">
        <v>2000</v>
      </c>
      <c r="J254" s="6" t="s">
        <v>2001</v>
      </c>
    </row>
    <row r="255" spans="1:10" x14ac:dyDescent="0.2">
      <c r="A255" t="s">
        <v>2379</v>
      </c>
      <c r="B255" t="s">
        <v>2814</v>
      </c>
      <c r="C255">
        <v>303</v>
      </c>
      <c r="D255" t="s">
        <v>1839</v>
      </c>
      <c r="E255" t="s">
        <v>1498</v>
      </c>
      <c r="F255">
        <v>30084</v>
      </c>
      <c r="I255" s="6" t="s">
        <v>2380</v>
      </c>
    </row>
    <row r="256" spans="1:10" x14ac:dyDescent="0.2">
      <c r="A256" t="s">
        <v>2381</v>
      </c>
      <c r="B256" t="s">
        <v>2814</v>
      </c>
      <c r="D256" t="s">
        <v>1839</v>
      </c>
      <c r="E256" t="s">
        <v>1498</v>
      </c>
      <c r="F256">
        <v>30084</v>
      </c>
      <c r="I256" s="6" t="s">
        <v>2382</v>
      </c>
    </row>
    <row r="257" spans="1:10" x14ac:dyDescent="0.2">
      <c r="A257" t="s">
        <v>2383</v>
      </c>
      <c r="B257" t="s">
        <v>2815</v>
      </c>
      <c r="C257" t="s">
        <v>2159</v>
      </c>
      <c r="D257" t="s">
        <v>1539</v>
      </c>
      <c r="E257" t="s">
        <v>1498</v>
      </c>
      <c r="F257">
        <v>30078</v>
      </c>
      <c r="H257" t="s">
        <v>2384</v>
      </c>
      <c r="I257" s="6" t="s">
        <v>2385</v>
      </c>
      <c r="J257" s="6" t="s">
        <v>2386</v>
      </c>
    </row>
    <row r="258" spans="1:10" x14ac:dyDescent="0.2">
      <c r="A258" t="s">
        <v>2387</v>
      </c>
      <c r="B258" t="s">
        <v>2816</v>
      </c>
      <c r="C258" t="s">
        <v>2388</v>
      </c>
      <c r="D258" t="s">
        <v>1525</v>
      </c>
      <c r="E258" t="s">
        <v>1498</v>
      </c>
      <c r="F258">
        <v>30071</v>
      </c>
      <c r="I258" s="6" t="s">
        <v>2389</v>
      </c>
      <c r="J258" s="6" t="s">
        <v>2390</v>
      </c>
    </row>
    <row r="259" spans="1:10" x14ac:dyDescent="0.2">
      <c r="A259" t="s">
        <v>2391</v>
      </c>
      <c r="B259" t="s">
        <v>2817</v>
      </c>
      <c r="D259" t="s">
        <v>2392</v>
      </c>
      <c r="E259" t="s">
        <v>1498</v>
      </c>
      <c r="F259">
        <v>30132</v>
      </c>
      <c r="H259" t="s">
        <v>2393</v>
      </c>
      <c r="I259" s="6" t="s">
        <v>2394</v>
      </c>
      <c r="J259" s="6" t="s">
        <v>2395</v>
      </c>
    </row>
    <row r="260" spans="1:10" x14ac:dyDescent="0.2">
      <c r="A260" t="s">
        <v>2396</v>
      </c>
      <c r="B260" t="s">
        <v>2687</v>
      </c>
      <c r="C260">
        <v>200</v>
      </c>
      <c r="D260" t="s">
        <v>1551</v>
      </c>
      <c r="E260" t="s">
        <v>1498</v>
      </c>
      <c r="F260">
        <v>30033</v>
      </c>
      <c r="H260" t="s">
        <v>2397</v>
      </c>
      <c r="I260" s="6" t="s">
        <v>1874</v>
      </c>
      <c r="J260" s="6" t="s">
        <v>2398</v>
      </c>
    </row>
    <row r="261" spans="1:10" x14ac:dyDescent="0.2">
      <c r="A261" t="s">
        <v>2399</v>
      </c>
      <c r="B261" t="s">
        <v>2818</v>
      </c>
      <c r="C261">
        <v>9</v>
      </c>
      <c r="D261" t="s">
        <v>1544</v>
      </c>
      <c r="E261" t="s">
        <v>1498</v>
      </c>
      <c r="F261">
        <v>30305</v>
      </c>
      <c r="I261" s="6" t="s">
        <v>2400</v>
      </c>
      <c r="J261" s="6" t="s">
        <v>2401</v>
      </c>
    </row>
    <row r="262" spans="1:10" x14ac:dyDescent="0.2">
      <c r="A262" t="s">
        <v>2402</v>
      </c>
      <c r="B262" t="s">
        <v>2819</v>
      </c>
      <c r="C262">
        <v>220</v>
      </c>
      <c r="D262" t="s">
        <v>1575</v>
      </c>
      <c r="E262" t="s">
        <v>1498</v>
      </c>
      <c r="F262">
        <v>30096</v>
      </c>
      <c r="H262" t="s">
        <v>2403</v>
      </c>
      <c r="I262" s="6" t="s">
        <v>2404</v>
      </c>
      <c r="J262" s="6" t="s">
        <v>2405</v>
      </c>
    </row>
    <row r="263" spans="1:10" x14ac:dyDescent="0.2">
      <c r="A263" t="s">
        <v>2406</v>
      </c>
      <c r="B263" t="s">
        <v>2820</v>
      </c>
      <c r="C263" t="s">
        <v>2407</v>
      </c>
      <c r="D263" t="s">
        <v>2408</v>
      </c>
      <c r="E263" t="s">
        <v>1498</v>
      </c>
      <c r="F263">
        <v>30622</v>
      </c>
      <c r="H263" t="s">
        <v>2409</v>
      </c>
      <c r="I263" s="6" t="s">
        <v>2410</v>
      </c>
      <c r="J263" s="6" t="s">
        <v>2411</v>
      </c>
    </row>
    <row r="264" spans="1:10" x14ac:dyDescent="0.2">
      <c r="A264" t="s">
        <v>2412</v>
      </c>
      <c r="B264" t="s">
        <v>2821</v>
      </c>
      <c r="C264">
        <v>104</v>
      </c>
      <c r="D264" t="s">
        <v>1611</v>
      </c>
      <c r="E264" t="s">
        <v>1498</v>
      </c>
      <c r="F264">
        <v>30809</v>
      </c>
      <c r="H264" t="s">
        <v>2413</v>
      </c>
      <c r="I264" s="6" t="s">
        <v>1709</v>
      </c>
      <c r="J264" s="6" t="s">
        <v>2414</v>
      </c>
    </row>
    <row r="265" spans="1:10" x14ac:dyDescent="0.2">
      <c r="A265" t="s">
        <v>2415</v>
      </c>
      <c r="B265" t="s">
        <v>2822</v>
      </c>
      <c r="C265">
        <v>100</v>
      </c>
      <c r="D265" t="s">
        <v>1565</v>
      </c>
      <c r="E265" t="s">
        <v>1498</v>
      </c>
      <c r="F265">
        <v>30046</v>
      </c>
      <c r="H265" t="s">
        <v>2416</v>
      </c>
      <c r="I265" s="6" t="s">
        <v>2417</v>
      </c>
      <c r="J265" s="6" t="s">
        <v>2418</v>
      </c>
    </row>
    <row r="266" spans="1:10" x14ac:dyDescent="0.2">
      <c r="A266" t="s">
        <v>2419</v>
      </c>
      <c r="B266" t="s">
        <v>2823</v>
      </c>
      <c r="C266">
        <v>1100</v>
      </c>
      <c r="D266" t="s">
        <v>1504</v>
      </c>
      <c r="E266" t="s">
        <v>1498</v>
      </c>
      <c r="F266">
        <v>30009</v>
      </c>
      <c r="I266" s="6" t="s">
        <v>2420</v>
      </c>
      <c r="J266" s="6" t="s">
        <v>2421</v>
      </c>
    </row>
    <row r="267" spans="1:10" x14ac:dyDescent="0.2">
      <c r="A267" t="s">
        <v>2422</v>
      </c>
      <c r="B267" t="s">
        <v>2770</v>
      </c>
      <c r="C267">
        <v>200</v>
      </c>
      <c r="D267" t="s">
        <v>1544</v>
      </c>
      <c r="E267" t="s">
        <v>1498</v>
      </c>
      <c r="F267">
        <v>30312</v>
      </c>
      <c r="H267" t="s">
        <v>2423</v>
      </c>
      <c r="I267" s="6" t="s">
        <v>2424</v>
      </c>
      <c r="J267" s="6" t="s">
        <v>2425</v>
      </c>
    </row>
    <row r="268" spans="1:10" x14ac:dyDescent="0.2">
      <c r="A268" t="s">
        <v>2426</v>
      </c>
      <c r="B268" t="s">
        <v>2824</v>
      </c>
      <c r="C268">
        <v>200</v>
      </c>
      <c r="D268" t="s">
        <v>2427</v>
      </c>
      <c r="E268" t="s">
        <v>1498</v>
      </c>
      <c r="F268">
        <v>30134</v>
      </c>
      <c r="I268" s="6" t="s">
        <v>2428</v>
      </c>
      <c r="J268" s="6" t="s">
        <v>2429</v>
      </c>
    </row>
    <row r="269" spans="1:10" x14ac:dyDescent="0.2">
      <c r="A269" t="s">
        <v>2430</v>
      </c>
      <c r="B269" t="s">
        <v>2824</v>
      </c>
      <c r="C269">
        <v>200</v>
      </c>
      <c r="D269" t="s">
        <v>2427</v>
      </c>
      <c r="E269" t="s">
        <v>1498</v>
      </c>
      <c r="F269">
        <v>30134</v>
      </c>
      <c r="H269" t="s">
        <v>2431</v>
      </c>
      <c r="I269" s="6" t="s">
        <v>2428</v>
      </c>
      <c r="J269" s="6" t="s">
        <v>2429</v>
      </c>
    </row>
    <row r="270" spans="1:10" x14ac:dyDescent="0.2">
      <c r="A270" t="s">
        <v>2432</v>
      </c>
      <c r="B270" t="s">
        <v>2825</v>
      </c>
      <c r="D270" t="s">
        <v>1544</v>
      </c>
      <c r="E270" t="s">
        <v>1498</v>
      </c>
      <c r="F270">
        <v>30322</v>
      </c>
      <c r="I270" s="6" t="s">
        <v>1759</v>
      </c>
      <c r="J270" s="6" t="s">
        <v>2433</v>
      </c>
    </row>
    <row r="271" spans="1:10" x14ac:dyDescent="0.2">
      <c r="A271" t="s">
        <v>2434</v>
      </c>
      <c r="B271" t="s">
        <v>2826</v>
      </c>
      <c r="D271" t="s">
        <v>2435</v>
      </c>
      <c r="E271" t="s">
        <v>1498</v>
      </c>
      <c r="F271">
        <v>30161</v>
      </c>
      <c r="H271" t="s">
        <v>2436</v>
      </c>
      <c r="I271" s="6" t="s">
        <v>2437</v>
      </c>
      <c r="J271" s="6" t="s">
        <v>2438</v>
      </c>
    </row>
    <row r="272" spans="1:10" x14ac:dyDescent="0.2">
      <c r="A272" t="s">
        <v>2439</v>
      </c>
      <c r="B272" t="s">
        <v>2827</v>
      </c>
      <c r="D272" t="s">
        <v>1839</v>
      </c>
      <c r="E272" t="s">
        <v>1498</v>
      </c>
      <c r="F272">
        <v>30084</v>
      </c>
      <c r="H272" t="s">
        <v>2440</v>
      </c>
      <c r="I272" s="6" t="s">
        <v>2441</v>
      </c>
      <c r="J272" s="6" t="s">
        <v>2442</v>
      </c>
    </row>
    <row r="273" spans="1:10" x14ac:dyDescent="0.2">
      <c r="A273" t="s">
        <v>2443</v>
      </c>
      <c r="B273" t="s">
        <v>2691</v>
      </c>
      <c r="C273">
        <v>300</v>
      </c>
      <c r="D273" t="s">
        <v>1551</v>
      </c>
      <c r="E273" t="s">
        <v>1498</v>
      </c>
      <c r="F273">
        <v>30033</v>
      </c>
      <c r="H273" t="s">
        <v>2444</v>
      </c>
      <c r="I273" s="6" t="s">
        <v>2344</v>
      </c>
      <c r="J273" s="6" t="s">
        <v>2445</v>
      </c>
    </row>
    <row r="274" spans="1:10" x14ac:dyDescent="0.2">
      <c r="A274" t="s">
        <v>2446</v>
      </c>
      <c r="B274" t="s">
        <v>2828</v>
      </c>
      <c r="C274" t="s">
        <v>2447</v>
      </c>
      <c r="D274" t="s">
        <v>2448</v>
      </c>
      <c r="E274" t="s">
        <v>1498</v>
      </c>
      <c r="F274">
        <v>30022</v>
      </c>
      <c r="H274" t="s">
        <v>2449</v>
      </c>
    </row>
    <row r="275" spans="1:10" x14ac:dyDescent="0.2">
      <c r="A275" t="s">
        <v>2450</v>
      </c>
      <c r="B275" t="s">
        <v>2829</v>
      </c>
      <c r="D275" t="s">
        <v>1611</v>
      </c>
      <c r="E275" t="s">
        <v>1498</v>
      </c>
      <c r="F275">
        <v>30809</v>
      </c>
      <c r="I275" s="6" t="s">
        <v>2451</v>
      </c>
      <c r="J275" s="6" t="s">
        <v>2452</v>
      </c>
    </row>
    <row r="276" spans="1:10" x14ac:dyDescent="0.2">
      <c r="A276" t="s">
        <v>2453</v>
      </c>
      <c r="B276" t="s">
        <v>2830</v>
      </c>
      <c r="D276" t="s">
        <v>1489</v>
      </c>
      <c r="E276" t="s">
        <v>1498</v>
      </c>
      <c r="F276">
        <v>30904</v>
      </c>
      <c r="I276" s="6" t="s">
        <v>2454</v>
      </c>
      <c r="J276" s="6" t="s">
        <v>2455</v>
      </c>
    </row>
    <row r="277" spans="1:10" x14ac:dyDescent="0.2">
      <c r="A277" t="s">
        <v>2456</v>
      </c>
      <c r="B277" t="s">
        <v>2663</v>
      </c>
      <c r="C277">
        <v>775</v>
      </c>
      <c r="D277" t="s">
        <v>1544</v>
      </c>
      <c r="E277" t="s">
        <v>1498</v>
      </c>
      <c r="F277">
        <v>30309</v>
      </c>
      <c r="H277" t="s">
        <v>2457</v>
      </c>
      <c r="I277" s="6" t="s">
        <v>2458</v>
      </c>
      <c r="J277" s="6" t="s">
        <v>2459</v>
      </c>
    </row>
    <row r="278" spans="1:10" x14ac:dyDescent="0.2">
      <c r="A278" t="s">
        <v>2460</v>
      </c>
      <c r="B278" t="s">
        <v>2614</v>
      </c>
      <c r="C278">
        <v>510</v>
      </c>
      <c r="D278" t="s">
        <v>1504</v>
      </c>
      <c r="E278" t="s">
        <v>1498</v>
      </c>
      <c r="F278">
        <v>30005</v>
      </c>
      <c r="I278" s="6" t="s">
        <v>1593</v>
      </c>
      <c r="J278" s="6" t="s">
        <v>1594</v>
      </c>
    </row>
    <row r="279" spans="1:10" x14ac:dyDescent="0.2">
      <c r="A279" t="s">
        <v>2461</v>
      </c>
      <c r="B279" t="s">
        <v>2633</v>
      </c>
      <c r="D279" t="s">
        <v>1544</v>
      </c>
      <c r="E279" t="s">
        <v>1498</v>
      </c>
      <c r="F279">
        <v>30329</v>
      </c>
      <c r="I279" s="6" t="s">
        <v>1590</v>
      </c>
      <c r="J279" s="6" t="s">
        <v>2462</v>
      </c>
    </row>
    <row r="280" spans="1:10" x14ac:dyDescent="0.2">
      <c r="A280" t="s">
        <v>2463</v>
      </c>
      <c r="B280" t="s">
        <v>2831</v>
      </c>
      <c r="D280" t="s">
        <v>1551</v>
      </c>
      <c r="E280" t="s">
        <v>1498</v>
      </c>
      <c r="F280">
        <v>30033</v>
      </c>
      <c r="I280" s="6" t="s">
        <v>2464</v>
      </c>
      <c r="J280" s="6" t="s">
        <v>2465</v>
      </c>
    </row>
    <row r="281" spans="1:10" x14ac:dyDescent="0.2">
      <c r="A281" t="s">
        <v>2466</v>
      </c>
      <c r="B281" t="s">
        <v>2832</v>
      </c>
      <c r="C281">
        <v>310</v>
      </c>
      <c r="D281" t="s">
        <v>1565</v>
      </c>
      <c r="E281" t="s">
        <v>1498</v>
      </c>
      <c r="F281">
        <v>30046</v>
      </c>
      <c r="H281" t="s">
        <v>2467</v>
      </c>
      <c r="I281" s="6" t="s">
        <v>2468</v>
      </c>
      <c r="J281" s="6" t="s">
        <v>2469</v>
      </c>
    </row>
    <row r="282" spans="1:10" x14ac:dyDescent="0.2">
      <c r="A282" t="s">
        <v>2470</v>
      </c>
      <c r="B282" t="s">
        <v>2833</v>
      </c>
      <c r="C282">
        <v>207</v>
      </c>
      <c r="D282" t="s">
        <v>1618</v>
      </c>
      <c r="E282" t="s">
        <v>1498</v>
      </c>
      <c r="F282">
        <v>30080</v>
      </c>
      <c r="I282" s="6" t="s">
        <v>2471</v>
      </c>
      <c r="J282" s="6" t="s">
        <v>2472</v>
      </c>
    </row>
    <row r="283" spans="1:10" x14ac:dyDescent="0.2">
      <c r="A283" t="s">
        <v>2473</v>
      </c>
      <c r="B283" t="s">
        <v>2834</v>
      </c>
      <c r="C283">
        <v>1103</v>
      </c>
      <c r="D283" t="s">
        <v>1504</v>
      </c>
      <c r="E283" t="s">
        <v>1498</v>
      </c>
      <c r="F283">
        <v>30009</v>
      </c>
      <c r="I283" s="6" t="s">
        <v>2474</v>
      </c>
      <c r="J283" s="6" t="s">
        <v>2475</v>
      </c>
    </row>
    <row r="284" spans="1:10" x14ac:dyDescent="0.2">
      <c r="A284" t="s">
        <v>2476</v>
      </c>
      <c r="B284" t="s">
        <v>2835</v>
      </c>
      <c r="D284" t="s">
        <v>1565</v>
      </c>
      <c r="E284" t="s">
        <v>1498</v>
      </c>
      <c r="F284">
        <v>30043</v>
      </c>
      <c r="H284" t="s">
        <v>2477</v>
      </c>
      <c r="I284" s="6" t="s">
        <v>2478</v>
      </c>
      <c r="J284" s="6" t="s">
        <v>2479</v>
      </c>
    </row>
    <row r="285" spans="1:10" x14ac:dyDescent="0.2">
      <c r="A285" t="s">
        <v>2480</v>
      </c>
      <c r="B285" t="s">
        <v>2836</v>
      </c>
      <c r="D285" t="s">
        <v>1529</v>
      </c>
      <c r="E285" t="s">
        <v>1498</v>
      </c>
      <c r="F285">
        <v>30047</v>
      </c>
      <c r="I285" s="6" t="s">
        <v>2481</v>
      </c>
      <c r="J285" s="6" t="s">
        <v>2482</v>
      </c>
    </row>
    <row r="286" spans="1:10" x14ac:dyDescent="0.2">
      <c r="A286" t="s">
        <v>2483</v>
      </c>
      <c r="B286" t="s">
        <v>2837</v>
      </c>
      <c r="C286">
        <v>440</v>
      </c>
      <c r="D286" t="s">
        <v>2484</v>
      </c>
      <c r="E286" t="s">
        <v>2485</v>
      </c>
      <c r="F286">
        <v>28207</v>
      </c>
      <c r="I286" s="6" t="s">
        <v>2486</v>
      </c>
      <c r="J286" s="6" t="s">
        <v>2487</v>
      </c>
    </row>
    <row r="287" spans="1:10" x14ac:dyDescent="0.2">
      <c r="A287" t="s">
        <v>2488</v>
      </c>
      <c r="B287" t="s">
        <v>2838</v>
      </c>
      <c r="C287">
        <v>250</v>
      </c>
      <c r="D287" t="s">
        <v>1544</v>
      </c>
      <c r="E287" t="s">
        <v>1498</v>
      </c>
      <c r="F287">
        <v>30342</v>
      </c>
      <c r="H287" t="s">
        <v>2489</v>
      </c>
      <c r="I287" s="6" t="s">
        <v>2490</v>
      </c>
      <c r="J287" s="6" t="s">
        <v>2491</v>
      </c>
    </row>
    <row r="288" spans="1:10" x14ac:dyDescent="0.2">
      <c r="A288" t="s">
        <v>2492</v>
      </c>
      <c r="B288" t="s">
        <v>2839</v>
      </c>
      <c r="D288" t="s">
        <v>1544</v>
      </c>
      <c r="E288" t="s">
        <v>1498</v>
      </c>
      <c r="F288">
        <v>30308</v>
      </c>
      <c r="H288" t="s">
        <v>2493</v>
      </c>
      <c r="I288" s="6" t="s">
        <v>2000</v>
      </c>
      <c r="J288" s="6" t="s">
        <v>2494</v>
      </c>
    </row>
    <row r="289" spans="1:10" x14ac:dyDescent="0.2">
      <c r="A289" t="s">
        <v>2495</v>
      </c>
      <c r="B289" t="s">
        <v>2814</v>
      </c>
      <c r="C289">
        <v>303</v>
      </c>
      <c r="D289" t="s">
        <v>1839</v>
      </c>
      <c r="E289" t="s">
        <v>1498</v>
      </c>
      <c r="F289">
        <v>30084</v>
      </c>
      <c r="H289" t="s">
        <v>2496</v>
      </c>
      <c r="I289" s="6" t="s">
        <v>2380</v>
      </c>
      <c r="J289" s="6" t="s">
        <v>2497</v>
      </c>
    </row>
    <row r="290" spans="1:10" x14ac:dyDescent="0.2">
      <c r="A290" t="s">
        <v>2498</v>
      </c>
      <c r="B290" t="s">
        <v>2840</v>
      </c>
      <c r="C290">
        <v>103</v>
      </c>
      <c r="D290" t="s">
        <v>1778</v>
      </c>
      <c r="E290" t="s">
        <v>1498</v>
      </c>
      <c r="F290">
        <v>30040</v>
      </c>
      <c r="H290" t="s">
        <v>2499</v>
      </c>
      <c r="I290" s="6" t="s">
        <v>2500</v>
      </c>
      <c r="J290" s="6" t="s">
        <v>2501</v>
      </c>
    </row>
    <row r="291" spans="1:10" x14ac:dyDescent="0.2">
      <c r="A291" t="s">
        <v>2502</v>
      </c>
      <c r="B291" t="s">
        <v>2656</v>
      </c>
      <c r="D291" t="s">
        <v>1489</v>
      </c>
      <c r="E291" t="s">
        <v>1498</v>
      </c>
      <c r="F291">
        <v>30909</v>
      </c>
      <c r="H291" t="s">
        <v>2503</v>
      </c>
      <c r="I291" s="6" t="s">
        <v>1748</v>
      </c>
      <c r="J291" s="6" t="s">
        <v>1749</v>
      </c>
    </row>
    <row r="292" spans="1:10" x14ac:dyDescent="0.2">
      <c r="A292" t="s">
        <v>2504</v>
      </c>
      <c r="B292" t="s">
        <v>2743</v>
      </c>
      <c r="D292" t="s">
        <v>1525</v>
      </c>
      <c r="E292" t="s">
        <v>1498</v>
      </c>
      <c r="F292">
        <v>30092</v>
      </c>
      <c r="I292" s="6" t="s">
        <v>2505</v>
      </c>
      <c r="J292" s="6" t="s">
        <v>2506</v>
      </c>
    </row>
    <row r="293" spans="1:10" x14ac:dyDescent="0.2">
      <c r="A293" t="s">
        <v>2507</v>
      </c>
      <c r="B293" t="s">
        <v>2841</v>
      </c>
      <c r="D293" t="s">
        <v>1917</v>
      </c>
      <c r="E293" t="s">
        <v>1498</v>
      </c>
      <c r="F293">
        <v>30518</v>
      </c>
      <c r="H293" t="s">
        <v>2508</v>
      </c>
      <c r="I293" s="6" t="s">
        <v>1810</v>
      </c>
      <c r="J293" s="6" t="s">
        <v>2509</v>
      </c>
    </row>
    <row r="294" spans="1:10" x14ac:dyDescent="0.2">
      <c r="A294" t="s">
        <v>2510</v>
      </c>
      <c r="B294" t="s">
        <v>2842</v>
      </c>
      <c r="C294">
        <v>140</v>
      </c>
      <c r="D294" t="s">
        <v>1544</v>
      </c>
      <c r="E294" t="s">
        <v>1498</v>
      </c>
      <c r="F294">
        <v>30312</v>
      </c>
      <c r="H294" t="s">
        <v>2511</v>
      </c>
      <c r="I294" s="6" t="s">
        <v>2512</v>
      </c>
      <c r="J294" s="6" t="s">
        <v>2513</v>
      </c>
    </row>
    <row r="295" spans="1:10" x14ac:dyDescent="0.2">
      <c r="A295" t="s">
        <v>2514</v>
      </c>
      <c r="E295" t="s">
        <v>1498</v>
      </c>
      <c r="I295" s="6" t="s">
        <v>2515</v>
      </c>
    </row>
    <row r="296" spans="1:10" x14ac:dyDescent="0.2">
      <c r="A296" t="s">
        <v>2516</v>
      </c>
      <c r="B296" t="s">
        <v>2843</v>
      </c>
      <c r="D296" t="s">
        <v>2517</v>
      </c>
      <c r="E296" t="s">
        <v>1498</v>
      </c>
      <c r="F296">
        <v>30253</v>
      </c>
      <c r="H296" t="s">
        <v>2518</v>
      </c>
      <c r="I296" s="6" t="s">
        <v>2519</v>
      </c>
      <c r="J296" s="6" t="s">
        <v>2520</v>
      </c>
    </row>
    <row r="297" spans="1:10" x14ac:dyDescent="0.2">
      <c r="A297" t="s">
        <v>2521</v>
      </c>
      <c r="B297" t="s">
        <v>2844</v>
      </c>
      <c r="C297">
        <v>240</v>
      </c>
      <c r="D297" t="s">
        <v>1770</v>
      </c>
      <c r="E297" t="s">
        <v>1498</v>
      </c>
      <c r="F297">
        <v>30076</v>
      </c>
      <c r="H297" t="s">
        <v>2522</v>
      </c>
      <c r="I297" s="6" t="s">
        <v>2523</v>
      </c>
      <c r="J297" s="6" t="s">
        <v>2524</v>
      </c>
    </row>
    <row r="298" spans="1:10" x14ac:dyDescent="0.2">
      <c r="A298" t="s">
        <v>2525</v>
      </c>
      <c r="B298" t="s">
        <v>2694</v>
      </c>
      <c r="D298" t="s">
        <v>1551</v>
      </c>
      <c r="E298" t="s">
        <v>1498</v>
      </c>
      <c r="F298">
        <v>30033</v>
      </c>
      <c r="I298" s="6" t="s">
        <v>1896</v>
      </c>
      <c r="J298" s="6" t="s">
        <v>2526</v>
      </c>
    </row>
    <row r="299" spans="1:10" x14ac:dyDescent="0.2">
      <c r="A299" t="s">
        <v>2527</v>
      </c>
      <c r="B299" t="s">
        <v>2845</v>
      </c>
      <c r="D299" t="s">
        <v>1489</v>
      </c>
      <c r="E299" t="s">
        <v>1498</v>
      </c>
      <c r="F299">
        <v>30904</v>
      </c>
      <c r="H299" t="s">
        <v>2528</v>
      </c>
      <c r="I299" s="6" t="s">
        <v>2454</v>
      </c>
      <c r="J299" s="6" t="s">
        <v>2529</v>
      </c>
    </row>
    <row r="300" spans="1:10" x14ac:dyDescent="0.2">
      <c r="A300" t="s">
        <v>2530</v>
      </c>
      <c r="B300" t="s">
        <v>2846</v>
      </c>
      <c r="C300">
        <v>207</v>
      </c>
      <c r="D300" t="s">
        <v>1525</v>
      </c>
      <c r="E300" t="s">
        <v>1498</v>
      </c>
      <c r="F300">
        <v>30092</v>
      </c>
      <c r="I300" s="6" t="s">
        <v>2531</v>
      </c>
      <c r="J300" s="6" t="s">
        <v>2532</v>
      </c>
    </row>
    <row r="301" spans="1:10" x14ac:dyDescent="0.2">
      <c r="A301" t="s">
        <v>2533</v>
      </c>
      <c r="B301" t="s">
        <v>2847</v>
      </c>
      <c r="D301" t="s">
        <v>1839</v>
      </c>
      <c r="E301" t="s">
        <v>1498</v>
      </c>
      <c r="F301">
        <v>30084</v>
      </c>
      <c r="I301" s="6" t="s">
        <v>2534</v>
      </c>
    </row>
    <row r="302" spans="1:10" x14ac:dyDescent="0.2">
      <c r="A302" t="s">
        <v>2535</v>
      </c>
      <c r="B302" t="s">
        <v>2848</v>
      </c>
      <c r="D302" t="s">
        <v>1839</v>
      </c>
      <c r="E302" t="s">
        <v>1498</v>
      </c>
      <c r="F302">
        <v>30084</v>
      </c>
      <c r="H302" t="s">
        <v>2536</v>
      </c>
      <c r="I302" s="6" t="s">
        <v>2537</v>
      </c>
      <c r="J302" s="6" t="s">
        <v>2538</v>
      </c>
    </row>
    <row r="303" spans="1:10" x14ac:dyDescent="0.2">
      <c r="A303" t="s">
        <v>2539</v>
      </c>
      <c r="B303" t="s">
        <v>2849</v>
      </c>
      <c r="C303">
        <v>167</v>
      </c>
      <c r="D303" t="s">
        <v>1544</v>
      </c>
      <c r="E303" t="s">
        <v>1498</v>
      </c>
      <c r="F303">
        <v>30341</v>
      </c>
      <c r="I303" s="6" t="s">
        <v>2540</v>
      </c>
      <c r="J303" s="6" t="s">
        <v>2541</v>
      </c>
    </row>
    <row r="304" spans="1:10" x14ac:dyDescent="0.2">
      <c r="A304" t="s">
        <v>2542</v>
      </c>
      <c r="B304" t="s">
        <v>2850</v>
      </c>
      <c r="C304" t="s">
        <v>1926</v>
      </c>
      <c r="D304" t="s">
        <v>1937</v>
      </c>
      <c r="E304" t="s">
        <v>1498</v>
      </c>
      <c r="F304">
        <v>30342</v>
      </c>
      <c r="H304" t="s">
        <v>2543</v>
      </c>
      <c r="I304" s="6" t="s">
        <v>1927</v>
      </c>
      <c r="J304" s="6" t="s">
        <v>1928</v>
      </c>
    </row>
    <row r="305" spans="1:10" x14ac:dyDescent="0.2">
      <c r="A305" t="s">
        <v>2544</v>
      </c>
      <c r="B305" t="s">
        <v>2676</v>
      </c>
      <c r="C305">
        <v>100</v>
      </c>
      <c r="D305" t="s">
        <v>1555</v>
      </c>
      <c r="E305" t="s">
        <v>1498</v>
      </c>
      <c r="F305">
        <v>30068</v>
      </c>
      <c r="H305" t="s">
        <v>2545</v>
      </c>
      <c r="I305" s="6" t="s">
        <v>2546</v>
      </c>
      <c r="J305" s="6" t="s">
        <v>2547</v>
      </c>
    </row>
    <row r="306" spans="1:10" x14ac:dyDescent="0.2">
      <c r="A306" t="s">
        <v>2548</v>
      </c>
      <c r="B306" t="s">
        <v>2687</v>
      </c>
      <c r="C306">
        <v>200</v>
      </c>
      <c r="D306" t="s">
        <v>1551</v>
      </c>
      <c r="E306" t="s">
        <v>1498</v>
      </c>
      <c r="F306">
        <v>30033</v>
      </c>
      <c r="H306" t="s">
        <v>2549</v>
      </c>
      <c r="I306" s="6" t="s">
        <v>1874</v>
      </c>
      <c r="J306" s="6" t="s">
        <v>1875</v>
      </c>
    </row>
    <row r="307" spans="1:10" x14ac:dyDescent="0.2">
      <c r="A307" t="s">
        <v>2550</v>
      </c>
      <c r="B307" t="s">
        <v>2851</v>
      </c>
      <c r="D307" t="s">
        <v>2551</v>
      </c>
      <c r="E307" t="s">
        <v>2552</v>
      </c>
      <c r="F307">
        <v>36604</v>
      </c>
      <c r="I307" s="6" t="s">
        <v>2553</v>
      </c>
      <c r="J307" s="6" t="s">
        <v>2554</v>
      </c>
    </row>
    <row r="308" spans="1:10" x14ac:dyDescent="0.2">
      <c r="A308" t="s">
        <v>2555</v>
      </c>
      <c r="B308" t="s">
        <v>2592</v>
      </c>
      <c r="C308">
        <v>1200</v>
      </c>
      <c r="D308" t="s">
        <v>1544</v>
      </c>
      <c r="E308" t="s">
        <v>1498</v>
      </c>
      <c r="F308">
        <v>30342</v>
      </c>
      <c r="I308" s="6" t="s">
        <v>1500</v>
      </c>
      <c r="J308" s="6" t="s">
        <v>1501</v>
      </c>
    </row>
    <row r="309" spans="1:10" x14ac:dyDescent="0.2">
      <c r="A309" t="s">
        <v>2556</v>
      </c>
      <c r="B309" t="s">
        <v>2852</v>
      </c>
      <c r="D309" t="s">
        <v>1544</v>
      </c>
      <c r="E309" t="s">
        <v>1498</v>
      </c>
      <c r="F309">
        <v>30327</v>
      </c>
      <c r="I309" s="6" t="s">
        <v>2557</v>
      </c>
      <c r="J309" s="6" t="s">
        <v>2558</v>
      </c>
    </row>
    <row r="310" spans="1:10" x14ac:dyDescent="0.2">
      <c r="A310" t="s">
        <v>2559</v>
      </c>
      <c r="B310" t="s">
        <v>2853</v>
      </c>
      <c r="C310">
        <v>202</v>
      </c>
      <c r="D310" t="s">
        <v>1551</v>
      </c>
      <c r="E310" t="s">
        <v>1498</v>
      </c>
      <c r="F310">
        <v>30033</v>
      </c>
      <c r="H310" t="s">
        <v>2560</v>
      </c>
      <c r="I310" s="6" t="s">
        <v>2561</v>
      </c>
      <c r="J310" s="6" t="s">
        <v>2562</v>
      </c>
    </row>
    <row r="311" spans="1:10" x14ac:dyDescent="0.2">
      <c r="A311" t="s">
        <v>2563</v>
      </c>
      <c r="B311" t="s">
        <v>2854</v>
      </c>
      <c r="C311" t="s">
        <v>2564</v>
      </c>
      <c r="D311" t="s">
        <v>2313</v>
      </c>
      <c r="E311" t="s">
        <v>1498</v>
      </c>
      <c r="F311">
        <v>30021</v>
      </c>
      <c r="H311" t="s">
        <v>2565</v>
      </c>
      <c r="I311" s="6" t="s">
        <v>2566</v>
      </c>
      <c r="J311" s="6" t="s">
        <v>2567</v>
      </c>
    </row>
    <row r="312" spans="1:10" x14ac:dyDescent="0.2">
      <c r="A312" t="s">
        <v>2568</v>
      </c>
      <c r="B312" t="s">
        <v>2855</v>
      </c>
      <c r="C312">
        <v>500</v>
      </c>
      <c r="D312" t="s">
        <v>1544</v>
      </c>
      <c r="E312" t="s">
        <v>1498</v>
      </c>
      <c r="F312">
        <v>30309</v>
      </c>
      <c r="I312" s="6" t="s">
        <v>2569</v>
      </c>
      <c r="J312" s="6" t="s">
        <v>2570</v>
      </c>
    </row>
    <row r="313" spans="1:10" x14ac:dyDescent="0.2">
      <c r="A313" t="s">
        <v>2571</v>
      </c>
      <c r="B313" t="s">
        <v>2856</v>
      </c>
      <c r="C313" t="s">
        <v>1786</v>
      </c>
      <c r="D313" t="s">
        <v>1534</v>
      </c>
      <c r="E313" t="s">
        <v>1498</v>
      </c>
      <c r="F313">
        <v>30189</v>
      </c>
      <c r="I313" s="6" t="s">
        <v>2572</v>
      </c>
      <c r="J313" s="6" t="s">
        <v>2573</v>
      </c>
    </row>
    <row r="314" spans="1:10" x14ac:dyDescent="0.2">
      <c r="A314" t="s">
        <v>2574</v>
      </c>
      <c r="B314" t="s">
        <v>2857</v>
      </c>
      <c r="C314" t="s">
        <v>1538</v>
      </c>
      <c r="D314" t="s">
        <v>1539</v>
      </c>
      <c r="E314" t="s">
        <v>1498</v>
      </c>
      <c r="F314">
        <v>30078</v>
      </c>
      <c r="I314" s="6" t="s">
        <v>2575</v>
      </c>
    </row>
    <row r="315" spans="1:10" x14ac:dyDescent="0.2">
      <c r="A315" t="s">
        <v>2576</v>
      </c>
      <c r="B315" t="s">
        <v>2743</v>
      </c>
      <c r="D315" t="s">
        <v>1525</v>
      </c>
      <c r="E315" t="s">
        <v>1498</v>
      </c>
      <c r="F315">
        <v>30092</v>
      </c>
      <c r="H315" t="s">
        <v>2577</v>
      </c>
      <c r="I315" s="6" t="s">
        <v>2578</v>
      </c>
      <c r="J315" s="6" t="s">
        <v>2579</v>
      </c>
    </row>
    <row r="316" spans="1:10" x14ac:dyDescent="0.2">
      <c r="A316" t="s">
        <v>2580</v>
      </c>
      <c r="B316" t="s">
        <v>2858</v>
      </c>
      <c r="D316" t="s">
        <v>2581</v>
      </c>
      <c r="E316" t="s">
        <v>1498</v>
      </c>
      <c r="F316">
        <v>30296</v>
      </c>
      <c r="I316" s="6" t="s">
        <v>2582</v>
      </c>
      <c r="J316" s="6" t="s">
        <v>2583</v>
      </c>
    </row>
    <row r="317" spans="1:10" x14ac:dyDescent="0.2">
      <c r="A317" t="s">
        <v>2584</v>
      </c>
      <c r="B317" t="s">
        <v>2859</v>
      </c>
      <c r="D317" t="s">
        <v>1489</v>
      </c>
      <c r="E317" t="s">
        <v>1498</v>
      </c>
      <c r="F317">
        <v>30901</v>
      </c>
      <c r="I317" s="6" t="s">
        <v>2585</v>
      </c>
      <c r="J317" s="6" t="s">
        <v>2586</v>
      </c>
    </row>
    <row r="318" spans="1:10" x14ac:dyDescent="0.2">
      <c r="A318" t="s">
        <v>2587</v>
      </c>
      <c r="B318" t="s">
        <v>2860</v>
      </c>
      <c r="C318">
        <v>3000</v>
      </c>
      <c r="D318" t="s">
        <v>1544</v>
      </c>
      <c r="E318" t="s">
        <v>1498</v>
      </c>
      <c r="F318">
        <v>30329</v>
      </c>
      <c r="I318" s="6" t="s">
        <v>2588</v>
      </c>
      <c r="J318" s="6" t="s">
        <v>2373</v>
      </c>
    </row>
    <row r="319" spans="1:10" x14ac:dyDescent="0.2">
      <c r="A319" t="s">
        <v>2589</v>
      </c>
      <c r="B319" t="s">
        <v>2861</v>
      </c>
      <c r="C319">
        <v>1400</v>
      </c>
      <c r="D319" t="s">
        <v>1544</v>
      </c>
      <c r="E319" t="s">
        <v>1498</v>
      </c>
      <c r="F319">
        <v>30322</v>
      </c>
      <c r="I319" s="6" t="s">
        <v>2590</v>
      </c>
      <c r="J319" s="6" t="s">
        <v>2591</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48">
    <tabColor rgb="FFFFFF00"/>
  </sheetPr>
  <dimension ref="A1:C14"/>
  <sheetViews>
    <sheetView workbookViewId="0">
      <selection activeCell="A21" sqref="A21"/>
    </sheetView>
  </sheetViews>
  <sheetFormatPr defaultRowHeight="12.75" x14ac:dyDescent="0.2"/>
  <cols>
    <col min="1" max="1" width="22" customWidth="1"/>
    <col min="2" max="2" width="30.5703125" customWidth="1"/>
    <col min="3" max="3" width="19.140625" customWidth="1"/>
  </cols>
  <sheetData>
    <row r="1" spans="1:3" x14ac:dyDescent="0.2">
      <c r="A1" t="s">
        <v>1465</v>
      </c>
      <c r="B1" t="s">
        <v>1468</v>
      </c>
      <c r="C1" t="s">
        <v>1469</v>
      </c>
    </row>
    <row r="2" spans="1:3" x14ac:dyDescent="0.2">
      <c r="A2" t="s">
        <v>2985</v>
      </c>
      <c r="B2" s="106" t="s">
        <v>2986</v>
      </c>
      <c r="C2" t="s">
        <v>2987</v>
      </c>
    </row>
    <row r="3" spans="1:3" x14ac:dyDescent="0.2">
      <c r="A3" t="s">
        <v>93</v>
      </c>
      <c r="B3" s="106" t="s">
        <v>1470</v>
      </c>
      <c r="C3" t="s">
        <v>1476</v>
      </c>
    </row>
    <row r="4" spans="1:3" x14ac:dyDescent="0.2">
      <c r="A4" t="s">
        <v>1453</v>
      </c>
      <c r="B4" s="106" t="s">
        <v>1471</v>
      </c>
      <c r="C4" t="s">
        <v>1477</v>
      </c>
    </row>
    <row r="5" spans="1:3" x14ac:dyDescent="0.2">
      <c r="A5" t="s">
        <v>92</v>
      </c>
      <c r="B5" s="106" t="s">
        <v>1482</v>
      </c>
      <c r="C5" t="s">
        <v>1481</v>
      </c>
    </row>
    <row r="6" spans="1:3" x14ac:dyDescent="0.2">
      <c r="A6" t="s">
        <v>90</v>
      </c>
      <c r="B6" s="106" t="s">
        <v>1472</v>
      </c>
      <c r="C6" t="s">
        <v>1478</v>
      </c>
    </row>
    <row r="7" spans="1:3" x14ac:dyDescent="0.2">
      <c r="A7" t="s">
        <v>89</v>
      </c>
      <c r="B7" s="106" t="s">
        <v>1475</v>
      </c>
      <c r="C7" t="s">
        <v>1483</v>
      </c>
    </row>
    <row r="8" spans="1:3" x14ac:dyDescent="0.2">
      <c r="A8" t="s">
        <v>94</v>
      </c>
      <c r="B8" s="106" t="s">
        <v>1473</v>
      </c>
      <c r="C8" t="s">
        <v>1479</v>
      </c>
    </row>
    <row r="9" spans="1:3" x14ac:dyDescent="0.2">
      <c r="A9" t="s">
        <v>91</v>
      </c>
      <c r="B9" s="106" t="s">
        <v>1474</v>
      </c>
      <c r="C9" t="s">
        <v>1480</v>
      </c>
    </row>
    <row r="10" spans="1:3" x14ac:dyDescent="0.2">
      <c r="A10" t="s">
        <v>3472</v>
      </c>
      <c r="B10" s="106" t="s">
        <v>3473</v>
      </c>
      <c r="C10" t="s">
        <v>3487</v>
      </c>
    </row>
    <row r="11" spans="1:3" x14ac:dyDescent="0.2">
      <c r="A11" t="s">
        <v>3484</v>
      </c>
      <c r="B11" s="106" t="s">
        <v>3485</v>
      </c>
      <c r="C11" t="s">
        <v>3486</v>
      </c>
    </row>
    <row r="12" spans="1:3" x14ac:dyDescent="0.2">
      <c r="B12" s="106"/>
    </row>
    <row r="13" spans="1:3" x14ac:dyDescent="0.2">
      <c r="B13" s="106"/>
    </row>
    <row r="14" spans="1:3" x14ac:dyDescent="0.2">
      <c r="B14" s="106"/>
    </row>
  </sheetData>
  <sortState xmlns:xlrd2="http://schemas.microsoft.com/office/spreadsheetml/2017/richdata2" ref="A2:C12">
    <sortCondition ref="A2:A12"/>
  </sortState>
  <hyperlinks>
    <hyperlink ref="B3" r:id="rId1" xr:uid="{00000000-0004-0000-3F00-000000000000}"/>
    <hyperlink ref="B4" r:id="rId2" xr:uid="{00000000-0004-0000-3F00-000001000000}"/>
    <hyperlink ref="B6" r:id="rId3" xr:uid="{00000000-0004-0000-3F00-000002000000}"/>
    <hyperlink ref="B8" r:id="rId4" xr:uid="{00000000-0004-0000-3F00-000004000000}"/>
    <hyperlink ref="B9" r:id="rId5" xr:uid="{00000000-0004-0000-3F00-000005000000}"/>
    <hyperlink ref="B7" r:id="rId6" xr:uid="{00000000-0004-0000-3F00-000007000000}"/>
    <hyperlink ref="B5" r:id="rId7" xr:uid="{00000000-0004-0000-3F00-000009000000}"/>
    <hyperlink ref="B2" r:id="rId8" xr:uid="{00000000-0004-0000-3F00-00000C000000}"/>
    <hyperlink ref="B10" r:id="rId9" xr:uid="{4F1C07CF-47E0-4DCA-8EA7-7DCF680F29CD}"/>
    <hyperlink ref="B11" r:id="rId10" xr:uid="{B8DEB8C9-F29B-4408-AB10-E08457AC604A}"/>
  </hyperlinks>
  <pageMargins left="0.7" right="0.7" top="0.75" bottom="0.75" header="0.3" footer="0.3"/>
  <pageSetup orientation="portrait" r:id="rId1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3">
    <tabColor rgb="FFFFFF00"/>
  </sheetPr>
  <dimension ref="A1:AY21"/>
  <sheetViews>
    <sheetView showZeros="0" view="pageLayout" zoomScaleNormal="100" workbookViewId="0">
      <selection activeCell="AY4" sqref="AY4"/>
    </sheetView>
  </sheetViews>
  <sheetFormatPr defaultColWidth="2.7109375" defaultRowHeight="12.75" x14ac:dyDescent="0.2"/>
  <cols>
    <col min="10" max="10" width="3.7109375" customWidth="1"/>
    <col min="24" max="24" width="2.5703125" customWidth="1"/>
    <col min="51" max="51" width="8.140625" bestFit="1" customWidth="1"/>
  </cols>
  <sheetData>
    <row r="1" spans="1:51" x14ac:dyDescent="0.2">
      <c r="A1" t="s">
        <v>336</v>
      </c>
      <c r="E1" s="295" t="str">
        <f>_xlfn.CONCAT(Data!B2,", ",Data!B3," ",Data!B4)</f>
        <v xml:space="preserve">,  </v>
      </c>
      <c r="F1" s="295"/>
      <c r="G1" s="295"/>
      <c r="H1" s="295"/>
      <c r="I1" s="295"/>
      <c r="J1" s="295"/>
      <c r="K1" s="295"/>
      <c r="L1" s="295"/>
      <c r="M1" s="295"/>
      <c r="N1" s="295"/>
      <c r="O1" s="295"/>
      <c r="P1" s="295"/>
      <c r="R1" t="s">
        <v>371</v>
      </c>
      <c r="T1" s="350">
        <f>Data!B14</f>
        <v>0</v>
      </c>
      <c r="U1" s="295"/>
      <c r="V1" s="295"/>
      <c r="W1" s="295"/>
      <c r="X1" s="295"/>
      <c r="Z1" t="s">
        <v>582</v>
      </c>
      <c r="AE1" s="350">
        <f>Data!B33</f>
        <v>0</v>
      </c>
      <c r="AF1" s="295"/>
      <c r="AG1" s="295"/>
      <c r="AH1" s="295"/>
      <c r="AI1" s="295"/>
      <c r="AK1" t="s">
        <v>639</v>
      </c>
      <c r="AQ1" s="358">
        <f>Data!B35</f>
        <v>0</v>
      </c>
      <c r="AR1" s="358"/>
      <c r="AS1" s="358"/>
      <c r="AT1" s="358"/>
      <c r="AU1" s="358"/>
      <c r="AV1" s="358"/>
    </row>
    <row r="2" spans="1:51" x14ac:dyDescent="0.2">
      <c r="A2" s="356" t="s">
        <v>1072</v>
      </c>
      <c r="B2" s="356"/>
      <c r="C2" s="356"/>
      <c r="D2" s="356"/>
      <c r="E2" s="356"/>
      <c r="F2" s="356"/>
      <c r="G2" s="356"/>
      <c r="H2" s="356"/>
      <c r="I2" s="356"/>
      <c r="J2" s="356"/>
      <c r="K2" s="356"/>
      <c r="L2" s="356"/>
      <c r="M2" s="356"/>
      <c r="N2" s="356"/>
      <c r="O2" s="356"/>
      <c r="P2" s="356"/>
      <c r="Q2" s="356"/>
      <c r="R2" s="356"/>
      <c r="S2" s="356"/>
      <c r="T2" s="356"/>
      <c r="U2" s="356"/>
      <c r="V2" s="356"/>
      <c r="W2" s="356"/>
      <c r="X2" s="356"/>
      <c r="Y2" s="356"/>
      <c r="Z2" s="356"/>
      <c r="AA2" s="356"/>
      <c r="AB2" s="356"/>
      <c r="AC2" s="356"/>
      <c r="AD2" s="356"/>
      <c r="AE2" s="356"/>
      <c r="AF2" s="356"/>
      <c r="AG2" s="356"/>
      <c r="AH2" s="356"/>
      <c r="AI2" s="356"/>
      <c r="AJ2" s="356"/>
      <c r="AK2" s="356"/>
      <c r="AL2" s="356"/>
      <c r="AM2" s="356"/>
      <c r="AN2" s="356"/>
      <c r="AO2" s="356"/>
      <c r="AP2" s="356"/>
      <c r="AQ2" s="356"/>
      <c r="AR2" s="356"/>
      <c r="AS2" s="356"/>
      <c r="AT2" s="356"/>
      <c r="AU2" s="356"/>
      <c r="AV2" s="356"/>
      <c r="AW2" s="356"/>
      <c r="AX2" s="356"/>
    </row>
    <row r="3" spans="1:51" x14ac:dyDescent="0.2">
      <c r="A3" s="254" t="s">
        <v>1073</v>
      </c>
      <c r="B3" s="254"/>
      <c r="C3" s="254"/>
      <c r="D3" s="254"/>
      <c r="E3" s="254"/>
      <c r="F3" s="254" t="s">
        <v>114</v>
      </c>
      <c r="G3" s="254"/>
      <c r="H3" s="254"/>
      <c r="I3" s="254"/>
      <c r="J3" s="254"/>
      <c r="K3" s="254" t="s">
        <v>1086</v>
      </c>
      <c r="L3" s="254"/>
      <c r="M3" s="254"/>
      <c r="N3" s="254"/>
      <c r="O3" s="254"/>
      <c r="P3" s="254"/>
      <c r="Q3" s="254"/>
      <c r="R3" s="254"/>
      <c r="S3" s="254"/>
      <c r="T3" s="254"/>
      <c r="U3" s="254"/>
      <c r="V3" s="254"/>
      <c r="W3" s="254"/>
      <c r="X3" s="254"/>
      <c r="Y3" s="254"/>
      <c r="Z3" s="254"/>
      <c r="AA3" s="254"/>
      <c r="AB3" s="254"/>
      <c r="AC3" s="254"/>
      <c r="AD3" s="254"/>
      <c r="AE3" s="254"/>
      <c r="AF3" s="254"/>
      <c r="AG3" s="254"/>
      <c r="AH3" s="254"/>
      <c r="AI3" s="254"/>
      <c r="AJ3" s="254"/>
      <c r="AK3" s="254"/>
      <c r="AL3" s="254"/>
      <c r="AM3" s="254"/>
      <c r="AN3" s="254"/>
      <c r="AO3" s="254"/>
      <c r="AP3" s="254"/>
      <c r="AQ3" s="254"/>
      <c r="AR3" s="254"/>
      <c r="AS3" s="254"/>
      <c r="AT3" s="254"/>
      <c r="AU3" s="254"/>
      <c r="AV3" s="254"/>
      <c r="AW3" s="254"/>
      <c r="AX3" s="254"/>
    </row>
    <row r="4" spans="1:51" ht="25.35" customHeight="1" x14ac:dyDescent="0.2">
      <c r="A4" s="359" t="s">
        <v>1074</v>
      </c>
      <c r="B4" s="359"/>
      <c r="C4" s="359"/>
      <c r="D4" s="359"/>
      <c r="E4" s="359"/>
      <c r="F4" s="359">
        <f>Data!B574</f>
        <v>0</v>
      </c>
      <c r="G4" s="359"/>
      <c r="H4" s="359"/>
      <c r="I4" s="359"/>
      <c r="J4" s="359"/>
      <c r="K4" s="357" t="str">
        <f>_xlfn.CONCAT(IF(Data!B160=TRUE,"Wears Hearing Aids.",""),IF(Data!B195="no"," Cannot understand verbal English.",""),IF(Data!B560=TRUE," Hard of hearing in normal conversation.",""),IF(Data!B573="None",""," "&amp;Data!B573&amp;" hearing loss."),IF(AND(Data!B574="Independent",Data!B573="None"),"No observed functional limitations at time of the assessment.",""),IF(Data!E559&lt;&gt;"",Data!E559&amp;".",""),IF(Data!E560&lt;&gt;"",Data!E560&amp;".",""),IF(Data!B575&lt;&gt;"",Data!B575&amp;".",""),IF(Data!B576&lt;&gt;"",Data!B576&amp;".","")," ",Data!B1333," ",Data!B572)</f>
        <v xml:space="preserve">  hearing loss.  </v>
      </c>
      <c r="L4" s="357"/>
      <c r="M4" s="357"/>
      <c r="N4" s="357"/>
      <c r="O4" s="357"/>
      <c r="P4" s="357"/>
      <c r="Q4" s="357"/>
      <c r="R4" s="357"/>
      <c r="S4" s="357"/>
      <c r="T4" s="357"/>
      <c r="U4" s="357"/>
      <c r="V4" s="357"/>
      <c r="W4" s="357"/>
      <c r="X4" s="357"/>
      <c r="Y4" s="357"/>
      <c r="Z4" s="357"/>
      <c r="AA4" s="357"/>
      <c r="AB4" s="357"/>
      <c r="AC4" s="357"/>
      <c r="AD4" s="357"/>
      <c r="AE4" s="357"/>
      <c r="AF4" s="357"/>
      <c r="AG4" s="357"/>
      <c r="AH4" s="357"/>
      <c r="AI4" s="357"/>
      <c r="AJ4" s="357"/>
      <c r="AK4" s="357"/>
      <c r="AL4" s="357"/>
      <c r="AM4" s="357"/>
      <c r="AN4" s="357"/>
      <c r="AO4" s="357"/>
      <c r="AP4" s="357"/>
      <c r="AQ4" s="357"/>
      <c r="AR4" s="357"/>
      <c r="AS4" s="357"/>
      <c r="AT4" s="357"/>
      <c r="AU4" s="357"/>
      <c r="AV4" s="357"/>
      <c r="AW4" s="357"/>
      <c r="AX4" s="357"/>
      <c r="AY4" t="s">
        <v>3247</v>
      </c>
    </row>
    <row r="5" spans="1:51" ht="25.35" customHeight="1" x14ac:dyDescent="0.2">
      <c r="A5" s="359" t="s">
        <v>1075</v>
      </c>
      <c r="B5" s="359"/>
      <c r="C5" s="359"/>
      <c r="D5" s="359"/>
      <c r="E5" s="359"/>
      <c r="F5" s="359">
        <f>Data!B591</f>
        <v>0</v>
      </c>
      <c r="G5" s="359"/>
      <c r="H5" s="359"/>
      <c r="I5" s="359"/>
      <c r="J5" s="359"/>
      <c r="K5" s="357" t="str">
        <f>_xlfn.CONCAT(IF(Data!B590="None","",Data!B590&amp;" vision loss."),IF(Data!B569=TRUE," Vertigo.",""),IF(Data!B586=TRUE," Blurred vision.",""),IF(Data!B196="No Formal Education"," No formal education.",""),IF(Data!B155=TRUE," Wears glasses.",""),IF(Data!B583=TRUE," Glaucoma.",""),IF(Data!B584=TRUE," Cataracts.",""),IF(Data!B587=TRUE," Mac Degeneration.",""),IF(Data!B195="No"," Cannot read English.",""),IF(Data!B333="Yes"," Fall risk.",""),IF(Data!E580&lt;&gt;"",Data!E580&amp;".",""),IF(Data!E581&lt;&gt;"",Data!E581&amp;".",""),IF(Data!B592&lt;&gt;"",Data!B592&amp;".",""),IF(Data!B593&lt;&gt;"",Data!B593&amp;".","")," ",Data!B1334," ",Data!B589)</f>
        <v xml:space="preserve"> vision loss.  </v>
      </c>
      <c r="L5" s="357"/>
      <c r="M5" s="357"/>
      <c r="N5" s="357"/>
      <c r="O5" s="357"/>
      <c r="P5" s="357"/>
      <c r="Q5" s="357"/>
      <c r="R5" s="357"/>
      <c r="S5" s="357"/>
      <c r="T5" s="357"/>
      <c r="U5" s="357"/>
      <c r="V5" s="357"/>
      <c r="W5" s="357"/>
      <c r="X5" s="357"/>
      <c r="Y5" s="357"/>
      <c r="Z5" s="357"/>
      <c r="AA5" s="357"/>
      <c r="AB5" s="357"/>
      <c r="AC5" s="357"/>
      <c r="AD5" s="357"/>
      <c r="AE5" s="357"/>
      <c r="AF5" s="357"/>
      <c r="AG5" s="357"/>
      <c r="AH5" s="357"/>
      <c r="AI5" s="357"/>
      <c r="AJ5" s="357"/>
      <c r="AK5" s="357"/>
      <c r="AL5" s="357"/>
      <c r="AM5" s="357"/>
      <c r="AN5" s="357"/>
      <c r="AO5" s="357"/>
      <c r="AP5" s="357"/>
      <c r="AQ5" s="357"/>
      <c r="AR5" s="357"/>
      <c r="AS5" s="357"/>
      <c r="AT5" s="357"/>
      <c r="AU5" s="357"/>
      <c r="AV5" s="357"/>
      <c r="AW5" s="357"/>
      <c r="AX5" s="357"/>
      <c r="AY5" t="s">
        <v>2990</v>
      </c>
    </row>
    <row r="6" spans="1:51" ht="25.35" customHeight="1" x14ac:dyDescent="0.2">
      <c r="A6" s="359" t="s">
        <v>272</v>
      </c>
      <c r="B6" s="359"/>
      <c r="C6" s="359"/>
      <c r="D6" s="359"/>
      <c r="E6" s="359"/>
      <c r="F6" s="359">
        <f>Data!B836</f>
        <v>0</v>
      </c>
      <c r="G6" s="359"/>
      <c r="H6" s="359"/>
      <c r="I6" s="359"/>
      <c r="J6" s="359"/>
      <c r="K6" s="357" t="str">
        <f>_xlfn.CONCAT(IF(Data!B831=TRUE,"Mumbling.",""),IF(Data!B832=TRUE," Slurred speech.",""),IF(Data!B833=TRUE," Nonverbal.",""),IF(Data!B834=TRUE," Has difficulty with word choice.",""),IF(Data!B835="No"," Verbally inappropriate.",""),IF(Data!B195="No"," Cannot speak in English.",""),IF(Data!B836="Independent","","Difficulty formulating speech at times."),IF(AND(Data!B195="Yes",Data!B836="Independent"),"No observed functional limitations at time of assessment.","")," ",Data!B1335,IF(Data!B837&lt;&gt;"",", "&amp;Data!B837,""),IF(Data!B838&lt;&gt;"",", "&amp;Data!B838,""),,,,,,,IF(Data!B573="Mild","Mild Hearing Loss.",""),IF(Data!B573="Moderate","Moderate Hearing Loss.",""),IF(Data!B573="Severe","Severe hearing loss.",""),IF(Data!B573="Total","Total hearing loss.",""),IF(Data!B879=TRUE,"Forgetful. ",""),IF(Data!B882=TRUE,"Depression. ",""),IF(Data!B880=TRUE,"Confusion. ",""),IF(Data!B889=TRUE,"Anxious. ",""))</f>
        <v xml:space="preserve">Difficulty formulating speech at times. </v>
      </c>
      <c r="L6" s="357"/>
      <c r="M6" s="357"/>
      <c r="N6" s="357"/>
      <c r="O6" s="357"/>
      <c r="P6" s="357"/>
      <c r="Q6" s="357"/>
      <c r="R6" s="357"/>
      <c r="S6" s="357"/>
      <c r="T6" s="357"/>
      <c r="U6" s="357"/>
      <c r="V6" s="357"/>
      <c r="W6" s="357"/>
      <c r="X6" s="357"/>
      <c r="Y6" s="357"/>
      <c r="Z6" s="357"/>
      <c r="AA6" s="357"/>
      <c r="AB6" s="357"/>
      <c r="AC6" s="357"/>
      <c r="AD6" s="357"/>
      <c r="AE6" s="357"/>
      <c r="AF6" s="357"/>
      <c r="AG6" s="357"/>
      <c r="AH6" s="357"/>
      <c r="AI6" s="357"/>
      <c r="AJ6" s="357"/>
      <c r="AK6" s="357"/>
      <c r="AL6" s="357"/>
      <c r="AM6" s="357"/>
      <c r="AN6" s="357"/>
      <c r="AO6" s="357"/>
      <c r="AP6" s="357"/>
      <c r="AQ6" s="357"/>
      <c r="AR6" s="357"/>
      <c r="AS6" s="357"/>
      <c r="AT6" s="357"/>
      <c r="AU6" s="357"/>
      <c r="AV6" s="357"/>
      <c r="AW6" s="357"/>
      <c r="AX6" s="357"/>
      <c r="AY6" t="s">
        <v>3245</v>
      </c>
    </row>
    <row r="7" spans="1:51" ht="25.35" customHeight="1" x14ac:dyDescent="0.2">
      <c r="A7" s="359" t="s">
        <v>306</v>
      </c>
      <c r="B7" s="359"/>
      <c r="C7" s="359"/>
      <c r="D7" s="359"/>
      <c r="E7" s="359"/>
      <c r="F7" s="359">
        <f>Data!B944</f>
        <v>0</v>
      </c>
      <c r="G7" s="359"/>
      <c r="H7" s="359"/>
      <c r="I7" s="359"/>
      <c r="J7" s="359"/>
      <c r="K7" s="357" t="str">
        <f>_xlfn.CONCAT(IF(Data!B590="None","",Data!B590&amp;" vision loss."),IF(Data!B925=TRUE," Unsteady gait.",""),IF(Data!B924=TRUE," Poor balance.",""),IF(Data!B923=TRUE," Unable to bear weight.",""),IF(Data!B921=TRUE," Muscle weakness.",""),IF(Data!B920=TRUE," Shuffling.",""),IF(OR(Data!B626=TRUE,Data!B627=TRUE)," Pain.",""),IF(Data!B332="Yes"," History of falls.",""),IF(Data!B333="Yes"," Fall risk.",""),IF(Data!B926=TRUE," Stiffness.",""),IF(Data!B927=TRUE," Leg cramps.",""),IF(Data!B919=TRUE," Painful joints.",""),IF(Data!B820=TRUE," Fatigue.",""),IF(Data!B758=TRUE," Dizziness.",""),IF(Data!B146=TRUE," Requires Hoyer lift.",""),IF(Data!B917=TRUE," Bedbound.",""),IF(Data!B929=TRUE," Chairbound.","")," ",Data!B1336," ",Data!B938," ",Data!B1413," ",Data!B1414,IF(Data!B1628&lt;&gt;"",Data!B1628&amp;". ",""),IF(Data!B1629&lt;&gt;"",Data!B1629&amp;". ",""),IF(Data!B932=TRUE,"Hemiplegia. ",""),IF(Data!B933=TRUE,"Paraplegia. ",""),IF(Data!B934=TRUE,"Quadriplegia. ",""),IF(Data!B931=TRUE,"Cast. ",""),IF(Data!B930=TRUE,"Amputation. ",""),IF(Data!B915=TRUE,"Fracture. ",""),IF(Data!B922=TRUE,"Atrophy. ",""),IF(Data!B918=TRUE,"Swollen Joints. ",""),IF(Data!B1641=TRUE,"Upper Extremity Contractures. ",""),IF(AND(Data!B767=TRUE,Data!B771=FALSE),"Edema. ",""),IF(Data!B771=TRUE,"Peripheral Edema. ",""),IF(Data!B814=TRUE,"Vertigo. ",""),IF(Data!B1636=TRUE,"Tremors. ",""),IF(Data!B762=TRUE,"Chest pain. ",""),IF(OR(Data!B752=TRUE,Data!B755=TRUE),"SOB Episodes. ",""),IF(Data!B1642=TRUE,"Lower Extremity Contractures. ",""),IF(Data!B1643=TRUE,"Obesity. ",""),IF(Data!B886=TRUE," Lethargic.",""))</f>
        <v xml:space="preserve"> vision loss.    </v>
      </c>
      <c r="L7" s="357"/>
      <c r="M7" s="357"/>
      <c r="N7" s="357"/>
      <c r="O7" s="357"/>
      <c r="P7" s="357"/>
      <c r="Q7" s="357"/>
      <c r="R7" s="357"/>
      <c r="S7" s="357"/>
      <c r="T7" s="357"/>
      <c r="U7" s="357"/>
      <c r="V7" s="357"/>
      <c r="W7" s="357"/>
      <c r="X7" s="357"/>
      <c r="Y7" s="357"/>
      <c r="Z7" s="357"/>
      <c r="AA7" s="357"/>
      <c r="AB7" s="357"/>
      <c r="AC7" s="357"/>
      <c r="AD7" s="357"/>
      <c r="AE7" s="357"/>
      <c r="AF7" s="357"/>
      <c r="AG7" s="357"/>
      <c r="AH7" s="357"/>
      <c r="AI7" s="357"/>
      <c r="AJ7" s="357"/>
      <c r="AK7" s="357"/>
      <c r="AL7" s="357"/>
      <c r="AM7" s="357"/>
      <c r="AN7" s="357"/>
      <c r="AO7" s="357"/>
      <c r="AP7" s="357"/>
      <c r="AQ7" s="357"/>
      <c r="AR7" s="357"/>
      <c r="AS7" s="357"/>
      <c r="AT7" s="357"/>
      <c r="AU7" s="357"/>
      <c r="AV7" s="357"/>
      <c r="AW7" s="357"/>
      <c r="AX7" s="357"/>
      <c r="AY7" t="s">
        <v>3246</v>
      </c>
    </row>
    <row r="8" spans="1:51" ht="25.35" customHeight="1" x14ac:dyDescent="0.2">
      <c r="A8" s="359" t="s">
        <v>1076</v>
      </c>
      <c r="B8" s="359"/>
      <c r="C8" s="359"/>
      <c r="D8" s="359"/>
      <c r="E8" s="359"/>
      <c r="F8" s="359">
        <f>Data!B661</f>
        <v>0</v>
      </c>
      <c r="G8" s="359"/>
      <c r="H8" s="359"/>
      <c r="I8" s="359"/>
      <c r="J8" s="359"/>
      <c r="K8" s="357" t="str">
        <f>_xlfn.CONCAT(IF(Data!B882=TRUE,"Depression.",""),IF(Data!B156=TRUE," Wears dentures.",""),IF(OR(Data!B679=TRUE,Data!B680=TRUE)," Missing or broken teeth.",""),IF(Data!B685=TRUE," Trouble swallowing.",""),IF(Data!B660="Yes"," Risk for choking.",""),IF(OR(Data!B649="Poor",Data!B649="Anorexic")," Poor appetite.",""),IF(Data!B880=TRUE," Needs PRN help with eating due to confusion.",""),IF(Data!E678&lt;&gt;"",Data!E678&amp;".",""),IF(Data!E679&lt;&gt;"",Data!E679&amp;".",""),IF(Data!B694&lt;&gt;"",Data!B694&amp;".",""),IF(Data!B695&lt;&gt;"",Data!B695&amp;".",""),IF(Data!B678=TRUE," No observable eating limitations at the time of assessment.","")," ",Data!B1337," ",Data!B691," ",IF(Data!B1429=TRUE," Chewing difficulty.",""),IF(Data!B700=TRUE,"Nausea. ",""),IF(Data!B701=TRUE,"Vomiting. ",""),IF(Data!B702=TRUE,"Heartburn. ",""),IF(Data!B689=TRUE,"Dry mouth. ",""),IF(Data!B879=TRUE,"Forgetful. ",""),IF(Data!B889=TRUE,"Anxious. ",""),IF(Data!B880=TRUE,"Confusion. ",""),IF(Data!B1636=TRUE,"Tremors. ",""),IF(Data!B916=TRUE,"Contractures. ",""),IF(Data!B590="None","",Data!B590&amp;" vision loss. "),IF(Data!B688=TRUE,"Gingivitis. ",""),IF(Data!B681=TRUE,"Oral masses/tumors. ",""),IF(Data!B686=TRUE,"Oral Ulcerations. ",""),IF(Data!B418=TRUE,"","Allergies - "&amp;Data!B415&amp;". "),""," All mobility limitations apply.")</f>
        <v xml:space="preserve">    vision loss. Allergies - .  All mobility limitations apply.</v>
      </c>
      <c r="L8" s="357"/>
      <c r="M8" s="357"/>
      <c r="N8" s="357"/>
      <c r="O8" s="357"/>
      <c r="P8" s="357"/>
      <c r="Q8" s="357"/>
      <c r="R8" s="357"/>
      <c r="S8" s="357"/>
      <c r="T8" s="357"/>
      <c r="U8" s="357"/>
      <c r="V8" s="357"/>
      <c r="W8" s="357"/>
      <c r="X8" s="357"/>
      <c r="Y8" s="357"/>
      <c r="Z8" s="357"/>
      <c r="AA8" s="357"/>
      <c r="AB8" s="357"/>
      <c r="AC8" s="357"/>
      <c r="AD8" s="357"/>
      <c r="AE8" s="357"/>
      <c r="AF8" s="357"/>
      <c r="AG8" s="357"/>
      <c r="AH8" s="357"/>
      <c r="AI8" s="357"/>
      <c r="AJ8" s="357"/>
      <c r="AK8" s="357"/>
      <c r="AL8" s="357"/>
      <c r="AM8" s="357"/>
      <c r="AN8" s="357"/>
      <c r="AO8" s="357"/>
      <c r="AP8" s="357"/>
      <c r="AQ8" s="357"/>
      <c r="AR8" s="357"/>
      <c r="AS8" s="357"/>
      <c r="AT8" s="357"/>
      <c r="AU8" s="357"/>
      <c r="AV8" s="357"/>
      <c r="AW8" s="357"/>
      <c r="AX8" s="357"/>
      <c r="AY8" t="s">
        <v>3238</v>
      </c>
    </row>
    <row r="9" spans="1:51" ht="25.35" customHeight="1" x14ac:dyDescent="0.2">
      <c r="A9" s="359" t="s">
        <v>1077</v>
      </c>
      <c r="B9" s="359"/>
      <c r="C9" s="359"/>
      <c r="D9" s="359"/>
      <c r="E9" s="359"/>
      <c r="F9" s="359">
        <f>Data!B805</f>
        <v>0</v>
      </c>
      <c r="G9" s="359"/>
      <c r="H9" s="359"/>
      <c r="I9" s="359"/>
      <c r="J9" s="359"/>
      <c r="K9" s="357" t="str">
        <f>_xlfn.CONCAT(IF(Data!B793=TRUE,"Difficulty clearing airway secretions.",""),IF(OR(Data!B752=TRUE,Data!B753=TRUE)," Episodes of SOB.",""),IF(Data!B612=TRUE," Congestion.",""),IF(Data!B617=TRUE," Sinus problems.",""),IF(Data!B466="Yes"," Requires oxygen.",""),IF(AND(Data!B793=FALSE,Data!B752=FALSE,Data!B612=FALSE,Data!B617=FALSE,Data!B466="No"),"No observed functional limitations at time of assessment.",""),IF(Data!E781&lt;&gt;"",Data!E781&amp;".",""),IF(Data!E782&lt;&gt;"",Data!E782&amp;".",""),IF(Data!B802&lt;&gt;"",Data!B802&amp;".",""),IF(Data!B803&lt;&gt;"",Data!B803&amp;".","")," ",Data!B1338," ",Data!B798,IF(Data!B419=TRUE,"","Allergies - "&amp;Data!B416&amp;". "))</f>
        <v xml:space="preserve">  Allergies - . </v>
      </c>
      <c r="L9" s="357"/>
      <c r="M9" s="357"/>
      <c r="N9" s="357"/>
      <c r="O9" s="357"/>
      <c r="P9" s="357"/>
      <c r="Q9" s="357"/>
      <c r="R9" s="357"/>
      <c r="S9" s="357"/>
      <c r="T9" s="357"/>
      <c r="U9" s="357"/>
      <c r="V9" s="357"/>
      <c r="W9" s="357"/>
      <c r="X9" s="357"/>
      <c r="Y9" s="357"/>
      <c r="Z9" s="357"/>
      <c r="AA9" s="357"/>
      <c r="AB9" s="357"/>
      <c r="AC9" s="357"/>
      <c r="AD9" s="357"/>
      <c r="AE9" s="357"/>
      <c r="AF9" s="357"/>
      <c r="AG9" s="357"/>
      <c r="AH9" s="357"/>
      <c r="AI9" s="357"/>
      <c r="AJ9" s="357"/>
      <c r="AK9" s="357"/>
      <c r="AL9" s="357"/>
      <c r="AM9" s="357"/>
      <c r="AN9" s="357"/>
      <c r="AO9" s="357"/>
      <c r="AP9" s="357"/>
      <c r="AQ9" s="357"/>
      <c r="AR9" s="357"/>
      <c r="AS9" s="357"/>
      <c r="AT9" s="357"/>
      <c r="AU9" s="357"/>
      <c r="AV9" s="357"/>
      <c r="AW9" s="357"/>
      <c r="AX9" s="357"/>
      <c r="AY9" t="str">
        <f>K9</f>
        <v xml:space="preserve">  Allergies - . </v>
      </c>
    </row>
    <row r="10" spans="1:51" ht="25.35" customHeight="1" x14ac:dyDescent="0.2">
      <c r="A10" s="359" t="s">
        <v>1078</v>
      </c>
      <c r="B10" s="359"/>
      <c r="C10" s="359"/>
      <c r="D10" s="359"/>
      <c r="E10" s="359"/>
      <c r="F10" s="359">
        <f>Data!B896</f>
        <v>0</v>
      </c>
      <c r="G10" s="359"/>
      <c r="H10" s="359"/>
      <c r="I10" s="359"/>
      <c r="J10" s="359"/>
      <c r="K10" s="357" t="str">
        <f>_xlfn.CONCAT(IF(Data!B598=TRUE,"Headaches.",""),IF(Data!B874=TRUE," STML.",""),IF(Data!B875=TRUE," LTML.",""),IF(Data!B879=TRUE," Forgetful.",""),IF(Data!B880=TRUE," Episodes of confusion.",""),IF(Data!B882=TRUE," Depression.",""),IF(Data!B881=TRUE," Abnormal thought process.",""),IF(Data!B890=TRUE," Inappropriate decision making.",""),IF(Data!B883=TRUE," Disoriented.",""),IF(Data!B889=TRUE," Anxious.",""),IF(Data!B884=TRUE," Delusional.",""),IF(Data!B876=TRUE," Not safe to be alone.",""),IF(Data!D598=TRUE," Chronic headaches.","")," ",Data!B1339," ",IF(Data!B887=TRUE,"Agitation. ",""),IF(Data!B891=TRUE,Data!B892&amp;". ",""),IF(Data!B888=TRUE," Hallucinations.",""),IF(Data!B885=TRUE,"Anger Issues.",""))</f>
        <v xml:space="preserve">  </v>
      </c>
      <c r="L10" s="357"/>
      <c r="M10" s="357"/>
      <c r="N10" s="357"/>
      <c r="O10" s="357"/>
      <c r="P10" s="357"/>
      <c r="Q10" s="357"/>
      <c r="R10" s="357"/>
      <c r="S10" s="357"/>
      <c r="T10" s="357"/>
      <c r="U10" s="357"/>
      <c r="V10" s="357"/>
      <c r="W10" s="357"/>
      <c r="X10" s="357"/>
      <c r="Y10" s="357"/>
      <c r="Z10" s="357"/>
      <c r="AA10" s="357"/>
      <c r="AB10" s="357"/>
      <c r="AC10" s="357"/>
      <c r="AD10" s="357"/>
      <c r="AE10" s="357"/>
      <c r="AF10" s="357"/>
      <c r="AG10" s="357"/>
      <c r="AH10" s="357"/>
      <c r="AI10" s="357"/>
      <c r="AJ10" s="357"/>
      <c r="AK10" s="357"/>
      <c r="AL10" s="357"/>
      <c r="AM10" s="357"/>
      <c r="AN10" s="357"/>
      <c r="AO10" s="357"/>
      <c r="AP10" s="357"/>
      <c r="AQ10" s="357"/>
      <c r="AR10" s="357"/>
      <c r="AS10" s="357"/>
      <c r="AT10" s="357"/>
      <c r="AU10" s="357"/>
      <c r="AV10" s="357"/>
      <c r="AW10" s="357"/>
      <c r="AX10" s="357"/>
      <c r="AY10" t="s">
        <v>3298</v>
      </c>
    </row>
    <row r="11" spans="1:51" ht="25.35" customHeight="1" x14ac:dyDescent="0.2">
      <c r="A11" s="359" t="s">
        <v>330</v>
      </c>
      <c r="B11" s="359"/>
      <c r="C11" s="359"/>
      <c r="D11" s="359"/>
      <c r="E11" s="359"/>
      <c r="F11" s="359">
        <f>Data!B951</f>
        <v>0</v>
      </c>
      <c r="G11" s="359"/>
      <c r="H11" s="359"/>
      <c r="I11" s="359"/>
      <c r="J11" s="359"/>
      <c r="K11" s="357" t="str">
        <f>_xlfn.CONCAT(IF(Data!B882=TRUE,"Depression.",""),IF(Data!B883=TRUE," Disoriented.",""),IF(Data!B879=TRUE,"Forgetful. ",""),IF(Data!B880=TRUE," Confusion.",""),IF(Data!B590="None","",Data!B590&amp;" vision loss."),"  All mobility limitations also apply."," ",Data!B1340)</f>
        <v xml:space="preserve"> vision loss.  All mobility limitations also apply. </v>
      </c>
      <c r="L11" s="357"/>
      <c r="M11" s="357"/>
      <c r="N11" s="357"/>
      <c r="O11" s="357"/>
      <c r="P11" s="357"/>
      <c r="Q11" s="357"/>
      <c r="R11" s="357"/>
      <c r="S11" s="357"/>
      <c r="T11" s="357"/>
      <c r="U11" s="357"/>
      <c r="V11" s="357"/>
      <c r="W11" s="357"/>
      <c r="X11" s="357"/>
      <c r="Y11" s="357"/>
      <c r="Z11" s="357"/>
      <c r="AA11" s="357"/>
      <c r="AB11" s="357"/>
      <c r="AC11" s="357"/>
      <c r="AD11" s="357"/>
      <c r="AE11" s="357"/>
      <c r="AF11" s="357"/>
      <c r="AG11" s="357"/>
      <c r="AH11" s="357"/>
      <c r="AI11" s="357"/>
      <c r="AJ11" s="357"/>
      <c r="AK11" s="357"/>
      <c r="AL11" s="357"/>
      <c r="AM11" s="357"/>
      <c r="AN11" s="357"/>
      <c r="AO11" s="357"/>
      <c r="AP11" s="357"/>
      <c r="AQ11" s="357"/>
      <c r="AR11" s="357"/>
      <c r="AS11" s="357"/>
      <c r="AT11" s="357"/>
      <c r="AU11" s="357"/>
      <c r="AV11" s="357"/>
      <c r="AW11" s="357"/>
      <c r="AX11" s="357"/>
      <c r="AY11" t="s">
        <v>3478</v>
      </c>
    </row>
    <row r="12" spans="1:51" ht="25.35" customHeight="1" x14ac:dyDescent="0.2">
      <c r="A12" s="359" t="s">
        <v>1079</v>
      </c>
      <c r="B12" s="359"/>
      <c r="C12" s="359"/>
      <c r="D12" s="359"/>
      <c r="E12" s="359"/>
      <c r="F12" s="359">
        <f>Data!B413</f>
        <v>0</v>
      </c>
      <c r="G12" s="359"/>
      <c r="H12" s="359"/>
      <c r="I12" s="359"/>
      <c r="J12" s="359"/>
      <c r="K12" s="357" t="str">
        <f>_xlfn.CONCAT(IF(Data!B590="None","",Data!B590&amp;" vision loss."),IF(Data!B586=TRUE," Blurred Vision.",""),IF(Data!B874=TRUE," STML.",""),IF(Data!B879=TRUE," Forgetful.",""),IF(Data!B880=TRUE," Confusion.",""),IF(Data!B883=TRUE," Disoriented.",""),IF(Data!B660="Yes"," Choking risk.",""),IF(Data!B195="No"," Unable to read English.","")," ",Data!B1341,IF(Data!B685=TRUE,"Swallowing problems. ",""),IF(Data!B882=TRUE,"Depression. ",""),IF(Data!B889=TRUE,"Anxious. ",""),IF(Data!B1641=TRUE,"Cannot open pill bottles due to contractures.","")&amp;" All mobility limitations apply.")</f>
        <v xml:space="preserve"> vision loss.  All mobility limitations apply.</v>
      </c>
      <c r="L12" s="357"/>
      <c r="M12" s="357"/>
      <c r="N12" s="357"/>
      <c r="O12" s="357"/>
      <c r="P12" s="357"/>
      <c r="Q12" s="357"/>
      <c r="R12" s="357"/>
      <c r="S12" s="357"/>
      <c r="T12" s="357"/>
      <c r="U12" s="357"/>
      <c r="V12" s="357"/>
      <c r="W12" s="357"/>
      <c r="X12" s="357"/>
      <c r="Y12" s="357"/>
      <c r="Z12" s="357"/>
      <c r="AA12" s="357"/>
      <c r="AB12" s="357"/>
      <c r="AC12" s="357"/>
      <c r="AD12" s="357"/>
      <c r="AE12" s="357"/>
      <c r="AF12" s="357"/>
      <c r="AG12" s="357"/>
      <c r="AH12" s="357"/>
      <c r="AI12" s="357"/>
      <c r="AJ12" s="357"/>
      <c r="AK12" s="357"/>
      <c r="AL12" s="357"/>
      <c r="AM12" s="357"/>
      <c r="AN12" s="357"/>
      <c r="AO12" s="357"/>
      <c r="AP12" s="357"/>
      <c r="AQ12" s="357"/>
      <c r="AR12" s="357"/>
      <c r="AS12" s="357"/>
      <c r="AT12" s="357"/>
      <c r="AU12" s="357"/>
      <c r="AV12" s="357"/>
      <c r="AW12" s="357"/>
      <c r="AX12" s="357"/>
      <c r="AY12" t="s">
        <v>2992</v>
      </c>
    </row>
    <row r="13" spans="1:51" ht="25.35" customHeight="1" x14ac:dyDescent="0.2">
      <c r="A13" s="359" t="s">
        <v>1080</v>
      </c>
      <c r="B13" s="359"/>
      <c r="C13" s="359"/>
      <c r="D13" s="359"/>
      <c r="E13" s="359"/>
      <c r="F13" s="359">
        <f>Data!B954</f>
        <v>0</v>
      </c>
      <c r="G13" s="359"/>
      <c r="H13" s="359"/>
      <c r="I13" s="359"/>
      <c r="J13" s="359"/>
      <c r="K13" s="357" t="str">
        <f>_xlfn.CONCAT(IF(Data!B590="None","",Data!B590&amp;" vision loss."),IF(Data!B882=TRUE," Depression.",""),IF(Data!B758=TRUE," Dizziness.",""),IF(Data!B569=TRUE," Vertigo.",""),IF(OR(Data!B940="full",Data!B942="Full"),""," Limited ROM."),"  All mobility limitations also apply."," ",Data!B1342,IF(Data!B880=TRUE,"Confusion. ",""),IF(Data!B879=TRUE,"Forgetful. ",""))</f>
        <v xml:space="preserve"> vision loss. Limited ROM.  All mobility limitations also apply. </v>
      </c>
      <c r="L13" s="357"/>
      <c r="M13" s="357"/>
      <c r="N13" s="357"/>
      <c r="O13" s="357"/>
      <c r="P13" s="357"/>
      <c r="Q13" s="357"/>
      <c r="R13" s="357"/>
      <c r="S13" s="357"/>
      <c r="T13" s="357"/>
      <c r="U13" s="357"/>
      <c r="V13" s="357"/>
      <c r="W13" s="357"/>
      <c r="X13" s="357"/>
      <c r="Y13" s="357"/>
      <c r="Z13" s="357"/>
      <c r="AA13" s="357"/>
      <c r="AB13" s="357"/>
      <c r="AC13" s="357"/>
      <c r="AD13" s="357"/>
      <c r="AE13" s="357"/>
      <c r="AF13" s="357"/>
      <c r="AG13" s="357"/>
      <c r="AH13" s="357"/>
      <c r="AI13" s="357"/>
      <c r="AJ13" s="357"/>
      <c r="AK13" s="357"/>
      <c r="AL13" s="357"/>
      <c r="AM13" s="357"/>
      <c r="AN13" s="357"/>
      <c r="AO13" s="357"/>
      <c r="AP13" s="357"/>
      <c r="AQ13" s="357"/>
      <c r="AR13" s="357"/>
      <c r="AS13" s="357"/>
      <c r="AT13" s="357"/>
      <c r="AU13" s="357"/>
      <c r="AV13" s="357"/>
      <c r="AW13" s="357"/>
      <c r="AX13" s="357"/>
      <c r="AY13" t="s">
        <v>3477</v>
      </c>
    </row>
    <row r="14" spans="1:51" ht="25.35" customHeight="1" x14ac:dyDescent="0.2">
      <c r="A14" s="359" t="s">
        <v>1081</v>
      </c>
      <c r="B14" s="359"/>
      <c r="C14" s="359"/>
      <c r="D14" s="359"/>
      <c r="E14" s="359"/>
      <c r="F14" s="359">
        <f>Data!B957</f>
        <v>0</v>
      </c>
      <c r="G14" s="359"/>
      <c r="H14" s="359"/>
      <c r="I14" s="359"/>
      <c r="J14" s="359"/>
      <c r="K14" s="357" t="str">
        <f>_xlfn.CONCAT(IF(Data!B590="None","",Data!B590&amp;" vision loss."),IF(Data!B882=TRUE," Depression.",""),IF(Data!B758=TRUE," Dizziness.",""),IF(Data!B569=TRUE," Vertigo.",""),"  All mobility limitations also apply.",IF(OR(Data!B941="Full",Data!B943="Full"),""," Limited ROM.")," ",Data!B1343,IF(Data!B880=TRUE,"Confusion. ",""),IF(Data!B879=TRUE,"Forgetful. ",""))</f>
        <v xml:space="preserve"> vision loss.  All mobility limitations also apply. Limited ROM. </v>
      </c>
      <c r="L14" s="357"/>
      <c r="M14" s="357"/>
      <c r="N14" s="357"/>
      <c r="O14" s="357"/>
      <c r="P14" s="357"/>
      <c r="Q14" s="357"/>
      <c r="R14" s="357"/>
      <c r="S14" s="357"/>
      <c r="T14" s="357"/>
      <c r="U14" s="357"/>
      <c r="V14" s="357"/>
      <c r="W14" s="357"/>
      <c r="X14" s="357"/>
      <c r="Y14" s="357"/>
      <c r="Z14" s="357"/>
      <c r="AA14" s="357"/>
      <c r="AB14" s="357"/>
      <c r="AC14" s="357"/>
      <c r="AD14" s="357"/>
      <c r="AE14" s="357"/>
      <c r="AF14" s="357"/>
      <c r="AG14" s="357"/>
      <c r="AH14" s="357"/>
      <c r="AI14" s="357"/>
      <c r="AJ14" s="357"/>
      <c r="AK14" s="357"/>
      <c r="AL14" s="357"/>
      <c r="AM14" s="357"/>
      <c r="AN14" s="357"/>
      <c r="AO14" s="357"/>
      <c r="AP14" s="357"/>
      <c r="AQ14" s="357"/>
      <c r="AR14" s="357"/>
      <c r="AS14" s="357"/>
      <c r="AT14" s="357"/>
      <c r="AU14" s="357"/>
      <c r="AV14" s="357"/>
      <c r="AW14" s="357"/>
      <c r="AX14" s="357"/>
      <c r="AY14" t="s">
        <v>3476</v>
      </c>
    </row>
    <row r="15" spans="1:51" ht="25.35" customHeight="1" x14ac:dyDescent="0.2">
      <c r="A15" s="359" t="s">
        <v>328</v>
      </c>
      <c r="B15" s="359"/>
      <c r="C15" s="359"/>
      <c r="D15" s="359"/>
      <c r="E15" s="359"/>
      <c r="F15" s="359">
        <f>Data!B960</f>
        <v>0</v>
      </c>
      <c r="G15" s="359"/>
      <c r="H15" s="359"/>
      <c r="I15" s="359"/>
      <c r="J15" s="359"/>
      <c r="K15" s="357" t="str">
        <f>_xlfn.CONCAT(IF(Data!B590="None","",Data!B590&amp;" vision loss."),IF(Data!B882=TRUE," Depression.",""),IF(Data!B758=TRUE," Dizziness.",""),IF(Data!B569=TRUE," Vertigo.",""),IF(Data!B458="Good",""," Poor hygiene."),IF(Data!B874=TRUE," STML.",""),IF(Data!B883=TRUE," Disoriented.","")," ",Data!B1344,IF(Data!B880=TRUE,"Confusion. ","")," All mobility limitations apply. ",IF(Data!B844=TRUE,"Rashes. ",""),IF(Data!B852="Yes","Current skin wounds. ",""))</f>
        <v xml:space="preserve"> vision loss. Poor hygiene.  All mobility limitations apply. </v>
      </c>
      <c r="L15" s="357"/>
      <c r="M15" s="357"/>
      <c r="N15" s="357"/>
      <c r="O15" s="357"/>
      <c r="P15" s="357"/>
      <c r="Q15" s="357"/>
      <c r="R15" s="357"/>
      <c r="S15" s="357"/>
      <c r="T15" s="357"/>
      <c r="U15" s="357"/>
      <c r="V15" s="357"/>
      <c r="W15" s="357"/>
      <c r="X15" s="357"/>
      <c r="Y15" s="357"/>
      <c r="Z15" s="357"/>
      <c r="AA15" s="357"/>
      <c r="AB15" s="357"/>
      <c r="AC15" s="357"/>
      <c r="AD15" s="357"/>
      <c r="AE15" s="357"/>
      <c r="AF15" s="357"/>
      <c r="AG15" s="357"/>
      <c r="AH15" s="357"/>
      <c r="AI15" s="357"/>
      <c r="AJ15" s="357"/>
      <c r="AK15" s="357"/>
      <c r="AL15" s="357"/>
      <c r="AM15" s="357"/>
      <c r="AN15" s="357"/>
      <c r="AO15" s="357"/>
      <c r="AP15" s="357"/>
      <c r="AQ15" s="357"/>
      <c r="AR15" s="357"/>
      <c r="AS15" s="357"/>
      <c r="AT15" s="357"/>
      <c r="AU15" s="357"/>
      <c r="AV15" s="357"/>
      <c r="AW15" s="357"/>
      <c r="AX15" s="357"/>
      <c r="AY15" t="s">
        <v>3239</v>
      </c>
    </row>
    <row r="16" spans="1:51" ht="25.35" customHeight="1" x14ac:dyDescent="0.2">
      <c r="A16" s="359" t="s">
        <v>1082</v>
      </c>
      <c r="B16" s="359"/>
      <c r="C16" s="359"/>
      <c r="D16" s="359"/>
      <c r="E16" s="359"/>
      <c r="F16" s="359">
        <f>Data!B744</f>
        <v>0</v>
      </c>
      <c r="G16" s="359"/>
      <c r="H16" s="359"/>
      <c r="I16" s="359"/>
      <c r="J16" s="359"/>
      <c r="K16" s="357" t="str">
        <f>_xlfn.CONCAT(IF(Data!B882=TRUE,"Depression.",""),IF(Data!B758=TRUE," Dizziness.","")," All mobility limitations apply.",IF(Data!E725&lt;&gt;"", Data!E725&amp;".",""),IF(Data!E726&lt;&gt;"", Data!E726&amp;".",""),IF(Data!B741="Yes"," "&amp;Data!B742&amp;" Catheter.",""),IF(Data!B719="Yes","  Requires bowel program.","")," ",Data!B1345," ",Data!B740," ",Data!B713," ",IF(AND(Data!B708=TRUE,Data!B1431=TRUE)," Total bowel incontinence.",""),IF(AND(Data!B735=TRUE, Data!B1433=TRUE)," Total bladder incontinence.",""),IF(AND(Data!B708=TRUE,Data!B1432=TRUE)," Occasional  bowel incontinence.",""),IF(AND(Data!B735=TRUE, Data!B1434=TRUE)," Occasional  bladder incontinence.",""),IF(Data!B1421&lt;&gt;"",Data!B1421&amp;". ",""),IF(Data!B1422&lt;&gt;"",Data!B1422&amp;". ",""),IF(Data!B703=TRUE,"Constipation. ",""),IF(Data!B705=TRUE,"Diarrhea. ",""),IF(Data!B707=TRUE,"Colostomy bag. ",""),IF(Data!B880=TRUE,"Confusion. ",""),IF(Data!B879=TRUE,"Forgetful. ",""),IF(Data!B732=TRUE,"Current UTI. ",""),IF(Data!B733=TRUE,"History of UTI. ",""))</f>
        <v xml:space="preserve"> All mobility limitations apply.    </v>
      </c>
      <c r="L16" s="357"/>
      <c r="M16" s="357"/>
      <c r="N16" s="357"/>
      <c r="O16" s="357"/>
      <c r="P16" s="357"/>
      <c r="Q16" s="357"/>
      <c r="R16" s="357"/>
      <c r="S16" s="357"/>
      <c r="T16" s="357"/>
      <c r="U16" s="357"/>
      <c r="V16" s="357"/>
      <c r="W16" s="357"/>
      <c r="X16" s="357"/>
      <c r="Y16" s="357"/>
      <c r="Z16" s="357"/>
      <c r="AA16" s="357"/>
      <c r="AB16" s="357"/>
      <c r="AC16" s="357"/>
      <c r="AD16" s="357"/>
      <c r="AE16" s="357"/>
      <c r="AF16" s="357"/>
      <c r="AG16" s="357"/>
      <c r="AH16" s="357"/>
      <c r="AI16" s="357"/>
      <c r="AJ16" s="357"/>
      <c r="AK16" s="357"/>
      <c r="AL16" s="357"/>
      <c r="AM16" s="357"/>
      <c r="AN16" s="357"/>
      <c r="AO16" s="357"/>
      <c r="AP16" s="357"/>
      <c r="AQ16" s="357"/>
      <c r="AR16" s="357"/>
      <c r="AS16" s="357"/>
      <c r="AT16" s="357"/>
      <c r="AU16" s="357"/>
      <c r="AV16" s="357"/>
      <c r="AW16" s="357"/>
      <c r="AX16" s="357"/>
      <c r="AY16" t="s">
        <v>3265</v>
      </c>
    </row>
    <row r="17" spans="1:51" ht="25.35" customHeight="1" x14ac:dyDescent="0.2">
      <c r="A17" s="359" t="s">
        <v>1083</v>
      </c>
      <c r="B17" s="359"/>
      <c r="C17" s="359"/>
      <c r="D17" s="359"/>
      <c r="E17" s="359"/>
      <c r="F17" s="359">
        <f>Data!B662</f>
        <v>0</v>
      </c>
      <c r="G17" s="359"/>
      <c r="H17" s="359"/>
      <c r="I17" s="359"/>
      <c r="J17" s="359"/>
      <c r="K17" s="357" t="str">
        <f>_xlfn.CONCAT(IF(OR(Data!B649="poor",Data!B649="Anorexic"),"Poor appetite.",""),"  All mobility limitations apply.",IF(Data!B883=TRUE," Disoriented - cannot make food choices.",""),IF(Data!B692="Yes"," Fluid restriction.","")," ",Data!B1346,IF(Data!B590="None","",Data!B590&amp;" vision loss. "),IF(Data!B882=TRUE,"Depression. ",""),IF(Data!B879=TRUE,"Forgetful. ",""))</f>
        <v xml:space="preserve">  All mobility limitations apply.  vision loss. </v>
      </c>
      <c r="L17" s="357"/>
      <c r="M17" s="357"/>
      <c r="N17" s="357"/>
      <c r="O17" s="357"/>
      <c r="P17" s="357"/>
      <c r="Q17" s="357"/>
      <c r="R17" s="357"/>
      <c r="S17" s="357"/>
      <c r="T17" s="357"/>
      <c r="U17" s="357"/>
      <c r="V17" s="357"/>
      <c r="W17" s="357"/>
      <c r="X17" s="357"/>
      <c r="Y17" s="357"/>
      <c r="Z17" s="357"/>
      <c r="AA17" s="357"/>
      <c r="AB17" s="357"/>
      <c r="AC17" s="357"/>
      <c r="AD17" s="357"/>
      <c r="AE17" s="357"/>
      <c r="AF17" s="357"/>
      <c r="AG17" s="357"/>
      <c r="AH17" s="357"/>
      <c r="AI17" s="357"/>
      <c r="AJ17" s="357"/>
      <c r="AK17" s="357"/>
      <c r="AL17" s="357"/>
      <c r="AM17" s="357"/>
      <c r="AN17" s="357"/>
      <c r="AO17" s="357"/>
      <c r="AP17" s="357"/>
      <c r="AQ17" s="357"/>
      <c r="AR17" s="357"/>
      <c r="AS17" s="357"/>
      <c r="AT17" s="357"/>
      <c r="AU17" s="357"/>
      <c r="AV17" s="357"/>
      <c r="AW17" s="357"/>
      <c r="AX17" s="357"/>
      <c r="AY17" t="s">
        <v>3226</v>
      </c>
    </row>
    <row r="18" spans="1:51" ht="25.35" customHeight="1" x14ac:dyDescent="0.2">
      <c r="A18" s="359" t="s">
        <v>1084</v>
      </c>
      <c r="B18" s="359"/>
      <c r="C18" s="359"/>
      <c r="D18" s="359"/>
      <c r="E18" s="359"/>
      <c r="F18" s="359">
        <f>Data!B271</f>
        <v>0</v>
      </c>
      <c r="G18" s="359"/>
      <c r="H18" s="359"/>
      <c r="I18" s="359"/>
      <c r="J18" s="359"/>
      <c r="K18" s="357" t="str">
        <f>_xlfn.CONCAT(IF(Data!B274=TRUE,"Can ride in a car.","Cannot ride in a car."),IF(Data!B270=FALSE," Cannot drive.",""),IF(Data!B275=TRUE," Cannot ride in a non handicapped equipped vehicle.",""),IF(Data!B890=TRUE," Inappropriate decision making.","")," ",Data!B1347)</f>
        <v xml:space="preserve">Cannot ride in a car. Cannot drive. </v>
      </c>
      <c r="L18" s="357"/>
      <c r="M18" s="357"/>
      <c r="N18" s="357"/>
      <c r="O18" s="357"/>
      <c r="P18" s="357"/>
      <c r="Q18" s="357"/>
      <c r="R18" s="357"/>
      <c r="S18" s="357"/>
      <c r="T18" s="357"/>
      <c r="U18" s="357"/>
      <c r="V18" s="357"/>
      <c r="W18" s="357"/>
      <c r="X18" s="357"/>
      <c r="Y18" s="357"/>
      <c r="Z18" s="357"/>
      <c r="AA18" s="357"/>
      <c r="AB18" s="357"/>
      <c r="AC18" s="357"/>
      <c r="AD18" s="357"/>
      <c r="AE18" s="357"/>
      <c r="AF18" s="357"/>
      <c r="AG18" s="357"/>
      <c r="AH18" s="357"/>
      <c r="AI18" s="357"/>
      <c r="AJ18" s="357"/>
      <c r="AK18" s="357"/>
      <c r="AL18" s="357"/>
      <c r="AM18" s="357"/>
      <c r="AN18" s="357"/>
      <c r="AO18" s="357"/>
      <c r="AP18" s="357"/>
      <c r="AQ18" s="357"/>
      <c r="AR18" s="357"/>
      <c r="AS18" s="357"/>
      <c r="AT18" s="357"/>
      <c r="AU18" s="357"/>
      <c r="AV18" s="357"/>
      <c r="AW18" s="357"/>
      <c r="AX18" s="357"/>
      <c r="AY18" t="str">
        <f t="shared" ref="AY18" si="0">K18</f>
        <v xml:space="preserve">Cannot ride in a car. Cannot drive. </v>
      </c>
    </row>
    <row r="19" spans="1:51" ht="25.35" customHeight="1" x14ac:dyDescent="0.2">
      <c r="A19" s="359" t="s">
        <v>557</v>
      </c>
      <c r="B19" s="359"/>
      <c r="C19" s="359"/>
      <c r="D19" s="359"/>
      <c r="E19" s="359"/>
      <c r="F19" s="359">
        <f>Data!B296</f>
        <v>0</v>
      </c>
      <c r="G19" s="359"/>
      <c r="H19" s="359"/>
      <c r="I19" s="359"/>
      <c r="J19" s="359"/>
      <c r="K19" s="357" t="str">
        <f>_xlfn.CONCAT(IF(Data!B590="None","",Data!B590&amp;" vision loss."),IF(Data!B882=TRUE," Depression.",""),IF(Data!B758=TRUE," Dizziness.",""),IF(Data!B569=TRUE," Vertigo.",""),"  All mobility limitations also apply.","",Data!B1348,IF(Data!B879=TRUE,"Forgetful. ",""),IF(Data!B880=TRUE,"Confusion. ",""),IF(Data!B889=TRUE,"Anxious. ",""))</f>
        <v xml:space="preserve"> vision loss.  All mobility limitations also apply.</v>
      </c>
      <c r="L19" s="357"/>
      <c r="M19" s="357"/>
      <c r="N19" s="357"/>
      <c r="O19" s="357"/>
      <c r="P19" s="357"/>
      <c r="Q19" s="357"/>
      <c r="R19" s="357"/>
      <c r="S19" s="357"/>
      <c r="T19" s="357"/>
      <c r="U19" s="357"/>
      <c r="V19" s="357"/>
      <c r="W19" s="357"/>
      <c r="X19" s="357"/>
      <c r="Y19" s="357"/>
      <c r="Z19" s="357"/>
      <c r="AA19" s="357"/>
      <c r="AB19" s="357"/>
      <c r="AC19" s="357"/>
      <c r="AD19" s="357"/>
      <c r="AE19" s="357"/>
      <c r="AF19" s="357"/>
      <c r="AG19" s="357"/>
      <c r="AH19" s="357"/>
      <c r="AI19" s="357"/>
      <c r="AJ19" s="357"/>
      <c r="AK19" s="357"/>
      <c r="AL19" s="357"/>
      <c r="AM19" s="357"/>
      <c r="AN19" s="357"/>
      <c r="AO19" s="357"/>
      <c r="AP19" s="357"/>
      <c r="AQ19" s="357"/>
      <c r="AR19" s="357"/>
      <c r="AS19" s="357"/>
      <c r="AT19" s="357"/>
      <c r="AU19" s="357"/>
      <c r="AV19" s="357"/>
      <c r="AW19" s="357"/>
      <c r="AX19" s="357"/>
      <c r="AY19" t="s">
        <v>3475</v>
      </c>
    </row>
    <row r="20" spans="1:51" ht="25.35" customHeight="1" x14ac:dyDescent="0.2">
      <c r="A20" s="359" t="s">
        <v>1085</v>
      </c>
      <c r="B20" s="359"/>
      <c r="C20" s="359"/>
      <c r="D20" s="359"/>
      <c r="E20" s="359"/>
      <c r="F20" s="359">
        <f>Data!B283</f>
        <v>0</v>
      </c>
      <c r="G20" s="359"/>
      <c r="H20" s="359"/>
      <c r="I20" s="359"/>
      <c r="J20" s="359"/>
      <c r="K20" s="357" t="str">
        <f>_xlfn.CONCAT(IF(Data!B590="None","",Data!B590&amp;" vision loss."),IF(Data!B882=TRUE," Depression.",""),IF(Data!B758=TRUE," Dizziness.",""),IF(Data!B569=TRUE," Vertigo.",""),"  All mobility limitations apply.",IF(Data!B212=TRUE," Cluttered home.",""),IF(Data!B211=TRUE," Unclean home.","")," ",Data!B1349,IF(Data!B879=TRUE,"Forgetful. ",""))</f>
        <v xml:space="preserve"> vision loss.  All mobility limitations apply. </v>
      </c>
      <c r="L20" s="357"/>
      <c r="M20" s="357"/>
      <c r="N20" s="357"/>
      <c r="O20" s="357"/>
      <c r="P20" s="357"/>
      <c r="Q20" s="357"/>
      <c r="R20" s="357"/>
      <c r="S20" s="357"/>
      <c r="T20" s="357"/>
      <c r="U20" s="357"/>
      <c r="V20" s="357"/>
      <c r="W20" s="357"/>
      <c r="X20" s="357"/>
      <c r="Y20" s="357"/>
      <c r="Z20" s="357"/>
      <c r="AA20" s="357"/>
      <c r="AB20" s="357"/>
      <c r="AC20" s="357"/>
      <c r="AD20" s="357"/>
      <c r="AE20" s="357"/>
      <c r="AF20" s="357"/>
      <c r="AG20" s="357"/>
      <c r="AH20" s="357"/>
      <c r="AI20" s="357"/>
      <c r="AJ20" s="357"/>
      <c r="AK20" s="357"/>
      <c r="AL20" s="357"/>
      <c r="AM20" s="357"/>
      <c r="AN20" s="357"/>
      <c r="AO20" s="357"/>
      <c r="AP20" s="357"/>
      <c r="AQ20" s="357"/>
      <c r="AR20" s="357"/>
      <c r="AS20" s="357"/>
      <c r="AT20" s="357"/>
      <c r="AU20" s="357"/>
      <c r="AV20" s="357"/>
      <c r="AW20" s="357"/>
      <c r="AX20" s="357"/>
      <c r="AY20" t="s">
        <v>3474</v>
      </c>
    </row>
    <row r="21" spans="1:51" ht="25.35" customHeight="1" x14ac:dyDescent="0.2">
      <c r="A21" s="359" t="s">
        <v>303</v>
      </c>
      <c r="B21" s="359"/>
      <c r="C21" s="359"/>
      <c r="D21" s="359"/>
      <c r="E21" s="359"/>
      <c r="F21" s="359">
        <f>Data!B911</f>
        <v>0</v>
      </c>
      <c r="G21" s="359"/>
      <c r="H21" s="359"/>
      <c r="I21" s="359"/>
      <c r="J21" s="359"/>
      <c r="K21" s="357" t="str">
        <f>_xlfn.CONCAT(IF(Data!B573="None","",Data!B573&amp;" hearing loss."),IF(Data!B195="No"," Cannot speak in English.",""),IF(Data!B882=TRUE," Depression.",""),IF(Data!B908="No"," Cannot answer unassisted.",""),IF(Data!B907="No"," Cannot dial unassisted.",""),IF(AND(Data!B911="Independent",Data!B195="Yes"),"No observed functional limitations at time of assessment.","")," ",Data!B1350," All mobility limitation apply.",IF(Data!B889=TRUE,"Anxious. ",""),IF(Data!B880=TRUE,"Confusion. ",""),IF(Data!B879=TRUE,"Forgetful. ",""),IF(Data!B590="None","",Data!B590&amp;" vision loss."),IF(Data!B832=TRUE,"Slurred speech. ",""),IF(Data!B831=TRUE,"Mumbling. ",""),IF(Data!B833=TRUE,"Nonverbal. ",""))</f>
        <v xml:space="preserve"> hearing loss.  All mobility limitation apply. vision loss.</v>
      </c>
      <c r="L21" s="357"/>
      <c r="M21" s="357"/>
      <c r="N21" s="357"/>
      <c r="O21" s="357"/>
      <c r="P21" s="357"/>
      <c r="Q21" s="357"/>
      <c r="R21" s="357"/>
      <c r="S21" s="357"/>
      <c r="T21" s="357"/>
      <c r="U21" s="357"/>
      <c r="V21" s="357"/>
      <c r="W21" s="357"/>
      <c r="X21" s="357"/>
      <c r="Y21" s="357"/>
      <c r="Z21" s="357"/>
      <c r="AA21" s="357"/>
      <c r="AB21" s="357"/>
      <c r="AC21" s="357"/>
      <c r="AD21" s="357"/>
      <c r="AE21" s="357"/>
      <c r="AF21" s="357"/>
      <c r="AG21" s="357"/>
      <c r="AH21" s="357"/>
      <c r="AI21" s="357"/>
      <c r="AJ21" s="357"/>
      <c r="AK21" s="357"/>
      <c r="AL21" s="357"/>
      <c r="AM21" s="357"/>
      <c r="AN21" s="357"/>
      <c r="AO21" s="357"/>
      <c r="AP21" s="357"/>
      <c r="AQ21" s="357"/>
      <c r="AR21" s="357"/>
      <c r="AS21" s="357"/>
      <c r="AT21" s="357"/>
      <c r="AU21" s="357"/>
      <c r="AV21" s="357"/>
      <c r="AW21" s="357"/>
      <c r="AX21" s="357"/>
      <c r="AY21" t="s">
        <v>2991</v>
      </c>
    </row>
  </sheetData>
  <mergeCells count="62">
    <mergeCell ref="A20:E20"/>
    <mergeCell ref="F20:J20"/>
    <mergeCell ref="K20:AX20"/>
    <mergeCell ref="A21:E21"/>
    <mergeCell ref="F21:J21"/>
    <mergeCell ref="K21:AX21"/>
    <mergeCell ref="A18:E18"/>
    <mergeCell ref="F18:J18"/>
    <mergeCell ref="K18:AX18"/>
    <mergeCell ref="A19:E19"/>
    <mergeCell ref="F19:J19"/>
    <mergeCell ref="K19:AX19"/>
    <mergeCell ref="A16:E16"/>
    <mergeCell ref="F16:J16"/>
    <mergeCell ref="K16:AX16"/>
    <mergeCell ref="A17:E17"/>
    <mergeCell ref="F17:J17"/>
    <mergeCell ref="K17:AX17"/>
    <mergeCell ref="A14:E14"/>
    <mergeCell ref="F14:J14"/>
    <mergeCell ref="K14:AX14"/>
    <mergeCell ref="A15:E15"/>
    <mergeCell ref="F15:J15"/>
    <mergeCell ref="K15:AX15"/>
    <mergeCell ref="A12:E12"/>
    <mergeCell ref="F12:J12"/>
    <mergeCell ref="K12:AX12"/>
    <mergeCell ref="A13:E13"/>
    <mergeCell ref="F13:J13"/>
    <mergeCell ref="K13:AX13"/>
    <mergeCell ref="A10:E10"/>
    <mergeCell ref="F10:J10"/>
    <mergeCell ref="K10:AX10"/>
    <mergeCell ref="A11:E11"/>
    <mergeCell ref="F11:J11"/>
    <mergeCell ref="K11:AX11"/>
    <mergeCell ref="A8:E8"/>
    <mergeCell ref="F8:J8"/>
    <mergeCell ref="K8:AX8"/>
    <mergeCell ref="A9:E9"/>
    <mergeCell ref="F9:J9"/>
    <mergeCell ref="K9:AX9"/>
    <mergeCell ref="A6:E6"/>
    <mergeCell ref="F6:J6"/>
    <mergeCell ref="K6:AX6"/>
    <mergeCell ref="A7:E7"/>
    <mergeCell ref="F7:J7"/>
    <mergeCell ref="K7:AX7"/>
    <mergeCell ref="A4:E4"/>
    <mergeCell ref="F4:J4"/>
    <mergeCell ref="K4:AX4"/>
    <mergeCell ref="A5:E5"/>
    <mergeCell ref="F5:J5"/>
    <mergeCell ref="K5:AX5"/>
    <mergeCell ref="A3:E3"/>
    <mergeCell ref="F3:J3"/>
    <mergeCell ref="K3:AX3"/>
    <mergeCell ref="E1:P1"/>
    <mergeCell ref="T1:X1"/>
    <mergeCell ref="AE1:AI1"/>
    <mergeCell ref="AQ1:AV1"/>
    <mergeCell ref="A2:AX2"/>
  </mergeCells>
  <pageMargins left="0.25" right="0.25" top="0.75" bottom="0.25" header="0.3" footer="0.3"/>
  <pageSetup orientation="landscape" horizontalDpi="4294967294" verticalDpi="1200" r:id="rId1"/>
  <headerFooter>
    <oddHeader>&amp;L&amp;G&amp;RClient Care Plan (5 Page Document)
RN Initials ____________</oddHeader>
    <oddFooter>&amp;LINT.PS&amp;C3088 Mercer University Drive Suite 100 Atlanta, GA 30341
678-310-6305 Fax 404-935-6110&amp;RPP.M</oddFooter>
  </headerFooter>
  <legacyDrawingHF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2">
    <tabColor rgb="FFFFFF00"/>
  </sheetPr>
  <dimension ref="A1:BQ87"/>
  <sheetViews>
    <sheetView showZeros="0" view="pageLayout" zoomScaleNormal="100" workbookViewId="0">
      <selection sqref="A1:AL88"/>
    </sheetView>
  </sheetViews>
  <sheetFormatPr defaultColWidth="2.7109375" defaultRowHeight="12.75" x14ac:dyDescent="0.2"/>
  <cols>
    <col min="38" max="38" width="5.28515625" customWidth="1"/>
  </cols>
  <sheetData>
    <row r="1" spans="1:69" x14ac:dyDescent="0.2">
      <c r="A1" t="s">
        <v>336</v>
      </c>
      <c r="E1" s="240" t="str">
        <f>_xlfn.CONCAT(Data!B2,", ",Data!B3," ",Data!B4)</f>
        <v xml:space="preserve">,  </v>
      </c>
      <c r="F1" s="240"/>
      <c r="G1" s="240"/>
      <c r="H1" s="240"/>
      <c r="I1" s="240"/>
      <c r="J1" s="240"/>
      <c r="K1" s="240"/>
      <c r="L1" s="240"/>
      <c r="M1" s="240"/>
      <c r="N1" s="240"/>
      <c r="O1" s="240"/>
      <c r="P1" s="240"/>
      <c r="Q1" s="240"/>
      <c r="R1" s="240"/>
      <c r="S1" s="240"/>
      <c r="U1" t="s">
        <v>371</v>
      </c>
      <c r="W1" s="350">
        <f>Data!B14</f>
        <v>0</v>
      </c>
      <c r="X1" s="350"/>
      <c r="Y1" s="350"/>
      <c r="Z1" s="350"/>
      <c r="AA1" s="16"/>
      <c r="AB1" s="16" t="s">
        <v>772</v>
      </c>
      <c r="AH1" s="350">
        <f>Data!B34</f>
        <v>0</v>
      </c>
      <c r="AI1" s="295"/>
      <c r="AJ1" s="295"/>
      <c r="AK1" s="295"/>
      <c r="AL1" s="295"/>
    </row>
    <row r="2" spans="1:69" x14ac:dyDescent="0.2">
      <c r="A2" s="367" t="s">
        <v>1127</v>
      </c>
      <c r="B2" s="367"/>
      <c r="C2" s="367"/>
      <c r="D2" s="367"/>
      <c r="E2" s="367"/>
      <c r="F2" s="367"/>
      <c r="G2" s="367"/>
      <c r="H2" s="367"/>
      <c r="I2" s="367"/>
      <c r="J2" s="367"/>
      <c r="K2" s="367"/>
      <c r="L2" s="367"/>
      <c r="M2" s="367"/>
      <c r="N2" s="367"/>
      <c r="O2" s="367"/>
      <c r="P2" s="367"/>
      <c r="Q2" s="367"/>
      <c r="R2" s="367"/>
      <c r="S2" s="367"/>
      <c r="T2" s="367"/>
      <c r="U2" s="367"/>
      <c r="V2" s="367"/>
      <c r="W2" s="367"/>
      <c r="X2" s="367"/>
      <c r="Y2" s="367"/>
      <c r="Z2" s="367"/>
      <c r="AA2" s="367"/>
      <c r="AB2" s="367"/>
      <c r="AC2" s="367"/>
      <c r="AD2" s="367"/>
      <c r="AE2" s="367"/>
      <c r="AF2" s="367"/>
      <c r="AG2" s="367"/>
      <c r="AH2" s="367"/>
      <c r="AI2" s="367"/>
      <c r="AJ2" s="367"/>
      <c r="AK2" s="367"/>
      <c r="AL2" s="367"/>
    </row>
    <row r="3" spans="1:69" x14ac:dyDescent="0.2">
      <c r="A3" s="340" t="s">
        <v>1128</v>
      </c>
      <c r="B3" s="340"/>
      <c r="C3" s="340"/>
      <c r="D3" s="340"/>
      <c r="E3" s="340"/>
      <c r="F3" s="340"/>
      <c r="G3" s="340"/>
      <c r="H3" s="340"/>
      <c r="I3" s="340"/>
      <c r="J3" s="340"/>
      <c r="K3" s="340"/>
      <c r="L3" s="340"/>
      <c r="M3" s="340"/>
      <c r="N3" s="340"/>
      <c r="O3" s="340"/>
      <c r="P3" s="340"/>
      <c r="Q3" s="340"/>
      <c r="R3" s="340"/>
      <c r="S3" s="340"/>
      <c r="T3" s="340"/>
      <c r="U3" s="340"/>
      <c r="V3" s="340"/>
      <c r="W3" s="340"/>
      <c r="X3" s="340"/>
      <c r="Y3" s="340"/>
      <c r="Z3" s="340"/>
      <c r="AA3" s="340"/>
      <c r="AB3" s="340"/>
      <c r="AC3" s="340"/>
      <c r="AD3" s="340"/>
      <c r="AE3" s="340"/>
      <c r="AF3" s="340"/>
      <c r="AG3" s="340"/>
      <c r="AH3" s="340"/>
      <c r="AI3" s="340"/>
      <c r="AJ3" s="340"/>
      <c r="AK3" s="340"/>
      <c r="AL3" s="340"/>
    </row>
    <row r="4" spans="1:69" x14ac:dyDescent="0.2">
      <c r="B4" s="254" t="s">
        <v>1129</v>
      </c>
      <c r="C4" s="254"/>
      <c r="D4" s="254"/>
      <c r="E4" s="254"/>
      <c r="F4" s="254"/>
      <c r="G4" s="254"/>
      <c r="H4" s="254" t="s">
        <v>157</v>
      </c>
      <c r="I4" s="254"/>
      <c r="J4" s="254"/>
      <c r="K4" s="254"/>
      <c r="L4" s="254"/>
      <c r="M4" s="337" t="s">
        <v>1158</v>
      </c>
      <c r="N4" s="337"/>
      <c r="O4" s="337"/>
      <c r="P4" s="337"/>
      <c r="Q4" s="337"/>
      <c r="R4" s="337"/>
      <c r="S4" s="337"/>
      <c r="T4" s="337"/>
      <c r="U4" s="337"/>
      <c r="V4" s="337"/>
      <c r="W4" s="337"/>
      <c r="X4" s="337"/>
      <c r="Y4" s="337"/>
      <c r="Z4" s="337"/>
      <c r="AA4" s="337"/>
      <c r="AB4" s="337"/>
      <c r="AC4" s="337"/>
      <c r="AD4" s="337"/>
      <c r="AE4" s="337"/>
      <c r="AF4" s="337"/>
      <c r="AG4" s="337"/>
      <c r="AH4" s="337"/>
      <c r="AI4" s="337"/>
      <c r="AJ4" s="337"/>
      <c r="AK4" s="337"/>
      <c r="AL4" s="337"/>
    </row>
    <row r="5" spans="1:69" ht="15" customHeight="1" x14ac:dyDescent="0.2">
      <c r="A5" s="363" t="s">
        <v>79</v>
      </c>
      <c r="B5" s="366" t="s">
        <v>328</v>
      </c>
      <c r="C5" s="366"/>
      <c r="D5" s="366"/>
      <c r="E5" s="366"/>
      <c r="F5" s="366"/>
      <c r="G5" s="366"/>
      <c r="H5" s="366" t="str">
        <f>Data!B974</f>
        <v>PRN</v>
      </c>
      <c r="I5" s="366"/>
      <c r="J5" s="366"/>
      <c r="K5" s="366"/>
      <c r="L5" s="366"/>
      <c r="M5" s="362" t="str">
        <f>_xlfn.CONCAT(IF(Data!B960="Independent","Cue bathing and monitor for safety.","Assist with bathing and monitor for skin integrity. Do not leave client unattended."),IF(Data!B961="",""," "&amp;Data!B961),IF(Data!B975="",""," "&amp;Data!B975&amp;".")," ",Data!B1360,IF(OR(Data!B917=TRUE,Data!B929=TRUE),"Sponge bath.",""),IF(Data!B852="Yes","Use caution around wound(s). ",""))</f>
        <v xml:space="preserve">Assist with bathing and monitor for skin integrity. Do not leave client unattended. </v>
      </c>
      <c r="N5" s="362"/>
      <c r="O5" s="362"/>
      <c r="P5" s="362"/>
      <c r="Q5" s="362"/>
      <c r="R5" s="362"/>
      <c r="S5" s="362"/>
      <c r="T5" s="362"/>
      <c r="U5" s="362"/>
      <c r="V5" s="362"/>
      <c r="W5" s="362"/>
      <c r="X5" s="362"/>
      <c r="Y5" s="362"/>
      <c r="Z5" s="362"/>
      <c r="AA5" s="362"/>
      <c r="AB5" s="362"/>
      <c r="AC5" s="362"/>
      <c r="AD5" s="362"/>
      <c r="AE5" s="362"/>
      <c r="AF5" s="362"/>
      <c r="AG5" s="362"/>
      <c r="AH5" s="362"/>
      <c r="AI5" s="362"/>
      <c r="AJ5" s="362"/>
      <c r="AK5" s="362"/>
      <c r="AL5" s="362"/>
      <c r="AM5" t="s">
        <v>3302</v>
      </c>
    </row>
    <row r="6" spans="1:69" ht="15" customHeight="1" x14ac:dyDescent="0.2">
      <c r="A6" s="364"/>
      <c r="B6" s="366" t="s">
        <v>329</v>
      </c>
      <c r="C6" s="366"/>
      <c r="D6" s="366"/>
      <c r="E6" s="366"/>
      <c r="F6" s="366"/>
      <c r="G6" s="366"/>
      <c r="H6" s="366" t="str">
        <f>Data!B976</f>
        <v>PRN</v>
      </c>
      <c r="I6" s="366"/>
      <c r="J6" s="366"/>
      <c r="K6" s="366"/>
      <c r="L6" s="366"/>
      <c r="M6" s="362" t="str">
        <f>_xlfn.CONCAT("Allow client to choose clothing and monitor for safety while dressing."," ",Data!B955," ",Data!B958," ",Data!B1361)</f>
        <v xml:space="preserve">Allow client to choose clothing and monitor for safety while dressing.   </v>
      </c>
      <c r="N6" s="362"/>
      <c r="O6" s="362"/>
      <c r="P6" s="362"/>
      <c r="Q6" s="362"/>
      <c r="R6" s="362"/>
      <c r="S6" s="362"/>
      <c r="T6" s="362"/>
      <c r="U6" s="362"/>
      <c r="V6" s="362"/>
      <c r="W6" s="362"/>
      <c r="X6" s="362"/>
      <c r="Y6" s="362"/>
      <c r="Z6" s="362"/>
      <c r="AA6" s="362"/>
      <c r="AB6" s="362"/>
      <c r="AC6" s="362"/>
      <c r="AD6" s="362"/>
      <c r="AE6" s="362"/>
      <c r="AF6" s="362"/>
      <c r="AG6" s="362"/>
      <c r="AH6" s="362"/>
      <c r="AI6" s="362"/>
      <c r="AJ6" s="362"/>
      <c r="AK6" s="362"/>
      <c r="AL6" s="362"/>
      <c r="AM6" t="str">
        <f t="shared" ref="AM6:AM17" si="0">M6</f>
        <v xml:space="preserve">Allow client to choose clothing and monitor for safety while dressing.   </v>
      </c>
    </row>
    <row r="7" spans="1:69" ht="15" customHeight="1" x14ac:dyDescent="0.2">
      <c r="A7" s="364"/>
      <c r="B7" s="366" t="s">
        <v>1082</v>
      </c>
      <c r="C7" s="366"/>
      <c r="D7" s="366"/>
      <c r="E7" s="366"/>
      <c r="F7" s="366"/>
      <c r="G7" s="366"/>
      <c r="H7" s="366">
        <f>Data!B745</f>
        <v>0</v>
      </c>
      <c r="I7" s="366"/>
      <c r="J7" s="366"/>
      <c r="K7" s="366"/>
      <c r="L7" s="366"/>
      <c r="M7" s="362" t="str">
        <f>_xlfn.CONCAT(IF(Data!B745="Independent","Cue toileting and monitor for safety.","Cue every two hours and keep skin clean and dry.")," ",Data!B749,IF(OR(Data!B153=TRUE,Data!B154=TRUE)," Make sure client wears pads or diapers.",""),IF(OR(Data!B736=TRUE,Data!B737=TRUE),"  Rec:Toileting program q2Hours","")," ",Data!B1362)</f>
        <v xml:space="preserve">Cue every two hours and keep skin clean and dry.  </v>
      </c>
      <c r="N7" s="362"/>
      <c r="O7" s="362"/>
      <c r="P7" s="362"/>
      <c r="Q7" s="362"/>
      <c r="R7" s="362"/>
      <c r="S7" s="362"/>
      <c r="T7" s="362"/>
      <c r="U7" s="362"/>
      <c r="V7" s="362"/>
      <c r="W7" s="362"/>
      <c r="X7" s="362"/>
      <c r="Y7" s="362"/>
      <c r="Z7" s="362"/>
      <c r="AA7" s="362"/>
      <c r="AB7" s="362"/>
      <c r="AC7" s="362"/>
      <c r="AD7" s="362"/>
      <c r="AE7" s="362"/>
      <c r="AF7" s="362"/>
      <c r="AG7" s="362"/>
      <c r="AH7" s="362"/>
      <c r="AI7" s="362"/>
      <c r="AJ7" s="362"/>
      <c r="AK7" s="362"/>
      <c r="AL7" s="362"/>
      <c r="AM7" t="str">
        <f t="shared" si="0"/>
        <v xml:space="preserve">Cue every two hours and keep skin clean and dry.  </v>
      </c>
    </row>
    <row r="8" spans="1:69" ht="15" customHeight="1" x14ac:dyDescent="0.2">
      <c r="A8" s="364"/>
      <c r="B8" s="366" t="s">
        <v>330</v>
      </c>
      <c r="C8" s="366"/>
      <c r="D8" s="366"/>
      <c r="E8" s="366"/>
      <c r="F8" s="366"/>
      <c r="G8" s="366"/>
      <c r="H8" s="366" t="str">
        <f>Data!B978</f>
        <v>PRN</v>
      </c>
      <c r="I8" s="366"/>
      <c r="J8" s="366"/>
      <c r="K8" s="366"/>
      <c r="L8" s="366"/>
      <c r="M8" s="362" t="str">
        <f>_xlfn.CONCAT(IF(Data!B978="Independent","Provide cues for proper grooming.","Assist with grooming to maintain proper hygiene.")," ",Data!B979," ",Data!B1363)</f>
        <v xml:space="preserve">Assist with grooming to maintain proper hygiene.  </v>
      </c>
      <c r="N8" s="362"/>
      <c r="O8" s="362"/>
      <c r="P8" s="362"/>
      <c r="Q8" s="362"/>
      <c r="R8" s="362"/>
      <c r="S8" s="362"/>
      <c r="T8" s="362"/>
      <c r="U8" s="362"/>
      <c r="V8" s="362"/>
      <c r="W8" s="362"/>
      <c r="X8" s="362"/>
      <c r="Y8" s="362"/>
      <c r="Z8" s="362"/>
      <c r="AA8" s="362"/>
      <c r="AB8" s="362"/>
      <c r="AC8" s="362"/>
      <c r="AD8" s="362"/>
      <c r="AE8" s="362"/>
      <c r="AF8" s="362"/>
      <c r="AG8" s="362"/>
      <c r="AH8" s="362"/>
      <c r="AI8" s="362"/>
      <c r="AJ8" s="362"/>
      <c r="AK8" s="362"/>
      <c r="AL8" s="362"/>
      <c r="AM8" t="str">
        <f t="shared" si="0"/>
        <v xml:space="preserve">Assist with grooming to maintain proper hygiene.  </v>
      </c>
    </row>
    <row r="9" spans="1:69" ht="15" customHeight="1" x14ac:dyDescent="0.2">
      <c r="A9" s="364"/>
      <c r="B9" s="366" t="s">
        <v>1130</v>
      </c>
      <c r="C9" s="366"/>
      <c r="D9" s="366"/>
      <c r="E9" s="366"/>
      <c r="F9" s="366"/>
      <c r="G9" s="366"/>
      <c r="H9" s="366" t="str">
        <f>Data!B980</f>
        <v>PRN</v>
      </c>
      <c r="I9" s="366"/>
      <c r="J9" s="366"/>
      <c r="K9" s="366"/>
      <c r="L9" s="366"/>
      <c r="M9" s="362" t="str">
        <f>Data!B1364&amp;" File fingernails only, no cutting.  Monitor toenails and report growth to supervisor."</f>
        <v xml:space="preserve"> File fingernails only, no cutting.  Monitor toenails and report growth to supervisor.</v>
      </c>
      <c r="N9" s="362"/>
      <c r="O9" s="362"/>
      <c r="P9" s="362"/>
      <c r="Q9" s="362"/>
      <c r="R9" s="362"/>
      <c r="S9" s="362"/>
      <c r="T9" s="362"/>
      <c r="U9" s="362"/>
      <c r="V9" s="362"/>
      <c r="W9" s="362"/>
      <c r="X9" s="362"/>
      <c r="Y9" s="362"/>
      <c r="Z9" s="362"/>
      <c r="AA9" s="362"/>
      <c r="AB9" s="362"/>
      <c r="AC9" s="362"/>
      <c r="AD9" s="362"/>
      <c r="AE9" s="362"/>
      <c r="AF9" s="362"/>
      <c r="AG9" s="362"/>
      <c r="AH9" s="362"/>
      <c r="AI9" s="362"/>
      <c r="AJ9" s="362"/>
      <c r="AK9" s="362"/>
      <c r="AL9" s="362"/>
      <c r="AM9" t="str">
        <f t="shared" si="0"/>
        <v xml:space="preserve"> File fingernails only, no cutting.  Monitor toenails and report growth to supervisor.</v>
      </c>
    </row>
    <row r="10" spans="1:69" ht="15" customHeight="1" x14ac:dyDescent="0.2">
      <c r="A10" s="364"/>
      <c r="B10" s="366" t="s">
        <v>1131</v>
      </c>
      <c r="C10" s="366"/>
      <c r="D10" s="366"/>
      <c r="E10" s="366"/>
      <c r="F10" s="366"/>
      <c r="G10" s="366"/>
      <c r="H10" s="366" t="str">
        <f>Data!B675</f>
        <v>Daily</v>
      </c>
      <c r="I10" s="366"/>
      <c r="J10" s="366"/>
      <c r="K10" s="366"/>
      <c r="L10" s="366"/>
      <c r="M10" s="362" t="str">
        <f>_xlfn.CONCAT(IF(Data!B156=TRUE,"Keep dentures clean.",""),"  Cue oral hygiene and assist as needed."," ",Data!B1365)</f>
        <v xml:space="preserve">  Cue oral hygiene and assist as needed. </v>
      </c>
      <c r="N10" s="362"/>
      <c r="O10" s="362"/>
      <c r="P10" s="362"/>
      <c r="Q10" s="362"/>
      <c r="R10" s="362"/>
      <c r="S10" s="362"/>
      <c r="T10" s="362"/>
      <c r="U10" s="362"/>
      <c r="V10" s="362"/>
      <c r="W10" s="362"/>
      <c r="X10" s="362"/>
      <c r="Y10" s="362"/>
      <c r="Z10" s="362"/>
      <c r="AA10" s="362"/>
      <c r="AB10" s="362"/>
      <c r="AC10" s="362"/>
      <c r="AD10" s="362"/>
      <c r="AE10" s="362"/>
      <c r="AF10" s="362"/>
      <c r="AG10" s="362"/>
      <c r="AH10" s="362"/>
      <c r="AI10" s="362"/>
      <c r="AJ10" s="362"/>
      <c r="AK10" s="362"/>
      <c r="AL10" s="362"/>
      <c r="AM10" t="str">
        <f t="shared" si="0"/>
        <v xml:space="preserve">  Cue oral hygiene and assist as needed. </v>
      </c>
    </row>
    <row r="11" spans="1:69" ht="15" customHeight="1" x14ac:dyDescent="0.2">
      <c r="A11" s="365"/>
      <c r="B11" s="366" t="s">
        <v>1161</v>
      </c>
      <c r="C11" s="366"/>
      <c r="D11" s="366"/>
      <c r="E11" s="366"/>
      <c r="F11" s="366"/>
      <c r="G11" s="366"/>
      <c r="H11" s="366" t="str">
        <f>IF(OR(Data!B719="Yes",Data!B741="Yes"),"Daily","Not Required")</f>
        <v>Not Required</v>
      </c>
      <c r="I11" s="366"/>
      <c r="J11" s="366"/>
      <c r="K11" s="366"/>
      <c r="L11" s="366"/>
      <c r="M11" s="362" t="str">
        <f>_xlfn.CONCAT(IF(Data!B719="Yes","Provide bowel program per schedule.",""),IF(Data!B741="Yes","Provide catheter care as scheduled.",""),IF(AND(Data!B719="No",Data!B741="No"),"No special procedures required.","")," ",Data!B1366)</f>
        <v xml:space="preserve"> </v>
      </c>
      <c r="N11" s="362"/>
      <c r="O11" s="362"/>
      <c r="P11" s="362"/>
      <c r="Q11" s="362"/>
      <c r="R11" s="362"/>
      <c r="S11" s="362"/>
      <c r="T11" s="362"/>
      <c r="U11" s="362"/>
      <c r="V11" s="362"/>
      <c r="W11" s="362"/>
      <c r="X11" s="362"/>
      <c r="Y11" s="362"/>
      <c r="Z11" s="362"/>
      <c r="AA11" s="362"/>
      <c r="AB11" s="362"/>
      <c r="AC11" s="362"/>
      <c r="AD11" s="362"/>
      <c r="AE11" s="362"/>
      <c r="AF11" s="362"/>
      <c r="AG11" s="362"/>
      <c r="AH11" s="362"/>
      <c r="AI11" s="362"/>
      <c r="AJ11" s="362"/>
      <c r="AK11" s="362"/>
      <c r="AL11" s="362"/>
      <c r="AM11" t="s">
        <v>3480</v>
      </c>
      <c r="BQ11" t="s">
        <v>121</v>
      </c>
    </row>
    <row r="12" spans="1:69" ht="15" customHeight="1" x14ac:dyDescent="0.2">
      <c r="A12" s="368" t="s">
        <v>209</v>
      </c>
      <c r="B12" s="254" t="s">
        <v>1132</v>
      </c>
      <c r="C12" s="254"/>
      <c r="D12" s="254"/>
      <c r="E12" s="254"/>
      <c r="F12" s="254"/>
      <c r="G12" s="254"/>
      <c r="H12" s="254" t="str">
        <f>Data!B663</f>
        <v>Daily</v>
      </c>
      <c r="I12" s="254"/>
      <c r="J12" s="254"/>
      <c r="K12" s="254"/>
      <c r="L12" s="254"/>
      <c r="M12" s="337" t="str">
        <f>_xlfn.CONCAT(IF(Data!B692="Yes","Fluid restriction: "&amp;Data!B693&amp;" ccs per day. Record intake of fluid.","Encourage fluid intake throughout the shift to keep client hydrated.")," ",Data!B1367)</f>
        <v xml:space="preserve">Encourage fluid intake throughout the shift to keep client hydrated. </v>
      </c>
      <c r="N12" s="337"/>
      <c r="O12" s="337"/>
      <c r="P12" s="337"/>
      <c r="Q12" s="337"/>
      <c r="R12" s="337"/>
      <c r="S12" s="337"/>
      <c r="T12" s="337"/>
      <c r="U12" s="337"/>
      <c r="V12" s="337"/>
      <c r="W12" s="337"/>
      <c r="X12" s="337"/>
      <c r="Y12" s="337"/>
      <c r="Z12" s="337"/>
      <c r="AA12" s="337"/>
      <c r="AB12" s="337"/>
      <c r="AC12" s="337"/>
      <c r="AD12" s="337"/>
      <c r="AE12" s="337"/>
      <c r="AF12" s="337"/>
      <c r="AG12" s="337"/>
      <c r="AH12" s="337"/>
      <c r="AI12" s="337"/>
      <c r="AJ12" s="337"/>
      <c r="AK12" s="337"/>
      <c r="AL12" s="337"/>
      <c r="AM12" t="str">
        <f t="shared" si="0"/>
        <v xml:space="preserve">Encourage fluid intake throughout the shift to keep client hydrated. </v>
      </c>
    </row>
    <row r="13" spans="1:69" ht="15" customHeight="1" x14ac:dyDescent="0.2">
      <c r="A13" s="368"/>
      <c r="B13" s="254" t="s">
        <v>1083</v>
      </c>
      <c r="C13" s="254"/>
      <c r="D13" s="254"/>
      <c r="E13" s="254"/>
      <c r="F13" s="254"/>
      <c r="G13" s="254"/>
      <c r="H13" s="254">
        <f>Data!B665</f>
        <v>0</v>
      </c>
      <c r="I13" s="254"/>
      <c r="J13" s="254"/>
      <c r="K13" s="254"/>
      <c r="L13" s="254"/>
      <c r="M13" s="337" t="str">
        <f>Data!B1368&amp;" Allow client to choose food options if possible and clean up after meal."</f>
        <v xml:space="preserve"> Allow client to choose food options if possible and clean up after meal.</v>
      </c>
      <c r="N13" s="337"/>
      <c r="O13" s="337"/>
      <c r="P13" s="337"/>
      <c r="Q13" s="337"/>
      <c r="R13" s="337"/>
      <c r="S13" s="337"/>
      <c r="T13" s="337"/>
      <c r="U13" s="337"/>
      <c r="V13" s="337"/>
      <c r="W13" s="337"/>
      <c r="X13" s="337"/>
      <c r="Y13" s="337"/>
      <c r="Z13" s="337"/>
      <c r="AA13" s="337"/>
      <c r="AB13" s="337"/>
      <c r="AC13" s="337"/>
      <c r="AD13" s="337"/>
      <c r="AE13" s="337"/>
      <c r="AF13" s="337"/>
      <c r="AG13" s="337"/>
      <c r="AH13" s="337"/>
      <c r="AI13" s="337"/>
      <c r="AJ13" s="337"/>
      <c r="AK13" s="337"/>
      <c r="AL13" s="337"/>
      <c r="AM13" t="str">
        <f t="shared" si="0"/>
        <v xml:space="preserve"> Allow client to choose food options if possible and clean up after meal.</v>
      </c>
    </row>
    <row r="14" spans="1:69" ht="15" customHeight="1" x14ac:dyDescent="0.2">
      <c r="A14" s="368"/>
      <c r="B14" s="254" t="s">
        <v>1133</v>
      </c>
      <c r="C14" s="254"/>
      <c r="D14" s="254"/>
      <c r="E14" s="254"/>
      <c r="F14" s="254"/>
      <c r="G14" s="254"/>
      <c r="H14" s="254" t="str">
        <f>Data!B667</f>
        <v>Daily</v>
      </c>
      <c r="I14" s="254"/>
      <c r="J14" s="254"/>
      <c r="K14" s="254"/>
      <c r="L14" s="254"/>
      <c r="M14" s="337" t="str">
        <f>_xlfn.CONCAT(IF(AND(Data!B170="",Data!B171=""),"Encourage proper nutrition using the food pyramid.","Prepare meals based on prescribed and suggested diets."),"  See diet requirements on page 1 of care plan."," ",Data!B1369)</f>
        <v xml:space="preserve">Encourage proper nutrition using the food pyramid.  See diet requirements on page 1 of care plan. </v>
      </c>
      <c r="N14" s="337"/>
      <c r="O14" s="337"/>
      <c r="P14" s="337"/>
      <c r="Q14" s="337"/>
      <c r="R14" s="337"/>
      <c r="S14" s="337"/>
      <c r="T14" s="337"/>
      <c r="U14" s="337"/>
      <c r="V14" s="337"/>
      <c r="W14" s="337"/>
      <c r="X14" s="337"/>
      <c r="Y14" s="337"/>
      <c r="Z14" s="337"/>
      <c r="AA14" s="337"/>
      <c r="AB14" s="337"/>
      <c r="AC14" s="337"/>
      <c r="AD14" s="337"/>
      <c r="AE14" s="337"/>
      <c r="AF14" s="337"/>
      <c r="AG14" s="337"/>
      <c r="AH14" s="337"/>
      <c r="AI14" s="337"/>
      <c r="AJ14" s="337"/>
      <c r="AK14" s="337"/>
      <c r="AL14" s="337"/>
      <c r="AM14" t="str">
        <f t="shared" si="0"/>
        <v xml:space="preserve">Encourage proper nutrition using the food pyramid.  See diet requirements on page 1 of care plan. </v>
      </c>
    </row>
    <row r="15" spans="1:69" ht="15" customHeight="1" x14ac:dyDescent="0.2">
      <c r="A15" s="368"/>
      <c r="B15" s="254" t="s">
        <v>1134</v>
      </c>
      <c r="C15" s="254"/>
      <c r="D15" s="254"/>
      <c r="E15" s="254"/>
      <c r="F15" s="254"/>
      <c r="G15" s="254"/>
      <c r="H15" s="254">
        <f>Data!B669</f>
        <v>0</v>
      </c>
      <c r="I15" s="254"/>
      <c r="J15" s="254"/>
      <c r="K15" s="254"/>
      <c r="L15" s="254"/>
      <c r="M15" s="337" t="str">
        <f>_xlfn.CONCAT(IF(OR(Data!B660="Yes",Data!B156=TRUE),"Cut food in small pieces and monitor for choking.","")," ","Monitor for changes in ability to feed self."," ",Data!B1370)</f>
        <v xml:space="preserve"> Monitor for changes in ability to feed self. </v>
      </c>
      <c r="N15" s="337"/>
      <c r="O15" s="337"/>
      <c r="P15" s="337"/>
      <c r="Q15" s="337"/>
      <c r="R15" s="337"/>
      <c r="S15" s="337"/>
      <c r="T15" s="337"/>
      <c r="U15" s="337"/>
      <c r="V15" s="337"/>
      <c r="W15" s="337"/>
      <c r="X15" s="337"/>
      <c r="Y15" s="337"/>
      <c r="Z15" s="337"/>
      <c r="AA15" s="337"/>
      <c r="AB15" s="337"/>
      <c r="AC15" s="337"/>
      <c r="AD15" s="337"/>
      <c r="AE15" s="337"/>
      <c r="AF15" s="337"/>
      <c r="AG15" s="337"/>
      <c r="AH15" s="337"/>
      <c r="AI15" s="337"/>
      <c r="AJ15" s="337"/>
      <c r="AK15" s="337"/>
      <c r="AL15" s="337"/>
      <c r="AM15" t="str">
        <f t="shared" si="0"/>
        <v xml:space="preserve"> Monitor for changes in ability to feed self. </v>
      </c>
    </row>
    <row r="16" spans="1:69" ht="15" customHeight="1" x14ac:dyDescent="0.2">
      <c r="A16" s="368"/>
      <c r="B16" s="254" t="s">
        <v>1135</v>
      </c>
      <c r="C16" s="254"/>
      <c r="D16" s="254"/>
      <c r="E16" s="254"/>
      <c r="F16" s="254"/>
      <c r="G16" s="254"/>
      <c r="H16" s="254" t="str">
        <f>Data!B671</f>
        <v>PRN</v>
      </c>
      <c r="I16" s="254"/>
      <c r="J16" s="254"/>
      <c r="K16" s="254"/>
      <c r="L16" s="254"/>
      <c r="M16" s="337" t="str">
        <f>Data!B1371&amp;" Monitor food expirations and discard expired foods."</f>
        <v xml:space="preserve"> Monitor food expirations and discard expired foods.</v>
      </c>
      <c r="N16" s="337"/>
      <c r="O16" s="337"/>
      <c r="P16" s="337"/>
      <c r="Q16" s="337"/>
      <c r="R16" s="337"/>
      <c r="S16" s="337"/>
      <c r="T16" s="337"/>
      <c r="U16" s="337"/>
      <c r="V16" s="337"/>
      <c r="W16" s="337"/>
      <c r="X16" s="337"/>
      <c r="Y16" s="337"/>
      <c r="Z16" s="337"/>
      <c r="AA16" s="337"/>
      <c r="AB16" s="337"/>
      <c r="AC16" s="337"/>
      <c r="AD16" s="337"/>
      <c r="AE16" s="337"/>
      <c r="AF16" s="337"/>
      <c r="AG16" s="337"/>
      <c r="AH16" s="337"/>
      <c r="AI16" s="337"/>
      <c r="AJ16" s="337"/>
      <c r="AK16" s="337"/>
      <c r="AL16" s="337"/>
      <c r="AM16" t="str">
        <f t="shared" si="0"/>
        <v xml:space="preserve"> Monitor food expirations and discard expired foods.</v>
      </c>
    </row>
    <row r="17" spans="1:39" ht="15" customHeight="1" x14ac:dyDescent="0.2">
      <c r="A17" s="368"/>
      <c r="B17" s="254" t="s">
        <v>1136</v>
      </c>
      <c r="C17" s="254"/>
      <c r="D17" s="254"/>
      <c r="E17" s="254"/>
      <c r="F17" s="254"/>
      <c r="G17" s="254"/>
      <c r="H17" s="254" t="str">
        <f>Data!B673</f>
        <v>Daily</v>
      </c>
      <c r="I17" s="254"/>
      <c r="J17" s="254"/>
      <c r="K17" s="254"/>
      <c r="L17" s="254"/>
      <c r="M17" s="337" t="str">
        <f>Data!B1372&amp;" Monitor cooking equipment for malfunction and/or fire hazard.  Report problems."</f>
        <v xml:space="preserve"> Monitor cooking equipment for malfunction and/or fire hazard.  Report problems.</v>
      </c>
      <c r="N17" s="337"/>
      <c r="O17" s="337"/>
      <c r="P17" s="337"/>
      <c r="Q17" s="337"/>
      <c r="R17" s="337"/>
      <c r="S17" s="337"/>
      <c r="T17" s="337"/>
      <c r="U17" s="337"/>
      <c r="V17" s="337"/>
      <c r="W17" s="337"/>
      <c r="X17" s="337"/>
      <c r="Y17" s="337"/>
      <c r="Z17" s="337"/>
      <c r="AA17" s="337"/>
      <c r="AB17" s="337"/>
      <c r="AC17" s="337"/>
      <c r="AD17" s="337"/>
      <c r="AE17" s="337"/>
      <c r="AF17" s="337"/>
      <c r="AG17" s="337"/>
      <c r="AH17" s="337"/>
      <c r="AI17" s="337"/>
      <c r="AJ17" s="337"/>
      <c r="AK17" s="337"/>
      <c r="AL17" s="337"/>
      <c r="AM17" t="str">
        <f t="shared" si="0"/>
        <v xml:space="preserve"> Monitor cooking equipment for malfunction and/or fire hazard.  Report problems.</v>
      </c>
    </row>
    <row r="18" spans="1:39" ht="15" customHeight="1" x14ac:dyDescent="0.2">
      <c r="A18" s="369" t="s">
        <v>1154</v>
      </c>
      <c r="B18" s="366" t="s">
        <v>1137</v>
      </c>
      <c r="C18" s="366"/>
      <c r="D18" s="366"/>
      <c r="E18" s="366"/>
      <c r="F18" s="366"/>
      <c r="G18" s="366"/>
      <c r="H18" s="366">
        <f>Data!B962</f>
        <v>0</v>
      </c>
      <c r="I18" s="366"/>
      <c r="J18" s="366"/>
      <c r="K18" s="366"/>
      <c r="L18" s="366"/>
      <c r="M18" s="362" t="str">
        <f>_xlfn.CONCAT(IF(Data!B148=TRUE,"Use gait belt.",""),IF(Data!B146=TRUE,"  Monitor Hoyer lift for malfunction.",""),IF(Data!B944="Independent","Monitor for safety when transferring."," Provide assistance during transfers.")," ",Data!B1373)</f>
        <v xml:space="preserve"> Provide assistance during transfers. </v>
      </c>
      <c r="N18" s="362"/>
      <c r="O18" s="362"/>
      <c r="P18" s="362"/>
      <c r="Q18" s="362"/>
      <c r="R18" s="362"/>
      <c r="S18" s="362"/>
      <c r="T18" s="362"/>
      <c r="U18" s="362"/>
      <c r="V18" s="362"/>
      <c r="W18" s="362"/>
      <c r="X18" s="362"/>
      <c r="Y18" s="362"/>
      <c r="Z18" s="362"/>
      <c r="AA18" s="362"/>
      <c r="AB18" s="362"/>
      <c r="AC18" s="362"/>
      <c r="AD18" s="362"/>
      <c r="AE18" s="362"/>
      <c r="AF18" s="362"/>
      <c r="AG18" s="362"/>
      <c r="AH18" s="362"/>
      <c r="AI18" s="362"/>
      <c r="AJ18" s="362"/>
      <c r="AK18" s="362"/>
      <c r="AL18" s="362"/>
      <c r="AM18" t="str">
        <f t="shared" ref="AM18:AM45" si="1">M18</f>
        <v xml:space="preserve"> Provide assistance during transfers. </v>
      </c>
    </row>
    <row r="19" spans="1:39" ht="15" customHeight="1" x14ac:dyDescent="0.2">
      <c r="A19" s="369"/>
      <c r="B19" s="366" t="s">
        <v>1157</v>
      </c>
      <c r="C19" s="366"/>
      <c r="D19" s="366"/>
      <c r="E19" s="366"/>
      <c r="F19" s="366"/>
      <c r="G19" s="366"/>
      <c r="H19" s="366">
        <f>Data!B964</f>
        <v>0</v>
      </c>
      <c r="I19" s="366"/>
      <c r="J19" s="366"/>
      <c r="K19" s="366"/>
      <c r="L19" s="366"/>
      <c r="M19" s="362" t="str">
        <f>_xlfn.CONCAT(IF(OR(Data!B333="Yes",Data!B332="Yes"),"Provide assistance and supervision as client is a fall risk or has a history of falls.",""),IF(OR(Data!B944="Independent",Data!B944="Standby Assist")," Monitor for changes in ability to walk unassisted.","")," ",Data!B1374)</f>
        <v xml:space="preserve"> </v>
      </c>
      <c r="N19" s="362"/>
      <c r="O19" s="362"/>
      <c r="P19" s="362"/>
      <c r="Q19" s="362"/>
      <c r="R19" s="362"/>
      <c r="S19" s="362"/>
      <c r="T19" s="362"/>
      <c r="U19" s="362"/>
      <c r="V19" s="362"/>
      <c r="W19" s="362"/>
      <c r="X19" s="362"/>
      <c r="Y19" s="362"/>
      <c r="Z19" s="362"/>
      <c r="AA19" s="362"/>
      <c r="AB19" s="362"/>
      <c r="AC19" s="362"/>
      <c r="AD19" s="362"/>
      <c r="AE19" s="362"/>
      <c r="AF19" s="362"/>
      <c r="AG19" s="362"/>
      <c r="AH19" s="362"/>
      <c r="AI19" s="362"/>
      <c r="AJ19" s="362"/>
      <c r="AK19" s="362"/>
      <c r="AL19" s="362"/>
      <c r="AM19" t="str">
        <f t="shared" si="1"/>
        <v xml:space="preserve"> </v>
      </c>
    </row>
    <row r="20" spans="1:39" ht="15" customHeight="1" x14ac:dyDescent="0.2">
      <c r="A20" s="369"/>
      <c r="B20" s="366" t="s">
        <v>1138</v>
      </c>
      <c r="C20" s="366"/>
      <c r="D20" s="366"/>
      <c r="E20" s="366"/>
      <c r="F20" s="366"/>
      <c r="G20" s="366"/>
      <c r="H20" s="366">
        <f>Data!B966</f>
        <v>0</v>
      </c>
      <c r="I20" s="366"/>
      <c r="J20" s="366"/>
      <c r="K20" s="366"/>
      <c r="L20" s="366"/>
      <c r="M20" s="362" t="str">
        <f>_xlfn.CONCAT(IF(Data!B966="PRN","Repositioning not required. Encourage activity to prevent prolonged pressure on skin.","Reposition client "&amp;Data!B966&amp;" to prevent bed sores. Encourage activity to prevent prolonged pressure on skin.")," ",Data!B1375)</f>
        <v xml:space="preserve">Reposition client  to prevent bed sores. Encourage activity to prevent prolonged pressure on skin. </v>
      </c>
      <c r="N20" s="362"/>
      <c r="O20" s="362"/>
      <c r="P20" s="362"/>
      <c r="Q20" s="362"/>
      <c r="R20" s="362"/>
      <c r="S20" s="362"/>
      <c r="T20" s="362"/>
      <c r="U20" s="362"/>
      <c r="V20" s="362"/>
      <c r="W20" s="362"/>
      <c r="X20" s="362"/>
      <c r="Y20" s="362"/>
      <c r="Z20" s="362"/>
      <c r="AA20" s="362"/>
      <c r="AB20" s="362"/>
      <c r="AC20" s="362"/>
      <c r="AD20" s="362"/>
      <c r="AE20" s="362"/>
      <c r="AF20" s="362"/>
      <c r="AG20" s="362"/>
      <c r="AH20" s="362"/>
      <c r="AI20" s="362"/>
      <c r="AJ20" s="362"/>
      <c r="AK20" s="362"/>
      <c r="AL20" s="362"/>
      <c r="AM20" t="str">
        <f t="shared" si="1"/>
        <v xml:space="preserve">Reposition client  to prevent bed sores. Encourage activity to prevent prolonged pressure on skin. </v>
      </c>
    </row>
    <row r="21" spans="1:39" ht="15" customHeight="1" x14ac:dyDescent="0.2">
      <c r="A21" s="369"/>
      <c r="B21" s="366" t="s">
        <v>1139</v>
      </c>
      <c r="C21" s="366"/>
      <c r="D21" s="366"/>
      <c r="E21" s="366"/>
      <c r="F21" s="366"/>
      <c r="G21" s="366"/>
      <c r="H21" s="366" t="str">
        <f>Data!B968</f>
        <v>Daily</v>
      </c>
      <c r="I21" s="366"/>
      <c r="J21" s="366"/>
      <c r="K21" s="366"/>
      <c r="L21" s="366"/>
      <c r="M21" s="362" t="str">
        <f>Data!B1376&amp;" Encourage activity as tolerated."</f>
        <v xml:space="preserve"> Encourage activity as tolerated.</v>
      </c>
      <c r="N21" s="362"/>
      <c r="O21" s="362"/>
      <c r="P21" s="362"/>
      <c r="Q21" s="362"/>
      <c r="R21" s="362"/>
      <c r="S21" s="362"/>
      <c r="T21" s="362"/>
      <c r="U21" s="362"/>
      <c r="V21" s="362"/>
      <c r="W21" s="362"/>
      <c r="X21" s="362"/>
      <c r="Y21" s="362"/>
      <c r="Z21" s="362"/>
      <c r="AA21" s="362"/>
      <c r="AB21" s="362"/>
      <c r="AC21" s="362"/>
      <c r="AD21" s="362"/>
      <c r="AE21" s="362"/>
      <c r="AF21" s="362"/>
      <c r="AG21" s="362"/>
      <c r="AH21" s="362"/>
      <c r="AI21" s="362"/>
      <c r="AJ21" s="362"/>
      <c r="AK21" s="362"/>
      <c r="AL21" s="362"/>
      <c r="AM21" t="str">
        <f t="shared" si="1"/>
        <v xml:space="preserve"> Encourage activity as tolerated.</v>
      </c>
    </row>
    <row r="22" spans="1:39" ht="15" customHeight="1" x14ac:dyDescent="0.2">
      <c r="A22" s="369"/>
      <c r="B22" s="366" t="s">
        <v>1140</v>
      </c>
      <c r="C22" s="366"/>
      <c r="D22" s="366"/>
      <c r="E22" s="366"/>
      <c r="F22" s="366"/>
      <c r="G22" s="366"/>
      <c r="H22" s="366" t="str">
        <f>Data!B970</f>
        <v>Daily</v>
      </c>
      <c r="I22" s="366"/>
      <c r="J22" s="366"/>
      <c r="K22" s="366"/>
      <c r="L22" s="366"/>
      <c r="M22" s="362" t="str">
        <f>Data!B1377&amp;" Encourage range of motion exercises to keep joints loose."</f>
        <v xml:space="preserve"> Encourage range of motion exercises to keep joints loose.</v>
      </c>
      <c r="N22" s="362"/>
      <c r="O22" s="362"/>
      <c r="P22" s="362"/>
      <c r="Q22" s="362"/>
      <c r="R22" s="362"/>
      <c r="S22" s="362"/>
      <c r="T22" s="362"/>
      <c r="U22" s="362"/>
      <c r="V22" s="362"/>
      <c r="W22" s="362"/>
      <c r="X22" s="362"/>
      <c r="Y22" s="362"/>
      <c r="Z22" s="362"/>
      <c r="AA22" s="362"/>
      <c r="AB22" s="362"/>
      <c r="AC22" s="362"/>
      <c r="AD22" s="362"/>
      <c r="AE22" s="362"/>
      <c r="AF22" s="362"/>
      <c r="AG22" s="362"/>
      <c r="AH22" s="362"/>
      <c r="AI22" s="362"/>
      <c r="AJ22" s="362"/>
      <c r="AK22" s="362"/>
      <c r="AL22" s="362"/>
      <c r="AM22" t="str">
        <f t="shared" si="1"/>
        <v xml:space="preserve"> Encourage range of motion exercises to keep joints loose.</v>
      </c>
    </row>
    <row r="23" spans="1:39" ht="15" customHeight="1" x14ac:dyDescent="0.2">
      <c r="A23" s="369"/>
      <c r="B23" s="366" t="s">
        <v>1141</v>
      </c>
      <c r="C23" s="366"/>
      <c r="D23" s="366"/>
      <c r="E23" s="366"/>
      <c r="F23" s="366"/>
      <c r="G23" s="366"/>
      <c r="H23" s="366" t="str">
        <f>Data!B972</f>
        <v>Daily</v>
      </c>
      <c r="I23" s="366"/>
      <c r="J23" s="366"/>
      <c r="K23" s="366"/>
      <c r="L23" s="366"/>
      <c r="M23" s="362" t="str">
        <f>Data!B1378&amp;" Place phone and/or ERS button next to client before leaving."</f>
        <v xml:space="preserve"> Place phone and/or ERS button next to client before leaving.</v>
      </c>
      <c r="N23" s="362"/>
      <c r="O23" s="362"/>
      <c r="P23" s="362"/>
      <c r="Q23" s="362"/>
      <c r="R23" s="362"/>
      <c r="S23" s="362"/>
      <c r="T23" s="362"/>
      <c r="U23" s="362"/>
      <c r="V23" s="362"/>
      <c r="W23" s="362"/>
      <c r="X23" s="362"/>
      <c r="Y23" s="362"/>
      <c r="Z23" s="362"/>
      <c r="AA23" s="362"/>
      <c r="AB23" s="362"/>
      <c r="AC23" s="362"/>
      <c r="AD23" s="362"/>
      <c r="AE23" s="362"/>
      <c r="AF23" s="362"/>
      <c r="AG23" s="362"/>
      <c r="AH23" s="362"/>
      <c r="AI23" s="362"/>
      <c r="AJ23" s="362"/>
      <c r="AK23" s="362"/>
      <c r="AL23" s="362"/>
      <c r="AM23" t="str">
        <f t="shared" si="1"/>
        <v xml:space="preserve"> Place phone and/or ERS button next to client before leaving.</v>
      </c>
    </row>
    <row r="24" spans="1:39" ht="15" customHeight="1" x14ac:dyDescent="0.2">
      <c r="A24" s="369"/>
      <c r="B24" s="366" t="s">
        <v>332</v>
      </c>
      <c r="C24" s="366"/>
      <c r="D24" s="366"/>
      <c r="E24" s="366"/>
      <c r="F24" s="366"/>
      <c r="G24" s="366"/>
      <c r="H24" s="366" t="str">
        <f>Data!B990</f>
        <v>PRN</v>
      </c>
      <c r="I24" s="366"/>
      <c r="J24" s="366"/>
      <c r="K24" s="366"/>
      <c r="L24" s="366"/>
      <c r="M24" s="362" t="str">
        <f>Data!B1379&amp;" Report any falls to supervisor immediately, even if it did not happen on the shift."</f>
        <v xml:space="preserve"> Report any falls to supervisor immediately, even if it did not happen on the shift.</v>
      </c>
      <c r="N24" s="362"/>
      <c r="O24" s="362"/>
      <c r="P24" s="362"/>
      <c r="Q24" s="362"/>
      <c r="R24" s="362"/>
      <c r="S24" s="362"/>
      <c r="T24" s="362"/>
      <c r="U24" s="362"/>
      <c r="V24" s="362"/>
      <c r="W24" s="362"/>
      <c r="X24" s="362"/>
      <c r="Y24" s="362"/>
      <c r="Z24" s="362"/>
      <c r="AA24" s="362"/>
      <c r="AB24" s="362"/>
      <c r="AC24" s="362"/>
      <c r="AD24" s="362"/>
      <c r="AE24" s="362"/>
      <c r="AF24" s="362"/>
      <c r="AG24" s="362"/>
      <c r="AH24" s="362"/>
      <c r="AI24" s="362"/>
      <c r="AJ24" s="362"/>
      <c r="AK24" s="362"/>
      <c r="AL24" s="362"/>
      <c r="AM24" t="str">
        <f t="shared" si="1"/>
        <v xml:space="preserve"> Report any falls to supervisor immediately, even if it did not happen on the shift.</v>
      </c>
    </row>
    <row r="25" spans="1:39" ht="15" customHeight="1" x14ac:dyDescent="0.2">
      <c r="A25" s="368" t="s">
        <v>1155</v>
      </c>
      <c r="B25" s="254" t="s">
        <v>1142</v>
      </c>
      <c r="C25" s="254"/>
      <c r="D25" s="254"/>
      <c r="E25" s="254"/>
      <c r="F25" s="254"/>
      <c r="G25" s="254"/>
      <c r="H25" s="254" t="str">
        <f>Data!B420</f>
        <v>Daily</v>
      </c>
      <c r="I25" s="254"/>
      <c r="J25" s="254"/>
      <c r="K25" s="254"/>
      <c r="L25" s="254"/>
      <c r="M25" s="337" t="str">
        <f>_xlfn.CONCAT(IF(Data!B413="Independent","Remind client to take medications.","Remind and assist client with medications.")," Monitor for compliance and report missed medications."," ",Data!B1380)</f>
        <v xml:space="preserve">Remind and assist client with medications. Monitor for compliance and report missed medications. </v>
      </c>
      <c r="N25" s="337"/>
      <c r="O25" s="337"/>
      <c r="P25" s="337"/>
      <c r="Q25" s="337"/>
      <c r="R25" s="337"/>
      <c r="S25" s="337"/>
      <c r="T25" s="337"/>
      <c r="U25" s="337"/>
      <c r="V25" s="337"/>
      <c r="W25" s="337"/>
      <c r="X25" s="337"/>
      <c r="Y25" s="337"/>
      <c r="Z25" s="337"/>
      <c r="AA25" s="337"/>
      <c r="AB25" s="337"/>
      <c r="AC25" s="337"/>
      <c r="AD25" s="337"/>
      <c r="AE25" s="337"/>
      <c r="AF25" s="337"/>
      <c r="AG25" s="337"/>
      <c r="AH25" s="337"/>
      <c r="AI25" s="337"/>
      <c r="AJ25" s="337"/>
      <c r="AK25" s="337"/>
      <c r="AL25" s="337"/>
      <c r="AM25" t="str">
        <f t="shared" si="1"/>
        <v xml:space="preserve">Remind and assist client with medications. Monitor for compliance and report missed medications. </v>
      </c>
    </row>
    <row r="26" spans="1:39" ht="15" customHeight="1" x14ac:dyDescent="0.2">
      <c r="A26" s="368"/>
      <c r="B26" s="254" t="s">
        <v>1143</v>
      </c>
      <c r="C26" s="254"/>
      <c r="D26" s="254"/>
      <c r="E26" s="254"/>
      <c r="F26" s="254"/>
      <c r="G26" s="254"/>
      <c r="H26" s="254" t="str">
        <f>Data!B422</f>
        <v>PRN</v>
      </c>
      <c r="I26" s="254"/>
      <c r="J26" s="254"/>
      <c r="K26" s="254"/>
      <c r="L26" s="254"/>
      <c r="M26" s="337" t="str">
        <f>_xlfn.CONCAT(IF(OR(Data!B412="Self",Data!B412="Aide"),"Pick up Rx as needed.","Inform "&amp;Data!B412&amp;" of medications that needed to be picked up.")," ",Data!B1381)</f>
        <v xml:space="preserve">Inform  of medications that needed to be picked up. </v>
      </c>
      <c r="N26" s="337"/>
      <c r="O26" s="337"/>
      <c r="P26" s="337"/>
      <c r="Q26" s="337"/>
      <c r="R26" s="337"/>
      <c r="S26" s="337"/>
      <c r="T26" s="337"/>
      <c r="U26" s="337"/>
      <c r="V26" s="337"/>
      <c r="W26" s="337"/>
      <c r="X26" s="337"/>
      <c r="Y26" s="337"/>
      <c r="Z26" s="337"/>
      <c r="AA26" s="337"/>
      <c r="AB26" s="337"/>
      <c r="AC26" s="337"/>
      <c r="AD26" s="337"/>
      <c r="AE26" s="337"/>
      <c r="AF26" s="337"/>
      <c r="AG26" s="337"/>
      <c r="AH26" s="337"/>
      <c r="AI26" s="337"/>
      <c r="AJ26" s="337"/>
      <c r="AK26" s="337"/>
      <c r="AL26" s="337"/>
      <c r="AM26" t="str">
        <f t="shared" si="1"/>
        <v xml:space="preserve">Inform  of medications that needed to be picked up. </v>
      </c>
    </row>
    <row r="27" spans="1:39" ht="15" customHeight="1" x14ac:dyDescent="0.2">
      <c r="A27" s="368"/>
      <c r="B27" s="254" t="s">
        <v>153</v>
      </c>
      <c r="C27" s="254"/>
      <c r="D27" s="254"/>
      <c r="E27" s="254"/>
      <c r="F27" s="254"/>
      <c r="G27" s="254"/>
      <c r="H27" s="254" t="str">
        <f>Data!B424</f>
        <v>PRN</v>
      </c>
      <c r="I27" s="254"/>
      <c r="J27" s="254"/>
      <c r="K27" s="254"/>
      <c r="L27" s="254"/>
      <c r="M27" s="337" t="str">
        <f>Data!B1382&amp;" Report any medication errors or abnormal reactions to supervisor immediately."</f>
        <v xml:space="preserve"> Report any medication errors or abnormal reactions to supervisor immediately.</v>
      </c>
      <c r="N27" s="337"/>
      <c r="O27" s="337"/>
      <c r="P27" s="337"/>
      <c r="Q27" s="337"/>
      <c r="R27" s="337"/>
      <c r="S27" s="337"/>
      <c r="T27" s="337"/>
      <c r="U27" s="337"/>
      <c r="V27" s="337"/>
      <c r="W27" s="337"/>
      <c r="X27" s="337"/>
      <c r="Y27" s="337"/>
      <c r="Z27" s="337"/>
      <c r="AA27" s="337"/>
      <c r="AB27" s="337"/>
      <c r="AC27" s="337"/>
      <c r="AD27" s="337"/>
      <c r="AE27" s="337"/>
      <c r="AF27" s="337"/>
      <c r="AG27" s="337"/>
      <c r="AH27" s="337"/>
      <c r="AI27" s="337"/>
      <c r="AJ27" s="337"/>
      <c r="AK27" s="337"/>
      <c r="AL27" s="337"/>
      <c r="AM27" t="str">
        <f t="shared" si="1"/>
        <v xml:space="preserve"> Report any medication errors or abnormal reactions to supervisor immediately.</v>
      </c>
    </row>
    <row r="28" spans="1:39" ht="15" customHeight="1" x14ac:dyDescent="0.2">
      <c r="A28" s="368"/>
      <c r="B28" s="254" t="s">
        <v>305</v>
      </c>
      <c r="C28" s="254"/>
      <c r="D28" s="254"/>
      <c r="E28" s="254"/>
      <c r="F28" s="254"/>
      <c r="G28" s="254"/>
      <c r="H28" s="254" t="str">
        <f>Data!B904</f>
        <v>Daily</v>
      </c>
      <c r="I28" s="254"/>
      <c r="J28" s="254"/>
      <c r="K28" s="254"/>
      <c r="L28" s="254"/>
      <c r="M28" s="337" t="str">
        <f>_xlfn.CONCAT("Provide watchful supervision at all times.",IF(Data!B876=TRUE," Client cannot be left alone."," Client can be left alone for short periods.")," ",Data!B1383)</f>
        <v xml:space="preserve">Provide watchful supervision at all times. Client can be left alone for short periods. </v>
      </c>
      <c r="N28" s="337"/>
      <c r="O28" s="337"/>
      <c r="P28" s="337"/>
      <c r="Q28" s="337"/>
      <c r="R28" s="337"/>
      <c r="S28" s="337"/>
      <c r="T28" s="337"/>
      <c r="U28" s="337"/>
      <c r="V28" s="337"/>
      <c r="W28" s="337"/>
      <c r="X28" s="337"/>
      <c r="Y28" s="337"/>
      <c r="Z28" s="337"/>
      <c r="AA28" s="337"/>
      <c r="AB28" s="337"/>
      <c r="AC28" s="337"/>
      <c r="AD28" s="337"/>
      <c r="AE28" s="337"/>
      <c r="AF28" s="337"/>
      <c r="AG28" s="337"/>
      <c r="AH28" s="337"/>
      <c r="AI28" s="337"/>
      <c r="AJ28" s="337"/>
      <c r="AK28" s="337"/>
      <c r="AL28" s="337"/>
      <c r="AM28" t="s">
        <v>3299</v>
      </c>
    </row>
    <row r="29" spans="1:39" ht="15" customHeight="1" x14ac:dyDescent="0.2">
      <c r="A29" s="368"/>
      <c r="B29" s="254" t="s">
        <v>331</v>
      </c>
      <c r="C29" s="254"/>
      <c r="D29" s="254"/>
      <c r="E29" s="254"/>
      <c r="F29" s="254"/>
      <c r="G29" s="254"/>
      <c r="H29" s="254" t="str">
        <f>Data!B982</f>
        <v>PRN</v>
      </c>
      <c r="I29" s="254"/>
      <c r="J29" s="254"/>
      <c r="K29" s="254"/>
      <c r="L29" s="254"/>
      <c r="M29" s="337" t="str">
        <f>_xlfn.CONCAT("Call 911."," Pref hospital: ",Data!B172&amp;". "," Apply basic first aid for minor injuries and always report to supervisor."," ",Data!B1384)</f>
        <v xml:space="preserve">Call 911. Pref hospital: .  Apply basic first aid for minor injuries and always report to supervisor. </v>
      </c>
      <c r="N29" s="337"/>
      <c r="O29" s="337"/>
      <c r="P29" s="337"/>
      <c r="Q29" s="337"/>
      <c r="R29" s="337"/>
      <c r="S29" s="337"/>
      <c r="T29" s="337"/>
      <c r="U29" s="337"/>
      <c r="V29" s="337"/>
      <c r="W29" s="337"/>
      <c r="X29" s="337"/>
      <c r="Y29" s="337"/>
      <c r="Z29" s="337"/>
      <c r="AA29" s="337"/>
      <c r="AB29" s="337"/>
      <c r="AC29" s="337"/>
      <c r="AD29" s="337"/>
      <c r="AE29" s="337"/>
      <c r="AF29" s="337"/>
      <c r="AG29" s="337"/>
      <c r="AH29" s="337"/>
      <c r="AI29" s="337"/>
      <c r="AJ29" s="337"/>
      <c r="AK29" s="337"/>
      <c r="AL29" s="337"/>
      <c r="AM29" t="str">
        <f t="shared" si="1"/>
        <v xml:space="preserve">Call 911. Pref hospital: .  Apply basic first aid for minor injuries and always report to supervisor. </v>
      </c>
    </row>
    <row r="30" spans="1:39" ht="15" customHeight="1" x14ac:dyDescent="0.2">
      <c r="A30" s="368"/>
      <c r="B30" s="254" t="s">
        <v>1144</v>
      </c>
      <c r="C30" s="254"/>
      <c r="D30" s="254"/>
      <c r="E30" s="254"/>
      <c r="F30" s="254"/>
      <c r="G30" s="254"/>
      <c r="H30" s="254" t="str">
        <f>Data!B984</f>
        <v>Daily</v>
      </c>
      <c r="I30" s="254"/>
      <c r="J30" s="254"/>
      <c r="K30" s="254"/>
      <c r="L30" s="254"/>
      <c r="M30" s="337" t="str">
        <f>Data!B1385&amp;" All aides will follow universal precautions at all times to prevent spread of infection/germs."</f>
        <v xml:space="preserve"> All aides will follow universal precautions at all times to prevent spread of infection/germs.</v>
      </c>
      <c r="N30" s="337"/>
      <c r="O30" s="337"/>
      <c r="P30" s="337"/>
      <c r="Q30" s="337"/>
      <c r="R30" s="337"/>
      <c r="S30" s="337"/>
      <c r="T30" s="337"/>
      <c r="U30" s="337"/>
      <c r="V30" s="337"/>
      <c r="W30" s="337"/>
      <c r="X30" s="337"/>
      <c r="Y30" s="337"/>
      <c r="Z30" s="337"/>
      <c r="AA30" s="337"/>
      <c r="AB30" s="337"/>
      <c r="AC30" s="337"/>
      <c r="AD30" s="337"/>
      <c r="AE30" s="337"/>
      <c r="AF30" s="337"/>
      <c r="AG30" s="337"/>
      <c r="AH30" s="337"/>
      <c r="AI30" s="337"/>
      <c r="AJ30" s="337"/>
      <c r="AK30" s="337"/>
      <c r="AL30" s="337"/>
      <c r="AM30" t="str">
        <f t="shared" si="1"/>
        <v xml:space="preserve"> All aides will follow universal precautions at all times to prevent spread of infection/germs.</v>
      </c>
    </row>
    <row r="31" spans="1:39" ht="15" customHeight="1" x14ac:dyDescent="0.2">
      <c r="A31" s="368"/>
      <c r="B31" s="254" t="s">
        <v>1145</v>
      </c>
      <c r="C31" s="254"/>
      <c r="D31" s="254"/>
      <c r="E31" s="254"/>
      <c r="F31" s="254"/>
      <c r="G31" s="254"/>
      <c r="H31" s="254">
        <f>Data!B986</f>
        <v>0</v>
      </c>
      <c r="I31" s="254"/>
      <c r="J31" s="254"/>
      <c r="K31" s="254"/>
      <c r="L31" s="254"/>
      <c r="M31" s="337" t="str">
        <f>IF(Data!B692="No","This task is not required.","Monitor intake/output daily and record on ledger in home.")&amp;" "&amp;Data!B1386</f>
        <v xml:space="preserve">Monitor intake/output daily and record on ledger in home. </v>
      </c>
      <c r="N31" s="337"/>
      <c r="O31" s="337"/>
      <c r="P31" s="337"/>
      <c r="Q31" s="337"/>
      <c r="R31" s="337"/>
      <c r="S31" s="337"/>
      <c r="T31" s="337"/>
      <c r="U31" s="337"/>
      <c r="V31" s="337"/>
      <c r="W31" s="337"/>
      <c r="X31" s="337"/>
      <c r="Y31" s="337"/>
      <c r="Z31" s="337"/>
      <c r="AA31" s="337"/>
      <c r="AB31" s="337"/>
      <c r="AC31" s="337"/>
      <c r="AD31" s="337"/>
      <c r="AE31" s="337"/>
      <c r="AF31" s="337"/>
      <c r="AG31" s="337"/>
      <c r="AH31" s="337"/>
      <c r="AI31" s="337"/>
      <c r="AJ31" s="337"/>
      <c r="AK31" s="337"/>
      <c r="AL31" s="337"/>
      <c r="AM31" t="str">
        <f t="shared" si="1"/>
        <v xml:space="preserve">Monitor intake/output daily and record on ledger in home. </v>
      </c>
    </row>
    <row r="32" spans="1:39" ht="15" customHeight="1" x14ac:dyDescent="0.2">
      <c r="A32" s="368"/>
      <c r="B32" s="254" t="s">
        <v>1146</v>
      </c>
      <c r="C32" s="254"/>
      <c r="D32" s="254"/>
      <c r="E32" s="254"/>
      <c r="F32" s="254"/>
      <c r="G32" s="254"/>
      <c r="H32" s="254" t="str">
        <f>Data!B988</f>
        <v>PRN</v>
      </c>
      <c r="I32" s="254"/>
      <c r="J32" s="254"/>
      <c r="K32" s="254"/>
      <c r="L32" s="254"/>
      <c r="M32" s="337" t="str">
        <f>Data!B1387&amp;" Report any changes to the supervisor immediately."</f>
        <v xml:space="preserve"> Report any changes to the supervisor immediately.</v>
      </c>
      <c r="N32" s="337"/>
      <c r="O32" s="337"/>
      <c r="P32" s="337"/>
      <c r="Q32" s="337"/>
      <c r="R32" s="337"/>
      <c r="S32" s="337"/>
      <c r="T32" s="337"/>
      <c r="U32" s="337"/>
      <c r="V32" s="337"/>
      <c r="W32" s="337"/>
      <c r="X32" s="337"/>
      <c r="Y32" s="337"/>
      <c r="Z32" s="337"/>
      <c r="AA32" s="337"/>
      <c r="AB32" s="337"/>
      <c r="AC32" s="337"/>
      <c r="AD32" s="337"/>
      <c r="AE32" s="337"/>
      <c r="AF32" s="337"/>
      <c r="AG32" s="337"/>
      <c r="AH32" s="337"/>
      <c r="AI32" s="337"/>
      <c r="AJ32" s="337"/>
      <c r="AK32" s="337"/>
      <c r="AL32" s="337"/>
      <c r="AM32" t="str">
        <f t="shared" si="1"/>
        <v xml:space="preserve"> Report any changes to the supervisor immediately.</v>
      </c>
    </row>
    <row r="33" spans="1:39" ht="15" customHeight="1" x14ac:dyDescent="0.2">
      <c r="A33" s="369" t="s">
        <v>1085</v>
      </c>
      <c r="B33" s="366" t="s">
        <v>557</v>
      </c>
      <c r="C33" s="366"/>
      <c r="D33" s="366"/>
      <c r="E33" s="366"/>
      <c r="F33" s="366"/>
      <c r="G33" s="366"/>
      <c r="H33" s="366" t="str">
        <f>Data!B298</f>
        <v>PRN</v>
      </c>
      <c r="I33" s="366"/>
      <c r="J33" s="366"/>
      <c r="K33" s="366"/>
      <c r="L33" s="366"/>
      <c r="M33" s="362" t="str">
        <f>_xlfn.CONCAT(IF(Data!B296="Independent","Assist with laundry per request.","Complete laundry per schedule. Soiled items should be washed immediately."),IF(Data!B297="Yes",""," Use laundromat."))&amp;" "&amp;Data!B1388</f>
        <v xml:space="preserve">Complete laundry per schedule. Soiled items should be washed immediately. Use laundromat. </v>
      </c>
      <c r="N33" s="362"/>
      <c r="O33" s="362"/>
      <c r="P33" s="362"/>
      <c r="Q33" s="362"/>
      <c r="R33" s="362"/>
      <c r="S33" s="362"/>
      <c r="T33" s="362"/>
      <c r="U33" s="362"/>
      <c r="V33" s="362"/>
      <c r="W33" s="362"/>
      <c r="X33" s="362"/>
      <c r="Y33" s="362"/>
      <c r="Z33" s="362"/>
      <c r="AA33" s="362"/>
      <c r="AB33" s="362"/>
      <c r="AC33" s="362"/>
      <c r="AD33" s="362"/>
      <c r="AE33" s="362"/>
      <c r="AF33" s="362"/>
      <c r="AG33" s="362"/>
      <c r="AH33" s="362"/>
      <c r="AI33" s="362"/>
      <c r="AJ33" s="362"/>
      <c r="AK33" s="362"/>
      <c r="AL33" s="362"/>
      <c r="AM33" t="str">
        <f t="shared" si="1"/>
        <v xml:space="preserve">Complete laundry per schedule. Soiled items should be washed immediately. Use laundromat. </v>
      </c>
    </row>
    <row r="34" spans="1:39" ht="15" customHeight="1" x14ac:dyDescent="0.2">
      <c r="A34" s="369"/>
      <c r="B34" s="366" t="s">
        <v>1147</v>
      </c>
      <c r="C34" s="366"/>
      <c r="D34" s="366"/>
      <c r="E34" s="366"/>
      <c r="F34" s="366"/>
      <c r="G34" s="366"/>
      <c r="H34" s="366" t="str">
        <f>Data!B284</f>
        <v>PRN</v>
      </c>
      <c r="I34" s="366"/>
      <c r="J34" s="366"/>
      <c r="K34" s="366"/>
      <c r="L34" s="366"/>
      <c r="M34" s="362" t="str">
        <f>Data!B1389&amp;" Keep floors clear of hazards.  Cleaning applies to client's area and belongings only."</f>
        <v xml:space="preserve"> Keep floors clear of hazards.  Cleaning applies to client's area and belongings only.</v>
      </c>
      <c r="N34" s="362"/>
      <c r="O34" s="362"/>
      <c r="P34" s="362"/>
      <c r="Q34" s="362"/>
      <c r="R34" s="362"/>
      <c r="S34" s="362"/>
      <c r="T34" s="362"/>
      <c r="U34" s="362"/>
      <c r="V34" s="362"/>
      <c r="W34" s="362"/>
      <c r="X34" s="362"/>
      <c r="Y34" s="362"/>
      <c r="Z34" s="362"/>
      <c r="AA34" s="362"/>
      <c r="AB34" s="362"/>
      <c r="AC34" s="362"/>
      <c r="AD34" s="362"/>
      <c r="AE34" s="362"/>
      <c r="AF34" s="362"/>
      <c r="AG34" s="362"/>
      <c r="AH34" s="362"/>
      <c r="AI34" s="362"/>
      <c r="AJ34" s="362"/>
      <c r="AK34" s="362"/>
      <c r="AL34" s="362"/>
      <c r="AM34" t="str">
        <f t="shared" si="1"/>
        <v xml:space="preserve"> Keep floors clear of hazards.  Cleaning applies to client's area and belongings only.</v>
      </c>
    </row>
    <row r="35" spans="1:39" ht="15" customHeight="1" x14ac:dyDescent="0.2">
      <c r="A35" s="369"/>
      <c r="B35" s="366" t="s">
        <v>129</v>
      </c>
      <c r="C35" s="366"/>
      <c r="D35" s="366"/>
      <c r="E35" s="366"/>
      <c r="F35" s="366"/>
      <c r="G35" s="366"/>
      <c r="H35" s="366" t="str">
        <f>Data!B286</f>
        <v>Daily</v>
      </c>
      <c r="I35" s="366"/>
      <c r="J35" s="366"/>
      <c r="K35" s="366"/>
      <c r="L35" s="366"/>
      <c r="M35" s="362" t="str">
        <f>Data!B1390&amp;" Take trash out daily to reduce odors in the home."</f>
        <v xml:space="preserve"> Take trash out daily to reduce odors in the home.</v>
      </c>
      <c r="N35" s="362"/>
      <c r="O35" s="362"/>
      <c r="P35" s="362"/>
      <c r="Q35" s="362"/>
      <c r="R35" s="362"/>
      <c r="S35" s="362"/>
      <c r="T35" s="362"/>
      <c r="U35" s="362"/>
      <c r="V35" s="362"/>
      <c r="W35" s="362"/>
      <c r="X35" s="362"/>
      <c r="Y35" s="362"/>
      <c r="Z35" s="362"/>
      <c r="AA35" s="362"/>
      <c r="AB35" s="362"/>
      <c r="AC35" s="362"/>
      <c r="AD35" s="362"/>
      <c r="AE35" s="362"/>
      <c r="AF35" s="362"/>
      <c r="AG35" s="362"/>
      <c r="AH35" s="362"/>
      <c r="AI35" s="362"/>
      <c r="AJ35" s="362"/>
      <c r="AK35" s="362"/>
      <c r="AL35" s="362"/>
      <c r="AM35" t="str">
        <f t="shared" si="1"/>
        <v xml:space="preserve"> Take trash out daily to reduce odors in the home.</v>
      </c>
    </row>
    <row r="36" spans="1:39" ht="15" customHeight="1" x14ac:dyDescent="0.2">
      <c r="A36" s="369"/>
      <c r="B36" s="366" t="s">
        <v>130</v>
      </c>
      <c r="C36" s="366"/>
      <c r="D36" s="366"/>
      <c r="E36" s="366"/>
      <c r="F36" s="366"/>
      <c r="G36" s="366"/>
      <c r="H36" s="366" t="str">
        <f>Data!B288</f>
        <v>PRN</v>
      </c>
      <c r="I36" s="366"/>
      <c r="J36" s="366"/>
      <c r="K36" s="366"/>
      <c r="L36" s="366"/>
      <c r="M36" s="362" t="str">
        <f>Data!B1391&amp;" Keep kitchen clean and sanitary."</f>
        <v xml:space="preserve"> Keep kitchen clean and sanitary.</v>
      </c>
      <c r="N36" s="362"/>
      <c r="O36" s="362"/>
      <c r="P36" s="362"/>
      <c r="Q36" s="362"/>
      <c r="R36" s="362"/>
      <c r="S36" s="362"/>
      <c r="T36" s="362"/>
      <c r="U36" s="362"/>
      <c r="V36" s="362"/>
      <c r="W36" s="362"/>
      <c r="X36" s="362"/>
      <c r="Y36" s="362"/>
      <c r="Z36" s="362"/>
      <c r="AA36" s="362"/>
      <c r="AB36" s="362"/>
      <c r="AC36" s="362"/>
      <c r="AD36" s="362"/>
      <c r="AE36" s="362"/>
      <c r="AF36" s="362"/>
      <c r="AG36" s="362"/>
      <c r="AH36" s="362"/>
      <c r="AI36" s="362"/>
      <c r="AJ36" s="362"/>
      <c r="AK36" s="362"/>
      <c r="AL36" s="362"/>
      <c r="AM36" t="str">
        <f t="shared" si="1"/>
        <v xml:space="preserve"> Keep kitchen clean and sanitary.</v>
      </c>
    </row>
    <row r="37" spans="1:39" ht="15" customHeight="1" x14ac:dyDescent="0.2">
      <c r="A37" s="369"/>
      <c r="B37" s="366" t="s">
        <v>131</v>
      </c>
      <c r="C37" s="366"/>
      <c r="D37" s="366"/>
      <c r="E37" s="366"/>
      <c r="F37" s="366"/>
      <c r="G37" s="366"/>
      <c r="H37" s="366" t="str">
        <f>Data!B290</f>
        <v>PRN</v>
      </c>
      <c r="I37" s="366"/>
      <c r="J37" s="366"/>
      <c r="K37" s="366"/>
      <c r="L37" s="366"/>
      <c r="M37" s="362" t="str">
        <f>Data!B1392&amp;" Keep bathroom clean and sanitary."</f>
        <v xml:space="preserve"> Keep bathroom clean and sanitary.</v>
      </c>
      <c r="N37" s="362"/>
      <c r="O37" s="362"/>
      <c r="P37" s="362"/>
      <c r="Q37" s="362"/>
      <c r="R37" s="362"/>
      <c r="S37" s="362"/>
      <c r="T37" s="362"/>
      <c r="U37" s="362"/>
      <c r="V37" s="362"/>
      <c r="W37" s="362"/>
      <c r="X37" s="362"/>
      <c r="Y37" s="362"/>
      <c r="Z37" s="362"/>
      <c r="AA37" s="362"/>
      <c r="AB37" s="362"/>
      <c r="AC37" s="362"/>
      <c r="AD37" s="362"/>
      <c r="AE37" s="362"/>
      <c r="AF37" s="362"/>
      <c r="AG37" s="362"/>
      <c r="AH37" s="362"/>
      <c r="AI37" s="362"/>
      <c r="AJ37" s="362"/>
      <c r="AK37" s="362"/>
      <c r="AL37" s="362"/>
      <c r="AM37" t="str">
        <f t="shared" si="1"/>
        <v xml:space="preserve"> Keep bathroom clean and sanitary.</v>
      </c>
    </row>
    <row r="38" spans="1:39" ht="15" customHeight="1" x14ac:dyDescent="0.2">
      <c r="A38" s="369"/>
      <c r="B38" s="366" t="s">
        <v>132</v>
      </c>
      <c r="C38" s="366"/>
      <c r="D38" s="366"/>
      <c r="E38" s="366"/>
      <c r="F38" s="366"/>
      <c r="G38" s="366"/>
      <c r="H38" s="366" t="str">
        <f>Data!B292</f>
        <v>PRN</v>
      </c>
      <c r="I38" s="366"/>
      <c r="J38" s="366"/>
      <c r="K38" s="366"/>
      <c r="L38" s="366"/>
      <c r="M38" s="362" t="str">
        <f>Data!B1393&amp;" Wash linens per schedule.  Wash soiled linens right away."</f>
        <v xml:space="preserve"> Wash linens per schedule.  Wash soiled linens right away.</v>
      </c>
      <c r="N38" s="362"/>
      <c r="O38" s="362"/>
      <c r="P38" s="362"/>
      <c r="Q38" s="362"/>
      <c r="R38" s="362"/>
      <c r="S38" s="362"/>
      <c r="T38" s="362"/>
      <c r="U38" s="362"/>
      <c r="V38" s="362"/>
      <c r="W38" s="362"/>
      <c r="X38" s="362"/>
      <c r="Y38" s="362"/>
      <c r="Z38" s="362"/>
      <c r="AA38" s="362"/>
      <c r="AB38" s="362"/>
      <c r="AC38" s="362"/>
      <c r="AD38" s="362"/>
      <c r="AE38" s="362"/>
      <c r="AF38" s="362"/>
      <c r="AG38" s="362"/>
      <c r="AH38" s="362"/>
      <c r="AI38" s="362"/>
      <c r="AJ38" s="362"/>
      <c r="AK38" s="362"/>
      <c r="AL38" s="362"/>
      <c r="AM38" t="str">
        <f t="shared" si="1"/>
        <v xml:space="preserve"> Wash linens per schedule.  Wash soiled linens right away.</v>
      </c>
    </row>
    <row r="39" spans="1:39" ht="15" customHeight="1" x14ac:dyDescent="0.2">
      <c r="A39" s="369"/>
      <c r="B39" s="366" t="s">
        <v>1148</v>
      </c>
      <c r="C39" s="366"/>
      <c r="D39" s="366"/>
      <c r="E39" s="366"/>
      <c r="F39" s="366"/>
      <c r="G39" s="366"/>
      <c r="H39" s="366">
        <f>Data!B273</f>
        <v>0</v>
      </c>
      <c r="I39" s="366"/>
      <c r="J39" s="366"/>
      <c r="K39" s="366"/>
      <c r="L39" s="366"/>
      <c r="M39" s="362" t="str">
        <f>_xlfn.CONCAT(IF(Data!B185="Medicaid","Only once per week","Complete shopping as scheduled.")," ",Data!B1394)</f>
        <v xml:space="preserve">Complete shopping as scheduled. </v>
      </c>
      <c r="N39" s="362"/>
      <c r="O39" s="362"/>
      <c r="P39" s="362"/>
      <c r="Q39" s="362"/>
      <c r="R39" s="362"/>
      <c r="S39" s="362"/>
      <c r="T39" s="362"/>
      <c r="U39" s="362"/>
      <c r="V39" s="362"/>
      <c r="W39" s="362"/>
      <c r="X39" s="362"/>
      <c r="Y39" s="362"/>
      <c r="Z39" s="362"/>
      <c r="AA39" s="362"/>
      <c r="AB39" s="362"/>
      <c r="AC39" s="362"/>
      <c r="AD39" s="362"/>
      <c r="AE39" s="362"/>
      <c r="AF39" s="362"/>
      <c r="AG39" s="362"/>
      <c r="AH39" s="362"/>
      <c r="AI39" s="362"/>
      <c r="AJ39" s="362"/>
      <c r="AK39" s="362"/>
      <c r="AL39" s="362"/>
      <c r="AM39" t="s">
        <v>4784</v>
      </c>
    </row>
    <row r="40" spans="1:39" ht="15" customHeight="1" x14ac:dyDescent="0.2">
      <c r="A40" s="368" t="s">
        <v>1156</v>
      </c>
      <c r="B40" s="254" t="s">
        <v>1149</v>
      </c>
      <c r="C40" s="254"/>
      <c r="D40" s="254"/>
      <c r="E40" s="254"/>
      <c r="F40" s="254"/>
      <c r="G40" s="254"/>
      <c r="H40" s="254" t="str">
        <f>Data!B898</f>
        <v>Daily</v>
      </c>
      <c r="I40" s="254"/>
      <c r="J40" s="254"/>
      <c r="K40" s="254"/>
      <c r="L40" s="254"/>
      <c r="M40" s="337" t="str">
        <f>Data!B1395&amp;" Encourage puzzles, games and socialization."</f>
        <v xml:space="preserve"> Encourage puzzles, games and socialization.</v>
      </c>
      <c r="N40" s="337"/>
      <c r="O40" s="337"/>
      <c r="P40" s="337"/>
      <c r="Q40" s="337"/>
      <c r="R40" s="337"/>
      <c r="S40" s="337"/>
      <c r="T40" s="337"/>
      <c r="U40" s="337"/>
      <c r="V40" s="337"/>
      <c r="W40" s="337"/>
      <c r="X40" s="337"/>
      <c r="Y40" s="337"/>
      <c r="Z40" s="337"/>
      <c r="AA40" s="337"/>
      <c r="AB40" s="337"/>
      <c r="AC40" s="337"/>
      <c r="AD40" s="337"/>
      <c r="AE40" s="337"/>
      <c r="AF40" s="337"/>
      <c r="AG40" s="337"/>
      <c r="AH40" s="337"/>
      <c r="AI40" s="337"/>
      <c r="AJ40" s="337"/>
      <c r="AK40" s="337"/>
      <c r="AL40" s="337"/>
      <c r="AM40" t="str">
        <f t="shared" si="1"/>
        <v xml:space="preserve"> Encourage puzzles, games and socialization.</v>
      </c>
    </row>
    <row r="41" spans="1:39" ht="15" customHeight="1" x14ac:dyDescent="0.2">
      <c r="A41" s="368"/>
      <c r="B41" s="254" t="s">
        <v>1150</v>
      </c>
      <c r="C41" s="254"/>
      <c r="D41" s="254"/>
      <c r="E41" s="254"/>
      <c r="F41" s="254"/>
      <c r="G41" s="254"/>
      <c r="H41" s="254" t="str">
        <f>Data!B300</f>
        <v>PRN</v>
      </c>
      <c r="I41" s="254"/>
      <c r="J41" s="254"/>
      <c r="K41" s="254"/>
      <c r="L41" s="254"/>
      <c r="M41" s="337" t="str">
        <f>_xlfn.CONCAT(IF(Data!B281="Yes","Organize and pay bills as needed. Notify supervisor if funds are not available to pay bills.","Client does not authorize aide access to funds for bill pay. Client/family will manage.")," ",Data!B1396)</f>
        <v xml:space="preserve">Client does not authorize aide access to funds for bill pay. Client/family will manage. </v>
      </c>
      <c r="N41" s="337"/>
      <c r="O41" s="337"/>
      <c r="P41" s="337"/>
      <c r="Q41" s="337"/>
      <c r="R41" s="337"/>
      <c r="S41" s="337"/>
      <c r="T41" s="337"/>
      <c r="U41" s="337"/>
      <c r="V41" s="337"/>
      <c r="W41" s="337"/>
      <c r="X41" s="337"/>
      <c r="Y41" s="337"/>
      <c r="Z41" s="337"/>
      <c r="AA41" s="337"/>
      <c r="AB41" s="337"/>
      <c r="AC41" s="337"/>
      <c r="AD41" s="337"/>
      <c r="AE41" s="337"/>
      <c r="AF41" s="337"/>
      <c r="AG41" s="337"/>
      <c r="AH41" s="337"/>
      <c r="AI41" s="337"/>
      <c r="AJ41" s="337"/>
      <c r="AK41" s="337"/>
      <c r="AL41" s="337"/>
      <c r="AM41" t="str">
        <f t="shared" si="1"/>
        <v xml:space="preserve">Client does not authorize aide access to funds for bill pay. Client/family will manage. </v>
      </c>
    </row>
    <row r="42" spans="1:39" ht="15" customHeight="1" x14ac:dyDescent="0.2">
      <c r="A42" s="368"/>
      <c r="B42" s="254" t="s">
        <v>1151</v>
      </c>
      <c r="C42" s="254"/>
      <c r="D42" s="254"/>
      <c r="E42" s="254"/>
      <c r="F42" s="254"/>
      <c r="G42" s="254"/>
      <c r="H42" s="254" t="str">
        <f>Data!B900</f>
        <v>PRN</v>
      </c>
      <c r="I42" s="254"/>
      <c r="J42" s="254"/>
      <c r="K42" s="254"/>
      <c r="L42" s="254"/>
      <c r="M42" s="337" t="str">
        <f>_xlfn.CONCAT(IF(Data!B195="No","Provide translation.","")," Assist client with reading and writing as needed."," ",Data!B1397)</f>
        <v xml:space="preserve"> Assist client with reading and writing as needed. </v>
      </c>
      <c r="N42" s="337"/>
      <c r="O42" s="337"/>
      <c r="P42" s="337"/>
      <c r="Q42" s="337"/>
      <c r="R42" s="337"/>
      <c r="S42" s="337"/>
      <c r="T42" s="337"/>
      <c r="U42" s="337"/>
      <c r="V42" s="337"/>
      <c r="W42" s="337"/>
      <c r="X42" s="337"/>
      <c r="Y42" s="337"/>
      <c r="Z42" s="337"/>
      <c r="AA42" s="337"/>
      <c r="AB42" s="337"/>
      <c r="AC42" s="337"/>
      <c r="AD42" s="337"/>
      <c r="AE42" s="337"/>
      <c r="AF42" s="337"/>
      <c r="AG42" s="337"/>
      <c r="AH42" s="337"/>
      <c r="AI42" s="337"/>
      <c r="AJ42" s="337"/>
      <c r="AK42" s="337"/>
      <c r="AL42" s="337"/>
      <c r="AM42" t="str">
        <f t="shared" si="1"/>
        <v xml:space="preserve"> Assist client with reading and writing as needed. </v>
      </c>
    </row>
    <row r="43" spans="1:39" ht="15" customHeight="1" x14ac:dyDescent="0.2">
      <c r="A43" s="368"/>
      <c r="B43" s="254" t="s">
        <v>133</v>
      </c>
      <c r="C43" s="254"/>
      <c r="D43" s="254"/>
      <c r="E43" s="254"/>
      <c r="F43" s="254"/>
      <c r="G43" s="254"/>
      <c r="H43" s="254" t="str">
        <f>Data!B301</f>
        <v>PRN</v>
      </c>
      <c r="I43" s="254"/>
      <c r="J43" s="254"/>
      <c r="K43" s="254"/>
      <c r="L43" s="254"/>
      <c r="M43" s="337" t="str">
        <f>IF(Data!B301="Not Required","Family/friends will handle appointment scheduling.","Maintain client calendar and schedule appointments as needed.")&amp;" "&amp;Data!B1398</f>
        <v xml:space="preserve">Maintain client calendar and schedule appointments as needed. </v>
      </c>
      <c r="N43" s="337"/>
      <c r="O43" s="337"/>
      <c r="P43" s="337"/>
      <c r="Q43" s="337"/>
      <c r="R43" s="337"/>
      <c r="S43" s="337"/>
      <c r="T43" s="337"/>
      <c r="U43" s="337"/>
      <c r="V43" s="337"/>
      <c r="W43" s="337"/>
      <c r="X43" s="337"/>
      <c r="Y43" s="337"/>
      <c r="Z43" s="337"/>
      <c r="AA43" s="337"/>
      <c r="AB43" s="337"/>
      <c r="AC43" s="337"/>
      <c r="AD43" s="337"/>
      <c r="AE43" s="337"/>
      <c r="AF43" s="337"/>
      <c r="AG43" s="337"/>
      <c r="AH43" s="337"/>
      <c r="AI43" s="337"/>
      <c r="AJ43" s="337"/>
      <c r="AK43" s="337"/>
      <c r="AL43" s="337"/>
      <c r="AM43" t="str">
        <f t="shared" si="1"/>
        <v xml:space="preserve">Maintain client calendar and schedule appointments as needed. </v>
      </c>
    </row>
    <row r="44" spans="1:39" ht="15" customHeight="1" x14ac:dyDescent="0.2">
      <c r="A44" s="368"/>
      <c r="B44" s="254" t="s">
        <v>1152</v>
      </c>
      <c r="C44" s="254"/>
      <c r="D44" s="254"/>
      <c r="E44" s="254"/>
      <c r="F44" s="254"/>
      <c r="G44" s="254"/>
      <c r="H44" s="254" t="str">
        <f>Data!B302</f>
        <v>Daily</v>
      </c>
      <c r="I44" s="254"/>
      <c r="J44" s="254"/>
      <c r="K44" s="254"/>
      <c r="L44" s="254"/>
      <c r="M44" s="337" t="str">
        <f>Data!B1399&amp;" Provide companionship when family/friends are not available."</f>
        <v xml:space="preserve"> Provide companionship when family/friends are not available.</v>
      </c>
      <c r="N44" s="337"/>
      <c r="O44" s="337"/>
      <c r="P44" s="337"/>
      <c r="Q44" s="337"/>
      <c r="R44" s="337"/>
      <c r="S44" s="337"/>
      <c r="T44" s="337"/>
      <c r="U44" s="337"/>
      <c r="V44" s="337"/>
      <c r="W44" s="337"/>
      <c r="X44" s="337"/>
      <c r="Y44" s="337"/>
      <c r="Z44" s="337"/>
      <c r="AA44" s="337"/>
      <c r="AB44" s="337"/>
      <c r="AC44" s="337"/>
      <c r="AD44" s="337"/>
      <c r="AE44" s="337"/>
      <c r="AF44" s="337"/>
      <c r="AG44" s="337"/>
      <c r="AH44" s="337"/>
      <c r="AI44" s="337"/>
      <c r="AJ44" s="337"/>
      <c r="AK44" s="337"/>
      <c r="AL44" s="337"/>
      <c r="AM44" t="str">
        <f t="shared" si="1"/>
        <v xml:space="preserve"> Provide companionship when family/friends are not available.</v>
      </c>
    </row>
    <row r="45" spans="1:39" ht="15" customHeight="1" x14ac:dyDescent="0.2">
      <c r="A45" s="368"/>
      <c r="B45" s="254" t="s">
        <v>1153</v>
      </c>
      <c r="C45" s="254"/>
      <c r="D45" s="254"/>
      <c r="E45" s="254"/>
      <c r="F45" s="254"/>
      <c r="G45" s="254"/>
      <c r="H45" s="254" t="str">
        <f>Data!B902</f>
        <v>Daily</v>
      </c>
      <c r="I45" s="254"/>
      <c r="J45" s="254"/>
      <c r="K45" s="254"/>
      <c r="L45" s="254"/>
      <c r="M45" s="337" t="str">
        <f>Data!B1400&amp;" Encourage thought provoking discussion.  Provide redirection as needed."</f>
        <v xml:space="preserve"> Encourage thought provoking discussion.  Provide redirection as needed.</v>
      </c>
      <c r="N45" s="337"/>
      <c r="O45" s="337"/>
      <c r="P45" s="337"/>
      <c r="Q45" s="337"/>
      <c r="R45" s="337"/>
      <c r="S45" s="337"/>
      <c r="T45" s="337"/>
      <c r="U45" s="337"/>
      <c r="V45" s="337"/>
      <c r="W45" s="337"/>
      <c r="X45" s="337"/>
      <c r="Y45" s="337"/>
      <c r="Z45" s="337"/>
      <c r="AA45" s="337"/>
      <c r="AB45" s="337"/>
      <c r="AC45" s="337"/>
      <c r="AD45" s="337"/>
      <c r="AE45" s="337"/>
      <c r="AF45" s="337"/>
      <c r="AG45" s="337"/>
      <c r="AH45" s="337"/>
      <c r="AI45" s="337"/>
      <c r="AJ45" s="337"/>
      <c r="AK45" s="337"/>
      <c r="AL45" s="337"/>
      <c r="AM45" t="str">
        <f t="shared" si="1"/>
        <v xml:space="preserve"> Encourage thought provoking discussion.  Provide redirection as needed.</v>
      </c>
    </row>
    <row r="46" spans="1:39" x14ac:dyDescent="0.2">
      <c r="A46" t="s">
        <v>1119</v>
      </c>
      <c r="F46" s="240" t="str">
        <f>_xlfn.CONCAT(IF(Data!B221=TRUE,"Monitor for changes in ability to drive safely.",""),IF(Data!B225=TRUE," Provide transportation as needed per rules.",""),IF(Data!B223="Aide's Car"," Use Aide's car.","Use client's car."),IF(Data!B136="Medicaid"," Dr Appts must use Medicaid Trans.","")," ",Data!B1352)</f>
        <v xml:space="preserve">Use client's car. </v>
      </c>
      <c r="G46" s="240"/>
      <c r="H46" s="240"/>
      <c r="I46" s="240"/>
      <c r="J46" s="240"/>
      <c r="K46" s="240"/>
      <c r="L46" s="240"/>
      <c r="M46" s="240"/>
      <c r="N46" s="240"/>
      <c r="O46" s="240"/>
      <c r="P46" s="240"/>
      <c r="Q46" s="240"/>
      <c r="R46" s="240"/>
      <c r="S46" s="240"/>
      <c r="T46" s="240"/>
      <c r="U46" s="240"/>
      <c r="V46" s="240"/>
      <c r="W46" s="240"/>
      <c r="X46" s="240"/>
      <c r="Y46" s="240"/>
      <c r="Z46" s="240"/>
      <c r="AA46" s="240"/>
      <c r="AB46" s="240"/>
      <c r="AC46" s="240"/>
      <c r="AD46" s="240"/>
      <c r="AE46" s="240"/>
      <c r="AF46" s="240"/>
      <c r="AG46" s="240"/>
      <c r="AH46" s="240"/>
      <c r="AI46" s="240"/>
      <c r="AJ46" s="240"/>
      <c r="AK46" s="240"/>
      <c r="AL46" s="240"/>
      <c r="AM46" t="str">
        <f t="shared" ref="AM46:AM53" si="2">F46</f>
        <v xml:space="preserve">Use client's car. </v>
      </c>
    </row>
    <row r="47" spans="1:39" x14ac:dyDescent="0.2">
      <c r="A47" t="s">
        <v>1120</v>
      </c>
      <c r="F47" s="240" t="str">
        <f>_xlfn.CONCAT(IF(Data!B283="Independent","Monitor for changes in ability to complete housework safely.",""),IF(OR(Data!B283="Hands On Assist",Data!B283="Standby Assist")," Assist client with housekeeping tasks keeping to client's areas and belongings only.",""),IF(Data!B283="Dependent"," Aide should keep home clean and free from fall hazards. Client's area and belongings only.","")," ",Data!B1353)</f>
        <v xml:space="preserve"> </v>
      </c>
      <c r="G47" s="240"/>
      <c r="H47" s="240"/>
      <c r="I47" s="240"/>
      <c r="J47" s="240"/>
      <c r="K47" s="240"/>
      <c r="L47" s="240"/>
      <c r="M47" s="240"/>
      <c r="N47" s="240"/>
      <c r="O47" s="240"/>
      <c r="P47" s="240"/>
      <c r="Q47" s="240"/>
      <c r="R47" s="240"/>
      <c r="S47" s="240"/>
      <c r="T47" s="240"/>
      <c r="U47" s="240"/>
      <c r="V47" s="240"/>
      <c r="W47" s="240"/>
      <c r="X47" s="240"/>
      <c r="Y47" s="240"/>
      <c r="Z47" s="240"/>
      <c r="AA47" s="240"/>
      <c r="AB47" s="240"/>
      <c r="AC47" s="240"/>
      <c r="AD47" s="240"/>
      <c r="AE47" s="240"/>
      <c r="AF47" s="240"/>
      <c r="AG47" s="240"/>
      <c r="AH47" s="240"/>
      <c r="AI47" s="240"/>
      <c r="AJ47" s="240"/>
      <c r="AK47" s="240"/>
      <c r="AL47" s="240"/>
      <c r="AM47" t="str">
        <f t="shared" si="2"/>
        <v xml:space="preserve"> </v>
      </c>
    </row>
    <row r="48" spans="1:39" x14ac:dyDescent="0.2">
      <c r="A48" t="s">
        <v>1121</v>
      </c>
      <c r="F48" s="240" t="str">
        <f>_xlfn.CONCAT(IF(Data!B160=TRUE,"Remind client to wear hearing aids. Keep aids charged and close to client.",""),IF(Data!B573="None"," Monitor for changes in hearing."," Speak slowly and clearly directly to client."),IF(Data!B195="No", " Provide translation.","")," ",Data!B1354)</f>
        <v xml:space="preserve"> Speak slowly and clearly directly to client. </v>
      </c>
      <c r="G48" s="240"/>
      <c r="H48" s="240"/>
      <c r="I48" s="240"/>
      <c r="J48" s="240"/>
      <c r="K48" s="240"/>
      <c r="L48" s="240"/>
      <c r="M48" s="240"/>
      <c r="N48" s="240"/>
      <c r="O48" s="240"/>
      <c r="P48" s="240"/>
      <c r="Q48" s="240"/>
      <c r="R48" s="240"/>
      <c r="S48" s="240"/>
      <c r="T48" s="240"/>
      <c r="U48" s="240"/>
      <c r="V48" s="240"/>
      <c r="W48" s="240"/>
      <c r="X48" s="240"/>
      <c r="Y48" s="240"/>
      <c r="Z48" s="240"/>
      <c r="AA48" s="240"/>
      <c r="AB48" s="240"/>
      <c r="AC48" s="240"/>
      <c r="AD48" s="240"/>
      <c r="AE48" s="240"/>
      <c r="AF48" s="240"/>
      <c r="AG48" s="240"/>
      <c r="AH48" s="240"/>
      <c r="AI48" s="240"/>
      <c r="AJ48" s="240"/>
      <c r="AK48" s="240"/>
      <c r="AL48" s="240"/>
      <c r="AM48" t="str">
        <f t="shared" si="2"/>
        <v xml:space="preserve"> Speak slowly and clearly directly to client. </v>
      </c>
    </row>
    <row r="49" spans="1:39" x14ac:dyDescent="0.2">
      <c r="A49" t="s">
        <v>1122</v>
      </c>
      <c r="F49" s="240" t="str">
        <f>_xlfn.CONCAT(IF(Data!B155=TRUE,"Remind client to wear glasses. Keep glasses clean and close to client.",""),IF(Data!B590="None"," Monitor for changes in vision."," Keep home clear from hazards."),IF(Data!B195="No"," Provide translation.","")," ",Data!B1355)</f>
        <v xml:space="preserve"> Keep home clear from hazards. </v>
      </c>
      <c r="G49" s="240"/>
      <c r="H49" s="240"/>
      <c r="I49" s="240"/>
      <c r="J49" s="240"/>
      <c r="K49" s="240"/>
      <c r="L49" s="240"/>
      <c r="M49" s="240"/>
      <c r="N49" s="240"/>
      <c r="O49" s="240"/>
      <c r="P49" s="240"/>
      <c r="Q49" s="240"/>
      <c r="R49" s="240"/>
      <c r="S49" s="240"/>
      <c r="T49" s="240"/>
      <c r="U49" s="240"/>
      <c r="V49" s="240"/>
      <c r="W49" s="240"/>
      <c r="X49" s="240"/>
      <c r="Y49" s="240"/>
      <c r="Z49" s="240"/>
      <c r="AA49" s="240"/>
      <c r="AB49" s="240"/>
      <c r="AC49" s="240"/>
      <c r="AD49" s="240"/>
      <c r="AE49" s="240"/>
      <c r="AF49" s="240"/>
      <c r="AG49" s="240"/>
      <c r="AH49" s="240"/>
      <c r="AI49" s="240"/>
      <c r="AJ49" s="240"/>
      <c r="AK49" s="240"/>
      <c r="AL49" s="240"/>
      <c r="AM49" t="str">
        <f t="shared" si="2"/>
        <v xml:space="preserve"> Keep home clear from hazards. </v>
      </c>
    </row>
    <row r="50" spans="1:39" x14ac:dyDescent="0.2">
      <c r="A50" t="s">
        <v>1123</v>
      </c>
      <c r="F50" s="240" t="str">
        <f>_xlfn.CONCAT(IF(OR(Data!B752=TRUE,Data!B753=TRUE),"Monitor for SOB and Cyanosis or changes to breathing patterns.","Monitor for changes in breathing."),IF(Data!B466="Yes"," Remind client to wear oxygen and monitor equipment.","")," ",Data!B1356,IF(Data!B794=TRUE," Keep inhalers close to client.",""))</f>
        <v xml:space="preserve">Monitor for changes in breathing. </v>
      </c>
      <c r="G50" s="240"/>
      <c r="H50" s="240"/>
      <c r="I50" s="240"/>
      <c r="J50" s="240"/>
      <c r="K50" s="240"/>
      <c r="L50" s="240"/>
      <c r="M50" s="240"/>
      <c r="N50" s="240"/>
      <c r="O50" s="240"/>
      <c r="P50" s="240"/>
      <c r="Q50" s="240"/>
      <c r="R50" s="240"/>
      <c r="S50" s="240"/>
      <c r="T50" s="240"/>
      <c r="U50" s="240"/>
      <c r="V50" s="240"/>
      <c r="W50" s="240"/>
      <c r="X50" s="240"/>
      <c r="Y50" s="240"/>
      <c r="Z50" s="240"/>
      <c r="AA50" s="240"/>
      <c r="AB50" s="240"/>
      <c r="AC50" s="240"/>
      <c r="AD50" s="240"/>
      <c r="AE50" s="240"/>
      <c r="AF50" s="240"/>
      <c r="AG50" s="240"/>
      <c r="AH50" s="240"/>
      <c r="AI50" s="240"/>
      <c r="AJ50" s="240"/>
      <c r="AK50" s="240"/>
      <c r="AL50" s="240"/>
      <c r="AM50" t="str">
        <f t="shared" si="2"/>
        <v xml:space="preserve">Monitor for changes in breathing. </v>
      </c>
    </row>
    <row r="51" spans="1:39" x14ac:dyDescent="0.2">
      <c r="A51" t="s">
        <v>1124</v>
      </c>
      <c r="F51" s="240" t="str">
        <f>_xlfn.CONCAT(IF(Data!B836="Independent","Monitor for changes in speech and report significant changes."," Allow client time to formulate speech and monitor for significant changes."),IF(Data!B195="No"," Provide translation.","")," ",Data!B1357)</f>
        <v xml:space="preserve"> Allow client time to formulate speech and monitor for significant changes. </v>
      </c>
      <c r="G51" s="240"/>
      <c r="H51" s="240"/>
      <c r="I51" s="240"/>
      <c r="J51" s="240"/>
      <c r="K51" s="240"/>
      <c r="L51" s="240"/>
      <c r="M51" s="240"/>
      <c r="N51" s="240"/>
      <c r="O51" s="240"/>
      <c r="P51" s="240"/>
      <c r="Q51" s="240"/>
      <c r="R51" s="240"/>
      <c r="S51" s="240"/>
      <c r="T51" s="240"/>
      <c r="U51" s="240"/>
      <c r="V51" s="240"/>
      <c r="W51" s="240"/>
      <c r="X51" s="240"/>
      <c r="Y51" s="240"/>
      <c r="Z51" s="240"/>
      <c r="AA51" s="240"/>
      <c r="AB51" s="240"/>
      <c r="AC51" s="240"/>
      <c r="AD51" s="240"/>
      <c r="AE51" s="240"/>
      <c r="AF51" s="240"/>
      <c r="AG51" s="240"/>
      <c r="AH51" s="240"/>
      <c r="AI51" s="240"/>
      <c r="AJ51" s="240"/>
      <c r="AK51" s="240"/>
      <c r="AL51" s="240"/>
      <c r="AM51" t="str">
        <f t="shared" si="2"/>
        <v xml:space="preserve"> Allow client time to formulate speech and monitor for significant changes. </v>
      </c>
    </row>
    <row r="52" spans="1:39" x14ac:dyDescent="0.2">
      <c r="A52" t="s">
        <v>1125</v>
      </c>
      <c r="F52" s="240" t="str">
        <f>_xlfn.CONCAT(IF(Data!B896="Independent","Monitor for abnormal changes in mood or thought process.  Provide emotional support, mental stimulation and supervision as needed.","Provide cues, emotional support, mental stimulation, supervision and redirection as needed. Report significant changes."),IF(Data!B876=TRUE," Client cannot be left alone.","")," ",Data!B1358)</f>
        <v xml:space="preserve">Provide cues, emotional support, mental stimulation, supervision and redirection as needed. Report significant changes. </v>
      </c>
      <c r="G52" s="240"/>
      <c r="H52" s="240"/>
      <c r="I52" s="240"/>
      <c r="J52" s="240"/>
      <c r="K52" s="240"/>
      <c r="L52" s="240"/>
      <c r="M52" s="240"/>
      <c r="N52" s="240"/>
      <c r="O52" s="240"/>
      <c r="P52" s="240"/>
      <c r="Q52" s="240"/>
      <c r="R52" s="240"/>
      <c r="S52" s="240"/>
      <c r="T52" s="240"/>
      <c r="U52" s="240"/>
      <c r="V52" s="240"/>
      <c r="W52" s="240"/>
      <c r="X52" s="240"/>
      <c r="Y52" s="240"/>
      <c r="Z52" s="240"/>
      <c r="AA52" s="240"/>
      <c r="AB52" s="240"/>
      <c r="AC52" s="240"/>
      <c r="AD52" s="240"/>
      <c r="AE52" s="240"/>
      <c r="AF52" s="240"/>
      <c r="AG52" s="240"/>
      <c r="AH52" s="240"/>
      <c r="AI52" s="240"/>
      <c r="AJ52" s="240"/>
      <c r="AK52" s="240"/>
      <c r="AL52" s="240"/>
      <c r="AM52" t="s">
        <v>3300</v>
      </c>
    </row>
    <row r="53" spans="1:39" x14ac:dyDescent="0.2">
      <c r="A53" t="s">
        <v>1126</v>
      </c>
      <c r="F53" s="240" t="str">
        <f>_xlfn.CONCAT(IF(Data!B911="Independent","Monitor for changes in ability to use telephone. Keep phone near client.","Keep phone near client."),IF(Data!B195="No"," Provide translation.","")," ",Data!B1359,IF(AND(Data!B907="Yes",Data!B908="Yes"),"Provide total assistance with telephone.","Provide assistance with telephone."))</f>
        <v>Keep phone near client. Provide assistance with telephone.</v>
      </c>
      <c r="G53" s="240"/>
      <c r="H53" s="240"/>
      <c r="I53" s="240"/>
      <c r="J53" s="240"/>
      <c r="K53" s="240"/>
      <c r="L53" s="240"/>
      <c r="M53" s="240"/>
      <c r="N53" s="240"/>
      <c r="O53" s="240"/>
      <c r="P53" s="240"/>
      <c r="Q53" s="240"/>
      <c r="R53" s="240"/>
      <c r="S53" s="240"/>
      <c r="T53" s="240"/>
      <c r="U53" s="240"/>
      <c r="V53" s="240"/>
      <c r="W53" s="240"/>
      <c r="X53" s="240"/>
      <c r="Y53" s="240"/>
      <c r="Z53" s="240"/>
      <c r="AA53" s="240"/>
      <c r="AB53" s="240"/>
      <c r="AC53" s="240"/>
      <c r="AD53" s="240"/>
      <c r="AE53" s="240"/>
      <c r="AF53" s="240"/>
      <c r="AG53" s="240"/>
      <c r="AH53" s="240"/>
      <c r="AI53" s="240"/>
      <c r="AJ53" s="240"/>
      <c r="AK53" s="240"/>
      <c r="AL53" s="240"/>
      <c r="AM53" t="str">
        <f t="shared" si="2"/>
        <v>Keep phone near client. Provide assistance with telephone.</v>
      </c>
    </row>
    <row r="82" ht="32.25" customHeight="1" x14ac:dyDescent="0.2"/>
    <row r="83" ht="32.25" customHeight="1" x14ac:dyDescent="0.2"/>
    <row r="84" ht="32.25" customHeight="1" x14ac:dyDescent="0.2"/>
    <row r="85" ht="32.25" customHeight="1" x14ac:dyDescent="0.2"/>
    <row r="86" ht="32.25" customHeight="1" x14ac:dyDescent="0.2"/>
    <row r="87" ht="32.25" customHeight="1" x14ac:dyDescent="0.2"/>
  </sheetData>
  <mergeCells count="145">
    <mergeCell ref="F46:AL46"/>
    <mergeCell ref="F47:AL47"/>
    <mergeCell ref="F48:AL48"/>
    <mergeCell ref="F49:AL49"/>
    <mergeCell ref="F50:AL50"/>
    <mergeCell ref="F51:AL51"/>
    <mergeCell ref="F52:AL52"/>
    <mergeCell ref="F53:AL53"/>
    <mergeCell ref="B45:G45"/>
    <mergeCell ref="H45:L45"/>
    <mergeCell ref="M45:AL45"/>
    <mergeCell ref="B43:G43"/>
    <mergeCell ref="H43:L43"/>
    <mergeCell ref="M43:AL43"/>
    <mergeCell ref="B44:G44"/>
    <mergeCell ref="H44:L44"/>
    <mergeCell ref="M44:AL44"/>
    <mergeCell ref="A40:A45"/>
    <mergeCell ref="B40:G40"/>
    <mergeCell ref="H40:L40"/>
    <mergeCell ref="M40:AL40"/>
    <mergeCell ref="B41:G41"/>
    <mergeCell ref="H41:L41"/>
    <mergeCell ref="M41:AL41"/>
    <mergeCell ref="B42:G42"/>
    <mergeCell ref="H42:L42"/>
    <mergeCell ref="M42:AL42"/>
    <mergeCell ref="A33:A39"/>
    <mergeCell ref="B33:G33"/>
    <mergeCell ref="H33:L33"/>
    <mergeCell ref="M33:AL33"/>
    <mergeCell ref="B34:G34"/>
    <mergeCell ref="H34:L34"/>
    <mergeCell ref="M34:AL34"/>
    <mergeCell ref="B35:G35"/>
    <mergeCell ref="H35:L35"/>
    <mergeCell ref="M35:AL35"/>
    <mergeCell ref="B38:G38"/>
    <mergeCell ref="H38:L38"/>
    <mergeCell ref="M38:AL38"/>
    <mergeCell ref="B39:G39"/>
    <mergeCell ref="H39:L39"/>
    <mergeCell ref="M39:AL39"/>
    <mergeCell ref="B36:G36"/>
    <mergeCell ref="H36:L36"/>
    <mergeCell ref="M36:AL36"/>
    <mergeCell ref="B37:G37"/>
    <mergeCell ref="H37:L37"/>
    <mergeCell ref="M37:AL37"/>
    <mergeCell ref="H31:L31"/>
    <mergeCell ref="M31:AL31"/>
    <mergeCell ref="B32:G32"/>
    <mergeCell ref="H32:L32"/>
    <mergeCell ref="M32:AL32"/>
    <mergeCell ref="B29:G29"/>
    <mergeCell ref="H29:L29"/>
    <mergeCell ref="M29:AL29"/>
    <mergeCell ref="B30:G30"/>
    <mergeCell ref="H30:L30"/>
    <mergeCell ref="M30:AL30"/>
    <mergeCell ref="A25:A32"/>
    <mergeCell ref="B25:G25"/>
    <mergeCell ref="H25:L25"/>
    <mergeCell ref="M25:AL25"/>
    <mergeCell ref="B26:G26"/>
    <mergeCell ref="H26:L26"/>
    <mergeCell ref="M26:AL26"/>
    <mergeCell ref="B22:G22"/>
    <mergeCell ref="H22:L22"/>
    <mergeCell ref="M22:AL22"/>
    <mergeCell ref="B23:G23"/>
    <mergeCell ref="H23:L23"/>
    <mergeCell ref="M23:AL23"/>
    <mergeCell ref="A18:A24"/>
    <mergeCell ref="B27:G27"/>
    <mergeCell ref="H27:L27"/>
    <mergeCell ref="M27:AL27"/>
    <mergeCell ref="B28:G28"/>
    <mergeCell ref="H28:L28"/>
    <mergeCell ref="M28:AL28"/>
    <mergeCell ref="B24:G24"/>
    <mergeCell ref="H24:L24"/>
    <mergeCell ref="M24:AL24"/>
    <mergeCell ref="B31:G31"/>
    <mergeCell ref="B20:G20"/>
    <mergeCell ref="H20:L20"/>
    <mergeCell ref="M20:AL20"/>
    <mergeCell ref="B21:G21"/>
    <mergeCell ref="H21:L21"/>
    <mergeCell ref="M21:AL21"/>
    <mergeCell ref="B17:G17"/>
    <mergeCell ref="H17:L17"/>
    <mergeCell ref="M17:AL17"/>
    <mergeCell ref="B18:G18"/>
    <mergeCell ref="H18:L18"/>
    <mergeCell ref="M18:AL18"/>
    <mergeCell ref="B19:G19"/>
    <mergeCell ref="H19:L19"/>
    <mergeCell ref="M19:AL19"/>
    <mergeCell ref="B16:G16"/>
    <mergeCell ref="H16:L16"/>
    <mergeCell ref="M16:AL16"/>
    <mergeCell ref="A12:A17"/>
    <mergeCell ref="B12:G12"/>
    <mergeCell ref="H12:L12"/>
    <mergeCell ref="M12:AL12"/>
    <mergeCell ref="B13:G13"/>
    <mergeCell ref="H13:L13"/>
    <mergeCell ref="M13:AL13"/>
    <mergeCell ref="B14:G14"/>
    <mergeCell ref="H14:L14"/>
    <mergeCell ref="M14:AL14"/>
    <mergeCell ref="B8:G8"/>
    <mergeCell ref="H8:L8"/>
    <mergeCell ref="M8:AL8"/>
    <mergeCell ref="B9:G9"/>
    <mergeCell ref="H9:L9"/>
    <mergeCell ref="M9:AL9"/>
    <mergeCell ref="B15:G15"/>
    <mergeCell ref="H15:L15"/>
    <mergeCell ref="M15:AL15"/>
    <mergeCell ref="E1:S1"/>
    <mergeCell ref="W1:Z1"/>
    <mergeCell ref="AH1:AL1"/>
    <mergeCell ref="A2:AL2"/>
    <mergeCell ref="A3:AL3"/>
    <mergeCell ref="B4:G4"/>
    <mergeCell ref="H4:L4"/>
    <mergeCell ref="M4:AL4"/>
    <mergeCell ref="A5:A11"/>
    <mergeCell ref="B5:G5"/>
    <mergeCell ref="H5:L5"/>
    <mergeCell ref="M5:AL5"/>
    <mergeCell ref="B6:G6"/>
    <mergeCell ref="H6:L6"/>
    <mergeCell ref="M6:AL6"/>
    <mergeCell ref="B7:G7"/>
    <mergeCell ref="H7:L7"/>
    <mergeCell ref="M7:AL7"/>
    <mergeCell ref="B10:G10"/>
    <mergeCell ref="H10:L10"/>
    <mergeCell ref="M10:AL10"/>
    <mergeCell ref="B11:G11"/>
    <mergeCell ref="H11:L11"/>
    <mergeCell ref="M11:AL11"/>
  </mergeCells>
  <pageMargins left="0.25" right="0.25" top="0.75" bottom="0.75" header="0.3" footer="0.3"/>
  <pageSetup orientation="portrait" verticalDpi="1200" r:id="rId1"/>
  <headerFooter>
    <oddHeader>&amp;L&amp;G&amp;RClient Care Plan (5 Page Document)
RN Initials________</oddHeader>
    <oddFooter>&amp;LINT.PS&amp;C3088 Mercer University Drive Suite 100 Atlanta, GA 30341
678-310-6305 Fax 404-935-6110&amp;RPP.M</oddFooter>
  </headerFooter>
  <legacyDrawingHF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AA279-5254-4B5A-A500-C3E3BE44EF4A}">
  <sheetPr codeName="Sheet68">
    <tabColor rgb="FF00B050"/>
  </sheetPr>
  <dimension ref="A2:AM49"/>
  <sheetViews>
    <sheetView showZeros="0" view="pageLayout" zoomScaleNormal="100" workbookViewId="0">
      <selection sqref="A1:AM52"/>
    </sheetView>
  </sheetViews>
  <sheetFormatPr defaultColWidth="2.7109375" defaultRowHeight="12.75" x14ac:dyDescent="0.2"/>
  <sheetData>
    <row r="2" spans="1:39" x14ac:dyDescent="0.2">
      <c r="A2" t="s">
        <v>336</v>
      </c>
      <c r="F2" s="233" t="str">
        <f>_xlfn.CONCAT(Data!B2,", ",Data!B3," ",Data!B4)</f>
        <v xml:space="preserve">,  </v>
      </c>
      <c r="G2" s="233"/>
      <c r="H2" s="233"/>
      <c r="I2" s="233"/>
      <c r="J2" s="233"/>
      <c r="K2" s="233"/>
      <c r="L2" s="233"/>
      <c r="M2" s="233"/>
      <c r="N2" s="233"/>
      <c r="O2" s="233"/>
      <c r="P2" s="233"/>
      <c r="Q2" s="233"/>
      <c r="R2" s="233"/>
      <c r="S2" s="233"/>
      <c r="T2" s="233"/>
      <c r="U2" s="233"/>
      <c r="V2" s="233"/>
      <c r="W2" s="233"/>
      <c r="Y2" t="s">
        <v>371</v>
      </c>
      <c r="AA2" s="306">
        <f>Data!B14</f>
        <v>0</v>
      </c>
      <c r="AB2" s="233"/>
      <c r="AC2" s="233"/>
      <c r="AD2" s="233"/>
      <c r="AE2" s="233"/>
      <c r="AF2" s="233"/>
      <c r="AG2" s="233"/>
    </row>
    <row r="3" spans="1:39" x14ac:dyDescent="0.2">
      <c r="A3" t="s">
        <v>343</v>
      </c>
      <c r="D3" s="233" t="str">
        <f>Data!B5&amp;" "&amp;Data!B6</f>
        <v xml:space="preserve"> </v>
      </c>
      <c r="E3" s="233"/>
      <c r="F3" s="233"/>
      <c r="G3" s="233"/>
      <c r="H3" s="233"/>
      <c r="I3" s="233"/>
      <c r="J3" s="233"/>
      <c r="K3" s="233"/>
      <c r="L3" s="233"/>
      <c r="M3" s="233"/>
      <c r="N3" s="233"/>
      <c r="O3" s="233"/>
      <c r="P3" s="233"/>
      <c r="Q3" s="233"/>
      <c r="S3" t="s">
        <v>665</v>
      </c>
      <c r="U3" s="233">
        <f>Data!B7</f>
        <v>0</v>
      </c>
      <c r="V3" s="233"/>
      <c r="W3" s="233"/>
      <c r="X3" s="233"/>
      <c r="Y3" s="233"/>
      <c r="Z3" s="233"/>
      <c r="AA3" s="233"/>
      <c r="AB3" s="233"/>
      <c r="AD3" t="s">
        <v>4769</v>
      </c>
      <c r="AH3" t="s">
        <v>667</v>
      </c>
      <c r="AJ3" s="233">
        <f>Data!B9</f>
        <v>0</v>
      </c>
      <c r="AK3" s="233"/>
      <c r="AL3" s="233"/>
      <c r="AM3" s="233"/>
    </row>
    <row r="5" spans="1:39" x14ac:dyDescent="0.2">
      <c r="A5" t="s">
        <v>3147</v>
      </c>
      <c r="O5" s="280">
        <f>Data!B1498</f>
        <v>0</v>
      </c>
      <c r="P5" s="280"/>
      <c r="Q5" s="280"/>
      <c r="R5" s="280"/>
      <c r="S5" s="280"/>
      <c r="T5" s="280"/>
      <c r="U5" s="280"/>
      <c r="V5" s="280"/>
      <c r="W5" s="280"/>
      <c r="X5" s="280"/>
    </row>
    <row r="7" spans="1:39" x14ac:dyDescent="0.2">
      <c r="A7" t="s">
        <v>3148</v>
      </c>
      <c r="K7" s="21" t="str">
        <f>IF(Data!B1479=TRUE,"P","")</f>
        <v/>
      </c>
      <c r="L7" t="s">
        <v>3032</v>
      </c>
      <c r="R7" s="21" t="str">
        <f>IF(Data!B1478=TRUE,"P","")</f>
        <v/>
      </c>
      <c r="S7" t="s">
        <v>3055</v>
      </c>
      <c r="AC7" s="21" t="str">
        <f>IF(Data!B1481=TRUE,"P","")</f>
        <v/>
      </c>
      <c r="AD7" t="s">
        <v>3033</v>
      </c>
    </row>
    <row r="8" spans="1:39" x14ac:dyDescent="0.2">
      <c r="K8" s="21" t="str">
        <f>IF(Data!B1482=TRUE,"P","")</f>
        <v/>
      </c>
      <c r="L8" t="s">
        <v>3081</v>
      </c>
      <c r="R8" s="21" t="str">
        <f>IF(Data!B1480=TRUE,"P","")</f>
        <v/>
      </c>
      <c r="S8" t="s">
        <v>1423</v>
      </c>
    </row>
    <row r="10" spans="1:39" x14ac:dyDescent="0.2">
      <c r="A10" t="s">
        <v>3169</v>
      </c>
      <c r="G10" s="239">
        <f>Data!B1509</f>
        <v>0</v>
      </c>
      <c r="H10" s="239"/>
      <c r="I10" s="239"/>
      <c r="J10" s="239"/>
      <c r="K10" s="239"/>
      <c r="L10" s="239"/>
      <c r="M10" s="239"/>
      <c r="N10" s="239"/>
      <c r="O10" s="239"/>
      <c r="P10" s="239"/>
      <c r="Q10" s="239"/>
      <c r="R10" s="239"/>
      <c r="S10" s="239"/>
      <c r="T10" s="239"/>
      <c r="U10" s="239"/>
      <c r="V10" s="239"/>
      <c r="W10" s="239"/>
      <c r="X10" s="239"/>
      <c r="Y10" s="239"/>
      <c r="Z10" s="239"/>
      <c r="AA10" s="239"/>
      <c r="AB10" s="239"/>
      <c r="AC10" s="239"/>
      <c r="AD10" s="239"/>
      <c r="AE10" s="239"/>
      <c r="AF10" s="239"/>
      <c r="AG10" s="239"/>
      <c r="AH10" s="239"/>
      <c r="AI10" s="239"/>
      <c r="AJ10" s="239"/>
      <c r="AK10" s="239"/>
      <c r="AL10" s="239"/>
    </row>
    <row r="11" spans="1:39" x14ac:dyDescent="0.2">
      <c r="G11" s="239"/>
      <c r="H11" s="239"/>
      <c r="I11" s="239"/>
      <c r="J11" s="239"/>
      <c r="K11" s="239"/>
      <c r="L11" s="239"/>
      <c r="M11" s="239"/>
      <c r="N11" s="239"/>
      <c r="O11" s="239"/>
      <c r="P11" s="239"/>
      <c r="Q11" s="239"/>
      <c r="R11" s="239"/>
      <c r="S11" s="239"/>
      <c r="T11" s="239"/>
      <c r="U11" s="239"/>
      <c r="V11" s="239"/>
      <c r="W11" s="239"/>
      <c r="X11" s="239"/>
      <c r="Y11" s="239"/>
      <c r="Z11" s="239"/>
      <c r="AA11" s="239"/>
      <c r="AB11" s="239"/>
      <c r="AC11" s="239"/>
      <c r="AD11" s="239"/>
      <c r="AE11" s="239"/>
      <c r="AF11" s="239"/>
      <c r="AG11" s="239"/>
      <c r="AH11" s="239"/>
      <c r="AI11" s="239"/>
      <c r="AJ11" s="239"/>
      <c r="AK11" s="239"/>
      <c r="AL11" s="239"/>
    </row>
    <row r="12" spans="1:39" x14ac:dyDescent="0.2">
      <c r="A12" t="s">
        <v>3040</v>
      </c>
      <c r="G12" s="219">
        <f>Data!B1490</f>
        <v>0</v>
      </c>
      <c r="H12" s="219"/>
      <c r="I12" s="219"/>
      <c r="J12" s="219"/>
      <c r="K12" s="219"/>
    </row>
    <row r="13" spans="1:39" x14ac:dyDescent="0.2">
      <c r="A13" t="s">
        <v>3149</v>
      </c>
      <c r="G13" s="219">
        <f>Data!B1488</f>
        <v>0</v>
      </c>
      <c r="H13" s="219"/>
      <c r="I13" s="219"/>
      <c r="J13" s="219"/>
      <c r="K13" s="219"/>
      <c r="L13" s="219"/>
      <c r="M13" s="219"/>
      <c r="N13" t="s">
        <v>3150</v>
      </c>
      <c r="U13" s="219">
        <f>Data!B1489</f>
        <v>0</v>
      </c>
      <c r="V13" s="219"/>
      <c r="W13" s="219"/>
      <c r="X13" s="219"/>
      <c r="Y13" s="219"/>
      <c r="Z13" s="219"/>
      <c r="AA13" s="219"/>
      <c r="AB13" s="219"/>
    </row>
    <row r="15" spans="1:39" x14ac:dyDescent="0.2">
      <c r="A15" s="586" t="s">
        <v>3151</v>
      </c>
      <c r="B15" s="586"/>
      <c r="C15" s="586"/>
      <c r="D15" s="586"/>
      <c r="E15" s="586"/>
      <c r="F15" s="586"/>
      <c r="G15" s="586"/>
      <c r="H15" s="586"/>
      <c r="I15" s="586"/>
      <c r="J15" s="586"/>
      <c r="K15" s="586"/>
      <c r="L15" s="586"/>
      <c r="M15" s="586"/>
      <c r="N15" s="586"/>
      <c r="O15" s="586"/>
      <c r="P15" s="586"/>
      <c r="Q15" s="586"/>
      <c r="R15" s="586"/>
      <c r="S15" s="586"/>
      <c r="T15" s="586"/>
      <c r="U15" s="586"/>
      <c r="V15" s="586"/>
      <c r="W15" s="586"/>
      <c r="X15" s="586"/>
      <c r="Y15" s="586"/>
      <c r="Z15" s="586"/>
      <c r="AA15" s="586"/>
      <c r="AB15" s="586"/>
      <c r="AC15" s="586"/>
      <c r="AD15" s="586"/>
      <c r="AE15" s="586"/>
      <c r="AF15" s="586"/>
      <c r="AG15" s="586"/>
      <c r="AH15" s="586"/>
      <c r="AI15" s="586"/>
      <c r="AJ15" s="586"/>
      <c r="AK15" s="586"/>
      <c r="AL15" s="586"/>
      <c r="AM15" s="586"/>
    </row>
    <row r="16" spans="1:39" x14ac:dyDescent="0.2">
      <c r="A16" t="s">
        <v>62</v>
      </c>
      <c r="F16" s="233">
        <f>Data!B185</f>
        <v>0</v>
      </c>
      <c r="G16" s="233"/>
      <c r="H16" s="233"/>
      <c r="I16" s="233"/>
      <c r="J16" s="233"/>
      <c r="K16" s="233"/>
      <c r="L16" s="233"/>
    </row>
    <row r="18" spans="1:39" x14ac:dyDescent="0.2">
      <c r="A18" t="s">
        <v>3152</v>
      </c>
      <c r="I18" s="476">
        <f>Data!B1483</f>
        <v>0</v>
      </c>
      <c r="J18" s="476"/>
      <c r="K18" s="476"/>
      <c r="L18" s="476"/>
      <c r="M18" s="476"/>
      <c r="N18" s="476"/>
      <c r="O18" s="476"/>
      <c r="P18" s="476"/>
      <c r="Q18" s="476"/>
      <c r="S18" s="21" t="str">
        <f>IF(Data!B1485=TRUE,"P","")</f>
        <v/>
      </c>
      <c r="T18" t="s">
        <v>3154</v>
      </c>
    </row>
    <row r="19" spans="1:39" x14ac:dyDescent="0.2">
      <c r="A19" t="s">
        <v>3153</v>
      </c>
      <c r="I19" s="476">
        <f>Data!B1484</f>
        <v>0</v>
      </c>
      <c r="J19" s="476"/>
      <c r="K19" s="476"/>
      <c r="L19" s="476"/>
      <c r="M19" s="476"/>
      <c r="N19" s="476"/>
      <c r="O19" s="476"/>
      <c r="P19" s="476"/>
      <c r="Q19" s="476"/>
      <c r="S19" s="21" t="str">
        <f>IF(Data!B1486=TRUE,"P","")</f>
        <v/>
      </c>
      <c r="T19" t="s">
        <v>3154</v>
      </c>
    </row>
    <row r="21" spans="1:39" x14ac:dyDescent="0.2">
      <c r="A21" s="586" t="s">
        <v>3173</v>
      </c>
      <c r="B21" s="586"/>
      <c r="C21" s="586"/>
      <c r="D21" s="586"/>
      <c r="E21" s="586"/>
      <c r="F21" s="586"/>
      <c r="G21" s="586"/>
      <c r="H21" s="586"/>
      <c r="I21" s="586"/>
      <c r="J21" s="586"/>
      <c r="K21" s="586"/>
      <c r="L21" s="586"/>
      <c r="M21" s="586"/>
      <c r="N21" s="586"/>
      <c r="O21" s="586"/>
      <c r="P21" s="586"/>
      <c r="Q21" s="586"/>
      <c r="R21" s="586"/>
      <c r="S21" s="586"/>
      <c r="T21" s="586"/>
      <c r="U21" s="586"/>
      <c r="V21" s="586"/>
      <c r="W21" s="586"/>
      <c r="X21" s="586"/>
      <c r="Y21" s="586"/>
      <c r="Z21" s="586"/>
      <c r="AA21" s="586"/>
      <c r="AB21" s="586"/>
      <c r="AC21" s="586"/>
      <c r="AD21" s="586"/>
      <c r="AE21" s="586"/>
      <c r="AF21" s="586"/>
      <c r="AG21" s="586"/>
      <c r="AH21" s="586"/>
      <c r="AI21" s="586"/>
      <c r="AJ21" s="586"/>
      <c r="AK21" s="586"/>
      <c r="AL21" s="586"/>
      <c r="AM21" s="586"/>
    </row>
    <row r="22" spans="1:39" x14ac:dyDescent="0.2">
      <c r="A22" s="21" t="str">
        <f>IF(Data!B1598=TRUE,"P","")</f>
        <v/>
      </c>
      <c r="B22" t="s">
        <v>67</v>
      </c>
    </row>
    <row r="23" spans="1:39" x14ac:dyDescent="0.2">
      <c r="A23" s="21" t="str">
        <f>IF(Data!B1599=TRUE,"P","")</f>
        <v/>
      </c>
      <c r="B23" t="s">
        <v>3155</v>
      </c>
      <c r="G23" t="s">
        <v>3156</v>
      </c>
    </row>
    <row r="24" spans="1:39" x14ac:dyDescent="0.2">
      <c r="A24" s="21" t="str">
        <f>IF(Data!B1600=TRUE,"P","")</f>
        <v/>
      </c>
      <c r="B24" t="s">
        <v>68</v>
      </c>
      <c r="G24" t="s">
        <v>3157</v>
      </c>
      <c r="M24" s="276"/>
      <c r="N24" s="276"/>
      <c r="O24" s="276"/>
      <c r="P24" s="276"/>
      <c r="Q24" s="276"/>
      <c r="R24" s="276"/>
      <c r="S24" s="276"/>
      <c r="T24" s="276"/>
      <c r="U24" s="276"/>
      <c r="V24" s="276"/>
      <c r="W24" s="276"/>
      <c r="X24" s="276"/>
      <c r="Y24" s="276"/>
      <c r="Z24" s="276"/>
      <c r="AA24" s="276"/>
      <c r="AB24" s="276"/>
      <c r="AC24" s="276"/>
      <c r="AD24" s="276"/>
      <c r="AE24" s="276"/>
      <c r="AF24" s="276"/>
      <c r="AG24" s="276"/>
      <c r="AH24" s="276"/>
      <c r="AI24" s="276"/>
      <c r="AJ24" s="276"/>
      <c r="AK24" s="276"/>
      <c r="AL24" s="276"/>
      <c r="AM24" s="276"/>
    </row>
    <row r="25" spans="1:39" x14ac:dyDescent="0.2">
      <c r="G25" t="s">
        <v>3158</v>
      </c>
      <c r="M25" s="264"/>
      <c r="N25" s="264"/>
      <c r="O25" s="264"/>
      <c r="P25" s="264"/>
      <c r="Q25" s="264"/>
      <c r="R25" s="264"/>
      <c r="S25" s="264"/>
      <c r="T25" s="264"/>
      <c r="U25" s="264"/>
      <c r="V25" s="264"/>
      <c r="W25" s="264"/>
      <c r="X25" s="264"/>
      <c r="Y25" s="264"/>
      <c r="Z25" s="264"/>
      <c r="AA25" s="264"/>
      <c r="AB25" s="264"/>
      <c r="AC25" s="264"/>
      <c r="AD25" s="264"/>
      <c r="AE25" s="264"/>
      <c r="AF25" s="264"/>
      <c r="AG25" s="264"/>
      <c r="AH25" s="264"/>
      <c r="AI25" s="264"/>
      <c r="AJ25" s="264"/>
      <c r="AK25" s="264"/>
      <c r="AL25" s="264"/>
      <c r="AM25" s="264"/>
    </row>
    <row r="26" spans="1:39" x14ac:dyDescent="0.2">
      <c r="G26" t="s">
        <v>737</v>
      </c>
      <c r="M26" s="264"/>
      <c r="N26" s="264"/>
      <c r="O26" s="264"/>
      <c r="P26" s="264"/>
      <c r="Q26" s="264"/>
      <c r="R26" s="264"/>
      <c r="S26" s="264"/>
      <c r="T26" s="264"/>
      <c r="U26" s="264"/>
      <c r="V26" s="264"/>
      <c r="W26" s="264"/>
      <c r="X26" s="264"/>
      <c r="Y26" s="264"/>
      <c r="Z26" s="264"/>
      <c r="AA26" s="264"/>
      <c r="AB26" s="264"/>
      <c r="AC26" s="264"/>
      <c r="AD26" s="264"/>
      <c r="AE26" s="264"/>
      <c r="AF26" s="264"/>
      <c r="AG26" s="264"/>
      <c r="AH26" s="264"/>
      <c r="AI26" s="264"/>
      <c r="AJ26" s="264"/>
      <c r="AK26" s="264"/>
      <c r="AL26" s="264"/>
      <c r="AM26" s="264"/>
    </row>
    <row r="27" spans="1:39" x14ac:dyDescent="0.2">
      <c r="G27" t="s">
        <v>3159</v>
      </c>
      <c r="M27" s="264"/>
      <c r="N27" s="264"/>
      <c r="O27" s="264"/>
      <c r="P27" s="264"/>
      <c r="Q27" s="264"/>
      <c r="R27" s="264"/>
      <c r="S27" s="264"/>
      <c r="T27" s="264"/>
      <c r="U27" s="264"/>
      <c r="V27" s="264"/>
      <c r="W27" s="264"/>
      <c r="X27" s="264"/>
      <c r="Y27" s="264"/>
      <c r="Z27" s="264"/>
      <c r="AA27" s="264"/>
      <c r="AB27" s="264"/>
      <c r="AC27" s="264"/>
      <c r="AD27" s="264"/>
      <c r="AE27" s="264"/>
      <c r="AF27" s="264"/>
      <c r="AG27" s="264"/>
      <c r="AH27" s="264"/>
      <c r="AI27" s="264"/>
      <c r="AJ27" s="264"/>
      <c r="AK27" s="264"/>
      <c r="AL27" s="264"/>
      <c r="AM27" s="264"/>
    </row>
    <row r="28" spans="1:39" x14ac:dyDescent="0.2">
      <c r="G28" t="s">
        <v>3160</v>
      </c>
      <c r="M28" s="264"/>
      <c r="N28" s="264"/>
      <c r="O28" s="264"/>
      <c r="P28" s="264"/>
      <c r="Q28" s="264"/>
      <c r="R28" s="264"/>
      <c r="S28" s="264"/>
      <c r="T28" s="264"/>
      <c r="U28" s="264"/>
      <c r="V28" s="264"/>
      <c r="W28" s="264"/>
      <c r="X28" s="264"/>
      <c r="Y28" s="264"/>
      <c r="Z28" s="264"/>
      <c r="AA28" s="264"/>
      <c r="AB28" s="264"/>
      <c r="AC28" s="264"/>
      <c r="AD28" s="264"/>
      <c r="AE28" s="264"/>
      <c r="AF28" s="264"/>
      <c r="AG28" s="264"/>
      <c r="AH28" s="264"/>
      <c r="AI28" s="264"/>
      <c r="AJ28" s="264"/>
      <c r="AK28" s="264"/>
      <c r="AL28" s="264"/>
      <c r="AM28" s="264"/>
    </row>
    <row r="30" spans="1:39" x14ac:dyDescent="0.2">
      <c r="B30" t="s">
        <v>3161</v>
      </c>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row>
    <row r="32" spans="1:39" x14ac:dyDescent="0.2">
      <c r="A32" s="586" t="s">
        <v>966</v>
      </c>
      <c r="B32" s="586"/>
      <c r="C32" s="586"/>
      <c r="D32" s="586"/>
      <c r="E32" s="586"/>
      <c r="F32" s="586"/>
      <c r="G32" s="586"/>
      <c r="H32" s="586"/>
      <c r="I32" s="586"/>
      <c r="J32" s="586"/>
      <c r="K32" s="586"/>
      <c r="L32" s="586"/>
      <c r="M32" s="586"/>
      <c r="N32" s="586"/>
      <c r="O32" s="586"/>
      <c r="P32" s="586"/>
      <c r="Q32" s="586"/>
      <c r="R32" s="586"/>
      <c r="S32" s="586"/>
      <c r="T32" s="586"/>
      <c r="U32" s="586"/>
      <c r="V32" s="586"/>
      <c r="W32" s="586"/>
      <c r="X32" s="586"/>
      <c r="Y32" s="586"/>
      <c r="Z32" s="586"/>
      <c r="AA32" s="586"/>
      <c r="AB32" s="586"/>
      <c r="AC32" s="586"/>
      <c r="AD32" s="586"/>
      <c r="AE32" s="586"/>
      <c r="AF32" s="586"/>
      <c r="AG32" s="586"/>
      <c r="AH32" s="586"/>
      <c r="AI32" s="586"/>
      <c r="AJ32" s="586"/>
      <c r="AK32" s="586"/>
      <c r="AL32" s="586"/>
      <c r="AM32" s="586"/>
    </row>
    <row r="33" spans="1:39" x14ac:dyDescent="0.2">
      <c r="A33" s="588" t="s">
        <v>967</v>
      </c>
      <c r="B33" s="588"/>
      <c r="C33" s="588"/>
      <c r="D33" s="588"/>
      <c r="E33" s="588"/>
      <c r="F33" s="588"/>
      <c r="G33" s="588"/>
      <c r="H33" s="588"/>
      <c r="I33" s="588"/>
      <c r="J33" s="588"/>
      <c r="K33" s="588"/>
      <c r="L33" s="588"/>
      <c r="M33" s="588"/>
      <c r="N33" s="588"/>
      <c r="O33" s="588"/>
      <c r="P33" s="588"/>
      <c r="Q33" s="588"/>
      <c r="R33" s="588"/>
      <c r="S33" s="588"/>
      <c r="T33" s="588"/>
      <c r="U33" s="588"/>
      <c r="V33" s="588"/>
      <c r="W33" s="588"/>
      <c r="X33" s="588"/>
      <c r="Y33" s="588"/>
      <c r="Z33" s="588"/>
      <c r="AA33" s="588"/>
      <c r="AB33" s="588"/>
      <c r="AC33" s="588"/>
      <c r="AD33" s="588"/>
      <c r="AE33" s="588"/>
      <c r="AF33" s="588"/>
      <c r="AG33" s="588"/>
      <c r="AH33" s="588"/>
      <c r="AI33" s="588"/>
      <c r="AJ33" s="588"/>
      <c r="AK33" s="588"/>
      <c r="AL33" s="588"/>
      <c r="AM33" s="8"/>
    </row>
    <row r="34" spans="1:39" x14ac:dyDescent="0.2">
      <c r="A34" s="588"/>
      <c r="B34" s="588"/>
      <c r="C34" s="588"/>
      <c r="D34" s="588"/>
      <c r="E34" s="588"/>
      <c r="F34" s="588"/>
      <c r="G34" s="588"/>
      <c r="H34" s="588"/>
      <c r="I34" s="588"/>
      <c r="J34" s="588"/>
      <c r="K34" s="588"/>
      <c r="L34" s="588"/>
      <c r="M34" s="588"/>
      <c r="N34" s="588"/>
      <c r="O34" s="588"/>
      <c r="P34" s="588"/>
      <c r="Q34" s="588"/>
      <c r="R34" s="588"/>
      <c r="S34" s="588"/>
      <c r="T34" s="588"/>
      <c r="U34" s="588"/>
      <c r="V34" s="588"/>
      <c r="W34" s="588"/>
      <c r="X34" s="588"/>
      <c r="Y34" s="588"/>
      <c r="Z34" s="588"/>
      <c r="AA34" s="588"/>
      <c r="AB34" s="588"/>
      <c r="AC34" s="588"/>
      <c r="AD34" s="588"/>
      <c r="AE34" s="588"/>
      <c r="AF34" s="588"/>
      <c r="AG34" s="588"/>
      <c r="AH34" s="588"/>
      <c r="AI34" s="588"/>
      <c r="AJ34" s="588"/>
      <c r="AK34" s="588"/>
      <c r="AL34" s="588"/>
      <c r="AM34" s="8"/>
    </row>
    <row r="35" spans="1:39" x14ac:dyDescent="0.2">
      <c r="A35" s="588"/>
      <c r="B35" s="588"/>
      <c r="C35" s="588"/>
      <c r="D35" s="588"/>
      <c r="E35" s="588"/>
      <c r="F35" s="588"/>
      <c r="G35" s="588"/>
      <c r="H35" s="588"/>
      <c r="I35" s="588"/>
      <c r="J35" s="588"/>
      <c r="K35" s="588"/>
      <c r="L35" s="588"/>
      <c r="M35" s="588"/>
      <c r="N35" s="588"/>
      <c r="O35" s="588"/>
      <c r="P35" s="588"/>
      <c r="Q35" s="588"/>
      <c r="R35" s="588"/>
      <c r="S35" s="588"/>
      <c r="T35" s="588"/>
      <c r="U35" s="588"/>
      <c r="V35" s="588"/>
      <c r="W35" s="588"/>
      <c r="X35" s="588"/>
      <c r="Y35" s="588"/>
      <c r="Z35" s="588"/>
      <c r="AA35" s="588"/>
      <c r="AB35" s="588"/>
      <c r="AC35" s="588"/>
      <c r="AD35" s="588"/>
      <c r="AE35" s="588"/>
      <c r="AF35" s="588"/>
      <c r="AG35" s="588"/>
      <c r="AH35" s="588"/>
      <c r="AI35" s="588"/>
      <c r="AJ35" s="588"/>
      <c r="AK35" s="588"/>
      <c r="AL35" s="588"/>
      <c r="AM35" s="8"/>
    </row>
    <row r="36" spans="1:39" x14ac:dyDescent="0.2">
      <c r="A36" s="261" t="s">
        <v>968</v>
      </c>
      <c r="B36" s="261"/>
      <c r="C36" s="261"/>
      <c r="D36" s="261"/>
      <c r="E36" s="261"/>
      <c r="F36" s="261"/>
      <c r="G36" s="261"/>
      <c r="H36" s="261"/>
      <c r="I36" s="261"/>
      <c r="J36" s="261"/>
      <c r="K36" s="261"/>
      <c r="L36" s="261"/>
      <c r="M36" s="261"/>
      <c r="N36" s="261"/>
      <c r="O36" s="261"/>
      <c r="P36" s="261"/>
      <c r="Q36" s="261"/>
      <c r="R36" s="261"/>
      <c r="S36" s="261"/>
      <c r="T36" s="261"/>
      <c r="U36" s="261"/>
      <c r="V36" s="261"/>
      <c r="W36" s="261"/>
      <c r="X36" s="261"/>
      <c r="Y36" s="261"/>
      <c r="Z36" s="261"/>
      <c r="AA36" s="261"/>
      <c r="AB36" s="261"/>
      <c r="AC36" s="261"/>
      <c r="AD36" s="261"/>
      <c r="AE36" s="261"/>
      <c r="AF36" s="261"/>
      <c r="AG36" s="261"/>
      <c r="AH36" s="261"/>
      <c r="AI36" s="261"/>
      <c r="AJ36" s="261"/>
      <c r="AK36" s="261"/>
      <c r="AL36" s="261"/>
      <c r="AM36" s="261"/>
    </row>
    <row r="37" spans="1:39" x14ac:dyDescent="0.2">
      <c r="A37" s="261" t="s">
        <v>969</v>
      </c>
      <c r="B37" s="261"/>
      <c r="C37" s="261"/>
      <c r="D37" s="261"/>
      <c r="E37" s="261"/>
      <c r="F37" s="261"/>
      <c r="G37" s="261"/>
      <c r="H37" s="261"/>
      <c r="I37" s="261"/>
      <c r="J37" s="261"/>
      <c r="K37" s="261"/>
      <c r="L37" s="261"/>
      <c r="M37" s="261"/>
      <c r="N37" s="261"/>
      <c r="O37" s="261"/>
      <c r="P37" s="261"/>
      <c r="Q37" s="261"/>
      <c r="R37" s="261"/>
      <c r="S37" s="261"/>
      <c r="T37" s="261"/>
      <c r="U37" s="261"/>
      <c r="V37" s="261"/>
      <c r="W37" s="261"/>
      <c r="X37" s="261"/>
      <c r="Y37" s="261"/>
      <c r="Z37" s="261"/>
      <c r="AA37" s="261"/>
      <c r="AB37" s="261"/>
      <c r="AC37" s="261"/>
      <c r="AD37" s="261"/>
      <c r="AE37" s="261"/>
      <c r="AF37" s="261"/>
      <c r="AG37" s="261"/>
      <c r="AH37" s="261"/>
      <c r="AI37" s="261"/>
      <c r="AJ37" s="261"/>
      <c r="AK37" s="261"/>
      <c r="AL37" s="261"/>
      <c r="AM37" s="261"/>
    </row>
    <row r="44" spans="1:39" x14ac:dyDescent="0.2">
      <c r="H44" s="14"/>
      <c r="I44" s="260"/>
      <c r="J44" s="260"/>
      <c r="K44" s="260"/>
      <c r="L44" s="260"/>
      <c r="M44" s="260"/>
      <c r="N44" s="260"/>
      <c r="O44" s="260"/>
      <c r="P44" s="260"/>
      <c r="Q44" s="260"/>
      <c r="R44" s="260"/>
      <c r="S44" s="260"/>
      <c r="T44" s="260"/>
      <c r="U44" s="260"/>
      <c r="V44" s="260"/>
      <c r="W44" s="260"/>
    </row>
    <row r="45" spans="1:39" x14ac:dyDescent="0.2">
      <c r="A45" t="s">
        <v>3162</v>
      </c>
      <c r="H45" s="14"/>
      <c r="I45" s="260"/>
      <c r="J45" s="260"/>
      <c r="K45" s="260"/>
      <c r="L45" s="260"/>
      <c r="M45" s="260"/>
      <c r="N45" s="260"/>
      <c r="O45" s="260"/>
      <c r="P45" s="260"/>
      <c r="Q45" s="260"/>
      <c r="R45" s="260"/>
      <c r="S45" s="260"/>
      <c r="T45" s="260"/>
      <c r="U45" s="260"/>
      <c r="V45" s="260"/>
      <c r="W45" s="260"/>
    </row>
    <row r="46" spans="1:39" x14ac:dyDescent="0.2">
      <c r="H46" s="14"/>
      <c r="I46" s="587"/>
      <c r="J46" s="587"/>
      <c r="K46" s="587"/>
      <c r="L46" s="587"/>
      <c r="M46" s="587"/>
      <c r="N46" s="587"/>
      <c r="O46" s="587"/>
      <c r="P46" s="587"/>
      <c r="Q46" s="587"/>
      <c r="R46" s="587"/>
      <c r="S46" s="587"/>
      <c r="T46" s="587"/>
      <c r="U46" s="587"/>
      <c r="V46" s="587"/>
      <c r="W46" s="587"/>
      <c r="X46" t="s">
        <v>1447</v>
      </c>
      <c r="Z46" s="218">
        <f>Data!B1498</f>
        <v>0</v>
      </c>
      <c r="AA46" s="218"/>
      <c r="AB46" s="218"/>
      <c r="AC46" s="218"/>
      <c r="AD46" s="218"/>
      <c r="AE46" s="218"/>
      <c r="AF46" s="218"/>
      <c r="AG46" s="218"/>
      <c r="AH46" s="218"/>
      <c r="AI46" s="218"/>
    </row>
    <row r="47" spans="1:39" x14ac:dyDescent="0.2">
      <c r="H47" s="14"/>
      <c r="I47" s="260"/>
      <c r="J47" s="260"/>
      <c r="K47" s="260"/>
      <c r="L47" s="260"/>
      <c r="M47" s="260"/>
      <c r="N47" s="260"/>
      <c r="O47" s="260"/>
      <c r="P47" s="260"/>
      <c r="Q47" s="260"/>
      <c r="R47" s="260"/>
      <c r="S47" s="260"/>
      <c r="T47" s="260"/>
      <c r="U47" s="260"/>
      <c r="V47" s="260"/>
      <c r="W47" s="260"/>
      <c r="Z47" s="16"/>
      <c r="AA47" s="16"/>
      <c r="AB47" s="16"/>
      <c r="AC47" s="16"/>
      <c r="AD47" s="16"/>
      <c r="AE47" s="16"/>
      <c r="AF47" s="16"/>
      <c r="AG47" s="16"/>
      <c r="AH47" s="16"/>
      <c r="AI47" s="16"/>
    </row>
    <row r="48" spans="1:39" x14ac:dyDescent="0.2">
      <c r="A48" t="s">
        <v>3163</v>
      </c>
      <c r="H48" s="14"/>
      <c r="I48" s="260"/>
      <c r="J48" s="260"/>
      <c r="K48" s="260"/>
      <c r="L48" s="260"/>
      <c r="M48" s="260"/>
      <c r="N48" s="260"/>
      <c r="O48" s="260"/>
      <c r="P48" s="260"/>
      <c r="Q48" s="260"/>
      <c r="R48" s="260"/>
      <c r="S48" s="260"/>
      <c r="T48" s="260"/>
      <c r="U48" s="260"/>
      <c r="V48" s="260"/>
      <c r="W48" s="260"/>
      <c r="Z48" s="16"/>
      <c r="AA48" s="16"/>
      <c r="AB48" s="16"/>
      <c r="AC48" s="16"/>
      <c r="AD48" s="16"/>
      <c r="AE48" s="16"/>
      <c r="AF48" s="16"/>
      <c r="AG48" s="16"/>
      <c r="AH48" s="16"/>
      <c r="AI48" s="16"/>
    </row>
    <row r="49" spans="8:35" x14ac:dyDescent="0.2">
      <c r="H49" s="14"/>
      <c r="I49" s="587"/>
      <c r="J49" s="587"/>
      <c r="K49" s="587"/>
      <c r="L49" s="587"/>
      <c r="M49" s="587"/>
      <c r="N49" s="587"/>
      <c r="O49" s="587"/>
      <c r="P49" s="587"/>
      <c r="Q49" s="587"/>
      <c r="R49" s="587"/>
      <c r="S49" s="587"/>
      <c r="T49" s="587"/>
      <c r="U49" s="587"/>
      <c r="V49" s="587"/>
      <c r="W49" s="587"/>
      <c r="X49" t="s">
        <v>1447</v>
      </c>
      <c r="Z49" s="218">
        <f>Data!B1498</f>
        <v>0</v>
      </c>
      <c r="AA49" s="218"/>
      <c r="AB49" s="218"/>
      <c r="AC49" s="218"/>
      <c r="AD49" s="218"/>
      <c r="AE49" s="218"/>
      <c r="AF49" s="218"/>
      <c r="AG49" s="218"/>
      <c r="AH49" s="218"/>
      <c r="AI49" s="218"/>
    </row>
  </sheetData>
  <mergeCells count="28">
    <mergeCell ref="Z49:AI49"/>
    <mergeCell ref="I44:W46"/>
    <mergeCell ref="I47:W49"/>
    <mergeCell ref="A32:AM32"/>
    <mergeCell ref="A33:AL35"/>
    <mergeCell ref="A36:AM36"/>
    <mergeCell ref="A37:AM37"/>
    <mergeCell ref="M26:AM26"/>
    <mergeCell ref="M27:AM27"/>
    <mergeCell ref="M28:AM28"/>
    <mergeCell ref="G12:K12"/>
    <mergeCell ref="Z46:AI46"/>
    <mergeCell ref="I18:Q18"/>
    <mergeCell ref="I19:Q19"/>
    <mergeCell ref="A21:AM21"/>
    <mergeCell ref="M24:AM24"/>
    <mergeCell ref="M25:AM25"/>
    <mergeCell ref="G10:AL11"/>
    <mergeCell ref="A15:AM15"/>
    <mergeCell ref="F16:L16"/>
    <mergeCell ref="F2:W2"/>
    <mergeCell ref="AA2:AG2"/>
    <mergeCell ref="D3:Q3"/>
    <mergeCell ref="U3:AB3"/>
    <mergeCell ref="AJ3:AM3"/>
    <mergeCell ref="O5:X5"/>
    <mergeCell ref="G13:M13"/>
    <mergeCell ref="U13:AB13"/>
  </mergeCells>
  <pageMargins left="0.25" right="0.25" top="0.75" bottom="0.75" header="0.3" footer="0.3"/>
  <pageSetup orientation="portrait" verticalDpi="1200" r:id="rId1"/>
  <headerFooter>
    <oddHeader>&amp;L&amp;G&amp;RSkilled Nursing Service Agreement</oddHeader>
    <oddFooter>&amp;C3088 Mercer University Drive Suite 100 Atlanta, GA 30341
678-310-6305 Fax 404-935-6110</oddFooter>
  </headerFooter>
  <legacyDrawingHF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6">
    <tabColor rgb="FF00B050"/>
  </sheetPr>
  <dimension ref="A1:AM52"/>
  <sheetViews>
    <sheetView showZeros="0" view="pageLayout" zoomScaleNormal="100" workbookViewId="0">
      <selection activeCell="D6" sqref="D6:S6"/>
    </sheetView>
  </sheetViews>
  <sheetFormatPr defaultColWidth="2.7109375" defaultRowHeight="12.75" x14ac:dyDescent="0.2"/>
  <cols>
    <col min="38" max="38" width="1.5703125" customWidth="1"/>
  </cols>
  <sheetData>
    <row r="1" spans="1:39" x14ac:dyDescent="0.2">
      <c r="A1" t="s">
        <v>571</v>
      </c>
      <c r="F1" s="233">
        <f>Data!B1491</f>
        <v>0</v>
      </c>
      <c r="G1" s="233"/>
      <c r="H1" s="233"/>
      <c r="I1" s="233"/>
      <c r="J1" s="233"/>
      <c r="K1" s="233"/>
      <c r="L1" s="233"/>
      <c r="M1" s="233"/>
      <c r="N1" s="233"/>
      <c r="O1" s="233"/>
      <c r="P1" s="233"/>
      <c r="Q1" s="233"/>
      <c r="R1" s="233"/>
      <c r="S1" s="233"/>
      <c r="T1" s="233"/>
      <c r="U1" s="233"/>
      <c r="V1" s="233"/>
      <c r="W1" s="233"/>
      <c r="AD1" s="137" t="s">
        <v>35</v>
      </c>
      <c r="AE1" s="218">
        <f>Data!B1498</f>
        <v>0</v>
      </c>
      <c r="AF1" s="218"/>
      <c r="AG1" s="218"/>
      <c r="AH1" s="218"/>
      <c r="AI1" s="218"/>
      <c r="AJ1" s="218"/>
      <c r="AK1" s="218"/>
      <c r="AL1" s="218"/>
    </row>
    <row r="2" spans="1:39" x14ac:dyDescent="0.2">
      <c r="A2" t="s">
        <v>343</v>
      </c>
      <c r="F2" s="255" t="str">
        <f>Data!B1492&amp;" "&amp;Data!B1493&amp;", "&amp;Data!B1494&amp;" "&amp;Data!B1495</f>
        <v xml:space="preserve"> ,  </v>
      </c>
      <c r="G2" s="255"/>
      <c r="H2" s="255"/>
      <c r="I2" s="255"/>
      <c r="J2" s="255"/>
      <c r="K2" s="255"/>
      <c r="L2" s="255"/>
      <c r="M2" s="255"/>
      <c r="N2" s="255"/>
      <c r="O2" s="255"/>
      <c r="P2" s="255"/>
      <c r="Q2" s="255"/>
      <c r="R2" s="255"/>
      <c r="S2" s="255"/>
      <c r="T2" s="255"/>
      <c r="U2" s="255"/>
      <c r="V2" s="255"/>
      <c r="W2" s="255"/>
      <c r="AD2" s="137" t="s">
        <v>3046</v>
      </c>
      <c r="AE2" s="218">
        <f>Data!B34</f>
        <v>0</v>
      </c>
      <c r="AF2" s="218"/>
      <c r="AG2" s="218"/>
      <c r="AH2" s="218"/>
      <c r="AI2" s="218"/>
      <c r="AJ2" s="218"/>
      <c r="AK2" s="218"/>
      <c r="AL2" s="218"/>
    </row>
    <row r="3" spans="1:39" x14ac:dyDescent="0.2">
      <c r="F3" s="255"/>
      <c r="G3" s="255"/>
      <c r="H3" s="255"/>
      <c r="I3" s="255"/>
      <c r="J3" s="255"/>
      <c r="K3" s="255"/>
      <c r="L3" s="255"/>
      <c r="M3" s="255"/>
      <c r="N3" s="255"/>
      <c r="O3" s="255"/>
      <c r="P3" s="255"/>
      <c r="Q3" s="255"/>
      <c r="R3" s="255"/>
      <c r="S3" s="255"/>
      <c r="T3" s="255"/>
      <c r="U3" s="255"/>
      <c r="V3" s="255"/>
      <c r="W3" s="255"/>
      <c r="AD3" s="137" t="s">
        <v>3047</v>
      </c>
      <c r="AE3" s="218">
        <f>EDATE(Data!B34,2)</f>
        <v>60</v>
      </c>
      <c r="AF3" s="218"/>
      <c r="AG3" s="218"/>
      <c r="AH3" s="218"/>
      <c r="AI3" s="218"/>
      <c r="AJ3" s="218"/>
      <c r="AK3" s="218"/>
      <c r="AL3" s="218"/>
    </row>
    <row r="4" spans="1:39" x14ac:dyDescent="0.2">
      <c r="A4" t="s">
        <v>348</v>
      </c>
      <c r="D4" s="233">
        <f>Data!B1496</f>
        <v>0</v>
      </c>
      <c r="E4" s="233"/>
      <c r="F4" s="233"/>
      <c r="G4" s="233"/>
      <c r="H4" s="233"/>
      <c r="I4" s="233"/>
      <c r="J4" s="233"/>
      <c r="K4" s="233"/>
      <c r="M4" t="s">
        <v>61</v>
      </c>
      <c r="O4" s="233">
        <f>Data!B1497</f>
        <v>0</v>
      </c>
      <c r="P4" s="233"/>
      <c r="Q4" s="233"/>
      <c r="R4" s="233"/>
      <c r="S4" s="233"/>
      <c r="T4" s="233"/>
      <c r="U4" s="233"/>
      <c r="V4" s="233"/>
      <c r="W4" s="233"/>
      <c r="Y4" t="str">
        <f>_xlfn.CONCAT(DxListFull!A2," (",DxListFull!B2,")")</f>
        <v xml:space="preserve"> ()</v>
      </c>
    </row>
    <row r="5" spans="1:39" x14ac:dyDescent="0.2">
      <c r="A5" t="s">
        <v>336</v>
      </c>
      <c r="E5" s="233" t="str">
        <f>_xlfn.CONCAT(Data!B2,", ",Data!B3," ",Data!B4)</f>
        <v xml:space="preserve">,  </v>
      </c>
      <c r="F5" s="233"/>
      <c r="G5" s="233"/>
      <c r="H5" s="233"/>
      <c r="I5" s="233"/>
      <c r="J5" s="233"/>
      <c r="K5" s="233"/>
      <c r="L5" s="233"/>
      <c r="M5" s="233"/>
      <c r="N5" s="233"/>
      <c r="O5" s="233"/>
      <c r="P5" s="233"/>
      <c r="Q5" s="233"/>
      <c r="R5" s="233"/>
      <c r="S5" s="233"/>
      <c r="T5" s="233"/>
      <c r="U5" s="233"/>
      <c r="V5" s="233"/>
      <c r="W5" s="233"/>
      <c r="X5" s="233"/>
      <c r="Y5" s="233"/>
      <c r="AA5" t="s">
        <v>337</v>
      </c>
      <c r="AE5" s="306">
        <f>Data!B14</f>
        <v>0</v>
      </c>
      <c r="AF5" s="233"/>
      <c r="AG5" s="233"/>
      <c r="AH5" s="233"/>
      <c r="AI5" s="233"/>
      <c r="AJ5" s="233"/>
    </row>
    <row r="6" spans="1:39" x14ac:dyDescent="0.2">
      <c r="A6" t="s">
        <v>343</v>
      </c>
      <c r="D6" s="233" t="str">
        <f>Data!B5&amp;" "&amp;Data!B6</f>
        <v xml:space="preserve"> </v>
      </c>
      <c r="E6" s="233"/>
      <c r="F6" s="233"/>
      <c r="G6" s="233"/>
      <c r="H6" s="233"/>
      <c r="I6" s="233"/>
      <c r="J6" s="233"/>
      <c r="K6" s="233"/>
      <c r="L6" s="233"/>
      <c r="M6" s="233"/>
      <c r="N6" s="233"/>
      <c r="O6" s="233"/>
      <c r="P6" s="233"/>
      <c r="Q6" s="233"/>
      <c r="R6" s="233"/>
      <c r="S6" s="233"/>
      <c r="U6" t="s">
        <v>665</v>
      </c>
      <c r="W6" s="233">
        <f>Data!B7</f>
        <v>0</v>
      </c>
      <c r="X6" s="233"/>
      <c r="Y6" s="233"/>
      <c r="Z6" s="233"/>
      <c r="AA6" s="233"/>
      <c r="AB6" s="233"/>
      <c r="AC6" s="233"/>
      <c r="AD6" s="233"/>
      <c r="AF6" t="s">
        <v>667</v>
      </c>
      <c r="AH6" s="233">
        <f>Data!B9</f>
        <v>0</v>
      </c>
      <c r="AI6" s="233"/>
      <c r="AJ6" s="233"/>
      <c r="AK6" s="233"/>
      <c r="AL6" s="233"/>
    </row>
    <row r="7" spans="1:39" x14ac:dyDescent="0.2">
      <c r="A7" t="s">
        <v>3048</v>
      </c>
      <c r="E7" s="233">
        <f>DxListFull!A2</f>
        <v>0</v>
      </c>
      <c r="F7" s="233"/>
      <c r="G7" s="233"/>
      <c r="H7" s="233"/>
      <c r="I7" s="233"/>
      <c r="J7" s="233"/>
      <c r="K7" s="233"/>
      <c r="L7" s="233"/>
      <c r="M7" s="233"/>
      <c r="N7" s="233"/>
      <c r="Q7" t="s">
        <v>575</v>
      </c>
      <c r="U7" t="s">
        <v>2989</v>
      </c>
      <c r="Y7" s="233" t="str">
        <f>_xlfn.CONCAT(Data!B414,IF(Data!B417=TRUE,"No Medication Allergies.",""))</f>
        <v/>
      </c>
      <c r="Z7" s="233"/>
      <c r="AA7" s="233"/>
      <c r="AB7" s="233"/>
      <c r="AC7" s="233"/>
      <c r="AD7" s="233"/>
      <c r="AE7" s="233"/>
      <c r="AF7" s="233"/>
      <c r="AG7" s="233"/>
      <c r="AH7" s="233"/>
      <c r="AI7" s="233"/>
      <c r="AJ7" s="233"/>
      <c r="AK7" s="233"/>
      <c r="AL7" s="233"/>
      <c r="AM7" s="233"/>
    </row>
    <row r="8" spans="1:39" x14ac:dyDescent="0.2">
      <c r="A8" t="s">
        <v>3049</v>
      </c>
      <c r="E8" s="233">
        <f>DxListFull!A3</f>
        <v>0</v>
      </c>
      <c r="F8" s="233"/>
      <c r="G8" s="233"/>
      <c r="H8" s="233"/>
      <c r="I8" s="233"/>
      <c r="J8" s="233"/>
      <c r="K8" s="233"/>
      <c r="L8" s="233"/>
      <c r="M8" s="233"/>
      <c r="N8" s="233"/>
      <c r="U8" t="s">
        <v>577</v>
      </c>
      <c r="Y8" s="233" t="str">
        <f>_xlfn.CONCAT(Data!B415,IF(Data!B418=TRUE,"No Food Allergies.",""))</f>
        <v/>
      </c>
      <c r="Z8" s="233"/>
      <c r="AA8" s="233"/>
      <c r="AB8" s="233"/>
      <c r="AC8" s="233"/>
      <c r="AD8" s="233"/>
      <c r="AE8" s="233"/>
      <c r="AF8" s="233"/>
      <c r="AG8" s="233"/>
      <c r="AH8" s="233"/>
      <c r="AI8" s="233"/>
      <c r="AJ8" s="233"/>
      <c r="AK8" s="233"/>
      <c r="AL8" s="233"/>
      <c r="AM8" s="233"/>
    </row>
    <row r="9" spans="1:39" x14ac:dyDescent="0.2">
      <c r="A9" t="s">
        <v>3050</v>
      </c>
      <c r="E9" s="233">
        <f>DxListFull!A4</f>
        <v>0</v>
      </c>
      <c r="F9" s="233"/>
      <c r="G9" s="233"/>
      <c r="H9" s="233"/>
      <c r="I9" s="233"/>
      <c r="J9" s="233"/>
      <c r="K9" s="233"/>
      <c r="L9" s="233"/>
      <c r="M9" s="233"/>
      <c r="N9" s="233"/>
      <c r="U9" t="s">
        <v>3051</v>
      </c>
      <c r="Y9" s="233" t="str">
        <f>_xlfn.CONCAT(Data!B416,IF(Data!B419=TRUE,"No Environmental Allergies",""))</f>
        <v/>
      </c>
      <c r="Z9" s="233"/>
      <c r="AA9" s="233"/>
      <c r="AB9" s="233"/>
      <c r="AC9" s="233"/>
      <c r="AD9" s="233"/>
      <c r="AE9" s="233"/>
      <c r="AF9" s="233"/>
      <c r="AG9" s="233"/>
      <c r="AH9" s="233"/>
      <c r="AI9" s="233"/>
      <c r="AJ9" s="233"/>
      <c r="AK9" s="233"/>
      <c r="AL9" s="233"/>
      <c r="AM9" s="233"/>
    </row>
    <row r="11" spans="1:39" x14ac:dyDescent="0.2">
      <c r="A11" t="s">
        <v>3052</v>
      </c>
      <c r="C11" s="239" t="str">
        <f>ppm.specific!G7</f>
        <v/>
      </c>
      <c r="D11" s="239"/>
      <c r="E11" s="239"/>
      <c r="F11" s="239"/>
      <c r="G11" s="239"/>
      <c r="H11" s="239"/>
      <c r="I11" s="239"/>
      <c r="J11" s="239"/>
      <c r="K11" s="239"/>
      <c r="L11" s="239"/>
      <c r="M11" s="239"/>
      <c r="N11" s="239"/>
      <c r="O11" s="239"/>
      <c r="P11" s="239"/>
      <c r="Q11" s="239"/>
      <c r="R11" s="239"/>
      <c r="S11" s="239"/>
      <c r="T11" s="239"/>
      <c r="U11" s="239"/>
      <c r="V11" s="239"/>
      <c r="W11" s="239"/>
      <c r="X11" s="239"/>
      <c r="Y11" s="239"/>
      <c r="Z11" s="239"/>
      <c r="AA11" s="239"/>
      <c r="AB11" s="239"/>
      <c r="AC11" s="239"/>
      <c r="AD11" s="239"/>
      <c r="AE11" s="239"/>
      <c r="AF11" s="239"/>
      <c r="AG11" s="239"/>
      <c r="AH11" s="239"/>
      <c r="AI11" s="239"/>
      <c r="AJ11" s="239"/>
      <c r="AK11" s="239"/>
      <c r="AL11" s="239"/>
      <c r="AM11" s="239"/>
    </row>
    <row r="12" spans="1:39" x14ac:dyDescent="0.2">
      <c r="C12" s="239"/>
      <c r="D12" s="239"/>
      <c r="E12" s="239"/>
      <c r="F12" s="239"/>
      <c r="G12" s="239"/>
      <c r="H12" s="239"/>
      <c r="I12" s="239"/>
      <c r="J12" s="239"/>
      <c r="K12" s="239"/>
      <c r="L12" s="239"/>
      <c r="M12" s="239"/>
      <c r="N12" s="239"/>
      <c r="O12" s="239"/>
      <c r="P12" s="239"/>
      <c r="Q12" s="239"/>
      <c r="R12" s="239"/>
      <c r="S12" s="239"/>
      <c r="T12" s="239"/>
      <c r="U12" s="239"/>
      <c r="V12" s="239"/>
      <c r="W12" s="239"/>
      <c r="X12" s="239"/>
      <c r="Y12" s="239"/>
      <c r="Z12" s="239"/>
      <c r="AA12" s="239"/>
      <c r="AB12" s="239"/>
      <c r="AC12" s="239"/>
      <c r="AD12" s="239"/>
      <c r="AE12" s="239"/>
      <c r="AF12" s="239"/>
      <c r="AG12" s="239"/>
      <c r="AH12" s="239"/>
      <c r="AI12" s="239"/>
      <c r="AJ12" s="239"/>
      <c r="AK12" s="239"/>
      <c r="AL12" s="239"/>
      <c r="AM12" s="239"/>
    </row>
    <row r="13" spans="1:39" x14ac:dyDescent="0.2">
      <c r="C13" s="239"/>
      <c r="D13" s="239"/>
      <c r="E13" s="239"/>
      <c r="F13" s="239"/>
      <c r="G13" s="239"/>
      <c r="H13" s="239"/>
      <c r="I13" s="239"/>
      <c r="J13" s="239"/>
      <c r="K13" s="239"/>
      <c r="L13" s="239"/>
      <c r="M13" s="239"/>
      <c r="N13" s="239"/>
      <c r="O13" s="239"/>
      <c r="P13" s="239"/>
      <c r="Q13" s="239"/>
      <c r="R13" s="239"/>
      <c r="S13" s="239"/>
      <c r="T13" s="239"/>
      <c r="U13" s="239"/>
      <c r="V13" s="239"/>
      <c r="W13" s="239"/>
      <c r="X13" s="239"/>
      <c r="Y13" s="239"/>
      <c r="Z13" s="239"/>
      <c r="AA13" s="239"/>
      <c r="AB13" s="239"/>
      <c r="AC13" s="239"/>
      <c r="AD13" s="239"/>
      <c r="AE13" s="239"/>
      <c r="AF13" s="239"/>
      <c r="AG13" s="239"/>
      <c r="AH13" s="239"/>
      <c r="AI13" s="239"/>
      <c r="AJ13" s="239"/>
      <c r="AK13" s="239"/>
      <c r="AL13" s="239"/>
      <c r="AM13" s="239"/>
    </row>
    <row r="14" spans="1:39" x14ac:dyDescent="0.2">
      <c r="A14" t="s">
        <v>4770</v>
      </c>
    </row>
    <row r="15" spans="1:39" x14ac:dyDescent="0.2">
      <c r="A15" t="s">
        <v>3062</v>
      </c>
      <c r="I15" s="233">
        <f>Data!B659</f>
        <v>0</v>
      </c>
      <c r="J15" s="233"/>
      <c r="K15" s="233"/>
      <c r="L15" s="233"/>
      <c r="M15" s="233"/>
      <c r="N15" s="233"/>
      <c r="O15" s="233"/>
      <c r="P15" s="233"/>
      <c r="Q15" s="233"/>
      <c r="R15" s="233"/>
      <c r="S15" s="233"/>
      <c r="T15" s="233"/>
      <c r="U15" s="233"/>
      <c r="V15" s="233"/>
      <c r="W15" s="233"/>
      <c r="X15" s="233"/>
      <c r="Y15" s="233"/>
      <c r="Z15" s="233"/>
      <c r="AA15" s="233"/>
      <c r="AB15" s="233"/>
      <c r="AC15" s="233"/>
      <c r="AD15" s="233"/>
      <c r="AE15" s="233"/>
      <c r="AF15" s="233"/>
      <c r="AG15" s="233"/>
      <c r="AH15" s="233"/>
      <c r="AI15" s="233"/>
      <c r="AJ15" s="233"/>
      <c r="AK15" s="233"/>
      <c r="AL15" s="233"/>
    </row>
    <row r="16" spans="1:39" x14ac:dyDescent="0.2">
      <c r="A16" t="s">
        <v>3065</v>
      </c>
      <c r="G16" s="233">
        <f>Data!B326</f>
        <v>0</v>
      </c>
      <c r="H16" s="233"/>
      <c r="I16" s="233"/>
      <c r="J16" s="233"/>
      <c r="K16" s="233"/>
      <c r="L16" s="233"/>
    </row>
    <row r="17" spans="1:39" x14ac:dyDescent="0.2">
      <c r="A17" s="589" t="s">
        <v>3053</v>
      </c>
      <c r="B17" s="589"/>
      <c r="C17" s="589"/>
      <c r="D17" s="589"/>
      <c r="E17" s="589"/>
      <c r="F17" s="589"/>
      <c r="G17" s="589"/>
      <c r="H17" s="589"/>
      <c r="I17" s="589"/>
      <c r="J17" s="589"/>
      <c r="K17" s="589"/>
      <c r="L17" s="589"/>
      <c r="M17" s="589"/>
      <c r="N17" s="589"/>
      <c r="O17" s="589"/>
      <c r="P17" s="589"/>
      <c r="Q17" s="589"/>
      <c r="R17" s="589"/>
      <c r="S17" s="589"/>
      <c r="T17" s="589"/>
      <c r="U17" s="589"/>
      <c r="V17" s="589"/>
      <c r="W17" s="589"/>
      <c r="X17" s="589"/>
      <c r="Y17" s="589"/>
      <c r="Z17" s="589"/>
      <c r="AA17" s="589"/>
      <c r="AB17" s="589"/>
      <c r="AC17" s="589"/>
      <c r="AD17" s="589"/>
      <c r="AE17" s="589"/>
      <c r="AF17" s="589"/>
      <c r="AG17" s="589"/>
      <c r="AH17" s="589"/>
      <c r="AI17" s="589"/>
      <c r="AJ17" s="589"/>
      <c r="AK17" s="589"/>
      <c r="AL17" s="589"/>
      <c r="AM17" s="589"/>
    </row>
    <row r="18" spans="1:39" x14ac:dyDescent="0.2">
      <c r="A18" s="21" t="str">
        <f>IF(Data!B1500=TRUE,"P","")</f>
        <v/>
      </c>
      <c r="B18" t="s">
        <v>3054</v>
      </c>
      <c r="M18" s="4" t="str">
        <f>IF(Data!B1504=TRUE,"P","")</f>
        <v/>
      </c>
      <c r="N18" t="s">
        <v>3056</v>
      </c>
      <c r="Y18" s="21" t="str">
        <f>IF(Data!B1503=TRUE,"P","")</f>
        <v/>
      </c>
      <c r="Z18" t="s">
        <v>3042</v>
      </c>
    </row>
    <row r="19" spans="1:39" x14ac:dyDescent="0.2">
      <c r="A19" s="21" t="str">
        <f>IF(Data!B1501=TRUE,"P","")</f>
        <v/>
      </c>
      <c r="B19" t="s">
        <v>3041</v>
      </c>
      <c r="M19" s="4" t="str">
        <f>IF(Data!B1505=TRUE,"P","")</f>
        <v/>
      </c>
      <c r="N19" t="s">
        <v>3043</v>
      </c>
      <c r="Y19" s="21" t="str">
        <f>IF(Data!B1507=TRUE,"P","")</f>
        <v/>
      </c>
      <c r="Z19" t="s">
        <v>1419</v>
      </c>
    </row>
    <row r="20" spans="1:39" x14ac:dyDescent="0.2">
      <c r="A20" s="21" t="str">
        <f>IF(Data!B1502=TRUE,"P","")</f>
        <v/>
      </c>
      <c r="B20" t="s">
        <v>3055</v>
      </c>
      <c r="M20" s="4" t="str">
        <f>IF(Data!B1506=TRUE,"P","")</f>
        <v/>
      </c>
      <c r="N20" t="s">
        <v>3044</v>
      </c>
    </row>
    <row r="21" spans="1:39" x14ac:dyDescent="0.2">
      <c r="A21" s="589" t="s">
        <v>3057</v>
      </c>
      <c r="B21" s="589"/>
      <c r="C21" s="589"/>
      <c r="D21" s="589"/>
      <c r="E21" s="589"/>
      <c r="F21" s="589"/>
      <c r="G21" s="589"/>
      <c r="H21" s="589"/>
      <c r="I21" s="589"/>
      <c r="J21" s="589"/>
      <c r="K21" s="589"/>
      <c r="L21" s="589"/>
      <c r="M21" s="589"/>
      <c r="N21" s="589"/>
      <c r="O21" s="589"/>
      <c r="P21" s="589"/>
      <c r="Q21" s="589"/>
      <c r="R21" s="589"/>
      <c r="S21" s="589"/>
      <c r="T21" s="589"/>
      <c r="U21" s="589"/>
      <c r="V21" s="589"/>
      <c r="W21" s="589"/>
      <c r="X21" s="589"/>
      <c r="Y21" s="589"/>
      <c r="Z21" s="589"/>
      <c r="AA21" s="589"/>
      <c r="AB21" s="589"/>
      <c r="AC21" s="589"/>
      <c r="AD21" s="589"/>
      <c r="AE21" s="589"/>
      <c r="AF21" s="589"/>
      <c r="AG21" s="589"/>
      <c r="AH21" s="589"/>
      <c r="AI21" s="589"/>
      <c r="AJ21" s="589"/>
      <c r="AK21" s="589"/>
      <c r="AL21" s="589"/>
      <c r="AM21" s="589"/>
    </row>
    <row r="22" spans="1:39" x14ac:dyDescent="0.2">
      <c r="A22" s="21" t="str">
        <f>IF(Data!B862=TRUE,"P","")</f>
        <v/>
      </c>
      <c r="B22" t="s">
        <v>3058</v>
      </c>
      <c r="G22" s="21" t="str">
        <f>IF(Data!B887=TRUE,"P","")</f>
        <v/>
      </c>
      <c r="H22" t="s">
        <v>300</v>
      </c>
      <c r="Q22" s="21" t="str">
        <f>IF(Data!B878=TRUE,"P","")</f>
        <v/>
      </c>
      <c r="R22" t="s">
        <v>292</v>
      </c>
      <c r="Z22" s="21" t="str">
        <f>IF(Data!B886=TRUE,"P","")</f>
        <v/>
      </c>
      <c r="AA22" t="s">
        <v>299</v>
      </c>
    </row>
    <row r="23" spans="1:39" x14ac:dyDescent="0.2">
      <c r="A23" s="21" t="str">
        <f>IF(Data!B1508=TRUE,"P","")</f>
        <v/>
      </c>
      <c r="B23" t="s">
        <v>3045</v>
      </c>
      <c r="G23" s="21" t="str">
        <f>IF(Data!B883=TRUE,"P","")</f>
        <v/>
      </c>
      <c r="H23" t="s">
        <v>296</v>
      </c>
      <c r="Q23" s="21" t="str">
        <f>IF(Data!B882=TRUE,"P","")</f>
        <v/>
      </c>
      <c r="R23" t="s">
        <v>3059</v>
      </c>
      <c r="Z23" s="21" t="str">
        <f>IF(Data!B879=TRUE,"P","")</f>
        <v/>
      </c>
      <c r="AA23" t="s">
        <v>293</v>
      </c>
    </row>
    <row r="24" spans="1:39" x14ac:dyDescent="0.2">
      <c r="A24" s="589" t="s">
        <v>1072</v>
      </c>
      <c r="B24" s="589"/>
      <c r="C24" s="589"/>
      <c r="D24" s="589"/>
      <c r="E24" s="589"/>
      <c r="F24" s="589"/>
      <c r="G24" s="589"/>
      <c r="H24" s="589"/>
      <c r="I24" s="589"/>
      <c r="J24" s="589"/>
      <c r="K24" s="589"/>
      <c r="L24" s="589"/>
      <c r="M24" s="589"/>
      <c r="N24" s="589"/>
      <c r="O24" s="589"/>
      <c r="P24" s="589"/>
      <c r="Q24" s="589"/>
      <c r="R24" s="589"/>
      <c r="S24" s="589"/>
      <c r="T24" s="589"/>
      <c r="U24" s="589"/>
      <c r="V24" s="589"/>
      <c r="W24" s="589"/>
      <c r="X24" s="589"/>
      <c r="Y24" s="589"/>
      <c r="Z24" s="589"/>
      <c r="AA24" s="589"/>
      <c r="AB24" s="589"/>
      <c r="AC24" s="589"/>
      <c r="AD24" s="589"/>
      <c r="AE24" s="589"/>
      <c r="AF24" s="589"/>
      <c r="AG24" s="589"/>
      <c r="AH24" s="589"/>
      <c r="AI24" s="589"/>
      <c r="AJ24" s="589"/>
      <c r="AK24" s="589"/>
      <c r="AL24" s="589"/>
      <c r="AM24" s="589"/>
    </row>
    <row r="25" spans="1:39" x14ac:dyDescent="0.2">
      <c r="A25" s="21" t="str">
        <f>IF(Data!B930=TRUE,"P","")</f>
        <v/>
      </c>
      <c r="B25" t="s">
        <v>321</v>
      </c>
      <c r="H25" s="21" t="str">
        <f>IF(Data!B735=TRUE,"P","")</f>
        <v/>
      </c>
      <c r="I25" t="s">
        <v>1087</v>
      </c>
      <c r="R25" s="21" t="str">
        <f>IF(Data!B560=TRUE,"P","")</f>
        <v/>
      </c>
      <c r="S25" t="s">
        <v>3060</v>
      </c>
      <c r="AA25" s="21" t="str">
        <f>IF(Data!B933=TRUE,"P","")</f>
        <v/>
      </c>
      <c r="AB25" t="s">
        <v>324</v>
      </c>
    </row>
    <row r="26" spans="1:39" x14ac:dyDescent="0.2">
      <c r="A26" s="21" t="str">
        <f>IF(Data!E751=TRUE,"P","")</f>
        <v/>
      </c>
      <c r="B26" t="s">
        <v>2878</v>
      </c>
      <c r="H26" s="21" t="str">
        <f>IF(Data!B708=TRUE,"P","")</f>
        <v/>
      </c>
      <c r="I26" t="s">
        <v>859</v>
      </c>
      <c r="R26" s="21" t="str">
        <f>IF(Data!B581=TRUE,"P","")</f>
        <v/>
      </c>
      <c r="S26" t="s">
        <v>3061</v>
      </c>
      <c r="AA26" s="21" t="str">
        <f>IF(Data!B934=TRUE,"P","")</f>
        <v/>
      </c>
      <c r="AB26" t="s">
        <v>910</v>
      </c>
    </row>
    <row r="27" spans="1:39" x14ac:dyDescent="0.2">
      <c r="A27" s="589" t="s">
        <v>3063</v>
      </c>
      <c r="B27" s="589"/>
      <c r="C27" s="589"/>
      <c r="D27" s="589"/>
      <c r="E27" s="589"/>
      <c r="F27" s="589"/>
      <c r="G27" s="589"/>
      <c r="H27" s="589"/>
      <c r="I27" s="589"/>
      <c r="J27" s="589"/>
      <c r="K27" s="589"/>
      <c r="L27" s="589"/>
      <c r="M27" s="589"/>
      <c r="N27" s="589"/>
      <c r="O27" s="589"/>
      <c r="P27" s="589"/>
      <c r="Q27" s="589"/>
      <c r="R27" s="589"/>
      <c r="S27" s="589"/>
      <c r="T27" s="589"/>
      <c r="U27" s="589"/>
      <c r="V27" s="589"/>
      <c r="W27" s="589"/>
      <c r="X27" s="589"/>
      <c r="Y27" s="589"/>
      <c r="Z27" s="589"/>
      <c r="AA27" s="589"/>
      <c r="AB27" s="589"/>
      <c r="AC27" s="589"/>
      <c r="AD27" s="589"/>
      <c r="AE27" s="589"/>
      <c r="AF27" s="589"/>
      <c r="AG27" s="589"/>
      <c r="AH27" s="589"/>
      <c r="AI27" s="589"/>
      <c r="AJ27" s="589"/>
      <c r="AK27" s="589"/>
      <c r="AL27" s="589"/>
      <c r="AM27" s="589"/>
    </row>
    <row r="28" spans="1:39" x14ac:dyDescent="0.2">
      <c r="A28" s="239">
        <f>Data!B1509</f>
        <v>0</v>
      </c>
      <c r="B28" s="239"/>
      <c r="C28" s="239"/>
      <c r="D28" s="239"/>
      <c r="E28" s="239"/>
      <c r="F28" s="239"/>
      <c r="G28" s="239"/>
      <c r="H28" s="239"/>
      <c r="I28" s="239"/>
      <c r="J28" s="239"/>
      <c r="K28" s="239"/>
      <c r="L28" s="239"/>
      <c r="M28" s="239"/>
      <c r="N28" s="239"/>
      <c r="O28" s="239"/>
      <c r="P28" s="239"/>
      <c r="Q28" s="239"/>
      <c r="R28" s="239"/>
      <c r="S28" s="239"/>
      <c r="T28" s="239"/>
      <c r="U28" s="239"/>
      <c r="V28" s="239"/>
      <c r="W28" s="239"/>
      <c r="X28" s="239"/>
      <c r="Y28" s="239"/>
      <c r="Z28" s="239"/>
      <c r="AA28" s="239"/>
      <c r="AB28" s="239"/>
      <c r="AC28" s="239"/>
      <c r="AD28" s="239"/>
      <c r="AE28" s="239"/>
      <c r="AF28" s="239"/>
      <c r="AG28" s="239"/>
      <c r="AH28" s="239"/>
      <c r="AI28" s="239"/>
      <c r="AJ28" s="239"/>
      <c r="AK28" s="239"/>
      <c r="AL28" s="239"/>
      <c r="AM28" s="239"/>
    </row>
    <row r="29" spans="1:39" x14ac:dyDescent="0.2">
      <c r="A29" s="239"/>
      <c r="B29" s="239"/>
      <c r="C29" s="239"/>
      <c r="D29" s="239"/>
      <c r="E29" s="239"/>
      <c r="F29" s="239"/>
      <c r="G29" s="239"/>
      <c r="H29" s="239"/>
      <c r="I29" s="239"/>
      <c r="J29" s="239"/>
      <c r="K29" s="239"/>
      <c r="L29" s="239"/>
      <c r="M29" s="239"/>
      <c r="N29" s="239"/>
      <c r="O29" s="239"/>
      <c r="P29" s="239"/>
      <c r="Q29" s="239"/>
      <c r="R29" s="239"/>
      <c r="S29" s="239"/>
      <c r="T29" s="239"/>
      <c r="U29" s="239"/>
      <c r="V29" s="239"/>
      <c r="W29" s="239"/>
      <c r="X29" s="239"/>
      <c r="Y29" s="239"/>
      <c r="Z29" s="239"/>
      <c r="AA29" s="239"/>
      <c r="AB29" s="239"/>
      <c r="AC29" s="239"/>
      <c r="AD29" s="239"/>
      <c r="AE29" s="239"/>
      <c r="AF29" s="239"/>
      <c r="AG29" s="239"/>
      <c r="AH29" s="239"/>
      <c r="AI29" s="239"/>
      <c r="AJ29" s="239"/>
      <c r="AK29" s="239"/>
      <c r="AL29" s="239"/>
      <c r="AM29" s="239"/>
    </row>
    <row r="30" spans="1:39" x14ac:dyDescent="0.2">
      <c r="A30" t="s">
        <v>3064</v>
      </c>
      <c r="G30" s="233">
        <f>Data!B1490</f>
        <v>0</v>
      </c>
      <c r="H30" s="233"/>
      <c r="I30" s="233"/>
      <c r="J30" s="233"/>
      <c r="L30" t="s">
        <v>583</v>
      </c>
      <c r="Q30" s="233">
        <f>Data!B185</f>
        <v>0</v>
      </c>
      <c r="R30" s="233"/>
      <c r="S30" s="233"/>
      <c r="T30" s="233"/>
      <c r="U30" s="233"/>
      <c r="V30" s="233"/>
      <c r="W30" s="233"/>
    </row>
    <row r="31" spans="1:39" x14ac:dyDescent="0.2">
      <c r="A31" s="589" t="s">
        <v>134</v>
      </c>
      <c r="B31" s="589"/>
      <c r="C31" s="589"/>
      <c r="D31" s="589"/>
      <c r="E31" s="589"/>
      <c r="F31" s="589"/>
      <c r="G31" s="589"/>
      <c r="H31" s="589"/>
      <c r="I31" s="589"/>
      <c r="J31" s="589"/>
      <c r="K31" s="589"/>
      <c r="L31" s="589"/>
      <c r="M31" s="589"/>
      <c r="N31" s="589"/>
      <c r="O31" s="589"/>
      <c r="P31" s="589"/>
      <c r="Q31" s="589"/>
      <c r="R31" s="589"/>
      <c r="S31" s="589"/>
      <c r="T31" s="589"/>
      <c r="U31" s="589"/>
      <c r="V31" s="589"/>
      <c r="W31" s="589"/>
      <c r="X31" s="589"/>
      <c r="Y31" s="589"/>
      <c r="Z31" s="589"/>
      <c r="AA31" s="589"/>
      <c r="AB31" s="589"/>
      <c r="AC31" s="589"/>
      <c r="AD31" s="589"/>
      <c r="AE31" s="589"/>
      <c r="AF31" s="589"/>
      <c r="AG31" s="589"/>
      <c r="AH31" s="589"/>
      <c r="AI31" s="589"/>
      <c r="AJ31" s="589"/>
      <c r="AK31" s="589"/>
      <c r="AL31" s="589"/>
      <c r="AM31" s="589"/>
    </row>
    <row r="32" spans="1:39" x14ac:dyDescent="0.2">
      <c r="A32" s="21" t="str">
        <f>IF(Data!B1511=TRUE,"P","")</f>
        <v/>
      </c>
      <c r="B32" t="s">
        <v>3066</v>
      </c>
    </row>
    <row r="33" spans="1:39" x14ac:dyDescent="0.2">
      <c r="A33" s="21" t="str">
        <f>IF(Data!B1512=TRUE,"P","")</f>
        <v/>
      </c>
      <c r="B33" t="s">
        <v>3067</v>
      </c>
    </row>
    <row r="34" spans="1:39" x14ac:dyDescent="0.2">
      <c r="A34" s="21" t="str">
        <f>IF(Data!B1513=TRUE,"P","")</f>
        <v/>
      </c>
      <c r="B34" t="s">
        <v>3068</v>
      </c>
    </row>
    <row r="35" spans="1:39" x14ac:dyDescent="0.2">
      <c r="A35" s="21" t="str">
        <f>IF(Data!B1514=TRUE,"P","")</f>
        <v/>
      </c>
      <c r="B35" t="s">
        <v>3069</v>
      </c>
    </row>
    <row r="36" spans="1:39" x14ac:dyDescent="0.2">
      <c r="A36" s="21" t="str">
        <f>IF(Data!B1515=TRUE,"P","")</f>
        <v/>
      </c>
      <c r="B36" t="s">
        <v>3070</v>
      </c>
    </row>
    <row r="37" spans="1:39" x14ac:dyDescent="0.2">
      <c r="A37" s="589" t="s">
        <v>3071</v>
      </c>
      <c r="B37" s="589"/>
      <c r="C37" s="589"/>
      <c r="D37" s="589"/>
      <c r="E37" s="589"/>
      <c r="F37" s="589"/>
      <c r="G37" s="589"/>
      <c r="H37" s="589"/>
      <c r="I37" s="589"/>
      <c r="J37" s="589"/>
      <c r="K37" s="589"/>
      <c r="L37" s="589"/>
      <c r="M37" s="589"/>
      <c r="N37" s="589"/>
      <c r="O37" s="589"/>
      <c r="P37" s="589"/>
      <c r="Q37" s="589"/>
      <c r="R37" s="589"/>
      <c r="S37" s="589"/>
      <c r="T37" s="589"/>
      <c r="U37" s="589"/>
      <c r="V37" s="589"/>
      <c r="W37" s="589"/>
      <c r="X37" s="589"/>
      <c r="Y37" s="589"/>
      <c r="Z37" s="589"/>
      <c r="AA37" s="589"/>
      <c r="AB37" s="589"/>
      <c r="AC37" s="589"/>
      <c r="AD37" s="589"/>
      <c r="AE37" s="589"/>
      <c r="AF37" s="589"/>
      <c r="AG37" s="589"/>
      <c r="AH37" s="589"/>
      <c r="AI37" s="589"/>
      <c r="AJ37" s="589"/>
      <c r="AK37" s="589"/>
      <c r="AL37" s="589"/>
      <c r="AM37" s="589"/>
    </row>
    <row r="38" spans="1:39" x14ac:dyDescent="0.2">
      <c r="A38" s="21" t="str">
        <f>IF(Data!B1516=TRUE,"P","")</f>
        <v/>
      </c>
      <c r="B38" t="s">
        <v>3072</v>
      </c>
    </row>
    <row r="39" spans="1:39" x14ac:dyDescent="0.2">
      <c r="A39" s="21" t="str">
        <f>IF(Data!B1517=TRUE,"P","")</f>
        <v/>
      </c>
      <c r="B39" t="s">
        <v>3174</v>
      </c>
    </row>
    <row r="40" spans="1:39" x14ac:dyDescent="0.2">
      <c r="A40" s="21" t="str">
        <f>IF(Data!B1518=TRUE,"P","")</f>
        <v>P</v>
      </c>
      <c r="B40" t="s">
        <v>3073</v>
      </c>
    </row>
    <row r="41" spans="1:39" x14ac:dyDescent="0.2">
      <c r="A41" s="260"/>
      <c r="B41" s="260"/>
      <c r="C41" s="260"/>
      <c r="D41" s="260"/>
      <c r="E41" s="260"/>
      <c r="F41" s="260"/>
      <c r="G41" s="260"/>
      <c r="H41" s="260"/>
      <c r="I41" s="260"/>
      <c r="J41" s="260"/>
      <c r="K41" s="260"/>
      <c r="L41" s="260"/>
      <c r="M41" s="260"/>
      <c r="N41" s="260"/>
      <c r="O41" s="260"/>
      <c r="P41" s="260"/>
      <c r="Q41" s="260"/>
      <c r="R41" s="260"/>
      <c r="S41" s="260"/>
      <c r="U41" t="s">
        <v>3074</v>
      </c>
      <c r="X41" s="276">
        <f>Data!B175</f>
        <v>0</v>
      </c>
      <c r="Y41" s="276"/>
      <c r="Z41" s="276"/>
      <c r="AA41" s="276"/>
      <c r="AB41" s="276"/>
      <c r="AC41" s="276"/>
      <c r="AD41" s="276"/>
      <c r="AE41" s="276"/>
      <c r="AF41" s="276"/>
      <c r="AG41" s="276"/>
      <c r="AH41" s="276"/>
      <c r="AI41" s="276"/>
      <c r="AJ41" s="276"/>
      <c r="AK41" s="276"/>
    </row>
    <row r="42" spans="1:39" x14ac:dyDescent="0.2">
      <c r="A42" s="260"/>
      <c r="B42" s="260"/>
      <c r="C42" s="260"/>
      <c r="D42" s="260"/>
      <c r="E42" s="260"/>
      <c r="F42" s="260"/>
      <c r="G42" s="260"/>
      <c r="H42" s="260"/>
      <c r="I42" s="260"/>
      <c r="J42" s="260"/>
      <c r="K42" s="260"/>
      <c r="L42" s="260"/>
      <c r="M42" s="260"/>
      <c r="N42" s="260"/>
      <c r="O42" s="260"/>
      <c r="P42" s="260"/>
      <c r="Q42" s="260"/>
      <c r="R42" s="260"/>
      <c r="S42" s="260"/>
      <c r="U42" t="s">
        <v>1179</v>
      </c>
      <c r="Y42" s="307">
        <f>Data!B34</f>
        <v>0</v>
      </c>
      <c r="Z42" s="307"/>
      <c r="AA42" s="307"/>
      <c r="AB42" s="307"/>
      <c r="AC42" s="307"/>
      <c r="AD42" s="307"/>
      <c r="AE42" s="307"/>
      <c r="AF42" s="307"/>
      <c r="AG42" s="307"/>
    </row>
    <row r="43" spans="1:39" x14ac:dyDescent="0.2">
      <c r="A43" s="587"/>
      <c r="B43" s="587"/>
      <c r="C43" s="587"/>
      <c r="D43" s="587"/>
      <c r="E43" s="587"/>
      <c r="F43" s="587"/>
      <c r="G43" s="587"/>
      <c r="H43" s="587"/>
      <c r="I43" s="587"/>
      <c r="J43" s="587"/>
      <c r="K43" s="587"/>
      <c r="L43" s="587"/>
      <c r="M43" s="587"/>
      <c r="N43" s="587"/>
      <c r="O43" s="587"/>
      <c r="P43" s="587"/>
      <c r="Q43" s="587"/>
      <c r="R43" s="587"/>
      <c r="S43" s="587"/>
    </row>
    <row r="44" spans="1:39" x14ac:dyDescent="0.2">
      <c r="A44" t="s">
        <v>2981</v>
      </c>
      <c r="U44" t="s">
        <v>3078</v>
      </c>
      <c r="AA44" s="34"/>
      <c r="AB44" s="34"/>
      <c r="AC44" s="34"/>
      <c r="AD44" s="34"/>
      <c r="AE44" s="34"/>
      <c r="AF44" s="34"/>
      <c r="AG44" s="34"/>
      <c r="AH44" s="34"/>
      <c r="AI44" s="34"/>
      <c r="AJ44" s="34"/>
      <c r="AK44" s="34"/>
      <c r="AL44" s="34"/>
    </row>
    <row r="45" spans="1:39" ht="8.25" customHeight="1" x14ac:dyDescent="0.2"/>
    <row r="46" spans="1:39" x14ac:dyDescent="0.2">
      <c r="A46" s="590" t="s">
        <v>3075</v>
      </c>
      <c r="B46" s="591"/>
      <c r="C46" s="591"/>
      <c r="D46" s="591"/>
      <c r="E46" s="591"/>
      <c r="F46" s="591"/>
      <c r="G46" s="591"/>
      <c r="H46" s="591"/>
      <c r="I46" s="591"/>
      <c r="J46" s="591"/>
      <c r="K46" s="591"/>
      <c r="L46" s="591"/>
      <c r="M46" s="591"/>
      <c r="N46" s="591"/>
      <c r="O46" s="591"/>
      <c r="P46" s="591"/>
      <c r="Q46" s="591"/>
      <c r="R46" s="591"/>
      <c r="S46" s="591"/>
      <c r="T46" s="591"/>
      <c r="U46" s="591"/>
      <c r="V46" s="591"/>
      <c r="W46" s="591"/>
      <c r="X46" s="591"/>
      <c r="Y46" s="591"/>
      <c r="Z46" s="591"/>
      <c r="AA46" s="591"/>
      <c r="AB46" s="591"/>
      <c r="AC46" s="591"/>
      <c r="AD46" s="591"/>
      <c r="AE46" s="591"/>
      <c r="AF46" s="591"/>
      <c r="AG46" s="591"/>
      <c r="AH46" s="591"/>
      <c r="AI46" s="591"/>
      <c r="AJ46" s="591"/>
      <c r="AK46" s="591"/>
      <c r="AL46" s="591"/>
      <c r="AM46" s="592"/>
    </row>
    <row r="47" spans="1:39" x14ac:dyDescent="0.2">
      <c r="A47" s="596" t="s">
        <v>3076</v>
      </c>
      <c r="B47" s="216"/>
      <c r="C47" s="216"/>
      <c r="D47" s="216"/>
      <c r="E47" s="216"/>
      <c r="F47" s="216"/>
      <c r="G47" s="216"/>
      <c r="H47" s="216"/>
      <c r="I47" s="216"/>
      <c r="J47" s="216"/>
      <c r="K47" s="216"/>
      <c r="L47" s="216"/>
      <c r="M47" s="216"/>
      <c r="N47" s="216"/>
      <c r="O47" s="216"/>
      <c r="P47" s="216"/>
      <c r="Q47" s="216"/>
      <c r="R47" s="216"/>
      <c r="S47" s="216"/>
      <c r="T47" s="216"/>
      <c r="U47" s="216"/>
      <c r="V47" s="216"/>
      <c r="W47" s="216"/>
      <c r="X47" s="216"/>
      <c r="Y47" s="216"/>
      <c r="Z47" s="216"/>
      <c r="AA47" s="216"/>
      <c r="AB47" s="216"/>
      <c r="AC47" s="216"/>
      <c r="AD47" s="216"/>
      <c r="AE47" s="216"/>
      <c r="AF47" s="216"/>
      <c r="AG47" s="216"/>
      <c r="AH47" s="216"/>
      <c r="AI47" s="216"/>
      <c r="AJ47" s="216"/>
      <c r="AK47" s="216"/>
      <c r="AL47" s="216"/>
      <c r="AM47" s="597"/>
    </row>
    <row r="48" spans="1:39" x14ac:dyDescent="0.2">
      <c r="A48" s="596"/>
      <c r="B48" s="216"/>
      <c r="C48" s="216"/>
      <c r="D48" s="216"/>
      <c r="E48" s="216"/>
      <c r="F48" s="216"/>
      <c r="G48" s="216"/>
      <c r="H48" s="216"/>
      <c r="I48" s="216"/>
      <c r="J48" s="216"/>
      <c r="K48" s="216"/>
      <c r="L48" s="216"/>
      <c r="M48" s="216"/>
      <c r="N48" s="216"/>
      <c r="O48" s="216"/>
      <c r="P48" s="216"/>
      <c r="Q48" s="216"/>
      <c r="R48" s="216"/>
      <c r="S48" s="216"/>
      <c r="T48" s="216"/>
      <c r="U48" s="216"/>
      <c r="V48" s="216"/>
      <c r="W48" s="216"/>
      <c r="X48" s="216"/>
      <c r="Y48" s="216"/>
      <c r="Z48" s="216"/>
      <c r="AA48" s="216"/>
      <c r="AB48" s="216"/>
      <c r="AC48" s="216"/>
      <c r="AD48" s="216"/>
      <c r="AE48" s="216"/>
      <c r="AF48" s="216"/>
      <c r="AG48" s="216"/>
      <c r="AH48" s="216"/>
      <c r="AI48" s="216"/>
      <c r="AJ48" s="216"/>
      <c r="AK48" s="216"/>
      <c r="AL48" s="216"/>
      <c r="AM48" s="597"/>
    </row>
    <row r="49" spans="1:39" x14ac:dyDescent="0.2">
      <c r="A49" s="593"/>
      <c r="B49" s="217"/>
      <c r="C49" s="217"/>
      <c r="D49" s="217"/>
      <c r="E49" s="217"/>
      <c r="F49" s="217"/>
      <c r="G49" s="217"/>
      <c r="H49" s="217"/>
      <c r="I49" s="217"/>
      <c r="J49" s="217"/>
      <c r="K49" s="217"/>
      <c r="L49" s="217"/>
      <c r="M49" s="217"/>
      <c r="N49" s="217"/>
      <c r="O49" s="217"/>
      <c r="P49" s="217"/>
      <c r="Q49" s="217"/>
      <c r="R49" s="217"/>
      <c r="S49" s="217"/>
      <c r="T49" s="217"/>
      <c r="V49" t="s">
        <v>571</v>
      </c>
      <c r="AA49" s="276">
        <f>Data!B1491</f>
        <v>0</v>
      </c>
      <c r="AB49" s="276"/>
      <c r="AC49" s="276"/>
      <c r="AD49" s="276"/>
      <c r="AE49" s="276"/>
      <c r="AF49" s="276"/>
      <c r="AG49" s="276"/>
      <c r="AH49" s="276"/>
      <c r="AI49" s="276"/>
      <c r="AJ49" s="276"/>
      <c r="AK49" s="276"/>
      <c r="AL49" s="276"/>
      <c r="AM49" s="35"/>
    </row>
    <row r="50" spans="1:39" x14ac:dyDescent="0.2">
      <c r="A50" s="593"/>
      <c r="B50" s="217"/>
      <c r="C50" s="217"/>
      <c r="D50" s="217"/>
      <c r="E50" s="217"/>
      <c r="F50" s="217"/>
      <c r="G50" s="217"/>
      <c r="H50" s="217"/>
      <c r="I50" s="217"/>
      <c r="J50" s="217"/>
      <c r="K50" s="217"/>
      <c r="L50" s="217"/>
      <c r="M50" s="217"/>
      <c r="N50" s="217"/>
      <c r="O50" s="217"/>
      <c r="P50" s="217"/>
      <c r="Q50" s="217"/>
      <c r="R50" s="217"/>
      <c r="S50" s="217"/>
      <c r="T50" s="217"/>
      <c r="AM50" s="35"/>
    </row>
    <row r="51" spans="1:39" x14ac:dyDescent="0.2">
      <c r="A51" s="594"/>
      <c r="B51" s="535"/>
      <c r="C51" s="535"/>
      <c r="D51" s="535"/>
      <c r="E51" s="535"/>
      <c r="F51" s="535"/>
      <c r="G51" s="535"/>
      <c r="H51" s="535"/>
      <c r="I51" s="535"/>
      <c r="J51" s="535"/>
      <c r="K51" s="535"/>
      <c r="L51" s="535"/>
      <c r="M51" s="535"/>
      <c r="N51" s="535"/>
      <c r="O51" s="535"/>
      <c r="P51" s="535"/>
      <c r="Q51" s="535"/>
      <c r="R51" s="535"/>
      <c r="S51" s="535"/>
      <c r="T51" s="535"/>
      <c r="V51" s="595"/>
      <c r="W51" s="595"/>
      <c r="X51" s="595"/>
      <c r="Y51" s="595"/>
      <c r="Z51" s="595"/>
      <c r="AA51" s="595"/>
      <c r="AB51" s="595"/>
      <c r="AC51" s="595"/>
      <c r="AD51" s="595"/>
      <c r="AM51" s="35"/>
    </row>
    <row r="52" spans="1:39" x14ac:dyDescent="0.2">
      <c r="A52" s="138" t="s">
        <v>3077</v>
      </c>
      <c r="B52" s="34"/>
      <c r="C52" s="34"/>
      <c r="D52" s="34"/>
      <c r="E52" s="34"/>
      <c r="F52" s="34"/>
      <c r="G52" s="34"/>
      <c r="H52" s="34"/>
      <c r="I52" s="34"/>
      <c r="J52" s="34"/>
      <c r="K52" s="34"/>
      <c r="L52" s="34"/>
      <c r="M52" s="34"/>
      <c r="N52" s="34"/>
      <c r="O52" s="34"/>
      <c r="P52" s="34"/>
      <c r="Q52" s="34"/>
      <c r="R52" s="34"/>
      <c r="S52" s="34"/>
      <c r="T52" s="34"/>
      <c r="U52" s="34"/>
      <c r="V52" s="34" t="s">
        <v>1179</v>
      </c>
      <c r="W52" s="34"/>
      <c r="X52" s="34"/>
      <c r="Y52" s="34"/>
      <c r="Z52" s="34"/>
      <c r="AA52" s="34"/>
      <c r="AB52" s="34"/>
      <c r="AC52" s="34"/>
      <c r="AD52" s="34"/>
      <c r="AE52" s="34"/>
      <c r="AF52" s="34"/>
      <c r="AG52" s="34"/>
      <c r="AH52" s="34"/>
      <c r="AI52" s="34"/>
      <c r="AJ52" s="34"/>
      <c r="AK52" s="34"/>
      <c r="AL52" s="34"/>
      <c r="AM52" s="36"/>
    </row>
  </sheetData>
  <mergeCells count="38">
    <mergeCell ref="A46:AM46"/>
    <mergeCell ref="A49:T51"/>
    <mergeCell ref="V51:AD51"/>
    <mergeCell ref="A47:AM48"/>
    <mergeCell ref="A37:AM37"/>
    <mergeCell ref="A41:S43"/>
    <mergeCell ref="X41:AK41"/>
    <mergeCell ref="Y42:AG42"/>
    <mergeCell ref="AA49:AL49"/>
    <mergeCell ref="F1:W1"/>
    <mergeCell ref="F2:W3"/>
    <mergeCell ref="D4:K4"/>
    <mergeCell ref="O4:W4"/>
    <mergeCell ref="A28:AM29"/>
    <mergeCell ref="AE1:AL1"/>
    <mergeCell ref="AE2:AL2"/>
    <mergeCell ref="AE3:AL3"/>
    <mergeCell ref="E5:Y5"/>
    <mergeCell ref="AE5:AJ5"/>
    <mergeCell ref="Y7:AM7"/>
    <mergeCell ref="Y8:AM8"/>
    <mergeCell ref="Y9:AM9"/>
    <mergeCell ref="G30:J30"/>
    <mergeCell ref="Q30:W30"/>
    <mergeCell ref="A31:AM31"/>
    <mergeCell ref="G16:L16"/>
    <mergeCell ref="D6:S6"/>
    <mergeCell ref="W6:AD6"/>
    <mergeCell ref="AH6:AL6"/>
    <mergeCell ref="I15:AL15"/>
    <mergeCell ref="A27:AM27"/>
    <mergeCell ref="C11:AM13"/>
    <mergeCell ref="A17:AM17"/>
    <mergeCell ref="A21:AM21"/>
    <mergeCell ref="A24:AM24"/>
    <mergeCell ref="E7:N7"/>
    <mergeCell ref="E8:N8"/>
    <mergeCell ref="E9:N9"/>
  </mergeCells>
  <pageMargins left="0.25" right="0.25" top="0.75" bottom="0.75" header="0.3" footer="0.3"/>
  <pageSetup orientation="portrait" verticalDpi="1200" r:id="rId1"/>
  <headerFooter>
    <oddHeader>&amp;L&amp;G&amp;RSkilled Nursing Care Plan</oddHeader>
    <oddFooter>&amp;C3088 Mercer University Drive Suite 100 Atlanta, GA 30341
678-310-6305 Fax 404-935-6110</oddFooter>
  </headerFooter>
  <legacyDrawingHF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0DDED-349A-4EAB-823C-9D1F8092B068}">
  <sheetPr codeName="Sheet67">
    <tabColor rgb="FF00B050"/>
  </sheetPr>
  <dimension ref="A1:AM51"/>
  <sheetViews>
    <sheetView showZeros="0" view="pageLayout" topLeftCell="A28" zoomScaleNormal="100" workbookViewId="0">
      <selection sqref="A1:AM53"/>
    </sheetView>
  </sheetViews>
  <sheetFormatPr defaultColWidth="2.7109375" defaultRowHeight="12.75" x14ac:dyDescent="0.2"/>
  <cols>
    <col min="38" max="39" width="2" customWidth="1"/>
  </cols>
  <sheetData>
    <row r="1" spans="1:39" x14ac:dyDescent="0.2">
      <c r="A1" t="s">
        <v>1280</v>
      </c>
      <c r="E1" s="218">
        <f>Data!B1520</f>
        <v>0</v>
      </c>
      <c r="F1" s="218"/>
      <c r="G1" s="218"/>
      <c r="H1" s="218"/>
      <c r="I1" s="218"/>
      <c r="J1" s="218"/>
      <c r="K1" s="218"/>
      <c r="L1" s="218"/>
      <c r="M1" s="218"/>
      <c r="N1" s="218"/>
      <c r="Q1" t="s">
        <v>1282</v>
      </c>
      <c r="V1" s="233">
        <f>Data!B1521</f>
        <v>0</v>
      </c>
      <c r="W1" s="233"/>
      <c r="X1" s="233"/>
      <c r="Y1" s="233"/>
      <c r="Z1" s="233"/>
      <c r="AA1" s="233"/>
      <c r="AB1" s="233"/>
      <c r="AC1" s="233"/>
      <c r="AD1" s="233"/>
      <c r="AE1" s="233"/>
      <c r="AF1" s="233"/>
    </row>
    <row r="2" spans="1:39" x14ac:dyDescent="0.2">
      <c r="A2" t="s">
        <v>336</v>
      </c>
      <c r="E2" s="233" t="str">
        <f>_xlfn.CONCAT(Data!B2,", ",Data!B3," ",Data!B4)</f>
        <v xml:space="preserve">,  </v>
      </c>
      <c r="F2" s="233"/>
      <c r="G2" s="233"/>
      <c r="H2" s="233"/>
      <c r="I2" s="233"/>
      <c r="J2" s="233"/>
      <c r="K2" s="233"/>
      <c r="L2" s="233"/>
      <c r="M2" s="233"/>
      <c r="N2" s="233"/>
      <c r="O2" s="233"/>
      <c r="P2" s="233"/>
      <c r="Q2" s="233"/>
      <c r="R2" s="233"/>
      <c r="T2" t="s">
        <v>371</v>
      </c>
      <c r="V2" s="306">
        <f>Data!B14</f>
        <v>0</v>
      </c>
      <c r="W2" s="233"/>
      <c r="X2" s="233"/>
      <c r="Y2" s="233"/>
      <c r="Z2" s="233"/>
      <c r="AA2" s="233"/>
      <c r="AB2" s="233"/>
      <c r="AC2" s="233"/>
    </row>
    <row r="3" spans="1:39" x14ac:dyDescent="0.2">
      <c r="A3" t="s">
        <v>3079</v>
      </c>
      <c r="H3" s="21" t="str">
        <f>IF(Data!B1522=TRUE,"P","")</f>
        <v/>
      </c>
      <c r="I3" t="s">
        <v>3080</v>
      </c>
      <c r="R3" s="21" t="str">
        <f>IF(Data!B1524=TRUE,"P","")</f>
        <v/>
      </c>
      <c r="S3" t="s">
        <v>3081</v>
      </c>
      <c r="AC3" s="21" t="str">
        <f>IF(Data!B1526=TRUE,"P","")</f>
        <v/>
      </c>
      <c r="AD3" t="s">
        <v>1423</v>
      </c>
    </row>
    <row r="4" spans="1:39" x14ac:dyDescent="0.2">
      <c r="H4" s="21" t="str">
        <f>IF(Data!B1523=TRUE,"P","")</f>
        <v/>
      </c>
      <c r="I4" t="s">
        <v>3032</v>
      </c>
      <c r="R4" s="21" t="str">
        <f>IF(Data!B1525=TRUE,"P","")</f>
        <v/>
      </c>
      <c r="S4" t="s">
        <v>3055</v>
      </c>
      <c r="AC4" s="21" t="str">
        <f>IF(Data!B1527=TRUE,"P","")</f>
        <v/>
      </c>
      <c r="AD4" t="s">
        <v>3033</v>
      </c>
    </row>
    <row r="5" spans="1:39" x14ac:dyDescent="0.2">
      <c r="A5" s="589" t="s">
        <v>3080</v>
      </c>
      <c r="B5" s="589"/>
      <c r="C5" s="589"/>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589"/>
      <c r="AK5" s="589"/>
      <c r="AL5" s="589"/>
      <c r="AM5" s="589"/>
    </row>
    <row r="6" spans="1:39" x14ac:dyDescent="0.2">
      <c r="A6" t="s">
        <v>3082</v>
      </c>
      <c r="E6" s="239">
        <f>Data!B1528</f>
        <v>0</v>
      </c>
      <c r="F6" s="239"/>
      <c r="G6" s="239"/>
      <c r="H6" s="239"/>
      <c r="I6" s="239"/>
      <c r="J6" s="239"/>
      <c r="K6" s="239"/>
      <c r="L6" s="239"/>
      <c r="M6" s="239"/>
      <c r="N6" s="239"/>
      <c r="O6" s="239"/>
      <c r="P6" s="239"/>
      <c r="Q6" s="239"/>
      <c r="R6" s="239"/>
      <c r="S6" s="239"/>
      <c r="T6" s="239"/>
      <c r="U6" s="239"/>
      <c r="V6" s="239"/>
      <c r="W6" s="239"/>
      <c r="X6" s="239"/>
      <c r="Y6" s="239"/>
      <c r="Z6" s="239"/>
      <c r="AA6" s="239"/>
      <c r="AB6" s="239"/>
      <c r="AC6" s="239"/>
      <c r="AD6" s="239"/>
      <c r="AE6" s="239"/>
      <c r="AF6" s="239"/>
      <c r="AG6" s="239"/>
      <c r="AH6" s="239"/>
      <c r="AI6" s="239"/>
      <c r="AJ6" s="239"/>
      <c r="AK6" s="239"/>
      <c r="AL6" s="239"/>
      <c r="AM6" s="239"/>
    </row>
    <row r="7" spans="1:39" x14ac:dyDescent="0.2">
      <c r="E7" s="239"/>
      <c r="F7" s="239"/>
      <c r="G7" s="239"/>
      <c r="H7" s="239"/>
      <c r="I7" s="239"/>
      <c r="J7" s="239"/>
      <c r="K7" s="239"/>
      <c r="L7" s="239"/>
      <c r="M7" s="239"/>
      <c r="N7" s="239"/>
      <c r="O7" s="239"/>
      <c r="P7" s="239"/>
      <c r="Q7" s="239"/>
      <c r="R7" s="239"/>
      <c r="S7" s="239"/>
      <c r="T7" s="239"/>
      <c r="U7" s="239"/>
      <c r="V7" s="239"/>
      <c r="W7" s="239"/>
      <c r="X7" s="239"/>
      <c r="Y7" s="239"/>
      <c r="Z7" s="239"/>
      <c r="AA7" s="239"/>
      <c r="AB7" s="239"/>
      <c r="AC7" s="239"/>
      <c r="AD7" s="239"/>
      <c r="AE7" s="239"/>
      <c r="AF7" s="239"/>
      <c r="AG7" s="239"/>
      <c r="AH7" s="239"/>
      <c r="AI7" s="239"/>
      <c r="AJ7" s="239"/>
      <c r="AK7" s="239"/>
      <c r="AL7" s="239"/>
      <c r="AM7" s="239"/>
    </row>
    <row r="8" spans="1:39" ht="9" customHeight="1" x14ac:dyDescent="0.2">
      <c r="E8" s="239"/>
      <c r="F8" s="239"/>
      <c r="G8" s="239"/>
      <c r="H8" s="239"/>
      <c r="I8" s="239"/>
      <c r="J8" s="239"/>
      <c r="K8" s="239"/>
      <c r="L8" s="239"/>
      <c r="M8" s="239"/>
      <c r="N8" s="239"/>
      <c r="O8" s="239"/>
      <c r="P8" s="239"/>
      <c r="Q8" s="239"/>
      <c r="R8" s="239"/>
      <c r="S8" s="239"/>
      <c r="T8" s="239"/>
      <c r="U8" s="239"/>
      <c r="V8" s="239"/>
      <c r="W8" s="239"/>
      <c r="X8" s="239"/>
      <c r="Y8" s="239"/>
      <c r="Z8" s="239"/>
      <c r="AA8" s="239"/>
      <c r="AB8" s="239"/>
      <c r="AC8" s="239"/>
      <c r="AD8" s="239"/>
      <c r="AE8" s="239"/>
      <c r="AF8" s="239"/>
      <c r="AG8" s="239"/>
      <c r="AH8" s="239"/>
      <c r="AI8" s="239"/>
      <c r="AJ8" s="239"/>
      <c r="AK8" s="239"/>
      <c r="AL8" s="239"/>
      <c r="AM8" s="239"/>
    </row>
    <row r="9" spans="1:39" x14ac:dyDescent="0.2">
      <c r="A9" s="589" t="s">
        <v>3032</v>
      </c>
      <c r="B9" s="589"/>
      <c r="C9" s="589"/>
      <c r="D9" s="589"/>
      <c r="E9" s="589"/>
      <c r="F9" s="589"/>
      <c r="G9" s="589"/>
      <c r="H9" s="589"/>
      <c r="I9" s="589"/>
      <c r="J9" s="589"/>
      <c r="K9" s="589"/>
      <c r="L9" s="589"/>
      <c r="M9" s="589"/>
      <c r="N9" s="589"/>
      <c r="O9" s="589"/>
      <c r="P9" s="589"/>
      <c r="Q9" s="589"/>
      <c r="R9" s="589"/>
      <c r="S9" s="589"/>
      <c r="T9" s="589"/>
      <c r="U9" s="589"/>
      <c r="V9" s="589"/>
      <c r="W9" s="589"/>
      <c r="X9" s="589"/>
      <c r="Y9" s="589"/>
      <c r="Z9" s="589"/>
      <c r="AA9" s="589"/>
      <c r="AB9" s="589"/>
      <c r="AC9" s="589"/>
      <c r="AD9" s="589"/>
      <c r="AE9" s="589"/>
      <c r="AF9" s="589"/>
      <c r="AG9" s="589"/>
      <c r="AH9" s="589"/>
      <c r="AI9" s="589"/>
      <c r="AJ9" s="589"/>
      <c r="AK9" s="589"/>
      <c r="AL9" s="589"/>
      <c r="AM9" s="589"/>
    </row>
    <row r="10" spans="1:39" x14ac:dyDescent="0.2">
      <c r="A10" s="21" t="str">
        <f>IF(Data!B1529=TRUE,"P","")</f>
        <v/>
      </c>
      <c r="B10" t="s">
        <v>3083</v>
      </c>
      <c r="M10" s="21"/>
      <c r="N10" t="s">
        <v>3086</v>
      </c>
      <c r="S10" s="21" t="str">
        <f>IF(Data!B1535=TRUE,"P","")</f>
        <v/>
      </c>
      <c r="T10" t="s">
        <v>3090</v>
      </c>
      <c r="AA10" s="21" t="str">
        <f>IF(Data!B1539=TRUE,"P","")</f>
        <v/>
      </c>
      <c r="AB10" t="s">
        <v>3094</v>
      </c>
    </row>
    <row r="11" spans="1:39" x14ac:dyDescent="0.2">
      <c r="A11" s="21" t="str">
        <f>IF(Data!B1530=TRUE,"P","")</f>
        <v/>
      </c>
      <c r="B11" t="s">
        <v>3084</v>
      </c>
      <c r="N11" s="21" t="str">
        <f>IF(Data!B1532=TRUE,"P","")</f>
        <v/>
      </c>
      <c r="O11" t="s">
        <v>3087</v>
      </c>
      <c r="T11" s="21" t="str">
        <f>IF(Data!B1536=TRUE,"P","")</f>
        <v/>
      </c>
      <c r="U11" t="s">
        <v>3091</v>
      </c>
      <c r="AA11" s="21" t="str">
        <f>IF(Data!B1540=TRUE,"P","")</f>
        <v/>
      </c>
      <c r="AB11" t="s">
        <v>3095</v>
      </c>
    </row>
    <row r="12" spans="1:39" x14ac:dyDescent="0.2">
      <c r="A12" s="21" t="str">
        <f>IF(Data!B1597=TRUE,"P","")</f>
        <v/>
      </c>
      <c r="B12" t="s">
        <v>3085</v>
      </c>
      <c r="N12" s="21" t="str">
        <f>IF(Data!B1533=TRUE,"P","")</f>
        <v/>
      </c>
      <c r="O12" t="s">
        <v>3088</v>
      </c>
      <c r="T12" s="21" t="str">
        <f>IF(Data!B1537=TRUE,"P","")</f>
        <v/>
      </c>
      <c r="U12" t="s">
        <v>3092</v>
      </c>
      <c r="AA12" s="21" t="str">
        <f>IF(Data!B1541=TRUE,"P","")</f>
        <v/>
      </c>
      <c r="AB12" t="s">
        <v>3096</v>
      </c>
    </row>
    <row r="13" spans="1:39" x14ac:dyDescent="0.2">
      <c r="C13" s="233">
        <f>Data!B1531</f>
        <v>0</v>
      </c>
      <c r="D13" s="233"/>
      <c r="E13" s="233"/>
      <c r="F13" s="233"/>
      <c r="G13" s="233"/>
      <c r="H13" s="233"/>
      <c r="I13" s="233"/>
      <c r="J13" s="233"/>
      <c r="K13" s="233"/>
      <c r="N13" s="21" t="str">
        <f>IF(Data!B1534=TRUE,"P","")</f>
        <v/>
      </c>
      <c r="O13" t="s">
        <v>3089</v>
      </c>
      <c r="T13" s="21" t="str">
        <f>IF(Data!B1538=TRUE,"P","")</f>
        <v/>
      </c>
      <c r="U13" t="s">
        <v>3093</v>
      </c>
      <c r="AA13" s="4"/>
      <c r="AB13" t="s">
        <v>3097</v>
      </c>
      <c r="AE13" s="233">
        <f>Data!B1542</f>
        <v>0</v>
      </c>
      <c r="AF13" s="233"/>
      <c r="AG13" s="233"/>
      <c r="AH13" s="233"/>
      <c r="AI13" s="233"/>
      <c r="AJ13" t="s">
        <v>3098</v>
      </c>
    </row>
    <row r="14" spans="1:39" x14ac:dyDescent="0.2">
      <c r="A14" t="s">
        <v>3099</v>
      </c>
      <c r="H14" s="233">
        <f>Data!B1543</f>
        <v>0</v>
      </c>
      <c r="I14" s="233"/>
      <c r="J14" s="233"/>
      <c r="K14" s="233"/>
      <c r="L14" s="233"/>
      <c r="M14" s="233"/>
      <c r="N14" t="s">
        <v>3100</v>
      </c>
      <c r="P14" t="s">
        <v>3101</v>
      </c>
      <c r="R14" s="233">
        <f>Data!B1544</f>
        <v>0</v>
      </c>
      <c r="S14" s="233"/>
      <c r="T14" s="233"/>
      <c r="U14" s="233"/>
      <c r="V14" s="233"/>
      <c r="W14" s="233"/>
      <c r="X14" s="233"/>
      <c r="Y14" s="233"/>
      <c r="Z14" s="233"/>
      <c r="AA14" s="233"/>
    </row>
    <row r="15" spans="1:39" x14ac:dyDescent="0.2">
      <c r="A15" t="s">
        <v>785</v>
      </c>
      <c r="D15" s="310">
        <f>Data!B1545</f>
        <v>0</v>
      </c>
      <c r="E15" s="310"/>
      <c r="F15" s="310"/>
      <c r="G15" s="310"/>
      <c r="H15" s="310"/>
      <c r="I15" s="310"/>
      <c r="J15" s="310"/>
      <c r="K15" s="310"/>
      <c r="L15" s="310"/>
      <c r="M15" s="310"/>
      <c r="N15" s="310"/>
      <c r="O15" s="310"/>
      <c r="P15" s="310"/>
      <c r="Q15" s="310"/>
      <c r="R15" s="310"/>
      <c r="S15" s="310"/>
      <c r="T15" s="310"/>
      <c r="U15" s="310"/>
      <c r="V15" s="310"/>
      <c r="W15" s="310"/>
      <c r="X15" s="310"/>
      <c r="Y15" s="310"/>
      <c r="Z15" s="310"/>
      <c r="AA15" s="310"/>
      <c r="AB15" s="310"/>
      <c r="AC15" s="310"/>
      <c r="AD15" s="310"/>
      <c r="AE15" s="310"/>
      <c r="AF15" s="310"/>
      <c r="AG15" s="310"/>
      <c r="AH15" s="310"/>
      <c r="AI15" s="310"/>
      <c r="AJ15" s="310"/>
      <c r="AK15" s="310"/>
      <c r="AL15" s="310"/>
      <c r="AM15" s="310"/>
    </row>
    <row r="16" spans="1:39" x14ac:dyDescent="0.2">
      <c r="A16" s="589" t="s">
        <v>3081</v>
      </c>
      <c r="B16" s="589"/>
      <c r="C16" s="589"/>
      <c r="D16" s="589"/>
      <c r="E16" s="589"/>
      <c r="F16" s="589"/>
      <c r="G16" s="589"/>
      <c r="H16" s="589"/>
      <c r="I16" s="589"/>
      <c r="J16" s="589"/>
      <c r="K16" s="589"/>
      <c r="L16" s="589"/>
      <c r="M16" s="589"/>
      <c r="N16" s="589"/>
      <c r="O16" s="589"/>
      <c r="P16" s="589"/>
      <c r="Q16" s="589"/>
      <c r="R16" s="589"/>
      <c r="S16" s="589"/>
      <c r="T16" s="589"/>
      <c r="U16" s="589"/>
      <c r="V16" s="589"/>
      <c r="W16" s="589"/>
      <c r="X16" s="589"/>
      <c r="Y16" s="589"/>
      <c r="Z16" s="589"/>
      <c r="AA16" s="589"/>
      <c r="AB16" s="589"/>
      <c r="AC16" s="589"/>
      <c r="AD16" s="589"/>
      <c r="AE16" s="589"/>
      <c r="AF16" s="589"/>
      <c r="AG16" s="589"/>
      <c r="AH16" s="589"/>
      <c r="AI16" s="589"/>
      <c r="AJ16" s="589"/>
      <c r="AK16" s="589"/>
      <c r="AL16" s="589"/>
      <c r="AM16" s="589"/>
    </row>
    <row r="17" spans="1:39" x14ac:dyDescent="0.2">
      <c r="A17" t="s">
        <v>3102</v>
      </c>
      <c r="E17" s="233">
        <f>Data!B1546</f>
        <v>0</v>
      </c>
      <c r="F17" s="233"/>
      <c r="G17" s="233"/>
      <c r="H17" s="233"/>
      <c r="I17" s="233"/>
      <c r="J17" s="233"/>
      <c r="K17" s="233"/>
      <c r="L17" s="233"/>
      <c r="M17" s="233"/>
      <c r="N17" s="233"/>
      <c r="O17" s="233"/>
      <c r="Q17" t="s">
        <v>3103</v>
      </c>
      <c r="S17" s="233">
        <f>Data!B1547</f>
        <v>0</v>
      </c>
      <c r="T17" s="233"/>
      <c r="U17" s="233"/>
      <c r="V17" s="233"/>
      <c r="W17" s="233"/>
      <c r="X17" s="233"/>
      <c r="Y17" t="s">
        <v>3104</v>
      </c>
      <c r="Z17" s="233">
        <f>Data!B1548</f>
        <v>0</v>
      </c>
      <c r="AA17" s="233"/>
      <c r="AB17" s="233"/>
      <c r="AC17" s="233"/>
      <c r="AD17" s="233"/>
      <c r="AE17" s="233"/>
      <c r="AF17" t="s">
        <v>3105</v>
      </c>
      <c r="AI17" s="233">
        <f>Data!B1549</f>
        <v>0</v>
      </c>
      <c r="AJ17" s="233"/>
      <c r="AK17" s="233"/>
      <c r="AL17" s="233"/>
      <c r="AM17" s="233"/>
    </row>
    <row r="18" spans="1:39" x14ac:dyDescent="0.2">
      <c r="A18" t="s">
        <v>3106</v>
      </c>
      <c r="E18" s="21" t="str">
        <f>IF(Data!B1550=TRUE,"P","")</f>
        <v/>
      </c>
      <c r="F18" t="s">
        <v>3107</v>
      </c>
      <c r="G18" s="233">
        <f>Data!B1551</f>
        <v>0</v>
      </c>
      <c r="H18" s="233"/>
      <c r="I18" s="233"/>
      <c r="J18" s="233"/>
      <c r="K18" t="s">
        <v>3100</v>
      </c>
      <c r="M18" s="21" t="str">
        <f>IF(Data!B1552=TRUE,"P","")</f>
        <v/>
      </c>
      <c r="N18" t="s">
        <v>3108</v>
      </c>
      <c r="Q18" s="21" t="str">
        <f>IF(Data!B1553=TRUE,"P","")</f>
        <v/>
      </c>
      <c r="R18" t="s">
        <v>3109</v>
      </c>
      <c r="Z18" s="21" t="str">
        <f>IF(Data!B1554=TRUE,"P","")</f>
        <v/>
      </c>
      <c r="AA18" t="s">
        <v>3110</v>
      </c>
      <c r="AD18" s="233">
        <f>Data!B1555</f>
        <v>0</v>
      </c>
      <c r="AE18" s="233"/>
      <c r="AF18" s="233"/>
      <c r="AG18" s="233"/>
      <c r="AH18" t="s">
        <v>3111</v>
      </c>
      <c r="AJ18" s="233">
        <f>Data!B1556</f>
        <v>0</v>
      </c>
      <c r="AK18" s="233"/>
      <c r="AL18" t="s">
        <v>3100</v>
      </c>
    </row>
    <row r="19" spans="1:39" x14ac:dyDescent="0.2">
      <c r="A19" t="s">
        <v>3112</v>
      </c>
      <c r="J19" s="233">
        <f>Data!B1557</f>
        <v>0</v>
      </c>
      <c r="K19" s="233"/>
      <c r="L19" s="233"/>
      <c r="M19" s="233"/>
      <c r="N19" s="233"/>
      <c r="O19" s="233"/>
      <c r="P19" s="233"/>
      <c r="Q19" s="233"/>
      <c r="R19" s="233"/>
      <c r="S19" t="s">
        <v>3113</v>
      </c>
      <c r="X19" s="233">
        <f>Data!B1558</f>
        <v>0</v>
      </c>
      <c r="Y19" s="233"/>
      <c r="Z19" s="233"/>
      <c r="AA19" s="233"/>
      <c r="AB19" s="233"/>
      <c r="AC19" s="233"/>
      <c r="AD19" s="233"/>
      <c r="AE19" s="233"/>
    </row>
    <row r="20" spans="1:39" x14ac:dyDescent="0.2">
      <c r="A20" t="s">
        <v>785</v>
      </c>
      <c r="D20" s="310">
        <f>Data!B1559</f>
        <v>0</v>
      </c>
      <c r="E20" s="310"/>
      <c r="F20" s="310"/>
      <c r="G20" s="310"/>
      <c r="H20" s="310"/>
      <c r="I20" s="310"/>
      <c r="J20" s="310"/>
      <c r="K20" s="310"/>
      <c r="L20" s="310"/>
      <c r="M20" s="310"/>
      <c r="N20" s="310"/>
      <c r="O20" s="310"/>
      <c r="P20" s="310"/>
      <c r="Q20" s="310"/>
      <c r="R20" s="310"/>
      <c r="S20" s="310"/>
      <c r="T20" s="310"/>
      <c r="U20" s="310"/>
      <c r="V20" s="310"/>
      <c r="W20" s="310"/>
      <c r="X20" s="310"/>
      <c r="Y20" s="310"/>
      <c r="Z20" s="310"/>
      <c r="AA20" s="310"/>
      <c r="AB20" s="310"/>
      <c r="AC20" s="310"/>
      <c r="AD20" s="310"/>
      <c r="AE20" s="310"/>
      <c r="AF20" s="310"/>
      <c r="AG20" s="310"/>
      <c r="AH20" s="310"/>
      <c r="AI20" s="310"/>
      <c r="AJ20" s="310"/>
      <c r="AK20" s="310"/>
      <c r="AL20" s="310"/>
      <c r="AM20" s="310"/>
    </row>
    <row r="21" spans="1:39" x14ac:dyDescent="0.2">
      <c r="A21" s="589" t="s">
        <v>3055</v>
      </c>
      <c r="B21" s="589"/>
      <c r="C21" s="589"/>
      <c r="D21" s="589"/>
      <c r="E21" s="589"/>
      <c r="F21" s="589"/>
      <c r="G21" s="589"/>
      <c r="H21" s="589"/>
      <c r="I21" s="589"/>
      <c r="J21" s="589"/>
      <c r="K21" s="589"/>
      <c r="L21" s="589"/>
      <c r="M21" s="589"/>
      <c r="N21" s="589"/>
      <c r="O21" s="589"/>
      <c r="P21" s="589"/>
      <c r="Q21" s="589"/>
      <c r="R21" s="589"/>
      <c r="S21" s="589"/>
      <c r="T21" s="589"/>
      <c r="U21" s="589"/>
      <c r="V21" s="589"/>
      <c r="W21" s="589"/>
      <c r="X21" s="589"/>
      <c r="Y21" s="589"/>
      <c r="Z21" s="589"/>
      <c r="AA21" s="589"/>
      <c r="AB21" s="589"/>
      <c r="AC21" s="589"/>
      <c r="AD21" s="589"/>
      <c r="AE21" s="589"/>
      <c r="AF21" s="589"/>
      <c r="AG21" s="589"/>
      <c r="AH21" s="589"/>
      <c r="AI21" s="589"/>
      <c r="AJ21" s="589"/>
      <c r="AK21" s="589"/>
      <c r="AL21" s="589"/>
      <c r="AM21" s="589"/>
    </row>
    <row r="22" spans="1:39" x14ac:dyDescent="0.2">
      <c r="A22" s="21" t="str">
        <f>IF(Data!B1560=TRUE,"P","")</f>
        <v/>
      </c>
      <c r="B22" t="s">
        <v>3114</v>
      </c>
      <c r="G22" s="136" t="str">
        <f>IF(Data!B1561=TRUE,"P","")</f>
        <v/>
      </c>
      <c r="H22" t="s">
        <v>3115</v>
      </c>
      <c r="O22" s="21" t="str">
        <f>IF(Data!B1562=TRUE,"P","")</f>
        <v/>
      </c>
      <c r="P22" t="s">
        <v>3139</v>
      </c>
      <c r="X22" s="21" t="str">
        <f>IF(Data!B1563=TRUE,"P","")</f>
        <v/>
      </c>
      <c r="Y22" t="s">
        <v>3116</v>
      </c>
    </row>
    <row r="23" spans="1:39" x14ac:dyDescent="0.2">
      <c r="A23" s="21" t="str">
        <f>IF(Data!B1564=TRUE,"P","")</f>
        <v/>
      </c>
      <c r="B23" t="s">
        <v>3120</v>
      </c>
      <c r="G23" s="139"/>
      <c r="H23" s="300">
        <f>Data!B1565</f>
        <v>0</v>
      </c>
      <c r="I23" s="300"/>
      <c r="J23" s="300"/>
      <c r="K23" t="s">
        <v>3117</v>
      </c>
      <c r="O23" s="21" t="str">
        <f>IF(Data!B1566=TRUE,"P","")</f>
        <v/>
      </c>
      <c r="P23" t="s">
        <v>3118</v>
      </c>
      <c r="W23" s="21" t="str">
        <f>IF(Data!B1567=TRUE,"P","")</f>
        <v/>
      </c>
      <c r="X23" t="s">
        <v>3119</v>
      </c>
    </row>
    <row r="24" spans="1:39" x14ac:dyDescent="0.2">
      <c r="A24" t="s">
        <v>3121</v>
      </c>
      <c r="K24" s="233">
        <f>Data!B1568</f>
        <v>0</v>
      </c>
      <c r="L24" s="233"/>
      <c r="M24" s="233"/>
      <c r="N24" s="233"/>
      <c r="O24" s="233"/>
      <c r="P24" s="233"/>
      <c r="Q24" s="233"/>
      <c r="R24" s="233"/>
      <c r="S24" s="233"/>
      <c r="T24" s="233"/>
      <c r="U24" s="233"/>
      <c r="V24" s="233"/>
      <c r="W24" s="233"/>
      <c r="X24" s="233"/>
      <c r="Y24" s="233"/>
      <c r="Z24" s="233"/>
      <c r="AA24" s="233"/>
      <c r="AB24" s="233"/>
      <c r="AC24" s="233"/>
      <c r="AD24" s="233"/>
      <c r="AE24" s="233"/>
      <c r="AF24" s="233"/>
      <c r="AG24" s="233"/>
      <c r="AH24" s="233"/>
      <c r="AI24" s="233"/>
      <c r="AJ24" s="233"/>
      <c r="AK24" s="233"/>
      <c r="AL24" s="233"/>
      <c r="AM24" s="233"/>
    </row>
    <row r="25" spans="1:39" x14ac:dyDescent="0.2">
      <c r="A25" t="s">
        <v>785</v>
      </c>
      <c r="D25" s="310">
        <f>Data!B1569</f>
        <v>0</v>
      </c>
      <c r="E25" s="310"/>
      <c r="F25" s="310"/>
      <c r="G25" s="310"/>
      <c r="H25" s="310"/>
      <c r="I25" s="310"/>
      <c r="J25" s="310"/>
      <c r="K25" s="310"/>
      <c r="L25" s="310"/>
      <c r="M25" s="310"/>
      <c r="N25" s="310"/>
      <c r="O25" s="310"/>
      <c r="P25" s="310"/>
      <c r="Q25" s="310"/>
      <c r="R25" s="310"/>
      <c r="S25" s="310"/>
      <c r="T25" s="310"/>
      <c r="U25" s="310"/>
      <c r="V25" s="310"/>
      <c r="W25" s="310"/>
      <c r="X25" s="310"/>
      <c r="Y25" s="310"/>
      <c r="Z25" s="310"/>
      <c r="AA25" s="310"/>
      <c r="AB25" s="310"/>
      <c r="AC25" s="310"/>
      <c r="AD25" s="310"/>
      <c r="AE25" s="310"/>
      <c r="AF25" s="310"/>
      <c r="AG25" s="310"/>
      <c r="AH25" s="310"/>
      <c r="AI25" s="310"/>
      <c r="AJ25" s="310"/>
      <c r="AK25" s="310"/>
      <c r="AL25" s="310"/>
      <c r="AM25" s="310"/>
    </row>
    <row r="26" spans="1:39" x14ac:dyDescent="0.2">
      <c r="A26" s="589" t="s">
        <v>1423</v>
      </c>
      <c r="B26" s="589"/>
      <c r="C26" s="589"/>
      <c r="D26" s="589"/>
      <c r="E26" s="589"/>
      <c r="F26" s="589"/>
      <c r="G26" s="589"/>
      <c r="H26" s="589"/>
      <c r="I26" s="589"/>
      <c r="J26" s="589"/>
      <c r="K26" s="589"/>
      <c r="L26" s="589"/>
      <c r="M26" s="589"/>
      <c r="N26" s="589"/>
      <c r="O26" s="589"/>
      <c r="P26" s="589"/>
      <c r="Q26" s="589"/>
      <c r="R26" s="589"/>
      <c r="S26" s="589"/>
      <c r="T26" s="589"/>
      <c r="U26" s="589"/>
      <c r="V26" s="589"/>
      <c r="W26" s="589"/>
      <c r="X26" s="589"/>
      <c r="Y26" s="589"/>
      <c r="Z26" s="589"/>
      <c r="AA26" s="589"/>
      <c r="AB26" s="589"/>
      <c r="AC26" s="589"/>
      <c r="AD26" s="589"/>
      <c r="AE26" s="589"/>
      <c r="AF26" s="589"/>
      <c r="AG26" s="589"/>
      <c r="AH26" s="589"/>
      <c r="AI26" s="589"/>
      <c r="AJ26" s="589"/>
      <c r="AK26" s="589"/>
      <c r="AL26" s="589"/>
      <c r="AM26" s="589"/>
    </row>
    <row r="27" spans="1:39" x14ac:dyDescent="0.2">
      <c r="A27" s="21" t="str">
        <f>IF(Data!B1570=TRUE,"P","")</f>
        <v/>
      </c>
      <c r="B27" t="s">
        <v>3122</v>
      </c>
      <c r="F27" s="136"/>
      <c r="G27" t="s">
        <v>3123</v>
      </c>
      <c r="H27" s="233">
        <f>Data!B1571</f>
        <v>0</v>
      </c>
      <c r="I27" s="233"/>
      <c r="J27" s="233"/>
      <c r="K27" s="233"/>
      <c r="L27" s="233"/>
      <c r="M27" s="233"/>
      <c r="N27" s="233"/>
      <c r="O27" t="s">
        <v>3124</v>
      </c>
      <c r="P27" s="233">
        <f>Data!B1572</f>
        <v>0</v>
      </c>
      <c r="Q27" s="233"/>
      <c r="R27" s="233"/>
      <c r="S27" s="233"/>
      <c r="T27" s="233"/>
      <c r="U27" s="233"/>
      <c r="W27" t="s">
        <v>3125</v>
      </c>
      <c r="Z27" s="233">
        <f>Data!B1573</f>
        <v>0</v>
      </c>
      <c r="AA27" s="233"/>
      <c r="AB27" s="233"/>
      <c r="AC27" s="233"/>
      <c r="AD27" s="233"/>
      <c r="AE27" s="233"/>
      <c r="AF27" s="233"/>
    </row>
    <row r="28" spans="1:39" x14ac:dyDescent="0.2">
      <c r="A28" s="21" t="str">
        <f>IF(Data!B1574=TRUE,"P","")</f>
        <v/>
      </c>
      <c r="B28" t="s">
        <v>3126</v>
      </c>
      <c r="H28" s="21" t="str">
        <f>IF(Data!B1575=TRUE,"P","")</f>
        <v/>
      </c>
      <c r="I28" t="s">
        <v>3127</v>
      </c>
    </row>
    <row r="29" spans="1:39" x14ac:dyDescent="0.2">
      <c r="A29" s="21" t="str">
        <f>IF(Data!B1576=TRUE,"P","")</f>
        <v/>
      </c>
      <c r="B29" t="s">
        <v>3128</v>
      </c>
      <c r="J29" s="21" t="str">
        <f>IF(Data!B1577=TRUE,"P","")</f>
        <v/>
      </c>
      <c r="K29" t="s">
        <v>3129</v>
      </c>
      <c r="U29" t="s">
        <v>3130</v>
      </c>
      <c r="AA29" s="233">
        <f>Data!B1578</f>
        <v>0</v>
      </c>
      <c r="AB29" s="233"/>
      <c r="AC29" s="233"/>
      <c r="AD29" s="233"/>
      <c r="AE29" s="233"/>
      <c r="AF29" s="233"/>
      <c r="AG29" s="233"/>
      <c r="AH29" s="233"/>
      <c r="AI29" s="233"/>
      <c r="AJ29" s="233"/>
      <c r="AK29" s="233"/>
      <c r="AL29" s="233"/>
      <c r="AM29" s="233"/>
    </row>
    <row r="30" spans="1:39" x14ac:dyDescent="0.2">
      <c r="A30" t="s">
        <v>785</v>
      </c>
      <c r="D30" s="310">
        <f>Data!B1579</f>
        <v>0</v>
      </c>
      <c r="E30" s="310"/>
      <c r="F30" s="310"/>
      <c r="G30" s="310"/>
      <c r="H30" s="310"/>
      <c r="I30" s="310"/>
      <c r="J30" s="310"/>
      <c r="K30" s="310"/>
      <c r="L30" s="310"/>
      <c r="M30" s="310"/>
      <c r="N30" s="310"/>
      <c r="O30" s="310"/>
      <c r="P30" s="310"/>
      <c r="Q30" s="310"/>
      <c r="R30" s="310"/>
      <c r="S30" s="310"/>
      <c r="T30" s="310"/>
      <c r="U30" s="310"/>
      <c r="V30" s="310"/>
      <c r="W30" s="310"/>
      <c r="X30" s="310"/>
      <c r="Y30" s="310"/>
      <c r="Z30" s="310"/>
      <c r="AA30" s="310"/>
      <c r="AB30" s="310"/>
      <c r="AC30" s="310"/>
      <c r="AD30" s="310"/>
      <c r="AE30" s="310"/>
      <c r="AF30" s="310"/>
      <c r="AG30" s="310"/>
      <c r="AH30" s="310"/>
      <c r="AI30" s="310"/>
      <c r="AJ30" s="310"/>
      <c r="AK30" s="310"/>
      <c r="AL30" s="310"/>
      <c r="AM30" s="310"/>
    </row>
    <row r="31" spans="1:39" x14ac:dyDescent="0.2">
      <c r="A31" s="589" t="s">
        <v>3033</v>
      </c>
      <c r="B31" s="589"/>
      <c r="C31" s="589"/>
      <c r="D31" s="589"/>
      <c r="E31" s="589"/>
      <c r="F31" s="589"/>
      <c r="G31" s="589"/>
      <c r="H31" s="589"/>
      <c r="I31" s="589"/>
      <c r="J31" s="589"/>
      <c r="K31" s="589"/>
      <c r="L31" s="589"/>
      <c r="M31" s="589"/>
      <c r="N31" s="589"/>
      <c r="O31" s="589"/>
      <c r="P31" s="589"/>
      <c r="Q31" s="589"/>
      <c r="R31" s="589"/>
      <c r="S31" s="589"/>
      <c r="T31" s="589"/>
      <c r="U31" s="589"/>
      <c r="V31" s="589"/>
      <c r="W31" s="589"/>
      <c r="X31" s="589"/>
      <c r="Y31" s="589"/>
      <c r="Z31" s="589"/>
      <c r="AA31" s="589"/>
      <c r="AB31" s="589"/>
      <c r="AC31" s="589"/>
      <c r="AD31" s="589"/>
      <c r="AE31" s="589"/>
      <c r="AF31" s="589"/>
      <c r="AG31" s="589"/>
      <c r="AH31" s="589"/>
      <c r="AI31" s="589"/>
      <c r="AJ31" s="589"/>
      <c r="AK31" s="589"/>
      <c r="AL31" s="589"/>
      <c r="AM31" s="589"/>
    </row>
    <row r="32" spans="1:39" x14ac:dyDescent="0.2">
      <c r="A32" s="21" t="str">
        <f>IF(Data!B1580=TRUE,"P","")</f>
        <v/>
      </c>
      <c r="B32" t="s">
        <v>3131</v>
      </c>
      <c r="G32" s="21" t="str">
        <f>IF(Data!B1581=TRUE,"P","")</f>
        <v/>
      </c>
      <c r="H32" t="s">
        <v>3132</v>
      </c>
      <c r="S32" s="21" t="str">
        <f>IF(Data!B1582=TRUE,"P","")</f>
        <v/>
      </c>
      <c r="T32" t="s">
        <v>3133</v>
      </c>
      <c r="AA32" s="21" t="str">
        <f>IF(Data!B1583=TRUE,"P","")</f>
        <v/>
      </c>
      <c r="AB32" t="s">
        <v>3134</v>
      </c>
    </row>
    <row r="33" spans="1:39" x14ac:dyDescent="0.2">
      <c r="A33" s="21" t="str">
        <f>IF(Data!B1584=TRUE,"P","")</f>
        <v/>
      </c>
      <c r="B33" t="s">
        <v>3135</v>
      </c>
    </row>
    <row r="34" spans="1:39" x14ac:dyDescent="0.2">
      <c r="A34" t="s">
        <v>785</v>
      </c>
      <c r="D34" s="310">
        <f>Data!B1585</f>
        <v>0</v>
      </c>
      <c r="E34" s="310"/>
      <c r="F34" s="310"/>
      <c r="G34" s="310"/>
      <c r="H34" s="310"/>
      <c r="I34" s="310"/>
      <c r="J34" s="310"/>
      <c r="K34" s="310"/>
      <c r="L34" s="310"/>
      <c r="M34" s="310"/>
      <c r="N34" s="310"/>
      <c r="O34" s="310"/>
      <c r="P34" s="310"/>
      <c r="Q34" s="310"/>
      <c r="R34" s="310"/>
      <c r="S34" s="310"/>
      <c r="T34" s="310"/>
      <c r="U34" s="310"/>
      <c r="V34" s="310"/>
      <c r="W34" s="310"/>
      <c r="X34" s="310"/>
      <c r="Y34" s="310"/>
      <c r="Z34" s="310"/>
      <c r="AA34" s="310"/>
      <c r="AB34" s="310"/>
      <c r="AC34" s="310"/>
      <c r="AD34" s="310"/>
      <c r="AE34" s="310"/>
      <c r="AF34" s="310"/>
      <c r="AG34" s="310"/>
      <c r="AH34" s="310"/>
      <c r="AI34" s="310"/>
      <c r="AJ34" s="310"/>
      <c r="AK34" s="310"/>
      <c r="AL34" s="310"/>
      <c r="AM34" s="310"/>
    </row>
    <row r="35" spans="1:39" x14ac:dyDescent="0.2">
      <c r="A35" s="589" t="s">
        <v>1399</v>
      </c>
      <c r="B35" s="589"/>
      <c r="C35" s="589"/>
      <c r="D35" s="589"/>
      <c r="E35" s="589"/>
      <c r="F35" s="589"/>
      <c r="G35" s="589"/>
      <c r="H35" s="589"/>
      <c r="I35" s="589"/>
      <c r="J35" s="589"/>
      <c r="K35" s="589"/>
      <c r="L35" s="589"/>
      <c r="M35" s="589"/>
      <c r="N35" s="589"/>
      <c r="O35" s="589"/>
      <c r="P35" s="589"/>
      <c r="Q35" s="589"/>
      <c r="R35" s="589"/>
      <c r="S35" s="589"/>
      <c r="T35" s="589"/>
      <c r="U35" s="589"/>
      <c r="V35" s="589"/>
      <c r="W35" s="589"/>
      <c r="X35" s="589"/>
      <c r="Y35" s="589"/>
      <c r="Z35" s="589"/>
      <c r="AA35" s="589"/>
      <c r="AB35" s="589"/>
      <c r="AC35" s="589"/>
      <c r="AD35" s="589"/>
      <c r="AE35" s="589"/>
      <c r="AF35" s="589"/>
      <c r="AG35" s="589"/>
      <c r="AH35" s="589"/>
      <c r="AI35" s="589"/>
      <c r="AJ35" s="589"/>
      <c r="AK35" s="589"/>
      <c r="AL35" s="589"/>
      <c r="AM35" s="589"/>
    </row>
    <row r="36" spans="1:39" x14ac:dyDescent="0.2">
      <c r="A36" t="s">
        <v>791</v>
      </c>
      <c r="F36" s="310">
        <f>Data!B1586</f>
        <v>0</v>
      </c>
      <c r="G36" s="310"/>
      <c r="H36" s="310"/>
      <c r="I36" s="310"/>
      <c r="J36" s="310"/>
      <c r="K36" s="310"/>
      <c r="L36" s="310"/>
      <c r="M36" s="310"/>
      <c r="N36" s="310"/>
      <c r="O36" s="310"/>
      <c r="P36" s="310"/>
      <c r="S36" t="s">
        <v>3137</v>
      </c>
      <c r="X36" s="310">
        <f>Data!B1589</f>
        <v>0</v>
      </c>
      <c r="Y36" s="310"/>
      <c r="Z36" s="310"/>
      <c r="AA36" s="310"/>
      <c r="AB36" s="310"/>
      <c r="AC36" s="310"/>
      <c r="AD36" s="310"/>
      <c r="AE36" s="310"/>
      <c r="AF36" s="310"/>
      <c r="AG36" s="310"/>
      <c r="AH36" s="310"/>
    </row>
    <row r="37" spans="1:39" x14ac:dyDescent="0.2">
      <c r="A37" t="s">
        <v>3136</v>
      </c>
      <c r="F37" s="310">
        <f>Data!B1587</f>
        <v>0</v>
      </c>
      <c r="G37" s="310"/>
      <c r="H37" s="310"/>
      <c r="I37" s="310"/>
      <c r="J37" s="310"/>
      <c r="K37" s="310"/>
      <c r="L37" s="310"/>
      <c r="M37" s="310"/>
      <c r="N37" s="310"/>
      <c r="O37" s="310"/>
      <c r="P37" s="310"/>
      <c r="S37" t="s">
        <v>795</v>
      </c>
      <c r="X37" s="310">
        <f>Data!B1590</f>
        <v>0</v>
      </c>
      <c r="Y37" s="310"/>
      <c r="Z37" s="310"/>
      <c r="AA37" s="310"/>
      <c r="AB37" s="310"/>
      <c r="AC37" s="310"/>
      <c r="AD37" s="310"/>
      <c r="AE37" s="310"/>
      <c r="AF37" s="310"/>
      <c r="AG37" s="310"/>
      <c r="AH37" s="310"/>
    </row>
    <row r="38" spans="1:39" x14ac:dyDescent="0.2">
      <c r="A38" t="s">
        <v>794</v>
      </c>
      <c r="F38" s="310">
        <f>Data!B1588</f>
        <v>0</v>
      </c>
      <c r="G38" s="310"/>
      <c r="H38" s="310"/>
      <c r="I38" s="310"/>
      <c r="J38" s="310"/>
      <c r="K38" s="310"/>
      <c r="L38" s="310"/>
      <c r="M38" s="310"/>
      <c r="N38" s="310"/>
      <c r="O38" s="310"/>
      <c r="P38" s="310"/>
      <c r="S38" t="s">
        <v>3138</v>
      </c>
      <c r="X38" s="310">
        <f>Data!B1591</f>
        <v>0</v>
      </c>
      <c r="Y38" s="310"/>
      <c r="Z38" s="310"/>
      <c r="AA38" s="310"/>
      <c r="AB38" s="310"/>
      <c r="AC38" s="310"/>
      <c r="AD38" s="310"/>
      <c r="AE38" s="310"/>
      <c r="AF38" s="310"/>
      <c r="AG38" s="310"/>
      <c r="AH38" s="310"/>
    </row>
    <row r="39" spans="1:39" x14ac:dyDescent="0.2">
      <c r="A39" t="s">
        <v>785</v>
      </c>
      <c r="D39" s="310">
        <f>Data!B1592</f>
        <v>0</v>
      </c>
      <c r="E39" s="310"/>
      <c r="F39" s="310"/>
      <c r="G39" s="310"/>
      <c r="H39" s="310"/>
      <c r="I39" s="310"/>
      <c r="J39" s="310"/>
      <c r="K39" s="310"/>
      <c r="L39" s="310"/>
      <c r="M39" s="310"/>
      <c r="N39" s="310"/>
      <c r="O39" s="310"/>
      <c r="P39" s="310"/>
      <c r="Q39" s="310"/>
      <c r="R39" s="310"/>
      <c r="S39" s="310"/>
      <c r="T39" s="310"/>
      <c r="U39" s="310"/>
      <c r="V39" s="310"/>
      <c r="W39" s="310"/>
      <c r="X39" s="310"/>
      <c r="Y39" s="310"/>
      <c r="Z39" s="310"/>
      <c r="AA39" s="310"/>
      <c r="AB39" s="310"/>
      <c r="AC39" s="310"/>
      <c r="AD39" s="310"/>
      <c r="AE39" s="310"/>
      <c r="AF39" s="310"/>
      <c r="AG39" s="310"/>
      <c r="AH39" s="310"/>
      <c r="AI39" s="310"/>
      <c r="AJ39" s="310"/>
      <c r="AK39" s="310"/>
      <c r="AL39" s="310"/>
      <c r="AM39" s="310"/>
    </row>
    <row r="40" spans="1:39" x14ac:dyDescent="0.2">
      <c r="A40" s="589" t="s">
        <v>3140</v>
      </c>
      <c r="B40" s="589"/>
      <c r="C40" s="589"/>
      <c r="D40" s="589"/>
      <c r="E40" s="589"/>
      <c r="F40" s="589"/>
      <c r="G40" s="589"/>
      <c r="H40" s="589"/>
      <c r="I40" s="589"/>
      <c r="J40" s="589"/>
      <c r="K40" s="589"/>
      <c r="L40" s="589"/>
      <c r="M40" s="589"/>
      <c r="N40" s="589"/>
      <c r="O40" s="589"/>
      <c r="P40" s="589"/>
      <c r="Q40" s="589"/>
      <c r="R40" s="589"/>
      <c r="S40" s="589"/>
      <c r="T40" s="589"/>
      <c r="U40" s="589"/>
      <c r="V40" s="589"/>
      <c r="W40" s="589"/>
      <c r="X40" s="589"/>
      <c r="Y40" s="589"/>
      <c r="Z40" s="589"/>
      <c r="AA40" s="589"/>
      <c r="AB40" s="589"/>
      <c r="AC40" s="589"/>
      <c r="AD40" s="589"/>
      <c r="AE40" s="589"/>
      <c r="AF40" s="589"/>
      <c r="AG40" s="589"/>
      <c r="AH40" s="589"/>
      <c r="AI40" s="589"/>
      <c r="AJ40" s="589"/>
      <c r="AK40" s="589"/>
      <c r="AL40" s="589"/>
      <c r="AM40" s="589"/>
    </row>
    <row r="41" spans="1:39" x14ac:dyDescent="0.2">
      <c r="A41" s="239">
        <f>Data!B1593</f>
        <v>0</v>
      </c>
      <c r="B41" s="239"/>
      <c r="C41" s="239"/>
      <c r="D41" s="239"/>
      <c r="E41" s="239"/>
      <c r="F41" s="239"/>
      <c r="G41" s="239"/>
      <c r="H41" s="239"/>
      <c r="I41" s="239"/>
      <c r="J41" s="239"/>
      <c r="K41" s="239"/>
      <c r="L41" s="239"/>
      <c r="M41" s="239"/>
      <c r="N41" s="239"/>
      <c r="O41" s="239"/>
      <c r="P41" s="239"/>
      <c r="Q41" s="239"/>
      <c r="R41" s="239"/>
      <c r="S41" s="239"/>
      <c r="T41" s="239"/>
      <c r="U41" s="239"/>
      <c r="V41" s="239"/>
      <c r="W41" s="239"/>
      <c r="X41" s="239"/>
      <c r="Y41" s="239"/>
      <c r="Z41" s="239"/>
      <c r="AA41" s="239"/>
      <c r="AB41" s="239"/>
      <c r="AC41" s="239"/>
      <c r="AD41" s="239"/>
      <c r="AE41" s="239"/>
      <c r="AF41" s="239"/>
      <c r="AG41" s="239"/>
      <c r="AH41" s="239"/>
      <c r="AI41" s="239"/>
      <c r="AJ41" s="239"/>
      <c r="AK41" s="239"/>
      <c r="AL41" s="239"/>
      <c r="AM41" s="239"/>
    </row>
    <row r="42" spans="1:39" x14ac:dyDescent="0.2">
      <c r="A42" s="239"/>
      <c r="B42" s="239"/>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39"/>
      <c r="AC42" s="239"/>
      <c r="AD42" s="239"/>
      <c r="AE42" s="239"/>
      <c r="AF42" s="239"/>
      <c r="AG42" s="239"/>
      <c r="AH42" s="239"/>
      <c r="AI42" s="239"/>
      <c r="AJ42" s="239"/>
      <c r="AK42" s="239"/>
      <c r="AL42" s="239"/>
      <c r="AM42" s="239"/>
    </row>
    <row r="43" spans="1:39" x14ac:dyDescent="0.2">
      <c r="A43" s="239"/>
      <c r="B43" s="239"/>
      <c r="C43" s="239"/>
      <c r="D43" s="239"/>
      <c r="E43" s="239"/>
      <c r="F43" s="239"/>
      <c r="G43" s="239"/>
      <c r="H43" s="239"/>
      <c r="I43" s="239"/>
      <c r="J43" s="239"/>
      <c r="K43" s="239"/>
      <c r="L43" s="239"/>
      <c r="M43" s="239"/>
      <c r="N43" s="239"/>
      <c r="O43" s="239"/>
      <c r="P43" s="239"/>
      <c r="Q43" s="239"/>
      <c r="R43" s="239"/>
      <c r="S43" s="239"/>
      <c r="T43" s="239"/>
      <c r="U43" s="239"/>
      <c r="V43" s="239"/>
      <c r="W43" s="239"/>
      <c r="X43" s="239"/>
      <c r="Y43" s="239"/>
      <c r="Z43" s="239"/>
      <c r="AA43" s="239"/>
      <c r="AB43" s="239"/>
      <c r="AC43" s="239"/>
      <c r="AD43" s="239"/>
      <c r="AE43" s="239"/>
      <c r="AF43" s="239"/>
      <c r="AG43" s="239"/>
      <c r="AH43" s="239"/>
      <c r="AI43" s="239"/>
      <c r="AJ43" s="239"/>
      <c r="AK43" s="239"/>
      <c r="AL43" s="239"/>
      <c r="AM43" s="239"/>
    </row>
    <row r="44" spans="1:39" x14ac:dyDescent="0.2">
      <c r="A44" s="589" t="s">
        <v>3141</v>
      </c>
      <c r="B44" s="589"/>
      <c r="C44" s="589"/>
      <c r="D44" s="589"/>
      <c r="E44" s="589"/>
      <c r="F44" s="589"/>
      <c r="G44" s="589"/>
      <c r="H44" s="589"/>
      <c r="I44" s="589"/>
      <c r="J44" s="589"/>
      <c r="K44" s="589"/>
      <c r="L44" s="589"/>
      <c r="M44" s="589"/>
      <c r="N44" s="589"/>
      <c r="O44" s="589"/>
      <c r="P44" s="589"/>
      <c r="Q44" s="589"/>
      <c r="R44" s="589"/>
      <c r="S44" s="589"/>
      <c r="T44" s="589"/>
      <c r="U44" s="589"/>
      <c r="V44" s="589"/>
      <c r="W44" s="589"/>
      <c r="X44" s="589"/>
      <c r="Y44" s="589"/>
      <c r="Z44" s="589"/>
      <c r="AA44" s="589"/>
      <c r="AB44" s="589"/>
      <c r="AC44" s="589"/>
      <c r="AD44" s="589"/>
      <c r="AE44" s="589"/>
      <c r="AF44" s="589"/>
      <c r="AG44" s="589"/>
      <c r="AH44" s="589"/>
      <c r="AI44" s="589"/>
      <c r="AJ44" s="589"/>
      <c r="AK44" s="589"/>
      <c r="AL44" s="589"/>
      <c r="AM44" s="589"/>
    </row>
    <row r="45" spans="1:39" x14ac:dyDescent="0.2">
      <c r="A45" t="s">
        <v>3142</v>
      </c>
      <c r="AE45" t="s">
        <v>3143</v>
      </c>
      <c r="AI45" s="233">
        <f>Data!B1594</f>
        <v>0</v>
      </c>
      <c r="AJ45" s="233"/>
      <c r="AK45" s="233"/>
      <c r="AL45" s="233"/>
      <c r="AM45" s="233"/>
    </row>
    <row r="46" spans="1:39" x14ac:dyDescent="0.2">
      <c r="H46" s="260"/>
      <c r="I46" s="260"/>
      <c r="J46" s="260"/>
      <c r="K46" s="260"/>
      <c r="L46" s="260"/>
      <c r="M46" s="260"/>
      <c r="N46" s="260"/>
      <c r="O46" s="260"/>
      <c r="P46" s="260"/>
      <c r="Q46" s="260"/>
      <c r="R46" s="260"/>
      <c r="S46" s="260"/>
      <c r="T46" s="260"/>
      <c r="U46" s="260"/>
      <c r="V46" s="260"/>
      <c r="W46" s="260"/>
      <c r="AE46" t="s">
        <v>3144</v>
      </c>
      <c r="AI46" s="233">
        <f>Data!B1595</f>
        <v>0</v>
      </c>
      <c r="AJ46" s="233"/>
      <c r="AK46" s="233"/>
      <c r="AL46" s="233"/>
      <c r="AM46" s="233"/>
    </row>
    <row r="47" spans="1:39" x14ac:dyDescent="0.2">
      <c r="A47" t="s">
        <v>3145</v>
      </c>
      <c r="H47" s="260"/>
      <c r="I47" s="260"/>
      <c r="J47" s="260"/>
      <c r="K47" s="260"/>
      <c r="L47" s="260"/>
      <c r="M47" s="260"/>
      <c r="N47" s="260"/>
      <c r="O47" s="260"/>
      <c r="P47" s="260"/>
      <c r="Q47" s="260"/>
      <c r="R47" s="260"/>
      <c r="S47" s="260"/>
      <c r="T47" s="260"/>
      <c r="U47" s="260"/>
      <c r="V47" s="260"/>
      <c r="W47" s="260"/>
    </row>
    <row r="48" spans="1:39" x14ac:dyDescent="0.2">
      <c r="H48" s="260"/>
      <c r="I48" s="260"/>
      <c r="J48" s="260"/>
      <c r="K48" s="260"/>
      <c r="L48" s="260"/>
      <c r="M48" s="260"/>
      <c r="N48" s="260"/>
      <c r="O48" s="260"/>
      <c r="P48" s="260"/>
      <c r="Q48" s="260"/>
      <c r="R48" s="260"/>
      <c r="S48" s="260"/>
      <c r="T48" s="260"/>
      <c r="U48" s="260"/>
      <c r="V48" s="260"/>
      <c r="W48" s="260"/>
      <c r="X48" t="s">
        <v>1447</v>
      </c>
      <c r="Z48" s="306">
        <f>Data!B1520</f>
        <v>0</v>
      </c>
      <c r="AA48" s="306"/>
      <c r="AB48" s="306"/>
      <c r="AC48" s="306"/>
      <c r="AD48" s="306"/>
      <c r="AE48" s="306"/>
      <c r="AF48" s="306"/>
      <c r="AG48" s="306"/>
      <c r="AH48" s="306"/>
      <c r="AI48" s="306"/>
    </row>
    <row r="49" spans="1:35" x14ac:dyDescent="0.2">
      <c r="H49" s="260"/>
      <c r="I49" s="260"/>
      <c r="J49" s="260"/>
      <c r="K49" s="260"/>
      <c r="L49" s="260"/>
      <c r="M49" s="260"/>
      <c r="N49" s="260"/>
      <c r="O49" s="260"/>
      <c r="P49" s="260"/>
      <c r="Q49" s="260"/>
      <c r="R49" s="260"/>
      <c r="S49" s="260"/>
      <c r="T49" s="260"/>
      <c r="U49" s="260"/>
      <c r="V49" s="260"/>
      <c r="W49" s="260"/>
    </row>
    <row r="50" spans="1:35" x14ac:dyDescent="0.2">
      <c r="A50" t="s">
        <v>3146</v>
      </c>
      <c r="H50" s="260"/>
      <c r="I50" s="260"/>
      <c r="J50" s="260"/>
      <c r="K50" s="260"/>
      <c r="L50" s="260"/>
      <c r="M50" s="260"/>
      <c r="N50" s="260"/>
      <c r="O50" s="260"/>
      <c r="P50" s="260"/>
      <c r="Q50" s="260"/>
      <c r="R50" s="260"/>
      <c r="S50" s="260"/>
      <c r="T50" s="260"/>
      <c r="U50" s="260"/>
      <c r="V50" s="260"/>
      <c r="W50" s="260"/>
    </row>
    <row r="51" spans="1:35" x14ac:dyDescent="0.2">
      <c r="H51" s="260"/>
      <c r="I51" s="260"/>
      <c r="J51" s="260"/>
      <c r="K51" s="260"/>
      <c r="L51" s="260"/>
      <c r="M51" s="260"/>
      <c r="N51" s="260"/>
      <c r="O51" s="260"/>
      <c r="P51" s="260"/>
      <c r="Q51" s="260"/>
      <c r="R51" s="260"/>
      <c r="S51" s="260"/>
      <c r="T51" s="260"/>
      <c r="U51" s="260"/>
      <c r="V51" s="260"/>
      <c r="W51" s="260"/>
      <c r="X51" t="s">
        <v>1447</v>
      </c>
      <c r="Z51" s="306">
        <f>Data!B1520</f>
        <v>0</v>
      </c>
      <c r="AA51" s="306"/>
      <c r="AB51" s="306"/>
      <c r="AC51" s="306"/>
      <c r="AD51" s="306"/>
      <c r="AE51" s="306"/>
      <c r="AF51" s="306"/>
      <c r="AG51" s="306"/>
      <c r="AH51" s="306"/>
      <c r="AI51" s="306"/>
    </row>
  </sheetData>
  <mergeCells count="52">
    <mergeCell ref="C13:K13"/>
    <mergeCell ref="AE13:AI13"/>
    <mergeCell ref="H14:M14"/>
    <mergeCell ref="R14:AA14"/>
    <mergeCell ref="A9:AM9"/>
    <mergeCell ref="E1:N1"/>
    <mergeCell ref="E2:R2"/>
    <mergeCell ref="V1:AF1"/>
    <mergeCell ref="A5:AM5"/>
    <mergeCell ref="E6:AM8"/>
    <mergeCell ref="V2:AC2"/>
    <mergeCell ref="E17:O17"/>
    <mergeCell ref="S17:X17"/>
    <mergeCell ref="Z17:AE17"/>
    <mergeCell ref="AI17:AM17"/>
    <mergeCell ref="H23:J23"/>
    <mergeCell ref="AD18:AG18"/>
    <mergeCell ref="AJ18:AK18"/>
    <mergeCell ref="J19:R19"/>
    <mergeCell ref="X19:AE19"/>
    <mergeCell ref="H49:W51"/>
    <mergeCell ref="Z48:AI48"/>
    <mergeCell ref="Z51:AI51"/>
    <mergeCell ref="F36:P36"/>
    <mergeCell ref="F37:P37"/>
    <mergeCell ref="F38:P38"/>
    <mergeCell ref="X36:AH36"/>
    <mergeCell ref="X37:AH37"/>
    <mergeCell ref="X38:AH38"/>
    <mergeCell ref="AI45:AM45"/>
    <mergeCell ref="AI46:AM46"/>
    <mergeCell ref="A40:AM40"/>
    <mergeCell ref="D39:AM39"/>
    <mergeCell ref="A41:AM43"/>
    <mergeCell ref="A44:AM44"/>
    <mergeCell ref="H46:W48"/>
    <mergeCell ref="A35:AM35"/>
    <mergeCell ref="D15:AM15"/>
    <mergeCell ref="D20:AM20"/>
    <mergeCell ref="D25:AM25"/>
    <mergeCell ref="D30:AM30"/>
    <mergeCell ref="D34:AM34"/>
    <mergeCell ref="A26:AM26"/>
    <mergeCell ref="K24:AM24"/>
    <mergeCell ref="H27:N27"/>
    <mergeCell ref="P27:U27"/>
    <mergeCell ref="Z27:AF27"/>
    <mergeCell ref="AA29:AM29"/>
    <mergeCell ref="A31:AM31"/>
    <mergeCell ref="A21:AM21"/>
    <mergeCell ref="G18:J18"/>
    <mergeCell ref="A16:AM16"/>
  </mergeCells>
  <pageMargins left="0.25" right="0.25" top="0.75" bottom="0.75" header="0.3" footer="0.3"/>
  <pageSetup orientation="portrait" verticalDpi="1200" r:id="rId1"/>
  <headerFooter>
    <oddHeader>&amp;L&amp;G&amp;RSkilled Nursing Visit Note</oddHeader>
    <oddFooter>&amp;C3088 Mercer University Drive Suite 100 Atlanta, GA 30341
678-310-6305 Fax 404-935-6110</oddFooter>
  </headerFooter>
  <legacyDrawingHF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20E75-9B5D-41C9-8F0C-586AF23009F9}">
  <sheetPr codeName="Sheet71">
    <tabColor rgb="FFFFFF00"/>
  </sheetPr>
  <dimension ref="A1:AM49"/>
  <sheetViews>
    <sheetView showZeros="0" view="pageLayout" zoomScaleNormal="100" workbookViewId="0">
      <selection activeCell="I29" sqref="I29"/>
    </sheetView>
  </sheetViews>
  <sheetFormatPr defaultColWidth="2.7109375" defaultRowHeight="12.75" x14ac:dyDescent="0.2"/>
  <sheetData>
    <row r="1" spans="1:39" x14ac:dyDescent="0.2">
      <c r="V1" t="s">
        <v>650</v>
      </c>
      <c r="AA1" s="598">
        <f>Data!B21</f>
        <v>0</v>
      </c>
      <c r="AB1" s="598"/>
      <c r="AC1" s="598"/>
      <c r="AD1" s="598"/>
      <c r="AE1" s="598"/>
      <c r="AF1" s="598"/>
      <c r="AG1" s="598"/>
      <c r="AH1" s="598"/>
      <c r="AI1" s="598"/>
      <c r="AJ1" s="598"/>
      <c r="AK1" s="598"/>
      <c r="AL1" s="598"/>
    </row>
    <row r="2" spans="1:39" x14ac:dyDescent="0.2">
      <c r="A2" t="s">
        <v>336</v>
      </c>
      <c r="F2" s="233" t="str">
        <f>_xlfn.CONCAT(Data!B2,", ",Data!B3," ",Data!B4)</f>
        <v xml:space="preserve">,  </v>
      </c>
      <c r="G2" s="233"/>
      <c r="H2" s="233"/>
      <c r="I2" s="233"/>
      <c r="J2" s="233"/>
      <c r="K2" s="233"/>
      <c r="L2" s="233"/>
      <c r="M2" s="233"/>
      <c r="N2" s="233"/>
      <c r="O2" s="233"/>
      <c r="P2" s="233"/>
      <c r="Q2" s="233"/>
      <c r="R2" s="233"/>
      <c r="S2" s="233"/>
      <c r="T2" s="233"/>
      <c r="V2" t="s">
        <v>371</v>
      </c>
      <c r="X2" s="306">
        <f>Data!B14</f>
        <v>0</v>
      </c>
      <c r="Y2" s="306"/>
      <c r="Z2" s="306"/>
      <c r="AA2" s="306"/>
      <c r="AB2" s="306"/>
      <c r="AC2" s="306"/>
      <c r="AD2" s="306"/>
    </row>
    <row r="4" spans="1:39" x14ac:dyDescent="0.2">
      <c r="A4" t="s">
        <v>1019</v>
      </c>
      <c r="I4" s="233">
        <f>Data!B38</f>
        <v>0</v>
      </c>
      <c r="J4" s="233"/>
      <c r="K4" s="233"/>
      <c r="L4" s="233"/>
      <c r="M4" s="233"/>
      <c r="N4" s="233"/>
      <c r="O4" s="233"/>
      <c r="P4" s="233"/>
      <c r="Q4" s="233"/>
      <c r="R4" s="233"/>
      <c r="S4" s="233"/>
      <c r="T4" s="233"/>
      <c r="V4" t="s">
        <v>570</v>
      </c>
      <c r="AA4" s="233">
        <f>Data!B39</f>
        <v>0</v>
      </c>
      <c r="AB4" s="233"/>
      <c r="AC4" s="233"/>
      <c r="AD4" s="233"/>
      <c r="AE4" s="233"/>
      <c r="AF4" s="233"/>
      <c r="AG4" s="233"/>
      <c r="AH4" s="233"/>
      <c r="AI4" s="233"/>
      <c r="AJ4" s="233"/>
      <c r="AK4" s="233"/>
      <c r="AL4" s="233"/>
    </row>
    <row r="6" spans="1:39" x14ac:dyDescent="0.2">
      <c r="A6" t="s">
        <v>3175</v>
      </c>
      <c r="G6" s="219">
        <f>Data!B1605</f>
        <v>0</v>
      </c>
      <c r="H6" s="219"/>
      <c r="I6" s="219"/>
      <c r="J6" s="219"/>
      <c r="K6" s="219"/>
      <c r="L6" s="219"/>
      <c r="M6" s="219"/>
      <c r="N6" s="219"/>
      <c r="O6" s="219"/>
      <c r="P6" s="219"/>
      <c r="Q6" s="219"/>
      <c r="R6" s="219"/>
      <c r="S6" s="219"/>
      <c r="T6" s="219"/>
      <c r="U6" s="219"/>
      <c r="V6" s="219"/>
      <c r="W6" s="219"/>
      <c r="X6" s="219"/>
      <c r="Y6" s="219"/>
      <c r="Z6" s="219"/>
      <c r="AA6" s="219"/>
      <c r="AB6" s="219"/>
      <c r="AC6" s="219"/>
      <c r="AD6" s="219"/>
      <c r="AE6" s="219"/>
      <c r="AF6" s="219"/>
      <c r="AG6" s="219"/>
      <c r="AH6" s="219"/>
      <c r="AI6" s="219"/>
      <c r="AJ6" s="219"/>
      <c r="AK6" s="219"/>
      <c r="AL6" s="219"/>
      <c r="AM6" s="219"/>
    </row>
    <row r="7" spans="1:39" x14ac:dyDescent="0.2">
      <c r="A7" t="s">
        <v>3176</v>
      </c>
      <c r="I7" s="239">
        <f>Data!B1606</f>
        <v>0</v>
      </c>
      <c r="J7" s="239"/>
      <c r="K7" s="239"/>
      <c r="L7" s="239"/>
      <c r="M7" s="239"/>
      <c r="N7" s="239"/>
      <c r="O7" s="239"/>
      <c r="P7" s="239"/>
      <c r="Q7" s="239"/>
      <c r="R7" s="239"/>
      <c r="S7" s="239"/>
      <c r="T7" s="239"/>
      <c r="U7" s="239"/>
      <c r="V7" s="239"/>
      <c r="W7" s="239"/>
      <c r="X7" s="239"/>
      <c r="Y7" s="239"/>
      <c r="Z7" s="239"/>
      <c r="AA7" s="239"/>
      <c r="AB7" s="239"/>
      <c r="AC7" s="239"/>
      <c r="AD7" s="239"/>
      <c r="AE7" s="239"/>
      <c r="AF7" s="239"/>
      <c r="AG7" s="239"/>
      <c r="AH7" s="239"/>
      <c r="AI7" s="239"/>
      <c r="AJ7" s="239"/>
      <c r="AK7" s="239"/>
      <c r="AL7" s="239"/>
      <c r="AM7" s="239"/>
    </row>
    <row r="8" spans="1:39" x14ac:dyDescent="0.2">
      <c r="I8" s="239"/>
      <c r="J8" s="239"/>
      <c r="K8" s="239"/>
      <c r="L8" s="239"/>
      <c r="M8" s="239"/>
      <c r="N8" s="239"/>
      <c r="O8" s="239"/>
      <c r="P8" s="239"/>
      <c r="Q8" s="239"/>
      <c r="R8" s="239"/>
      <c r="S8" s="239"/>
      <c r="T8" s="239"/>
      <c r="U8" s="239"/>
      <c r="V8" s="239"/>
      <c r="W8" s="239"/>
      <c r="X8" s="239"/>
      <c r="Y8" s="239"/>
      <c r="Z8" s="239"/>
      <c r="AA8" s="239"/>
      <c r="AB8" s="239"/>
      <c r="AC8" s="239"/>
      <c r="AD8" s="239"/>
      <c r="AE8" s="239"/>
      <c r="AF8" s="239"/>
      <c r="AG8" s="239"/>
      <c r="AH8" s="239"/>
      <c r="AI8" s="239"/>
      <c r="AJ8" s="239"/>
      <c r="AK8" s="239"/>
      <c r="AL8" s="239"/>
      <c r="AM8" s="239"/>
    </row>
    <row r="9" spans="1:39" x14ac:dyDescent="0.2">
      <c r="A9" t="s">
        <v>3177</v>
      </c>
      <c r="F9" s="239">
        <f>Data!B1608</f>
        <v>0</v>
      </c>
      <c r="G9" s="239"/>
      <c r="H9" s="239"/>
      <c r="I9" s="239"/>
      <c r="J9" s="239"/>
      <c r="K9" s="239"/>
      <c r="L9" s="239"/>
      <c r="M9" s="239"/>
      <c r="N9" s="239"/>
      <c r="O9" s="239"/>
      <c r="P9" s="239"/>
      <c r="Q9" s="239"/>
      <c r="R9" s="239"/>
      <c r="S9" s="239"/>
      <c r="T9" s="239"/>
      <c r="U9" s="239"/>
      <c r="V9" s="239"/>
      <c r="W9" s="239"/>
      <c r="X9" s="239"/>
      <c r="Y9" s="239"/>
      <c r="Z9" s="239"/>
      <c r="AA9" s="239"/>
      <c r="AB9" s="239"/>
      <c r="AC9" s="239"/>
      <c r="AD9" s="239"/>
      <c r="AE9" s="239"/>
      <c r="AF9" s="239"/>
      <c r="AG9" s="239"/>
      <c r="AH9" s="239"/>
      <c r="AI9" s="239"/>
      <c r="AJ9" s="239"/>
      <c r="AK9" s="239"/>
      <c r="AL9" s="239"/>
      <c r="AM9" s="239"/>
    </row>
    <row r="10" spans="1:39" x14ac:dyDescent="0.2">
      <c r="F10" s="239"/>
      <c r="G10" s="239"/>
      <c r="H10" s="239"/>
      <c r="I10" s="239"/>
      <c r="J10" s="239"/>
      <c r="K10" s="239"/>
      <c r="L10" s="239"/>
      <c r="M10" s="239"/>
      <c r="N10" s="239"/>
      <c r="O10" s="239"/>
      <c r="P10" s="239"/>
      <c r="Q10" s="239"/>
      <c r="R10" s="239"/>
      <c r="S10" s="239"/>
      <c r="T10" s="239"/>
      <c r="U10" s="239"/>
      <c r="V10" s="239"/>
      <c r="W10" s="239"/>
      <c r="X10" s="239"/>
      <c r="Y10" s="239"/>
      <c r="Z10" s="239"/>
      <c r="AA10" s="239"/>
      <c r="AB10" s="239"/>
      <c r="AC10" s="239"/>
      <c r="AD10" s="239"/>
      <c r="AE10" s="239"/>
      <c r="AF10" s="239"/>
      <c r="AG10" s="239"/>
      <c r="AH10" s="239"/>
      <c r="AI10" s="239"/>
      <c r="AJ10" s="239"/>
      <c r="AK10" s="239"/>
      <c r="AL10" s="239"/>
      <c r="AM10" s="239"/>
    </row>
    <row r="11" spans="1:39" x14ac:dyDescent="0.2">
      <c r="A11" t="s">
        <v>3178</v>
      </c>
      <c r="H11" s="239">
        <f>Data!B1607</f>
        <v>0</v>
      </c>
      <c r="I11" s="239"/>
      <c r="J11" s="239"/>
      <c r="K11" s="239"/>
      <c r="L11" s="239"/>
      <c r="M11" s="239"/>
      <c r="N11" s="239"/>
      <c r="O11" s="239"/>
      <c r="P11" s="239"/>
      <c r="Q11" s="239"/>
      <c r="R11" s="239"/>
      <c r="S11" s="239"/>
      <c r="T11" s="239"/>
      <c r="U11" s="239"/>
      <c r="V11" s="239"/>
      <c r="W11" s="239"/>
      <c r="X11" s="239"/>
      <c r="Y11" s="239"/>
      <c r="Z11" s="239"/>
      <c r="AA11" s="239"/>
      <c r="AB11" s="239"/>
      <c r="AC11" s="239"/>
      <c r="AD11" s="239"/>
      <c r="AE11" s="239"/>
      <c r="AF11" s="239"/>
      <c r="AG11" s="239"/>
      <c r="AH11" s="239"/>
      <c r="AI11" s="239"/>
      <c r="AJ11" s="239"/>
      <c r="AK11" s="239"/>
      <c r="AL11" s="239"/>
      <c r="AM11" s="239"/>
    </row>
    <row r="12" spans="1:39" x14ac:dyDescent="0.2">
      <c r="H12" s="239"/>
      <c r="I12" s="239"/>
      <c r="J12" s="239"/>
      <c r="K12" s="239"/>
      <c r="L12" s="239"/>
      <c r="M12" s="239"/>
      <c r="N12" s="239"/>
      <c r="O12" s="239"/>
      <c r="P12" s="239"/>
      <c r="Q12" s="239"/>
      <c r="R12" s="239"/>
      <c r="S12" s="239"/>
      <c r="T12" s="239"/>
      <c r="U12" s="239"/>
      <c r="V12" s="239"/>
      <c r="W12" s="239"/>
      <c r="X12" s="239"/>
      <c r="Y12" s="239"/>
      <c r="Z12" s="239"/>
      <c r="AA12" s="239"/>
      <c r="AB12" s="239"/>
      <c r="AC12" s="239"/>
      <c r="AD12" s="239"/>
      <c r="AE12" s="239"/>
      <c r="AF12" s="239"/>
      <c r="AG12" s="239"/>
      <c r="AH12" s="239"/>
      <c r="AI12" s="239"/>
      <c r="AJ12" s="239"/>
      <c r="AK12" s="239"/>
      <c r="AL12" s="239"/>
      <c r="AM12" s="239"/>
    </row>
    <row r="14" spans="1:39" x14ac:dyDescent="0.2">
      <c r="F14" s="254" t="s">
        <v>1301</v>
      </c>
      <c r="G14" s="254"/>
      <c r="H14" s="254"/>
      <c r="I14" s="254"/>
      <c r="J14" s="254"/>
      <c r="K14" s="254"/>
      <c r="L14" s="602" t="s">
        <v>3179</v>
      </c>
      <c r="M14" s="602"/>
      <c r="N14" s="602"/>
      <c r="O14" s="602"/>
      <c r="P14" s="602"/>
      <c r="Q14" s="602"/>
      <c r="R14" s="602"/>
      <c r="S14" s="602"/>
      <c r="T14" s="602"/>
      <c r="U14" s="602"/>
      <c r="V14" s="602"/>
      <c r="W14" s="602"/>
      <c r="X14" s="602"/>
      <c r="Y14" s="602"/>
      <c r="Z14" s="602"/>
      <c r="AA14" s="602"/>
      <c r="AB14" s="602"/>
      <c r="AC14" s="602"/>
      <c r="AD14" s="602"/>
      <c r="AE14" s="602"/>
      <c r="AF14" s="602"/>
      <c r="AG14" s="602"/>
      <c r="AH14" s="602"/>
      <c r="AI14" s="602"/>
      <c r="AJ14" s="602"/>
      <c r="AK14" s="602"/>
      <c r="AL14" s="602"/>
      <c r="AM14" s="602"/>
    </row>
    <row r="15" spans="1:39" x14ac:dyDescent="0.2">
      <c r="A15" s="599" t="s">
        <v>277</v>
      </c>
      <c r="B15" s="599"/>
      <c r="C15" s="599"/>
      <c r="D15" s="599"/>
      <c r="E15" s="599"/>
      <c r="F15" s="600">
        <f>Data!B1075</f>
        <v>0</v>
      </c>
      <c r="G15" s="600"/>
      <c r="H15" s="600"/>
      <c r="I15" s="600"/>
      <c r="J15" s="600"/>
      <c r="K15" s="600"/>
      <c r="L15" s="601">
        <f>Data!B1076</f>
        <v>0</v>
      </c>
      <c r="M15" s="601"/>
      <c r="N15" s="601"/>
      <c r="O15" s="601"/>
      <c r="P15" s="601"/>
      <c r="Q15" s="601"/>
      <c r="R15" s="601"/>
      <c r="S15" s="601"/>
      <c r="T15" s="601"/>
      <c r="U15" s="601"/>
      <c r="V15" s="601"/>
      <c r="W15" s="601"/>
      <c r="X15" s="601"/>
      <c r="Y15" s="601"/>
      <c r="Z15" s="601"/>
      <c r="AA15" s="601"/>
      <c r="AB15" s="601"/>
      <c r="AC15" s="601"/>
      <c r="AD15" s="601"/>
      <c r="AE15" s="601"/>
      <c r="AF15" s="601"/>
      <c r="AG15" s="601"/>
      <c r="AH15" s="601"/>
      <c r="AI15" s="601"/>
      <c r="AJ15" s="601"/>
      <c r="AK15" s="601"/>
      <c r="AL15" s="601"/>
      <c r="AM15" s="601"/>
    </row>
    <row r="16" spans="1:39" x14ac:dyDescent="0.2">
      <c r="A16" s="599"/>
      <c r="B16" s="599"/>
      <c r="C16" s="599"/>
      <c r="D16" s="599"/>
      <c r="E16" s="599"/>
      <c r="F16" s="600"/>
      <c r="G16" s="600"/>
      <c r="H16" s="600"/>
      <c r="I16" s="600"/>
      <c r="J16" s="600"/>
      <c r="K16" s="600"/>
      <c r="L16" s="601"/>
      <c r="M16" s="601"/>
      <c r="N16" s="601"/>
      <c r="O16" s="601"/>
      <c r="P16" s="601"/>
      <c r="Q16" s="601"/>
      <c r="R16" s="601"/>
      <c r="S16" s="601"/>
      <c r="T16" s="601"/>
      <c r="U16" s="601"/>
      <c r="V16" s="601"/>
      <c r="W16" s="601"/>
      <c r="X16" s="601"/>
      <c r="Y16" s="601"/>
      <c r="Z16" s="601"/>
      <c r="AA16" s="601"/>
      <c r="AB16" s="601"/>
      <c r="AC16" s="601"/>
      <c r="AD16" s="601"/>
      <c r="AE16" s="601"/>
      <c r="AF16" s="601"/>
      <c r="AG16" s="601"/>
      <c r="AH16" s="601"/>
      <c r="AI16" s="601"/>
      <c r="AJ16" s="601"/>
      <c r="AK16" s="601"/>
      <c r="AL16" s="601"/>
      <c r="AM16" s="601"/>
    </row>
    <row r="17" spans="1:39" x14ac:dyDescent="0.2">
      <c r="A17" s="599" t="s">
        <v>1068</v>
      </c>
      <c r="B17" s="599"/>
      <c r="C17" s="599"/>
      <c r="D17" s="599"/>
      <c r="E17" s="599"/>
      <c r="F17" s="600" t="str">
        <f>IF(Data!B1087="Yes","No","Yes")</f>
        <v>Yes</v>
      </c>
      <c r="G17" s="600"/>
      <c r="H17" s="600"/>
      <c r="I17" s="600"/>
      <c r="J17" s="600"/>
      <c r="K17" s="600"/>
      <c r="L17" s="601">
        <f>Data!B1088</f>
        <v>0</v>
      </c>
      <c r="M17" s="601"/>
      <c r="N17" s="601"/>
      <c r="O17" s="601"/>
      <c r="P17" s="601"/>
      <c r="Q17" s="601"/>
      <c r="R17" s="601"/>
      <c r="S17" s="601"/>
      <c r="T17" s="601"/>
      <c r="U17" s="601"/>
      <c r="V17" s="601"/>
      <c r="W17" s="601"/>
      <c r="X17" s="601"/>
      <c r="Y17" s="601"/>
      <c r="Z17" s="601"/>
      <c r="AA17" s="601"/>
      <c r="AB17" s="601"/>
      <c r="AC17" s="601"/>
      <c r="AD17" s="601"/>
      <c r="AE17" s="601"/>
      <c r="AF17" s="601"/>
      <c r="AG17" s="601"/>
      <c r="AH17" s="601"/>
      <c r="AI17" s="601"/>
      <c r="AJ17" s="601"/>
      <c r="AK17" s="601"/>
      <c r="AL17" s="601"/>
      <c r="AM17" s="601"/>
    </row>
    <row r="18" spans="1:39" x14ac:dyDescent="0.2">
      <c r="A18" s="599"/>
      <c r="B18" s="599"/>
      <c r="C18" s="599"/>
      <c r="D18" s="599"/>
      <c r="E18" s="599"/>
      <c r="F18" s="600"/>
      <c r="G18" s="600"/>
      <c r="H18" s="600"/>
      <c r="I18" s="600"/>
      <c r="J18" s="600"/>
      <c r="K18" s="600"/>
      <c r="L18" s="601"/>
      <c r="M18" s="601"/>
      <c r="N18" s="601"/>
      <c r="O18" s="601"/>
      <c r="P18" s="601"/>
      <c r="Q18" s="601"/>
      <c r="R18" s="601"/>
      <c r="S18" s="601"/>
      <c r="T18" s="601"/>
      <c r="U18" s="601"/>
      <c r="V18" s="601"/>
      <c r="W18" s="601"/>
      <c r="X18" s="601"/>
      <c r="Y18" s="601"/>
      <c r="Z18" s="601"/>
      <c r="AA18" s="601"/>
      <c r="AB18" s="601"/>
      <c r="AC18" s="601"/>
      <c r="AD18" s="601"/>
      <c r="AE18" s="601"/>
      <c r="AF18" s="601"/>
      <c r="AG18" s="601"/>
      <c r="AH18" s="601"/>
      <c r="AI18" s="601"/>
      <c r="AJ18" s="601"/>
      <c r="AK18" s="601"/>
      <c r="AL18" s="601"/>
      <c r="AM18" s="601"/>
    </row>
    <row r="19" spans="1:39" x14ac:dyDescent="0.2">
      <c r="A19" s="599" t="s">
        <v>1156</v>
      </c>
      <c r="B19" s="599"/>
      <c r="C19" s="599"/>
      <c r="D19" s="599"/>
      <c r="E19" s="599"/>
      <c r="F19" s="600">
        <f>Data!B1067</f>
        <v>0</v>
      </c>
      <c r="G19" s="600"/>
      <c r="H19" s="600"/>
      <c r="I19" s="600"/>
      <c r="J19" s="600"/>
      <c r="K19" s="600"/>
      <c r="L19" s="601">
        <f>Data!B1068</f>
        <v>0</v>
      </c>
      <c r="M19" s="601"/>
      <c r="N19" s="601"/>
      <c r="O19" s="601"/>
      <c r="P19" s="601"/>
      <c r="Q19" s="601"/>
      <c r="R19" s="601"/>
      <c r="S19" s="601"/>
      <c r="T19" s="601"/>
      <c r="U19" s="601"/>
      <c r="V19" s="601"/>
      <c r="W19" s="601"/>
      <c r="X19" s="601"/>
      <c r="Y19" s="601"/>
      <c r="Z19" s="601"/>
      <c r="AA19" s="601"/>
      <c r="AB19" s="601"/>
      <c r="AC19" s="601"/>
      <c r="AD19" s="601"/>
      <c r="AE19" s="601"/>
      <c r="AF19" s="601"/>
      <c r="AG19" s="601"/>
      <c r="AH19" s="601"/>
      <c r="AI19" s="601"/>
      <c r="AJ19" s="601"/>
      <c r="AK19" s="601"/>
      <c r="AL19" s="601"/>
      <c r="AM19" s="601"/>
    </row>
    <row r="20" spans="1:39" x14ac:dyDescent="0.2">
      <c r="A20" s="599"/>
      <c r="B20" s="599"/>
      <c r="C20" s="599"/>
      <c r="D20" s="599"/>
      <c r="E20" s="599"/>
      <c r="F20" s="600"/>
      <c r="G20" s="600"/>
      <c r="H20" s="600"/>
      <c r="I20" s="600"/>
      <c r="J20" s="600"/>
      <c r="K20" s="600"/>
      <c r="L20" s="601"/>
      <c r="M20" s="601"/>
      <c r="N20" s="601"/>
      <c r="O20" s="601"/>
      <c r="P20" s="601"/>
      <c r="Q20" s="601"/>
      <c r="R20" s="601"/>
      <c r="S20" s="601"/>
      <c r="T20" s="601"/>
      <c r="U20" s="601"/>
      <c r="V20" s="601"/>
      <c r="W20" s="601"/>
      <c r="X20" s="601"/>
      <c r="Y20" s="601"/>
      <c r="Z20" s="601"/>
      <c r="AA20" s="601"/>
      <c r="AB20" s="601"/>
      <c r="AC20" s="601"/>
      <c r="AD20" s="601"/>
      <c r="AE20" s="601"/>
      <c r="AF20" s="601"/>
      <c r="AG20" s="601"/>
      <c r="AH20" s="601"/>
      <c r="AI20" s="601"/>
      <c r="AJ20" s="601"/>
      <c r="AK20" s="601"/>
      <c r="AL20" s="601"/>
      <c r="AM20" s="601"/>
    </row>
    <row r="21" spans="1:39" x14ac:dyDescent="0.2">
      <c r="A21" s="599" t="s">
        <v>778</v>
      </c>
      <c r="B21" s="599"/>
      <c r="C21" s="599"/>
      <c r="D21" s="599"/>
      <c r="E21" s="599"/>
      <c r="F21" s="600" t="str">
        <f>IF(Data!B1085="Yes","No","Yes")</f>
        <v>Yes</v>
      </c>
      <c r="G21" s="600"/>
      <c r="H21" s="600"/>
      <c r="I21" s="600"/>
      <c r="J21" s="600"/>
      <c r="K21" s="600"/>
      <c r="L21" s="601">
        <f>Data!B1086</f>
        <v>0</v>
      </c>
      <c r="M21" s="601"/>
      <c r="N21" s="601"/>
      <c r="O21" s="601"/>
      <c r="P21" s="601"/>
      <c r="Q21" s="601"/>
      <c r="R21" s="601"/>
      <c r="S21" s="601"/>
      <c r="T21" s="601"/>
      <c r="U21" s="601"/>
      <c r="V21" s="601"/>
      <c r="W21" s="601"/>
      <c r="X21" s="601"/>
      <c r="Y21" s="601"/>
      <c r="Z21" s="601"/>
      <c r="AA21" s="601"/>
      <c r="AB21" s="601"/>
      <c r="AC21" s="601"/>
      <c r="AD21" s="601"/>
      <c r="AE21" s="601"/>
      <c r="AF21" s="601"/>
      <c r="AG21" s="601"/>
      <c r="AH21" s="601"/>
      <c r="AI21" s="601"/>
      <c r="AJ21" s="601"/>
      <c r="AK21" s="601"/>
      <c r="AL21" s="601"/>
      <c r="AM21" s="601"/>
    </row>
    <row r="22" spans="1:39" x14ac:dyDescent="0.2">
      <c r="A22" s="599"/>
      <c r="B22" s="599"/>
      <c r="C22" s="599"/>
      <c r="D22" s="599"/>
      <c r="E22" s="599"/>
      <c r="F22" s="600"/>
      <c r="G22" s="600"/>
      <c r="H22" s="600"/>
      <c r="I22" s="600"/>
      <c r="J22" s="600"/>
      <c r="K22" s="600"/>
      <c r="L22" s="601"/>
      <c r="M22" s="601"/>
      <c r="N22" s="601"/>
      <c r="O22" s="601"/>
      <c r="P22" s="601"/>
      <c r="Q22" s="601"/>
      <c r="R22" s="601"/>
      <c r="S22" s="601"/>
      <c r="T22" s="601"/>
      <c r="U22" s="601"/>
      <c r="V22" s="601"/>
      <c r="W22" s="601"/>
      <c r="X22" s="601"/>
      <c r="Y22" s="601"/>
      <c r="Z22" s="601"/>
      <c r="AA22" s="601"/>
      <c r="AB22" s="601"/>
      <c r="AC22" s="601"/>
      <c r="AD22" s="601"/>
      <c r="AE22" s="601"/>
      <c r="AF22" s="601"/>
      <c r="AG22" s="601"/>
      <c r="AH22" s="601"/>
      <c r="AI22" s="601"/>
      <c r="AJ22" s="601"/>
      <c r="AK22" s="601"/>
      <c r="AL22" s="601"/>
      <c r="AM22" s="601"/>
    </row>
    <row r="23" spans="1:39" x14ac:dyDescent="0.2">
      <c r="A23" s="599" t="s">
        <v>576</v>
      </c>
      <c r="B23" s="599"/>
      <c r="C23" s="599"/>
      <c r="D23" s="599"/>
      <c r="E23" s="599"/>
      <c r="F23" s="600">
        <f>Data!D409</f>
        <v>0</v>
      </c>
      <c r="G23" s="600"/>
      <c r="H23" s="600"/>
      <c r="I23" s="600"/>
      <c r="J23" s="600"/>
      <c r="K23" s="600"/>
      <c r="L23" s="601" t="str">
        <f>IF(F23="Yes","See Updated Medication Profile","")</f>
        <v/>
      </c>
      <c r="M23" s="601"/>
      <c r="N23" s="601"/>
      <c r="O23" s="601"/>
      <c r="P23" s="601"/>
      <c r="Q23" s="601"/>
      <c r="R23" s="601"/>
      <c r="S23" s="601"/>
      <c r="T23" s="601"/>
      <c r="U23" s="601"/>
      <c r="V23" s="601"/>
      <c r="W23" s="601"/>
      <c r="X23" s="601"/>
      <c r="Y23" s="601"/>
      <c r="Z23" s="601"/>
      <c r="AA23" s="601"/>
      <c r="AB23" s="601"/>
      <c r="AC23" s="601"/>
      <c r="AD23" s="601"/>
      <c r="AE23" s="601"/>
      <c r="AF23" s="601"/>
      <c r="AG23" s="601"/>
      <c r="AH23" s="601"/>
      <c r="AI23" s="601"/>
      <c r="AJ23" s="601"/>
      <c r="AK23" s="601"/>
      <c r="AL23" s="601"/>
      <c r="AM23" s="601"/>
    </row>
    <row r="24" spans="1:39" x14ac:dyDescent="0.2">
      <c r="A24" s="599"/>
      <c r="B24" s="599"/>
      <c r="C24" s="599"/>
      <c r="D24" s="599"/>
      <c r="E24" s="599"/>
      <c r="F24" s="600"/>
      <c r="G24" s="600"/>
      <c r="H24" s="600"/>
      <c r="I24" s="600"/>
      <c r="J24" s="600"/>
      <c r="K24" s="600"/>
      <c r="L24" s="601"/>
      <c r="M24" s="601"/>
      <c r="N24" s="601"/>
      <c r="O24" s="601"/>
      <c r="P24" s="601"/>
      <c r="Q24" s="601"/>
      <c r="R24" s="601"/>
      <c r="S24" s="601"/>
      <c r="T24" s="601"/>
      <c r="U24" s="601"/>
      <c r="V24" s="601"/>
      <c r="W24" s="601"/>
      <c r="X24" s="601"/>
      <c r="Y24" s="601"/>
      <c r="Z24" s="601"/>
      <c r="AA24" s="601"/>
      <c r="AB24" s="601"/>
      <c r="AC24" s="601"/>
      <c r="AD24" s="601"/>
      <c r="AE24" s="601"/>
      <c r="AF24" s="601"/>
      <c r="AG24" s="601"/>
      <c r="AH24" s="601"/>
      <c r="AI24" s="601"/>
      <c r="AJ24" s="601"/>
      <c r="AK24" s="601"/>
      <c r="AL24" s="601"/>
      <c r="AM24" s="601"/>
    </row>
    <row r="25" spans="1:39" x14ac:dyDescent="0.2">
      <c r="A25" s="599" t="s">
        <v>3180</v>
      </c>
      <c r="B25" s="599"/>
      <c r="C25" s="599"/>
      <c r="D25" s="599"/>
      <c r="E25" s="599"/>
      <c r="F25" s="600" t="str">
        <f>IF(Data!B1083="Yes","No","Yes")</f>
        <v>Yes</v>
      </c>
      <c r="G25" s="600"/>
      <c r="H25" s="600"/>
      <c r="I25" s="600"/>
      <c r="J25" s="600"/>
      <c r="K25" s="600"/>
      <c r="L25" s="601">
        <f>Data!B1094</f>
        <v>0</v>
      </c>
      <c r="M25" s="601"/>
      <c r="N25" s="601"/>
      <c r="O25" s="601"/>
      <c r="P25" s="601"/>
      <c r="Q25" s="601"/>
      <c r="R25" s="601"/>
      <c r="S25" s="601"/>
      <c r="T25" s="601"/>
      <c r="U25" s="601"/>
      <c r="V25" s="601"/>
      <c r="W25" s="601"/>
      <c r="X25" s="601"/>
      <c r="Y25" s="601"/>
      <c r="Z25" s="601"/>
      <c r="AA25" s="601"/>
      <c r="AB25" s="601"/>
      <c r="AC25" s="601"/>
      <c r="AD25" s="601"/>
      <c r="AE25" s="601"/>
      <c r="AF25" s="601"/>
      <c r="AG25" s="601"/>
      <c r="AH25" s="601"/>
      <c r="AI25" s="601"/>
      <c r="AJ25" s="601"/>
      <c r="AK25" s="601"/>
      <c r="AL25" s="601"/>
      <c r="AM25" s="601"/>
    </row>
    <row r="26" spans="1:39" x14ac:dyDescent="0.2">
      <c r="A26" s="599"/>
      <c r="B26" s="599"/>
      <c r="C26" s="599"/>
      <c r="D26" s="599"/>
      <c r="E26" s="599"/>
      <c r="F26" s="600"/>
      <c r="G26" s="600"/>
      <c r="H26" s="600"/>
      <c r="I26" s="600"/>
      <c r="J26" s="600"/>
      <c r="K26" s="600"/>
      <c r="L26" s="601"/>
      <c r="M26" s="601"/>
      <c r="N26" s="601"/>
      <c r="O26" s="601"/>
      <c r="P26" s="601"/>
      <c r="Q26" s="601"/>
      <c r="R26" s="601"/>
      <c r="S26" s="601"/>
      <c r="T26" s="601"/>
      <c r="U26" s="601"/>
      <c r="V26" s="601"/>
      <c r="W26" s="601"/>
      <c r="X26" s="601"/>
      <c r="Y26" s="601"/>
      <c r="Z26" s="601"/>
      <c r="AA26" s="601"/>
      <c r="AB26" s="601"/>
      <c r="AC26" s="601"/>
      <c r="AD26" s="601"/>
      <c r="AE26" s="601"/>
      <c r="AF26" s="601"/>
      <c r="AG26" s="601"/>
      <c r="AH26" s="601"/>
      <c r="AI26" s="601"/>
      <c r="AJ26" s="601"/>
      <c r="AK26" s="601"/>
      <c r="AL26" s="601"/>
      <c r="AM26" s="601"/>
    </row>
    <row r="27" spans="1:39" x14ac:dyDescent="0.2">
      <c r="A27" s="599" t="s">
        <v>3181</v>
      </c>
      <c r="B27" s="599"/>
      <c r="C27" s="599"/>
      <c r="D27" s="599"/>
      <c r="E27" s="599"/>
      <c r="F27" s="600" t="str">
        <f>IF(Data!B1091="Yes","No","Yes")</f>
        <v>Yes</v>
      </c>
      <c r="G27" s="600"/>
      <c r="H27" s="600"/>
      <c r="I27" s="600"/>
      <c r="J27" s="600"/>
      <c r="K27" s="600"/>
      <c r="L27" s="601">
        <f>Data!B1091</f>
        <v>0</v>
      </c>
      <c r="M27" s="601"/>
      <c r="N27" s="601"/>
      <c r="O27" s="601"/>
      <c r="P27" s="601"/>
      <c r="Q27" s="601"/>
      <c r="R27" s="601"/>
      <c r="S27" s="601"/>
      <c r="T27" s="601"/>
      <c r="U27" s="601"/>
      <c r="V27" s="601"/>
      <c r="W27" s="601"/>
      <c r="X27" s="601"/>
      <c r="Y27" s="601"/>
      <c r="Z27" s="601"/>
      <c r="AA27" s="601"/>
      <c r="AB27" s="601"/>
      <c r="AC27" s="601"/>
      <c r="AD27" s="601"/>
      <c r="AE27" s="601"/>
      <c r="AF27" s="601"/>
      <c r="AG27" s="601"/>
      <c r="AH27" s="601"/>
      <c r="AI27" s="601"/>
      <c r="AJ27" s="601"/>
      <c r="AK27" s="601"/>
      <c r="AL27" s="601"/>
      <c r="AM27" s="601"/>
    </row>
    <row r="28" spans="1:39" x14ac:dyDescent="0.2">
      <c r="A28" s="599"/>
      <c r="B28" s="599"/>
      <c r="C28" s="599"/>
      <c r="D28" s="599"/>
      <c r="E28" s="599"/>
      <c r="F28" s="600"/>
      <c r="G28" s="600"/>
      <c r="H28" s="600"/>
      <c r="I28" s="600"/>
      <c r="J28" s="600"/>
      <c r="K28" s="600"/>
      <c r="L28" s="601"/>
      <c r="M28" s="601"/>
      <c r="N28" s="601"/>
      <c r="O28" s="601"/>
      <c r="P28" s="601"/>
      <c r="Q28" s="601"/>
      <c r="R28" s="601"/>
      <c r="S28" s="601"/>
      <c r="T28" s="601"/>
      <c r="U28" s="601"/>
      <c r="V28" s="601"/>
      <c r="W28" s="601"/>
      <c r="X28" s="601"/>
      <c r="Y28" s="601"/>
      <c r="Z28" s="601"/>
      <c r="AA28" s="601"/>
      <c r="AB28" s="601"/>
      <c r="AC28" s="601"/>
      <c r="AD28" s="601"/>
      <c r="AE28" s="601"/>
      <c r="AF28" s="601"/>
      <c r="AG28" s="601"/>
      <c r="AH28" s="601"/>
      <c r="AI28" s="601"/>
      <c r="AJ28" s="601"/>
      <c r="AK28" s="601"/>
      <c r="AL28" s="601"/>
      <c r="AM28" s="601"/>
    </row>
    <row r="30" spans="1:39" x14ac:dyDescent="0.2">
      <c r="A30" s="604" t="s">
        <v>1399</v>
      </c>
      <c r="B30" s="604"/>
      <c r="C30" s="604"/>
      <c r="D30" s="604"/>
      <c r="E30" s="604"/>
      <c r="F30" s="604"/>
      <c r="G30" s="604"/>
      <c r="H30" s="604"/>
      <c r="I30" s="604"/>
      <c r="J30" s="604"/>
      <c r="K30" s="604"/>
      <c r="L30" s="604"/>
      <c r="M30" s="604"/>
      <c r="N30" s="604"/>
      <c r="O30" s="604"/>
      <c r="P30" s="604"/>
      <c r="Q30" s="604"/>
      <c r="R30" s="604"/>
      <c r="S30" s="604"/>
      <c r="T30" s="604"/>
      <c r="U30" s="604"/>
      <c r="V30" s="604"/>
      <c r="W30" s="604"/>
      <c r="X30" s="604"/>
      <c r="Y30" s="604"/>
      <c r="Z30" s="604"/>
      <c r="AA30" s="604"/>
      <c r="AB30" s="604"/>
      <c r="AC30" s="604"/>
      <c r="AD30" s="604"/>
      <c r="AE30" s="604"/>
      <c r="AF30" s="604"/>
      <c r="AG30" s="604"/>
      <c r="AH30" s="604"/>
      <c r="AI30" s="604"/>
      <c r="AJ30" s="604"/>
      <c r="AK30" s="604"/>
      <c r="AL30" s="604"/>
      <c r="AM30" s="604"/>
    </row>
    <row r="31" spans="1:39" x14ac:dyDescent="0.2">
      <c r="A31" t="s">
        <v>1065</v>
      </c>
      <c r="G31" s="219" t="str">
        <f>Data!B474&amp;"/"&amp;Data!C474</f>
        <v>/</v>
      </c>
      <c r="H31" s="219"/>
      <c r="I31" s="219"/>
      <c r="J31" s="219"/>
      <c r="K31" s="219"/>
      <c r="L31" s="219"/>
      <c r="M31" s="219"/>
      <c r="N31" s="219"/>
      <c r="O31" s="219"/>
      <c r="S31" t="s">
        <v>3183</v>
      </c>
      <c r="X31" s="219">
        <f>Data!B513</f>
        <v>0</v>
      </c>
      <c r="Y31" s="219"/>
      <c r="Z31" s="219"/>
      <c r="AA31" s="219"/>
      <c r="AB31" s="219"/>
      <c r="AC31" s="219"/>
      <c r="AD31" s="219"/>
      <c r="AE31" s="219"/>
      <c r="AF31" s="4"/>
    </row>
    <row r="32" spans="1:39" x14ac:dyDescent="0.2">
      <c r="A32" t="s">
        <v>177</v>
      </c>
      <c r="G32" s="219">
        <f>Data!B499</f>
        <v>0</v>
      </c>
      <c r="H32" s="219"/>
      <c r="I32" s="219"/>
      <c r="J32" s="219"/>
      <c r="K32" s="219"/>
      <c r="L32" s="219"/>
      <c r="M32" s="219"/>
      <c r="N32" s="219"/>
      <c r="O32" s="219"/>
      <c r="S32" t="s">
        <v>3182</v>
      </c>
      <c r="X32" s="219">
        <f>Data!B529</f>
        <v>0</v>
      </c>
      <c r="Y32" s="219"/>
      <c r="Z32" s="219"/>
      <c r="AA32" s="219"/>
      <c r="AB32" s="219"/>
      <c r="AC32" s="219"/>
      <c r="AD32" s="219"/>
      <c r="AE32" s="219"/>
      <c r="AF32" s="4"/>
    </row>
    <row r="33" spans="1:39" x14ac:dyDescent="0.2">
      <c r="A33" t="s">
        <v>1066</v>
      </c>
      <c r="G33" s="219">
        <f>Data!B488</f>
        <v>0</v>
      </c>
      <c r="H33" s="219"/>
      <c r="I33" s="219"/>
      <c r="J33" s="219"/>
      <c r="K33" s="219"/>
      <c r="L33" s="219"/>
      <c r="M33" s="219"/>
      <c r="N33" s="219"/>
      <c r="O33" s="219"/>
      <c r="S33" t="s">
        <v>183</v>
      </c>
      <c r="X33" s="603">
        <f>Data!B545</f>
        <v>98</v>
      </c>
      <c r="Y33" s="219"/>
      <c r="Z33" s="219"/>
      <c r="AA33" s="219"/>
      <c r="AB33" s="219"/>
      <c r="AC33" s="219"/>
      <c r="AD33" s="219"/>
      <c r="AE33" s="219"/>
      <c r="AF33" s="219"/>
    </row>
    <row r="36" spans="1:39" x14ac:dyDescent="0.2">
      <c r="A36" s="604" t="s">
        <v>3384</v>
      </c>
      <c r="B36" s="604"/>
      <c r="C36" s="604"/>
      <c r="D36" s="604"/>
      <c r="E36" s="604"/>
      <c r="F36" s="604"/>
      <c r="G36" s="604"/>
      <c r="H36" s="604"/>
      <c r="I36" s="604"/>
      <c r="J36" s="604"/>
      <c r="K36" s="604"/>
      <c r="L36" s="604"/>
      <c r="M36" s="604"/>
      <c r="N36" s="604"/>
      <c r="O36" s="604"/>
      <c r="P36" s="604"/>
      <c r="Q36" s="604"/>
      <c r="R36" s="604"/>
      <c r="S36" s="604"/>
      <c r="T36" s="604"/>
      <c r="U36" s="604"/>
      <c r="V36" s="604"/>
      <c r="W36" s="604"/>
      <c r="X36" s="604"/>
      <c r="Y36" s="604"/>
      <c r="Z36" s="604"/>
      <c r="AA36" s="604"/>
      <c r="AB36" s="604"/>
      <c r="AC36" s="604"/>
      <c r="AD36" s="604"/>
      <c r="AE36" s="604"/>
      <c r="AF36" s="604"/>
      <c r="AG36" s="604"/>
      <c r="AH36" s="604"/>
      <c r="AI36" s="604"/>
      <c r="AJ36" s="604"/>
      <c r="AK36" s="604"/>
      <c r="AL36" s="604"/>
      <c r="AM36" s="604"/>
    </row>
    <row r="37" spans="1:39" x14ac:dyDescent="0.2">
      <c r="A37" s="239">
        <f>Data!B1111</f>
        <v>0</v>
      </c>
      <c r="B37" s="239"/>
      <c r="C37" s="239"/>
      <c r="D37" s="239"/>
      <c r="E37" s="239"/>
      <c r="F37" s="239"/>
      <c r="G37" s="239"/>
      <c r="H37" s="239"/>
      <c r="I37" s="239"/>
      <c r="J37" s="239"/>
      <c r="K37" s="239"/>
      <c r="L37" s="239"/>
      <c r="M37" s="239"/>
      <c r="N37" s="239"/>
      <c r="O37" s="239"/>
      <c r="P37" s="239"/>
      <c r="Q37" s="239"/>
      <c r="R37" s="239"/>
      <c r="S37" s="239"/>
      <c r="T37" s="239"/>
      <c r="U37" s="239"/>
      <c r="V37" s="239"/>
      <c r="W37" s="239"/>
      <c r="X37" s="239"/>
      <c r="Y37" s="239"/>
      <c r="Z37" s="239"/>
      <c r="AA37" s="239"/>
      <c r="AB37" s="239"/>
      <c r="AC37" s="239"/>
      <c r="AD37" s="239"/>
      <c r="AE37" s="239"/>
      <c r="AF37" s="239"/>
      <c r="AG37" s="239"/>
      <c r="AH37" s="239"/>
      <c r="AI37" s="239"/>
      <c r="AJ37" s="239"/>
      <c r="AK37" s="239"/>
      <c r="AL37" s="239"/>
      <c r="AM37" s="239"/>
    </row>
    <row r="38" spans="1:39" x14ac:dyDescent="0.2">
      <c r="A38" s="239"/>
      <c r="B38" s="239"/>
      <c r="C38" s="239"/>
      <c r="D38" s="239"/>
      <c r="E38" s="239"/>
      <c r="F38" s="239"/>
      <c r="G38" s="239"/>
      <c r="H38" s="239"/>
      <c r="I38" s="239"/>
      <c r="J38" s="239"/>
      <c r="K38" s="239"/>
      <c r="L38" s="239"/>
      <c r="M38" s="239"/>
      <c r="N38" s="239"/>
      <c r="O38" s="239"/>
      <c r="P38" s="239"/>
      <c r="Q38" s="239"/>
      <c r="R38" s="239"/>
      <c r="S38" s="239"/>
      <c r="T38" s="239"/>
      <c r="U38" s="239"/>
      <c r="V38" s="239"/>
      <c r="W38" s="239"/>
      <c r="X38" s="239"/>
      <c r="Y38" s="239"/>
      <c r="Z38" s="239"/>
      <c r="AA38" s="239"/>
      <c r="AB38" s="239"/>
      <c r="AC38" s="239"/>
      <c r="AD38" s="239"/>
      <c r="AE38" s="239"/>
      <c r="AF38" s="239"/>
      <c r="AG38" s="239"/>
      <c r="AH38" s="239"/>
      <c r="AI38" s="239"/>
      <c r="AJ38" s="239"/>
      <c r="AK38" s="239"/>
      <c r="AL38" s="239"/>
      <c r="AM38" s="239"/>
    </row>
    <row r="39" spans="1:39" x14ac:dyDescent="0.2">
      <c r="A39" s="239"/>
      <c r="B39" s="239"/>
      <c r="C39" s="239"/>
      <c r="D39" s="239"/>
      <c r="E39" s="239"/>
      <c r="F39" s="239"/>
      <c r="G39" s="239"/>
      <c r="H39" s="239"/>
      <c r="I39" s="239"/>
      <c r="J39" s="239"/>
      <c r="K39" s="239"/>
      <c r="L39" s="239"/>
      <c r="M39" s="239"/>
      <c r="N39" s="239"/>
      <c r="O39" s="239"/>
      <c r="P39" s="239"/>
      <c r="Q39" s="239"/>
      <c r="R39" s="239"/>
      <c r="S39" s="239"/>
      <c r="T39" s="239"/>
      <c r="U39" s="239"/>
      <c r="V39" s="239"/>
      <c r="W39" s="239"/>
      <c r="X39" s="239"/>
      <c r="Y39" s="239"/>
      <c r="Z39" s="239"/>
      <c r="AA39" s="239"/>
      <c r="AB39" s="239"/>
      <c r="AC39" s="239"/>
      <c r="AD39" s="239"/>
      <c r="AE39" s="239"/>
      <c r="AF39" s="239"/>
      <c r="AG39" s="239"/>
      <c r="AH39" s="239"/>
      <c r="AI39" s="239"/>
      <c r="AJ39" s="239"/>
      <c r="AK39" s="239"/>
      <c r="AL39" s="239"/>
      <c r="AM39" s="239"/>
    </row>
    <row r="40" spans="1:39" x14ac:dyDescent="0.2">
      <c r="A40" s="239"/>
      <c r="B40" s="239"/>
      <c r="C40" s="239"/>
      <c r="D40" s="239"/>
      <c r="E40" s="239"/>
      <c r="F40" s="239"/>
      <c r="G40" s="239"/>
      <c r="H40" s="239"/>
      <c r="I40" s="239"/>
      <c r="J40" s="239"/>
      <c r="K40" s="239"/>
      <c r="L40" s="239"/>
      <c r="M40" s="239"/>
      <c r="N40" s="239"/>
      <c r="O40" s="239"/>
      <c r="P40" s="239"/>
      <c r="Q40" s="239"/>
      <c r="R40" s="239"/>
      <c r="S40" s="239"/>
      <c r="T40" s="239"/>
      <c r="U40" s="239"/>
      <c r="V40" s="239"/>
      <c r="W40" s="239"/>
      <c r="X40" s="239"/>
      <c r="Y40" s="239"/>
      <c r="Z40" s="239"/>
      <c r="AA40" s="239"/>
      <c r="AB40" s="239"/>
      <c r="AC40" s="239"/>
      <c r="AD40" s="239"/>
      <c r="AE40" s="239"/>
      <c r="AF40" s="239"/>
      <c r="AG40" s="239"/>
      <c r="AH40" s="239"/>
      <c r="AI40" s="239"/>
      <c r="AJ40" s="239"/>
      <c r="AK40" s="239"/>
      <c r="AL40" s="239"/>
      <c r="AM40" s="239"/>
    </row>
    <row r="42" spans="1:39" x14ac:dyDescent="0.2">
      <c r="A42" s="217"/>
      <c r="B42" s="217"/>
      <c r="C42" s="217"/>
      <c r="D42" s="217"/>
      <c r="E42" s="217"/>
      <c r="F42" s="217"/>
      <c r="G42" s="217"/>
      <c r="H42" s="217"/>
      <c r="I42" s="217"/>
      <c r="J42" s="217"/>
      <c r="K42" s="217"/>
      <c r="L42" s="217"/>
      <c r="M42" s="217"/>
      <c r="N42" s="217"/>
      <c r="O42" s="217"/>
      <c r="P42" s="217"/>
      <c r="Q42" s="217"/>
      <c r="R42" s="217"/>
      <c r="T42" t="s">
        <v>3184</v>
      </c>
      <c r="X42" s="219">
        <f>Data!B175</f>
        <v>0</v>
      </c>
      <c r="Y42" s="219"/>
      <c r="Z42" s="219"/>
      <c r="AA42" s="219"/>
      <c r="AB42" s="219"/>
      <c r="AC42" s="219"/>
      <c r="AD42" s="219"/>
      <c r="AE42" s="219"/>
      <c r="AF42" s="219"/>
      <c r="AG42" s="219"/>
      <c r="AH42" s="219"/>
      <c r="AI42" s="219"/>
      <c r="AJ42" s="219"/>
    </row>
    <row r="43" spans="1:39" x14ac:dyDescent="0.2">
      <c r="A43" s="217"/>
      <c r="B43" s="217"/>
      <c r="C43" s="217"/>
      <c r="D43" s="217"/>
      <c r="E43" s="217"/>
      <c r="F43" s="217"/>
      <c r="G43" s="217"/>
      <c r="H43" s="217"/>
      <c r="I43" s="217"/>
      <c r="J43" s="217"/>
      <c r="K43" s="217"/>
      <c r="L43" s="217"/>
      <c r="M43" s="217"/>
      <c r="N43" s="217"/>
      <c r="O43" s="217"/>
      <c r="P43" s="217"/>
      <c r="Q43" s="217"/>
      <c r="R43" s="217"/>
    </row>
    <row r="44" spans="1:39" x14ac:dyDescent="0.2">
      <c r="A44" s="217"/>
      <c r="B44" s="217"/>
      <c r="C44" s="217"/>
      <c r="D44" s="217"/>
      <c r="E44" s="217"/>
      <c r="F44" s="217"/>
      <c r="G44" s="217"/>
      <c r="H44" s="217"/>
      <c r="I44" s="217"/>
      <c r="J44" s="217"/>
      <c r="K44" s="217"/>
      <c r="L44" s="217"/>
      <c r="M44" s="217"/>
      <c r="N44" s="217"/>
      <c r="O44" s="217"/>
      <c r="P44" s="217"/>
      <c r="Q44" s="217"/>
      <c r="R44" s="217"/>
      <c r="T44" s="218">
        <f>Data!B34</f>
        <v>0</v>
      </c>
      <c r="U44" s="218"/>
      <c r="V44" s="218"/>
      <c r="W44" s="218"/>
      <c r="X44" s="218"/>
      <c r="Y44" s="218"/>
      <c r="Z44" s="218"/>
      <c r="AA44" s="218"/>
      <c r="AB44" s="218"/>
      <c r="AC44" s="218"/>
    </row>
    <row r="45" spans="1:39" x14ac:dyDescent="0.2">
      <c r="A45" t="s">
        <v>579</v>
      </c>
      <c r="T45" t="s">
        <v>368</v>
      </c>
    </row>
    <row r="48" spans="1:39" x14ac:dyDescent="0.2">
      <c r="A48" s="34"/>
      <c r="B48" s="34"/>
      <c r="C48" s="34"/>
      <c r="D48" s="34"/>
      <c r="E48" s="34"/>
      <c r="F48" s="34"/>
      <c r="G48" s="34"/>
      <c r="H48" s="34"/>
      <c r="I48" s="34"/>
      <c r="J48" s="34"/>
      <c r="K48" s="34"/>
      <c r="L48" s="34"/>
      <c r="M48" s="34"/>
      <c r="N48" s="34"/>
      <c r="O48" s="34"/>
      <c r="P48" s="34"/>
      <c r="R48" s="34"/>
      <c r="S48" s="34"/>
      <c r="T48" s="34"/>
      <c r="U48" s="34"/>
      <c r="V48" s="34"/>
      <c r="W48" s="34"/>
      <c r="X48" s="34"/>
      <c r="Y48" s="34"/>
      <c r="Z48" s="34"/>
      <c r="AA48" s="34"/>
      <c r="AB48" s="34"/>
      <c r="AC48" s="34"/>
      <c r="AD48" s="34"/>
      <c r="AE48" s="34"/>
      <c r="AG48" s="34"/>
      <c r="AH48" s="34"/>
      <c r="AI48" s="34"/>
      <c r="AJ48" s="34"/>
      <c r="AK48" s="34"/>
      <c r="AL48" s="34"/>
      <c r="AM48" s="34"/>
    </row>
    <row r="49" spans="1:33" x14ac:dyDescent="0.2">
      <c r="A49" t="s">
        <v>3185</v>
      </c>
      <c r="R49" t="s">
        <v>49</v>
      </c>
      <c r="AG49" t="s">
        <v>368</v>
      </c>
    </row>
  </sheetData>
  <mergeCells count="44">
    <mergeCell ref="A37:AM40"/>
    <mergeCell ref="A42:R44"/>
    <mergeCell ref="T44:AC44"/>
    <mergeCell ref="X42:AJ42"/>
    <mergeCell ref="L21:AM22"/>
    <mergeCell ref="A23:E24"/>
    <mergeCell ref="F23:K24"/>
    <mergeCell ref="L23:AM24"/>
    <mergeCell ref="A36:AM36"/>
    <mergeCell ref="G6:AM6"/>
    <mergeCell ref="G33:O33"/>
    <mergeCell ref="X33:AF33"/>
    <mergeCell ref="A25:E26"/>
    <mergeCell ref="F25:K26"/>
    <mergeCell ref="L25:AM26"/>
    <mergeCell ref="A27:E28"/>
    <mergeCell ref="F27:K28"/>
    <mergeCell ref="L27:AM28"/>
    <mergeCell ref="A30:AM30"/>
    <mergeCell ref="G31:O31"/>
    <mergeCell ref="G32:O32"/>
    <mergeCell ref="X31:AE31"/>
    <mergeCell ref="X32:AE32"/>
    <mergeCell ref="A21:E22"/>
    <mergeCell ref="F21:K22"/>
    <mergeCell ref="I7:AM8"/>
    <mergeCell ref="A15:E16"/>
    <mergeCell ref="A17:E18"/>
    <mergeCell ref="F17:K18"/>
    <mergeCell ref="L17:AM18"/>
    <mergeCell ref="A19:E20"/>
    <mergeCell ref="F19:K20"/>
    <mergeCell ref="L19:AM20"/>
    <mergeCell ref="F9:AM10"/>
    <mergeCell ref="H11:AM12"/>
    <mergeCell ref="F14:K14"/>
    <mergeCell ref="L14:AM14"/>
    <mergeCell ref="F15:K16"/>
    <mergeCell ref="L15:AM16"/>
    <mergeCell ref="F2:T2"/>
    <mergeCell ref="X2:AD2"/>
    <mergeCell ref="I4:T4"/>
    <mergeCell ref="AA4:AL4"/>
    <mergeCell ref="AA1:AL1"/>
  </mergeCells>
  <pageMargins left="0.25" right="0.25" top="0.75" bottom="0.75" header="0.3" footer="0.3"/>
  <pageSetup orientation="portrait" verticalDpi="1200" r:id="rId1"/>
  <headerFooter>
    <oddHeader>&amp;L&amp;G&amp;RAppendix H
RN Nursing Visit Form</oddHeader>
    <oddFooter>&amp;C3088 Mercer University Drive Suite 100 Atlanta, GA 30341
678-310-6305 Fax 404-935-6110</oddFooter>
  </headerFooter>
  <legacyDrawingHF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65FDB-5A3C-438D-8328-AD2A70FEF0E8}">
  <sheetPr codeName="Sheet69">
    <tabColor rgb="FF00B050"/>
  </sheetPr>
  <dimension ref="A1:I546"/>
  <sheetViews>
    <sheetView workbookViewId="0">
      <selection sqref="A1:A1048576"/>
    </sheetView>
  </sheetViews>
  <sheetFormatPr defaultRowHeight="12.75" x14ac:dyDescent="0.2"/>
  <cols>
    <col min="1" max="1" width="9.140625" style="190"/>
  </cols>
  <sheetData>
    <row r="1" spans="1:9" x14ac:dyDescent="0.2">
      <c r="A1" s="190" t="s">
        <v>1263</v>
      </c>
      <c r="B1" t="s">
        <v>78</v>
      </c>
      <c r="C1" t="s">
        <v>3164</v>
      </c>
      <c r="D1" t="s">
        <v>1401</v>
      </c>
      <c r="E1" t="s">
        <v>3165</v>
      </c>
      <c r="F1" t="s">
        <v>3166</v>
      </c>
      <c r="G1" t="s">
        <v>3167</v>
      </c>
      <c r="H1" t="s">
        <v>3168</v>
      </c>
      <c r="I1" t="s">
        <v>179</v>
      </c>
    </row>
    <row r="2" spans="1:9" x14ac:dyDescent="0.2">
      <c r="A2" s="196"/>
      <c r="C2" t="s">
        <v>3295</v>
      </c>
    </row>
    <row r="3" spans="1:9" x14ac:dyDescent="0.2">
      <c r="A3" s="196"/>
      <c r="C3" t="s">
        <v>3295</v>
      </c>
    </row>
    <row r="4" spans="1:9" x14ac:dyDescent="0.2">
      <c r="A4" s="196"/>
      <c r="C4" t="s">
        <v>3295</v>
      </c>
    </row>
    <row r="5" spans="1:9" x14ac:dyDescent="0.2">
      <c r="A5" s="196"/>
    </row>
    <row r="6" spans="1:9" x14ac:dyDescent="0.2">
      <c r="A6" s="196"/>
    </row>
    <row r="7" spans="1:9" x14ac:dyDescent="0.2">
      <c r="A7" s="196"/>
    </row>
    <row r="8" spans="1:9" x14ac:dyDescent="0.2">
      <c r="A8" s="196"/>
    </row>
    <row r="9" spans="1:9" x14ac:dyDescent="0.2">
      <c r="A9" s="196"/>
    </row>
    <row r="10" spans="1:9" x14ac:dyDescent="0.2">
      <c r="A10" s="196"/>
    </row>
    <row r="11" spans="1:9" x14ac:dyDescent="0.2">
      <c r="A11" s="196"/>
    </row>
    <row r="12" spans="1:9" x14ac:dyDescent="0.2">
      <c r="A12" s="196"/>
    </row>
    <row r="13" spans="1:9" x14ac:dyDescent="0.2">
      <c r="A13" s="196"/>
    </row>
    <row r="14" spans="1:9" x14ac:dyDescent="0.2">
      <c r="A14" s="196"/>
    </row>
    <row r="15" spans="1:9" x14ac:dyDescent="0.2">
      <c r="A15" s="196"/>
    </row>
    <row r="16" spans="1:9" x14ac:dyDescent="0.2">
      <c r="A16" s="196"/>
    </row>
    <row r="17" spans="1:1" x14ac:dyDescent="0.2">
      <c r="A17" s="196"/>
    </row>
    <row r="18" spans="1:1" x14ac:dyDescent="0.2">
      <c r="A18" s="196"/>
    </row>
    <row r="19" spans="1:1" x14ac:dyDescent="0.2">
      <c r="A19" s="196"/>
    </row>
    <row r="20" spans="1:1" x14ac:dyDescent="0.2">
      <c r="A20" s="196"/>
    </row>
    <row r="21" spans="1:1" x14ac:dyDescent="0.2">
      <c r="A21" s="196"/>
    </row>
    <row r="22" spans="1:1" x14ac:dyDescent="0.2">
      <c r="A22" s="196"/>
    </row>
    <row r="23" spans="1:1" x14ac:dyDescent="0.2">
      <c r="A23" s="196"/>
    </row>
    <row r="24" spans="1:1" x14ac:dyDescent="0.2">
      <c r="A24" s="196"/>
    </row>
    <row r="25" spans="1:1" x14ac:dyDescent="0.2">
      <c r="A25" s="196"/>
    </row>
    <row r="26" spans="1:1" x14ac:dyDescent="0.2">
      <c r="A26" s="196"/>
    </row>
    <row r="27" spans="1:1" x14ac:dyDescent="0.2">
      <c r="A27" s="196"/>
    </row>
    <row r="28" spans="1:1" x14ac:dyDescent="0.2">
      <c r="A28" s="196"/>
    </row>
    <row r="29" spans="1:1" x14ac:dyDescent="0.2">
      <c r="A29" s="196"/>
    </row>
    <row r="30" spans="1:1" x14ac:dyDescent="0.2">
      <c r="A30" s="196"/>
    </row>
    <row r="31" spans="1:1" x14ac:dyDescent="0.2">
      <c r="A31" s="196"/>
    </row>
    <row r="32" spans="1:1" x14ac:dyDescent="0.2">
      <c r="A32" s="196"/>
    </row>
    <row r="33" spans="1:1" x14ac:dyDescent="0.2">
      <c r="A33" s="196"/>
    </row>
    <row r="34" spans="1:1" x14ac:dyDescent="0.2">
      <c r="A34" s="196"/>
    </row>
    <row r="35" spans="1:1" x14ac:dyDescent="0.2">
      <c r="A35" s="196"/>
    </row>
    <row r="36" spans="1:1" x14ac:dyDescent="0.2">
      <c r="A36" s="196"/>
    </row>
    <row r="37" spans="1:1" x14ac:dyDescent="0.2">
      <c r="A37" s="196"/>
    </row>
    <row r="38" spans="1:1" x14ac:dyDescent="0.2">
      <c r="A38" s="196"/>
    </row>
    <row r="39" spans="1:1" x14ac:dyDescent="0.2">
      <c r="A39" s="196"/>
    </row>
    <row r="40" spans="1:1" x14ac:dyDescent="0.2">
      <c r="A40" s="196"/>
    </row>
    <row r="41" spans="1:1" x14ac:dyDescent="0.2">
      <c r="A41" s="196"/>
    </row>
    <row r="42" spans="1:1" x14ac:dyDescent="0.2">
      <c r="A42" s="196"/>
    </row>
    <row r="43" spans="1:1" x14ac:dyDescent="0.2">
      <c r="A43" s="196"/>
    </row>
    <row r="44" spans="1:1" x14ac:dyDescent="0.2">
      <c r="A44" s="196"/>
    </row>
    <row r="45" spans="1:1" x14ac:dyDescent="0.2">
      <c r="A45" s="196"/>
    </row>
    <row r="46" spans="1:1" x14ac:dyDescent="0.2">
      <c r="A46" s="196"/>
    </row>
    <row r="47" spans="1:1" x14ac:dyDescent="0.2">
      <c r="A47" s="196"/>
    </row>
    <row r="48" spans="1:1" x14ac:dyDescent="0.2">
      <c r="A48" s="196"/>
    </row>
    <row r="49" spans="1:1" x14ac:dyDescent="0.2">
      <c r="A49" s="196"/>
    </row>
    <row r="50" spans="1:1" x14ac:dyDescent="0.2">
      <c r="A50" s="196"/>
    </row>
    <row r="51" spans="1:1" x14ac:dyDescent="0.2">
      <c r="A51" s="196"/>
    </row>
    <row r="52" spans="1:1" x14ac:dyDescent="0.2">
      <c r="A52" s="196"/>
    </row>
    <row r="53" spans="1:1" x14ac:dyDescent="0.2">
      <c r="A53" s="196"/>
    </row>
    <row r="54" spans="1:1" x14ac:dyDescent="0.2">
      <c r="A54" s="196"/>
    </row>
    <row r="55" spans="1:1" x14ac:dyDescent="0.2">
      <c r="A55" s="196"/>
    </row>
    <row r="56" spans="1:1" x14ac:dyDescent="0.2">
      <c r="A56" s="196"/>
    </row>
    <row r="57" spans="1:1" x14ac:dyDescent="0.2">
      <c r="A57" s="196"/>
    </row>
    <row r="58" spans="1:1" x14ac:dyDescent="0.2">
      <c r="A58" s="196"/>
    </row>
    <row r="59" spans="1:1" x14ac:dyDescent="0.2">
      <c r="A59" s="196"/>
    </row>
    <row r="60" spans="1:1" x14ac:dyDescent="0.2">
      <c r="A60" s="196"/>
    </row>
    <row r="61" spans="1:1" x14ac:dyDescent="0.2">
      <c r="A61" s="196"/>
    </row>
    <row r="62" spans="1:1" x14ac:dyDescent="0.2">
      <c r="A62" s="196"/>
    </row>
    <row r="63" spans="1:1" x14ac:dyDescent="0.2">
      <c r="A63" s="196"/>
    </row>
    <row r="64" spans="1:1" x14ac:dyDescent="0.2">
      <c r="A64" s="196"/>
    </row>
    <row r="65" spans="1:1" x14ac:dyDescent="0.2">
      <c r="A65" s="196"/>
    </row>
    <row r="66" spans="1:1" x14ac:dyDescent="0.2">
      <c r="A66" s="196"/>
    </row>
    <row r="67" spans="1:1" x14ac:dyDescent="0.2">
      <c r="A67" s="196"/>
    </row>
    <row r="68" spans="1:1" x14ac:dyDescent="0.2">
      <c r="A68" s="196"/>
    </row>
    <row r="69" spans="1:1" x14ac:dyDescent="0.2">
      <c r="A69" s="196"/>
    </row>
    <row r="70" spans="1:1" x14ac:dyDescent="0.2">
      <c r="A70" s="196"/>
    </row>
    <row r="71" spans="1:1" x14ac:dyDescent="0.2">
      <c r="A71" s="196"/>
    </row>
    <row r="72" spans="1:1" x14ac:dyDescent="0.2">
      <c r="A72" s="196"/>
    </row>
    <row r="73" spans="1:1" x14ac:dyDescent="0.2">
      <c r="A73" s="196"/>
    </row>
    <row r="74" spans="1:1" x14ac:dyDescent="0.2">
      <c r="A74" s="196"/>
    </row>
    <row r="75" spans="1:1" x14ac:dyDescent="0.2">
      <c r="A75" s="196"/>
    </row>
    <row r="76" spans="1:1" x14ac:dyDescent="0.2">
      <c r="A76" s="196"/>
    </row>
    <row r="77" spans="1:1" x14ac:dyDescent="0.2">
      <c r="A77" s="196"/>
    </row>
    <row r="78" spans="1:1" x14ac:dyDescent="0.2">
      <c r="A78" s="196"/>
    </row>
    <row r="79" spans="1:1" x14ac:dyDescent="0.2">
      <c r="A79" s="196"/>
    </row>
    <row r="80" spans="1:1" x14ac:dyDescent="0.2">
      <c r="A80" s="196"/>
    </row>
    <row r="81" spans="1:1" x14ac:dyDescent="0.2">
      <c r="A81" s="196"/>
    </row>
    <row r="82" spans="1:1" x14ac:dyDescent="0.2">
      <c r="A82" s="196"/>
    </row>
    <row r="83" spans="1:1" x14ac:dyDescent="0.2">
      <c r="A83" s="196"/>
    </row>
    <row r="84" spans="1:1" x14ac:dyDescent="0.2">
      <c r="A84" s="196"/>
    </row>
    <row r="85" spans="1:1" x14ac:dyDescent="0.2">
      <c r="A85" s="196"/>
    </row>
    <row r="86" spans="1:1" x14ac:dyDescent="0.2">
      <c r="A86" s="196"/>
    </row>
    <row r="87" spans="1:1" x14ac:dyDescent="0.2">
      <c r="A87" s="196"/>
    </row>
    <row r="88" spans="1:1" x14ac:dyDescent="0.2">
      <c r="A88" s="196"/>
    </row>
    <row r="89" spans="1:1" x14ac:dyDescent="0.2">
      <c r="A89" s="196"/>
    </row>
    <row r="90" spans="1:1" x14ac:dyDescent="0.2">
      <c r="A90" s="196"/>
    </row>
    <row r="91" spans="1:1" x14ac:dyDescent="0.2">
      <c r="A91" s="196"/>
    </row>
    <row r="92" spans="1:1" x14ac:dyDescent="0.2">
      <c r="A92" s="196"/>
    </row>
    <row r="93" spans="1:1" x14ac:dyDescent="0.2">
      <c r="A93" s="196"/>
    </row>
    <row r="94" spans="1:1" x14ac:dyDescent="0.2">
      <c r="A94" s="196"/>
    </row>
    <row r="95" spans="1:1" x14ac:dyDescent="0.2">
      <c r="A95" s="196"/>
    </row>
    <row r="96" spans="1:1" x14ac:dyDescent="0.2">
      <c r="A96" s="196"/>
    </row>
    <row r="97" spans="1:1" x14ac:dyDescent="0.2">
      <c r="A97" s="196"/>
    </row>
    <row r="98" spans="1:1" x14ac:dyDescent="0.2">
      <c r="A98" s="196"/>
    </row>
    <row r="99" spans="1:1" x14ac:dyDescent="0.2">
      <c r="A99" s="196"/>
    </row>
    <row r="100" spans="1:1" x14ac:dyDescent="0.2">
      <c r="A100" s="196"/>
    </row>
    <row r="101" spans="1:1" x14ac:dyDescent="0.2">
      <c r="A101" s="196"/>
    </row>
    <row r="102" spans="1:1" x14ac:dyDescent="0.2">
      <c r="A102" s="196"/>
    </row>
    <row r="103" spans="1:1" x14ac:dyDescent="0.2">
      <c r="A103" s="196"/>
    </row>
    <row r="104" spans="1:1" x14ac:dyDescent="0.2">
      <c r="A104" s="196"/>
    </row>
    <row r="105" spans="1:1" x14ac:dyDescent="0.2">
      <c r="A105" s="196"/>
    </row>
    <row r="106" spans="1:1" x14ac:dyDescent="0.2">
      <c r="A106" s="196"/>
    </row>
    <row r="107" spans="1:1" x14ac:dyDescent="0.2">
      <c r="A107" s="196"/>
    </row>
    <row r="108" spans="1:1" x14ac:dyDescent="0.2">
      <c r="A108" s="196"/>
    </row>
    <row r="109" spans="1:1" x14ac:dyDescent="0.2">
      <c r="A109" s="196"/>
    </row>
    <row r="110" spans="1:1" x14ac:dyDescent="0.2">
      <c r="A110" s="196"/>
    </row>
    <row r="111" spans="1:1" x14ac:dyDescent="0.2">
      <c r="A111" s="196"/>
    </row>
    <row r="112" spans="1:1" x14ac:dyDescent="0.2">
      <c r="A112" s="196"/>
    </row>
    <row r="113" spans="1:1" x14ac:dyDescent="0.2">
      <c r="A113" s="196"/>
    </row>
    <row r="114" spans="1:1" x14ac:dyDescent="0.2">
      <c r="A114" s="196"/>
    </row>
    <row r="115" spans="1:1" x14ac:dyDescent="0.2">
      <c r="A115" s="196"/>
    </row>
    <row r="116" spans="1:1" x14ac:dyDescent="0.2">
      <c r="A116" s="196"/>
    </row>
    <row r="117" spans="1:1" x14ac:dyDescent="0.2">
      <c r="A117" s="196"/>
    </row>
    <row r="118" spans="1:1" x14ac:dyDescent="0.2">
      <c r="A118" s="196"/>
    </row>
    <row r="119" spans="1:1" x14ac:dyDescent="0.2">
      <c r="A119" s="196"/>
    </row>
    <row r="120" spans="1:1" x14ac:dyDescent="0.2">
      <c r="A120" s="196"/>
    </row>
    <row r="121" spans="1:1" x14ac:dyDescent="0.2">
      <c r="A121" s="196"/>
    </row>
    <row r="122" spans="1:1" x14ac:dyDescent="0.2">
      <c r="A122" s="196"/>
    </row>
    <row r="123" spans="1:1" x14ac:dyDescent="0.2">
      <c r="A123" s="196"/>
    </row>
    <row r="124" spans="1:1" x14ac:dyDescent="0.2">
      <c r="A124" s="196"/>
    </row>
    <row r="125" spans="1:1" x14ac:dyDescent="0.2">
      <c r="A125" s="196"/>
    </row>
    <row r="126" spans="1:1" x14ac:dyDescent="0.2">
      <c r="A126" s="196"/>
    </row>
    <row r="127" spans="1:1" x14ac:dyDescent="0.2">
      <c r="A127" s="196"/>
    </row>
    <row r="128" spans="1:1" x14ac:dyDescent="0.2">
      <c r="A128" s="196"/>
    </row>
    <row r="129" spans="1:1" x14ac:dyDescent="0.2">
      <c r="A129" s="196"/>
    </row>
    <row r="130" spans="1:1" x14ac:dyDescent="0.2">
      <c r="A130" s="196"/>
    </row>
    <row r="131" spans="1:1" x14ac:dyDescent="0.2">
      <c r="A131" s="196"/>
    </row>
    <row r="132" spans="1:1" x14ac:dyDescent="0.2">
      <c r="A132" s="196"/>
    </row>
    <row r="133" spans="1:1" x14ac:dyDescent="0.2">
      <c r="A133" s="196"/>
    </row>
    <row r="134" spans="1:1" x14ac:dyDescent="0.2">
      <c r="A134" s="196"/>
    </row>
    <row r="135" spans="1:1" x14ac:dyDescent="0.2">
      <c r="A135" s="196"/>
    </row>
    <row r="136" spans="1:1" x14ac:dyDescent="0.2">
      <c r="A136" s="196"/>
    </row>
    <row r="137" spans="1:1" x14ac:dyDescent="0.2">
      <c r="A137" s="196"/>
    </row>
    <row r="138" spans="1:1" x14ac:dyDescent="0.2">
      <c r="A138" s="196"/>
    </row>
    <row r="139" spans="1:1" x14ac:dyDescent="0.2">
      <c r="A139" s="196"/>
    </row>
    <row r="140" spans="1:1" x14ac:dyDescent="0.2">
      <c r="A140" s="196"/>
    </row>
    <row r="141" spans="1:1" x14ac:dyDescent="0.2">
      <c r="A141" s="196"/>
    </row>
    <row r="142" spans="1:1" x14ac:dyDescent="0.2">
      <c r="A142" s="196"/>
    </row>
    <row r="143" spans="1:1" x14ac:dyDescent="0.2">
      <c r="A143" s="196"/>
    </row>
    <row r="144" spans="1:1" x14ac:dyDescent="0.2">
      <c r="A144" s="196"/>
    </row>
    <row r="145" spans="1:1" x14ac:dyDescent="0.2">
      <c r="A145" s="196"/>
    </row>
    <row r="146" spans="1:1" x14ac:dyDescent="0.2">
      <c r="A146" s="196"/>
    </row>
    <row r="147" spans="1:1" x14ac:dyDescent="0.2">
      <c r="A147" s="196"/>
    </row>
    <row r="148" spans="1:1" x14ac:dyDescent="0.2">
      <c r="A148" s="196"/>
    </row>
    <row r="149" spans="1:1" x14ac:dyDescent="0.2">
      <c r="A149" s="196"/>
    </row>
    <row r="150" spans="1:1" x14ac:dyDescent="0.2">
      <c r="A150" s="196"/>
    </row>
    <row r="151" spans="1:1" x14ac:dyDescent="0.2">
      <c r="A151" s="196"/>
    </row>
    <row r="152" spans="1:1" x14ac:dyDescent="0.2">
      <c r="A152" s="196"/>
    </row>
    <row r="153" spans="1:1" x14ac:dyDescent="0.2">
      <c r="A153" s="196"/>
    </row>
    <row r="154" spans="1:1" x14ac:dyDescent="0.2">
      <c r="A154" s="196"/>
    </row>
    <row r="155" spans="1:1" x14ac:dyDescent="0.2">
      <c r="A155" s="196"/>
    </row>
    <row r="156" spans="1:1" x14ac:dyDescent="0.2">
      <c r="A156" s="196"/>
    </row>
    <row r="157" spans="1:1" x14ac:dyDescent="0.2">
      <c r="A157" s="196"/>
    </row>
    <row r="158" spans="1:1" x14ac:dyDescent="0.2">
      <c r="A158" s="196"/>
    </row>
    <row r="159" spans="1:1" x14ac:dyDescent="0.2">
      <c r="A159" s="196"/>
    </row>
    <row r="160" spans="1:1" x14ac:dyDescent="0.2">
      <c r="A160" s="196"/>
    </row>
    <row r="161" spans="1:1" x14ac:dyDescent="0.2">
      <c r="A161" s="196"/>
    </row>
    <row r="162" spans="1:1" x14ac:dyDescent="0.2">
      <c r="A162" s="196"/>
    </row>
    <row r="163" spans="1:1" x14ac:dyDescent="0.2">
      <c r="A163" s="196"/>
    </row>
    <row r="164" spans="1:1" x14ac:dyDescent="0.2">
      <c r="A164" s="196"/>
    </row>
    <row r="165" spans="1:1" x14ac:dyDescent="0.2">
      <c r="A165" s="196"/>
    </row>
    <row r="166" spans="1:1" x14ac:dyDescent="0.2">
      <c r="A166" s="196"/>
    </row>
    <row r="167" spans="1:1" x14ac:dyDescent="0.2">
      <c r="A167" s="196"/>
    </row>
    <row r="168" spans="1:1" x14ac:dyDescent="0.2">
      <c r="A168" s="196"/>
    </row>
    <row r="169" spans="1:1" x14ac:dyDescent="0.2">
      <c r="A169" s="196"/>
    </row>
    <row r="170" spans="1:1" x14ac:dyDescent="0.2">
      <c r="A170" s="196"/>
    </row>
    <row r="171" spans="1:1" x14ac:dyDescent="0.2">
      <c r="A171" s="196"/>
    </row>
    <row r="172" spans="1:1" x14ac:dyDescent="0.2">
      <c r="A172" s="196"/>
    </row>
    <row r="173" spans="1:1" x14ac:dyDescent="0.2">
      <c r="A173" s="196"/>
    </row>
    <row r="174" spans="1:1" x14ac:dyDescent="0.2">
      <c r="A174" s="196"/>
    </row>
    <row r="175" spans="1:1" x14ac:dyDescent="0.2">
      <c r="A175" s="196"/>
    </row>
    <row r="176" spans="1:1" x14ac:dyDescent="0.2">
      <c r="A176" s="196"/>
    </row>
    <row r="177" spans="1:1" x14ac:dyDescent="0.2">
      <c r="A177" s="196"/>
    </row>
    <row r="178" spans="1:1" x14ac:dyDescent="0.2">
      <c r="A178" s="196"/>
    </row>
    <row r="179" spans="1:1" x14ac:dyDescent="0.2">
      <c r="A179" s="196"/>
    </row>
    <row r="180" spans="1:1" x14ac:dyDescent="0.2">
      <c r="A180" s="196"/>
    </row>
    <row r="181" spans="1:1" x14ac:dyDescent="0.2">
      <c r="A181" s="196"/>
    </row>
    <row r="182" spans="1:1" x14ac:dyDescent="0.2">
      <c r="A182" s="196"/>
    </row>
    <row r="183" spans="1:1" x14ac:dyDescent="0.2">
      <c r="A183" s="196"/>
    </row>
    <row r="184" spans="1:1" x14ac:dyDescent="0.2">
      <c r="A184" s="196"/>
    </row>
    <row r="185" spans="1:1" x14ac:dyDescent="0.2">
      <c r="A185" s="196"/>
    </row>
    <row r="186" spans="1:1" x14ac:dyDescent="0.2">
      <c r="A186" s="196"/>
    </row>
    <row r="187" spans="1:1" x14ac:dyDescent="0.2">
      <c r="A187" s="196"/>
    </row>
    <row r="188" spans="1:1" x14ac:dyDescent="0.2">
      <c r="A188" s="196"/>
    </row>
    <row r="189" spans="1:1" x14ac:dyDescent="0.2">
      <c r="A189" s="196"/>
    </row>
    <row r="190" spans="1:1" x14ac:dyDescent="0.2">
      <c r="A190" s="196"/>
    </row>
    <row r="191" spans="1:1" x14ac:dyDescent="0.2">
      <c r="A191" s="196"/>
    </row>
    <row r="192" spans="1:1" x14ac:dyDescent="0.2">
      <c r="A192" s="196"/>
    </row>
    <row r="193" spans="1:1" x14ac:dyDescent="0.2">
      <c r="A193" s="196"/>
    </row>
    <row r="194" spans="1:1" x14ac:dyDescent="0.2">
      <c r="A194" s="196"/>
    </row>
    <row r="195" spans="1:1" x14ac:dyDescent="0.2">
      <c r="A195" s="196"/>
    </row>
    <row r="196" spans="1:1" x14ac:dyDescent="0.2">
      <c r="A196" s="196"/>
    </row>
    <row r="197" spans="1:1" x14ac:dyDescent="0.2">
      <c r="A197" s="196"/>
    </row>
    <row r="198" spans="1:1" x14ac:dyDescent="0.2">
      <c r="A198" s="196"/>
    </row>
    <row r="199" spans="1:1" x14ac:dyDescent="0.2">
      <c r="A199" s="196"/>
    </row>
    <row r="200" spans="1:1" x14ac:dyDescent="0.2">
      <c r="A200" s="196"/>
    </row>
    <row r="201" spans="1:1" x14ac:dyDescent="0.2">
      <c r="A201" s="196"/>
    </row>
    <row r="202" spans="1:1" x14ac:dyDescent="0.2">
      <c r="A202" s="196"/>
    </row>
    <row r="203" spans="1:1" x14ac:dyDescent="0.2">
      <c r="A203" s="196"/>
    </row>
    <row r="204" spans="1:1" x14ac:dyDescent="0.2">
      <c r="A204" s="196"/>
    </row>
    <row r="205" spans="1:1" x14ac:dyDescent="0.2">
      <c r="A205" s="196"/>
    </row>
    <row r="206" spans="1:1" x14ac:dyDescent="0.2">
      <c r="A206" s="196"/>
    </row>
    <row r="207" spans="1:1" x14ac:dyDescent="0.2">
      <c r="A207" s="196"/>
    </row>
    <row r="208" spans="1:1" x14ac:dyDescent="0.2">
      <c r="A208" s="196"/>
    </row>
    <row r="209" spans="1:1" x14ac:dyDescent="0.2">
      <c r="A209" s="196"/>
    </row>
    <row r="210" spans="1:1" x14ac:dyDescent="0.2">
      <c r="A210" s="196"/>
    </row>
    <row r="211" spans="1:1" x14ac:dyDescent="0.2">
      <c r="A211" s="196"/>
    </row>
    <row r="212" spans="1:1" x14ac:dyDescent="0.2">
      <c r="A212" s="196"/>
    </row>
    <row r="213" spans="1:1" x14ac:dyDescent="0.2">
      <c r="A213" s="196"/>
    </row>
    <row r="214" spans="1:1" x14ac:dyDescent="0.2">
      <c r="A214" s="196"/>
    </row>
    <row r="215" spans="1:1" x14ac:dyDescent="0.2">
      <c r="A215" s="196"/>
    </row>
    <row r="216" spans="1:1" x14ac:dyDescent="0.2">
      <c r="A216" s="196"/>
    </row>
    <row r="217" spans="1:1" x14ac:dyDescent="0.2">
      <c r="A217" s="196"/>
    </row>
    <row r="218" spans="1:1" x14ac:dyDescent="0.2">
      <c r="A218" s="196"/>
    </row>
    <row r="219" spans="1:1" x14ac:dyDescent="0.2">
      <c r="A219" s="196"/>
    </row>
    <row r="220" spans="1:1" x14ac:dyDescent="0.2">
      <c r="A220" s="196"/>
    </row>
    <row r="221" spans="1:1" x14ac:dyDescent="0.2">
      <c r="A221" s="196"/>
    </row>
    <row r="222" spans="1:1" x14ac:dyDescent="0.2">
      <c r="A222" s="196"/>
    </row>
    <row r="223" spans="1:1" x14ac:dyDescent="0.2">
      <c r="A223" s="196"/>
    </row>
    <row r="224" spans="1:1" x14ac:dyDescent="0.2">
      <c r="A224" s="196"/>
    </row>
    <row r="225" spans="1:1" x14ac:dyDescent="0.2">
      <c r="A225" s="196"/>
    </row>
    <row r="226" spans="1:1" x14ac:dyDescent="0.2">
      <c r="A226" s="196"/>
    </row>
    <row r="227" spans="1:1" x14ac:dyDescent="0.2">
      <c r="A227" s="196"/>
    </row>
    <row r="228" spans="1:1" x14ac:dyDescent="0.2">
      <c r="A228" s="196"/>
    </row>
    <row r="229" spans="1:1" x14ac:dyDescent="0.2">
      <c r="A229" s="196"/>
    </row>
    <row r="230" spans="1:1" x14ac:dyDescent="0.2">
      <c r="A230" s="196"/>
    </row>
    <row r="231" spans="1:1" x14ac:dyDescent="0.2">
      <c r="A231" s="196"/>
    </row>
    <row r="232" spans="1:1" x14ac:dyDescent="0.2">
      <c r="A232" s="196"/>
    </row>
    <row r="233" spans="1:1" x14ac:dyDescent="0.2">
      <c r="A233" s="196"/>
    </row>
    <row r="234" spans="1:1" x14ac:dyDescent="0.2">
      <c r="A234" s="196"/>
    </row>
    <row r="235" spans="1:1" x14ac:dyDescent="0.2">
      <c r="A235" s="196"/>
    </row>
    <row r="236" spans="1:1" x14ac:dyDescent="0.2">
      <c r="A236" s="196"/>
    </row>
    <row r="237" spans="1:1" x14ac:dyDescent="0.2">
      <c r="A237" s="196"/>
    </row>
    <row r="238" spans="1:1" x14ac:dyDescent="0.2">
      <c r="A238" s="196"/>
    </row>
    <row r="239" spans="1:1" x14ac:dyDescent="0.2">
      <c r="A239" s="196"/>
    </row>
    <row r="240" spans="1:1" x14ac:dyDescent="0.2">
      <c r="A240" s="196"/>
    </row>
    <row r="241" spans="1:1" x14ac:dyDescent="0.2">
      <c r="A241" s="196"/>
    </row>
    <row r="242" spans="1:1" x14ac:dyDescent="0.2">
      <c r="A242" s="196"/>
    </row>
    <row r="243" spans="1:1" x14ac:dyDescent="0.2">
      <c r="A243" s="196"/>
    </row>
    <row r="244" spans="1:1" x14ac:dyDescent="0.2">
      <c r="A244" s="196"/>
    </row>
    <row r="245" spans="1:1" x14ac:dyDescent="0.2">
      <c r="A245" s="196"/>
    </row>
    <row r="246" spans="1:1" x14ac:dyDescent="0.2">
      <c r="A246" s="196"/>
    </row>
    <row r="247" spans="1:1" x14ac:dyDescent="0.2">
      <c r="A247" s="196"/>
    </row>
    <row r="248" spans="1:1" x14ac:dyDescent="0.2">
      <c r="A248" s="196"/>
    </row>
    <row r="249" spans="1:1" x14ac:dyDescent="0.2">
      <c r="A249" s="196"/>
    </row>
    <row r="250" spans="1:1" x14ac:dyDescent="0.2">
      <c r="A250" s="196"/>
    </row>
    <row r="251" spans="1:1" x14ac:dyDescent="0.2">
      <c r="A251" s="196"/>
    </row>
    <row r="252" spans="1:1" x14ac:dyDescent="0.2">
      <c r="A252" s="196"/>
    </row>
    <row r="253" spans="1:1" x14ac:dyDescent="0.2">
      <c r="A253" s="196"/>
    </row>
    <row r="254" spans="1:1" x14ac:dyDescent="0.2">
      <c r="A254" s="196"/>
    </row>
    <row r="255" spans="1:1" x14ac:dyDescent="0.2">
      <c r="A255" s="196"/>
    </row>
    <row r="256" spans="1:1" x14ac:dyDescent="0.2">
      <c r="A256" s="196"/>
    </row>
    <row r="257" spans="1:1" x14ac:dyDescent="0.2">
      <c r="A257" s="196"/>
    </row>
    <row r="258" spans="1:1" x14ac:dyDescent="0.2">
      <c r="A258" s="196"/>
    </row>
    <row r="259" spans="1:1" x14ac:dyDescent="0.2">
      <c r="A259" s="196"/>
    </row>
    <row r="260" spans="1:1" x14ac:dyDescent="0.2">
      <c r="A260" s="196"/>
    </row>
    <row r="261" spans="1:1" x14ac:dyDescent="0.2">
      <c r="A261" s="196"/>
    </row>
    <row r="262" spans="1:1" x14ac:dyDescent="0.2">
      <c r="A262" s="196"/>
    </row>
    <row r="263" spans="1:1" x14ac:dyDescent="0.2">
      <c r="A263" s="196"/>
    </row>
    <row r="264" spans="1:1" x14ac:dyDescent="0.2">
      <c r="A264" s="196"/>
    </row>
    <row r="265" spans="1:1" x14ac:dyDescent="0.2">
      <c r="A265" s="196"/>
    </row>
    <row r="266" spans="1:1" x14ac:dyDescent="0.2">
      <c r="A266" s="196"/>
    </row>
    <row r="267" spans="1:1" x14ac:dyDescent="0.2">
      <c r="A267" s="196"/>
    </row>
    <row r="268" spans="1:1" x14ac:dyDescent="0.2">
      <c r="A268" s="196"/>
    </row>
    <row r="269" spans="1:1" x14ac:dyDescent="0.2">
      <c r="A269" s="196"/>
    </row>
    <row r="270" spans="1:1" x14ac:dyDescent="0.2">
      <c r="A270" s="196"/>
    </row>
    <row r="271" spans="1:1" x14ac:dyDescent="0.2">
      <c r="A271" s="196"/>
    </row>
    <row r="272" spans="1:1" x14ac:dyDescent="0.2">
      <c r="A272" s="196"/>
    </row>
    <row r="273" spans="1:1" x14ac:dyDescent="0.2">
      <c r="A273" s="196"/>
    </row>
    <row r="274" spans="1:1" x14ac:dyDescent="0.2">
      <c r="A274" s="196"/>
    </row>
    <row r="275" spans="1:1" x14ac:dyDescent="0.2">
      <c r="A275" s="196"/>
    </row>
    <row r="276" spans="1:1" x14ac:dyDescent="0.2">
      <c r="A276" s="196"/>
    </row>
    <row r="277" spans="1:1" x14ac:dyDescent="0.2">
      <c r="A277" s="196"/>
    </row>
    <row r="278" spans="1:1" x14ac:dyDescent="0.2">
      <c r="A278" s="196"/>
    </row>
    <row r="279" spans="1:1" x14ac:dyDescent="0.2">
      <c r="A279" s="196"/>
    </row>
    <row r="280" spans="1:1" x14ac:dyDescent="0.2">
      <c r="A280" s="196"/>
    </row>
    <row r="281" spans="1:1" x14ac:dyDescent="0.2">
      <c r="A281" s="196"/>
    </row>
    <row r="282" spans="1:1" x14ac:dyDescent="0.2">
      <c r="A282" s="196"/>
    </row>
    <row r="283" spans="1:1" x14ac:dyDescent="0.2">
      <c r="A283" s="196"/>
    </row>
    <row r="284" spans="1:1" x14ac:dyDescent="0.2">
      <c r="A284" s="196"/>
    </row>
    <row r="285" spans="1:1" x14ac:dyDescent="0.2">
      <c r="A285" s="196"/>
    </row>
    <row r="286" spans="1:1" x14ac:dyDescent="0.2">
      <c r="A286" s="196"/>
    </row>
    <row r="287" spans="1:1" x14ac:dyDescent="0.2">
      <c r="A287" s="196"/>
    </row>
    <row r="288" spans="1:1" x14ac:dyDescent="0.2">
      <c r="A288" s="196"/>
    </row>
    <row r="289" spans="1:1" x14ac:dyDescent="0.2">
      <c r="A289" s="196"/>
    </row>
    <row r="290" spans="1:1" x14ac:dyDescent="0.2">
      <c r="A290" s="196"/>
    </row>
    <row r="291" spans="1:1" x14ac:dyDescent="0.2">
      <c r="A291" s="196"/>
    </row>
    <row r="292" spans="1:1" x14ac:dyDescent="0.2">
      <c r="A292" s="196"/>
    </row>
    <row r="293" spans="1:1" x14ac:dyDescent="0.2">
      <c r="A293" s="196"/>
    </row>
    <row r="294" spans="1:1" x14ac:dyDescent="0.2">
      <c r="A294" s="196"/>
    </row>
    <row r="295" spans="1:1" x14ac:dyDescent="0.2">
      <c r="A295" s="196"/>
    </row>
    <row r="296" spans="1:1" x14ac:dyDescent="0.2">
      <c r="A296" s="196"/>
    </row>
    <row r="297" spans="1:1" x14ac:dyDescent="0.2">
      <c r="A297" s="196"/>
    </row>
    <row r="298" spans="1:1" x14ac:dyDescent="0.2">
      <c r="A298" s="196"/>
    </row>
    <row r="299" spans="1:1" x14ac:dyDescent="0.2">
      <c r="A299" s="196"/>
    </row>
    <row r="300" spans="1:1" x14ac:dyDescent="0.2">
      <c r="A300" s="196"/>
    </row>
    <row r="301" spans="1:1" x14ac:dyDescent="0.2">
      <c r="A301" s="196"/>
    </row>
    <row r="302" spans="1:1" x14ac:dyDescent="0.2">
      <c r="A302" s="196"/>
    </row>
    <row r="303" spans="1:1" x14ac:dyDescent="0.2">
      <c r="A303" s="196"/>
    </row>
    <row r="304" spans="1:1" x14ac:dyDescent="0.2">
      <c r="A304" s="196"/>
    </row>
    <row r="305" spans="1:1" x14ac:dyDescent="0.2">
      <c r="A305" s="196"/>
    </row>
    <row r="306" spans="1:1" x14ac:dyDescent="0.2">
      <c r="A306" s="196"/>
    </row>
    <row r="307" spans="1:1" x14ac:dyDescent="0.2">
      <c r="A307" s="196"/>
    </row>
    <row r="308" spans="1:1" x14ac:dyDescent="0.2">
      <c r="A308" s="196"/>
    </row>
    <row r="309" spans="1:1" x14ac:dyDescent="0.2">
      <c r="A309" s="196"/>
    </row>
    <row r="310" spans="1:1" x14ac:dyDescent="0.2">
      <c r="A310" s="196"/>
    </row>
    <row r="311" spans="1:1" x14ac:dyDescent="0.2">
      <c r="A311" s="196"/>
    </row>
    <row r="312" spans="1:1" x14ac:dyDescent="0.2">
      <c r="A312" s="196"/>
    </row>
    <row r="313" spans="1:1" x14ac:dyDescent="0.2">
      <c r="A313" s="196"/>
    </row>
    <row r="314" spans="1:1" x14ac:dyDescent="0.2">
      <c r="A314" s="196"/>
    </row>
    <row r="315" spans="1:1" x14ac:dyDescent="0.2">
      <c r="A315" s="196"/>
    </row>
    <row r="316" spans="1:1" x14ac:dyDescent="0.2">
      <c r="A316" s="196"/>
    </row>
    <row r="317" spans="1:1" x14ac:dyDescent="0.2">
      <c r="A317" s="196"/>
    </row>
    <row r="318" spans="1:1" x14ac:dyDescent="0.2">
      <c r="A318" s="196"/>
    </row>
    <row r="319" spans="1:1" x14ac:dyDescent="0.2">
      <c r="A319" s="196"/>
    </row>
    <row r="320" spans="1:1" x14ac:dyDescent="0.2">
      <c r="A320" s="196"/>
    </row>
    <row r="321" spans="1:1" x14ac:dyDescent="0.2">
      <c r="A321" s="196"/>
    </row>
    <row r="322" spans="1:1" x14ac:dyDescent="0.2">
      <c r="A322" s="196"/>
    </row>
    <row r="323" spans="1:1" x14ac:dyDescent="0.2">
      <c r="A323" s="196"/>
    </row>
    <row r="324" spans="1:1" x14ac:dyDescent="0.2">
      <c r="A324" s="196"/>
    </row>
    <row r="325" spans="1:1" x14ac:dyDescent="0.2">
      <c r="A325" s="196"/>
    </row>
    <row r="326" spans="1:1" x14ac:dyDescent="0.2">
      <c r="A326" s="196"/>
    </row>
    <row r="327" spans="1:1" x14ac:dyDescent="0.2">
      <c r="A327" s="196"/>
    </row>
    <row r="328" spans="1:1" x14ac:dyDescent="0.2">
      <c r="A328" s="196"/>
    </row>
    <row r="329" spans="1:1" x14ac:dyDescent="0.2">
      <c r="A329" s="196"/>
    </row>
    <row r="330" spans="1:1" x14ac:dyDescent="0.2">
      <c r="A330" s="196"/>
    </row>
    <row r="331" spans="1:1" x14ac:dyDescent="0.2">
      <c r="A331" s="196"/>
    </row>
    <row r="332" spans="1:1" x14ac:dyDescent="0.2">
      <c r="A332" s="196"/>
    </row>
    <row r="333" spans="1:1" x14ac:dyDescent="0.2">
      <c r="A333" s="196"/>
    </row>
    <row r="334" spans="1:1" x14ac:dyDescent="0.2">
      <c r="A334" s="196"/>
    </row>
    <row r="335" spans="1:1" x14ac:dyDescent="0.2">
      <c r="A335" s="196"/>
    </row>
    <row r="336" spans="1:1" x14ac:dyDescent="0.2">
      <c r="A336" s="196"/>
    </row>
    <row r="337" spans="1:1" x14ac:dyDescent="0.2">
      <c r="A337" s="196"/>
    </row>
    <row r="338" spans="1:1" x14ac:dyDescent="0.2">
      <c r="A338" s="196"/>
    </row>
    <row r="339" spans="1:1" x14ac:dyDescent="0.2">
      <c r="A339" s="196"/>
    </row>
    <row r="340" spans="1:1" x14ac:dyDescent="0.2">
      <c r="A340" s="196"/>
    </row>
    <row r="341" spans="1:1" x14ac:dyDescent="0.2">
      <c r="A341" s="196"/>
    </row>
    <row r="342" spans="1:1" x14ac:dyDescent="0.2">
      <c r="A342" s="196"/>
    </row>
    <row r="343" spans="1:1" x14ac:dyDescent="0.2">
      <c r="A343" s="196"/>
    </row>
    <row r="344" spans="1:1" x14ac:dyDescent="0.2">
      <c r="A344" s="196"/>
    </row>
    <row r="345" spans="1:1" x14ac:dyDescent="0.2">
      <c r="A345" s="196"/>
    </row>
    <row r="346" spans="1:1" x14ac:dyDescent="0.2">
      <c r="A346" s="196"/>
    </row>
    <row r="347" spans="1:1" x14ac:dyDescent="0.2">
      <c r="A347" s="196"/>
    </row>
    <row r="348" spans="1:1" x14ac:dyDescent="0.2">
      <c r="A348" s="196"/>
    </row>
    <row r="349" spans="1:1" x14ac:dyDescent="0.2">
      <c r="A349" s="196"/>
    </row>
    <row r="350" spans="1:1" x14ac:dyDescent="0.2">
      <c r="A350" s="196"/>
    </row>
    <row r="351" spans="1:1" x14ac:dyDescent="0.2">
      <c r="A351" s="196"/>
    </row>
    <row r="352" spans="1:1" x14ac:dyDescent="0.2">
      <c r="A352" s="196"/>
    </row>
    <row r="353" spans="1:1" x14ac:dyDescent="0.2">
      <c r="A353" s="196"/>
    </row>
    <row r="354" spans="1:1" x14ac:dyDescent="0.2">
      <c r="A354" s="196"/>
    </row>
    <row r="355" spans="1:1" x14ac:dyDescent="0.2">
      <c r="A355" s="196"/>
    </row>
    <row r="356" spans="1:1" x14ac:dyDescent="0.2">
      <c r="A356" s="196"/>
    </row>
    <row r="357" spans="1:1" x14ac:dyDescent="0.2">
      <c r="A357" s="196"/>
    </row>
    <row r="358" spans="1:1" x14ac:dyDescent="0.2">
      <c r="A358" s="196"/>
    </row>
    <row r="359" spans="1:1" x14ac:dyDescent="0.2">
      <c r="A359" s="196"/>
    </row>
    <row r="360" spans="1:1" x14ac:dyDescent="0.2">
      <c r="A360" s="196"/>
    </row>
    <row r="361" spans="1:1" x14ac:dyDescent="0.2">
      <c r="A361" s="196"/>
    </row>
    <row r="362" spans="1:1" x14ac:dyDescent="0.2">
      <c r="A362" s="196"/>
    </row>
    <row r="363" spans="1:1" x14ac:dyDescent="0.2">
      <c r="A363" s="196"/>
    </row>
    <row r="364" spans="1:1" x14ac:dyDescent="0.2">
      <c r="A364" s="196"/>
    </row>
    <row r="365" spans="1:1" x14ac:dyDescent="0.2">
      <c r="A365" s="196"/>
    </row>
    <row r="366" spans="1:1" x14ac:dyDescent="0.2">
      <c r="A366" s="196"/>
    </row>
    <row r="367" spans="1:1" x14ac:dyDescent="0.2">
      <c r="A367" s="196"/>
    </row>
    <row r="368" spans="1:1" x14ac:dyDescent="0.2">
      <c r="A368" s="196"/>
    </row>
    <row r="369" spans="1:1" x14ac:dyDescent="0.2">
      <c r="A369" s="196"/>
    </row>
    <row r="370" spans="1:1" x14ac:dyDescent="0.2">
      <c r="A370" s="196"/>
    </row>
    <row r="371" spans="1:1" x14ac:dyDescent="0.2">
      <c r="A371" s="196"/>
    </row>
    <row r="372" spans="1:1" x14ac:dyDescent="0.2">
      <c r="A372" s="196"/>
    </row>
    <row r="373" spans="1:1" x14ac:dyDescent="0.2">
      <c r="A373" s="196"/>
    </row>
    <row r="374" spans="1:1" x14ac:dyDescent="0.2">
      <c r="A374" s="196"/>
    </row>
    <row r="375" spans="1:1" x14ac:dyDescent="0.2">
      <c r="A375" s="196"/>
    </row>
    <row r="376" spans="1:1" x14ac:dyDescent="0.2">
      <c r="A376" s="196"/>
    </row>
    <row r="377" spans="1:1" x14ac:dyDescent="0.2">
      <c r="A377" s="196"/>
    </row>
    <row r="378" spans="1:1" x14ac:dyDescent="0.2">
      <c r="A378" s="196"/>
    </row>
    <row r="379" spans="1:1" x14ac:dyDescent="0.2">
      <c r="A379" s="196"/>
    </row>
    <row r="380" spans="1:1" x14ac:dyDescent="0.2">
      <c r="A380" s="196"/>
    </row>
    <row r="381" spans="1:1" x14ac:dyDescent="0.2">
      <c r="A381" s="196"/>
    </row>
    <row r="382" spans="1:1" x14ac:dyDescent="0.2">
      <c r="A382" s="196"/>
    </row>
    <row r="383" spans="1:1" x14ac:dyDescent="0.2">
      <c r="A383" s="196"/>
    </row>
    <row r="384" spans="1:1" x14ac:dyDescent="0.2">
      <c r="A384" s="196"/>
    </row>
    <row r="385" spans="1:1" x14ac:dyDescent="0.2">
      <c r="A385" s="196"/>
    </row>
    <row r="386" spans="1:1" x14ac:dyDescent="0.2">
      <c r="A386" s="196"/>
    </row>
    <row r="387" spans="1:1" x14ac:dyDescent="0.2">
      <c r="A387" s="196"/>
    </row>
    <row r="388" spans="1:1" x14ac:dyDescent="0.2">
      <c r="A388" s="196"/>
    </row>
    <row r="389" spans="1:1" x14ac:dyDescent="0.2">
      <c r="A389" s="196"/>
    </row>
    <row r="390" spans="1:1" x14ac:dyDescent="0.2">
      <c r="A390" s="196"/>
    </row>
    <row r="391" spans="1:1" x14ac:dyDescent="0.2">
      <c r="A391" s="196"/>
    </row>
    <row r="392" spans="1:1" x14ac:dyDescent="0.2">
      <c r="A392" s="196"/>
    </row>
    <row r="393" spans="1:1" x14ac:dyDescent="0.2">
      <c r="A393" s="196"/>
    </row>
    <row r="394" spans="1:1" x14ac:dyDescent="0.2">
      <c r="A394" s="196"/>
    </row>
    <row r="395" spans="1:1" x14ac:dyDescent="0.2">
      <c r="A395" s="196"/>
    </row>
    <row r="396" spans="1:1" x14ac:dyDescent="0.2">
      <c r="A396" s="196"/>
    </row>
    <row r="397" spans="1:1" x14ac:dyDescent="0.2">
      <c r="A397" s="196"/>
    </row>
    <row r="398" spans="1:1" x14ac:dyDescent="0.2">
      <c r="A398" s="196"/>
    </row>
    <row r="399" spans="1:1" x14ac:dyDescent="0.2">
      <c r="A399" s="196"/>
    </row>
    <row r="400" spans="1:1" x14ac:dyDescent="0.2">
      <c r="A400" s="196"/>
    </row>
    <row r="401" spans="1:1" x14ac:dyDescent="0.2">
      <c r="A401" s="196"/>
    </row>
    <row r="402" spans="1:1" x14ac:dyDescent="0.2">
      <c r="A402" s="196"/>
    </row>
    <row r="403" spans="1:1" x14ac:dyDescent="0.2">
      <c r="A403" s="196"/>
    </row>
    <row r="404" spans="1:1" x14ac:dyDescent="0.2">
      <c r="A404" s="196"/>
    </row>
    <row r="405" spans="1:1" x14ac:dyDescent="0.2">
      <c r="A405" s="196"/>
    </row>
    <row r="406" spans="1:1" x14ac:dyDescent="0.2">
      <c r="A406" s="196"/>
    </row>
    <row r="407" spans="1:1" x14ac:dyDescent="0.2">
      <c r="A407" s="196"/>
    </row>
    <row r="408" spans="1:1" x14ac:dyDescent="0.2">
      <c r="A408" s="196"/>
    </row>
    <row r="409" spans="1:1" x14ac:dyDescent="0.2">
      <c r="A409" s="196"/>
    </row>
    <row r="410" spans="1:1" x14ac:dyDescent="0.2">
      <c r="A410" s="196"/>
    </row>
    <row r="411" spans="1:1" x14ac:dyDescent="0.2">
      <c r="A411" s="196"/>
    </row>
    <row r="412" spans="1:1" x14ac:dyDescent="0.2">
      <c r="A412" s="196"/>
    </row>
    <row r="413" spans="1:1" x14ac:dyDescent="0.2">
      <c r="A413" s="196"/>
    </row>
    <row r="414" spans="1:1" x14ac:dyDescent="0.2">
      <c r="A414" s="196"/>
    </row>
    <row r="415" spans="1:1" x14ac:dyDescent="0.2">
      <c r="A415" s="196"/>
    </row>
    <row r="416" spans="1:1" x14ac:dyDescent="0.2">
      <c r="A416" s="196"/>
    </row>
    <row r="417" spans="1:1" x14ac:dyDescent="0.2">
      <c r="A417" s="196"/>
    </row>
    <row r="418" spans="1:1" x14ac:dyDescent="0.2">
      <c r="A418" s="196"/>
    </row>
    <row r="419" spans="1:1" x14ac:dyDescent="0.2">
      <c r="A419" s="196"/>
    </row>
    <row r="420" spans="1:1" x14ac:dyDescent="0.2">
      <c r="A420" s="196"/>
    </row>
    <row r="421" spans="1:1" x14ac:dyDescent="0.2">
      <c r="A421" s="196"/>
    </row>
    <row r="422" spans="1:1" x14ac:dyDescent="0.2">
      <c r="A422" s="196"/>
    </row>
    <row r="423" spans="1:1" x14ac:dyDescent="0.2">
      <c r="A423" s="196"/>
    </row>
    <row r="424" spans="1:1" x14ac:dyDescent="0.2">
      <c r="A424" s="196"/>
    </row>
    <row r="425" spans="1:1" x14ac:dyDescent="0.2">
      <c r="A425" s="196"/>
    </row>
    <row r="426" spans="1:1" x14ac:dyDescent="0.2">
      <c r="A426" s="196"/>
    </row>
    <row r="427" spans="1:1" x14ac:dyDescent="0.2">
      <c r="A427" s="196"/>
    </row>
    <row r="428" spans="1:1" x14ac:dyDescent="0.2">
      <c r="A428" s="196"/>
    </row>
    <row r="429" spans="1:1" x14ac:dyDescent="0.2">
      <c r="A429" s="196"/>
    </row>
    <row r="430" spans="1:1" x14ac:dyDescent="0.2">
      <c r="A430" s="196"/>
    </row>
    <row r="431" spans="1:1" x14ac:dyDescent="0.2">
      <c r="A431" s="196"/>
    </row>
    <row r="432" spans="1:1" x14ac:dyDescent="0.2">
      <c r="A432" s="196"/>
    </row>
    <row r="433" spans="1:1" x14ac:dyDescent="0.2">
      <c r="A433" s="196"/>
    </row>
    <row r="434" spans="1:1" x14ac:dyDescent="0.2">
      <c r="A434" s="196"/>
    </row>
    <row r="435" spans="1:1" x14ac:dyDescent="0.2">
      <c r="A435" s="196"/>
    </row>
    <row r="436" spans="1:1" x14ac:dyDescent="0.2">
      <c r="A436" s="196"/>
    </row>
    <row r="437" spans="1:1" x14ac:dyDescent="0.2">
      <c r="A437" s="196"/>
    </row>
    <row r="438" spans="1:1" x14ac:dyDescent="0.2">
      <c r="A438" s="196"/>
    </row>
    <row r="439" spans="1:1" x14ac:dyDescent="0.2">
      <c r="A439" s="196"/>
    </row>
    <row r="440" spans="1:1" x14ac:dyDescent="0.2">
      <c r="A440" s="196"/>
    </row>
    <row r="441" spans="1:1" x14ac:dyDescent="0.2">
      <c r="A441" s="196"/>
    </row>
    <row r="442" spans="1:1" x14ac:dyDescent="0.2">
      <c r="A442" s="196"/>
    </row>
    <row r="443" spans="1:1" x14ac:dyDescent="0.2">
      <c r="A443" s="196"/>
    </row>
    <row r="444" spans="1:1" x14ac:dyDescent="0.2">
      <c r="A444" s="196"/>
    </row>
    <row r="445" spans="1:1" x14ac:dyDescent="0.2">
      <c r="A445" s="196"/>
    </row>
    <row r="446" spans="1:1" x14ac:dyDescent="0.2">
      <c r="A446" s="196"/>
    </row>
    <row r="447" spans="1:1" x14ac:dyDescent="0.2">
      <c r="A447" s="196"/>
    </row>
    <row r="448" spans="1:1" x14ac:dyDescent="0.2">
      <c r="A448" s="196"/>
    </row>
    <row r="449" spans="1:1" x14ac:dyDescent="0.2">
      <c r="A449" s="196"/>
    </row>
    <row r="450" spans="1:1" x14ac:dyDescent="0.2">
      <c r="A450" s="196"/>
    </row>
    <row r="451" spans="1:1" x14ac:dyDescent="0.2">
      <c r="A451" s="196"/>
    </row>
    <row r="452" spans="1:1" x14ac:dyDescent="0.2">
      <c r="A452" s="196"/>
    </row>
    <row r="453" spans="1:1" x14ac:dyDescent="0.2">
      <c r="A453" s="196"/>
    </row>
    <row r="454" spans="1:1" x14ac:dyDescent="0.2">
      <c r="A454" s="196"/>
    </row>
    <row r="455" spans="1:1" x14ac:dyDescent="0.2">
      <c r="A455" s="196"/>
    </row>
    <row r="456" spans="1:1" x14ac:dyDescent="0.2">
      <c r="A456" s="196"/>
    </row>
    <row r="457" spans="1:1" x14ac:dyDescent="0.2">
      <c r="A457" s="196"/>
    </row>
    <row r="458" spans="1:1" x14ac:dyDescent="0.2">
      <c r="A458" s="196"/>
    </row>
    <row r="459" spans="1:1" x14ac:dyDescent="0.2">
      <c r="A459" s="196"/>
    </row>
    <row r="460" spans="1:1" x14ac:dyDescent="0.2">
      <c r="A460" s="196"/>
    </row>
    <row r="461" spans="1:1" x14ac:dyDescent="0.2">
      <c r="A461" s="196"/>
    </row>
    <row r="462" spans="1:1" x14ac:dyDescent="0.2">
      <c r="A462" s="196"/>
    </row>
    <row r="463" spans="1:1" x14ac:dyDescent="0.2">
      <c r="A463" s="196"/>
    </row>
    <row r="464" spans="1:1" x14ac:dyDescent="0.2">
      <c r="A464" s="196"/>
    </row>
    <row r="465" spans="1:1" x14ac:dyDescent="0.2">
      <c r="A465" s="196"/>
    </row>
    <row r="466" spans="1:1" x14ac:dyDescent="0.2">
      <c r="A466" s="196"/>
    </row>
    <row r="467" spans="1:1" x14ac:dyDescent="0.2">
      <c r="A467" s="196"/>
    </row>
    <row r="468" spans="1:1" x14ac:dyDescent="0.2">
      <c r="A468" s="196"/>
    </row>
    <row r="469" spans="1:1" x14ac:dyDescent="0.2">
      <c r="A469" s="196"/>
    </row>
    <row r="470" spans="1:1" x14ac:dyDescent="0.2">
      <c r="A470" s="196"/>
    </row>
    <row r="471" spans="1:1" x14ac:dyDescent="0.2">
      <c r="A471" s="196"/>
    </row>
    <row r="472" spans="1:1" x14ac:dyDescent="0.2">
      <c r="A472" s="196"/>
    </row>
    <row r="473" spans="1:1" x14ac:dyDescent="0.2">
      <c r="A473" s="196"/>
    </row>
    <row r="474" spans="1:1" x14ac:dyDescent="0.2">
      <c r="A474" s="196"/>
    </row>
    <row r="475" spans="1:1" x14ac:dyDescent="0.2">
      <c r="A475" s="196"/>
    </row>
    <row r="476" spans="1:1" x14ac:dyDescent="0.2">
      <c r="A476" s="196"/>
    </row>
    <row r="477" spans="1:1" x14ac:dyDescent="0.2">
      <c r="A477" s="196"/>
    </row>
    <row r="478" spans="1:1" x14ac:dyDescent="0.2">
      <c r="A478" s="196"/>
    </row>
    <row r="479" spans="1:1" x14ac:dyDescent="0.2">
      <c r="A479" s="196"/>
    </row>
    <row r="480" spans="1:1" x14ac:dyDescent="0.2">
      <c r="A480" s="196"/>
    </row>
    <row r="481" spans="1:1" x14ac:dyDescent="0.2">
      <c r="A481" s="196"/>
    </row>
    <row r="482" spans="1:1" x14ac:dyDescent="0.2">
      <c r="A482" s="196"/>
    </row>
    <row r="483" spans="1:1" x14ac:dyDescent="0.2">
      <c r="A483" s="196"/>
    </row>
    <row r="484" spans="1:1" x14ac:dyDescent="0.2">
      <c r="A484" s="196"/>
    </row>
    <row r="485" spans="1:1" x14ac:dyDescent="0.2">
      <c r="A485" s="196"/>
    </row>
    <row r="486" spans="1:1" x14ac:dyDescent="0.2">
      <c r="A486" s="196"/>
    </row>
    <row r="487" spans="1:1" x14ac:dyDescent="0.2">
      <c r="A487" s="196"/>
    </row>
    <row r="488" spans="1:1" x14ac:dyDescent="0.2">
      <c r="A488" s="196"/>
    </row>
    <row r="489" spans="1:1" x14ac:dyDescent="0.2">
      <c r="A489" s="196"/>
    </row>
    <row r="490" spans="1:1" x14ac:dyDescent="0.2">
      <c r="A490" s="196"/>
    </row>
    <row r="491" spans="1:1" x14ac:dyDescent="0.2">
      <c r="A491" s="196"/>
    </row>
    <row r="492" spans="1:1" x14ac:dyDescent="0.2">
      <c r="A492" s="196"/>
    </row>
    <row r="493" spans="1:1" x14ac:dyDescent="0.2">
      <c r="A493" s="196"/>
    </row>
    <row r="494" spans="1:1" x14ac:dyDescent="0.2">
      <c r="A494" s="196"/>
    </row>
    <row r="495" spans="1:1" x14ac:dyDescent="0.2">
      <c r="A495" s="196"/>
    </row>
    <row r="496" spans="1:1" x14ac:dyDescent="0.2">
      <c r="A496" s="196"/>
    </row>
    <row r="497" spans="1:1" x14ac:dyDescent="0.2">
      <c r="A497" s="196"/>
    </row>
    <row r="498" spans="1:1" x14ac:dyDescent="0.2">
      <c r="A498" s="196"/>
    </row>
    <row r="499" spans="1:1" x14ac:dyDescent="0.2">
      <c r="A499" s="196"/>
    </row>
    <row r="500" spans="1:1" x14ac:dyDescent="0.2">
      <c r="A500" s="196"/>
    </row>
    <row r="501" spans="1:1" x14ac:dyDescent="0.2">
      <c r="A501" s="196"/>
    </row>
    <row r="502" spans="1:1" x14ac:dyDescent="0.2">
      <c r="A502" s="196"/>
    </row>
    <row r="503" spans="1:1" x14ac:dyDescent="0.2">
      <c r="A503" s="196"/>
    </row>
    <row r="504" spans="1:1" x14ac:dyDescent="0.2">
      <c r="A504" s="196"/>
    </row>
    <row r="505" spans="1:1" x14ac:dyDescent="0.2">
      <c r="A505" s="196"/>
    </row>
    <row r="506" spans="1:1" x14ac:dyDescent="0.2">
      <c r="A506" s="196"/>
    </row>
    <row r="507" spans="1:1" x14ac:dyDescent="0.2">
      <c r="A507" s="196"/>
    </row>
    <row r="508" spans="1:1" x14ac:dyDescent="0.2">
      <c r="A508" s="196"/>
    </row>
    <row r="509" spans="1:1" x14ac:dyDescent="0.2">
      <c r="A509" s="196"/>
    </row>
    <row r="510" spans="1:1" x14ac:dyDescent="0.2">
      <c r="A510" s="196"/>
    </row>
    <row r="511" spans="1:1" x14ac:dyDescent="0.2">
      <c r="A511" s="196"/>
    </row>
    <row r="512" spans="1:1" x14ac:dyDescent="0.2">
      <c r="A512" s="196"/>
    </row>
    <row r="513" spans="1:1" x14ac:dyDescent="0.2">
      <c r="A513" s="196"/>
    </row>
    <row r="514" spans="1:1" x14ac:dyDescent="0.2">
      <c r="A514" s="196"/>
    </row>
    <row r="515" spans="1:1" x14ac:dyDescent="0.2">
      <c r="A515" s="196"/>
    </row>
    <row r="516" spans="1:1" x14ac:dyDescent="0.2">
      <c r="A516" s="196"/>
    </row>
    <row r="517" spans="1:1" x14ac:dyDescent="0.2">
      <c r="A517" s="196"/>
    </row>
    <row r="518" spans="1:1" x14ac:dyDescent="0.2">
      <c r="A518" s="196"/>
    </row>
    <row r="519" spans="1:1" x14ac:dyDescent="0.2">
      <c r="A519" s="196"/>
    </row>
    <row r="520" spans="1:1" x14ac:dyDescent="0.2">
      <c r="A520" s="196"/>
    </row>
    <row r="521" spans="1:1" x14ac:dyDescent="0.2">
      <c r="A521" s="196"/>
    </row>
    <row r="522" spans="1:1" x14ac:dyDescent="0.2">
      <c r="A522" s="196"/>
    </row>
    <row r="523" spans="1:1" x14ac:dyDescent="0.2">
      <c r="A523" s="196"/>
    </row>
    <row r="524" spans="1:1" x14ac:dyDescent="0.2">
      <c r="A524" s="196"/>
    </row>
    <row r="525" spans="1:1" x14ac:dyDescent="0.2">
      <c r="A525" s="196"/>
    </row>
    <row r="526" spans="1:1" x14ac:dyDescent="0.2">
      <c r="A526" s="196"/>
    </row>
    <row r="527" spans="1:1" x14ac:dyDescent="0.2">
      <c r="A527" s="196"/>
    </row>
    <row r="528" spans="1:1" x14ac:dyDescent="0.2">
      <c r="A528" s="196"/>
    </row>
    <row r="529" spans="1:1" x14ac:dyDescent="0.2">
      <c r="A529" s="196"/>
    </row>
    <row r="530" spans="1:1" x14ac:dyDescent="0.2">
      <c r="A530" s="196"/>
    </row>
    <row r="531" spans="1:1" x14ac:dyDescent="0.2">
      <c r="A531" s="196"/>
    </row>
    <row r="532" spans="1:1" x14ac:dyDescent="0.2">
      <c r="A532" s="196"/>
    </row>
    <row r="533" spans="1:1" x14ac:dyDescent="0.2">
      <c r="A533" s="196"/>
    </row>
    <row r="534" spans="1:1" x14ac:dyDescent="0.2">
      <c r="A534" s="196"/>
    </row>
    <row r="535" spans="1:1" x14ac:dyDescent="0.2">
      <c r="A535" s="196"/>
    </row>
    <row r="536" spans="1:1" x14ac:dyDescent="0.2">
      <c r="A536" s="196"/>
    </row>
    <row r="537" spans="1:1" x14ac:dyDescent="0.2">
      <c r="A537" s="196"/>
    </row>
    <row r="538" spans="1:1" x14ac:dyDescent="0.2">
      <c r="A538" s="196"/>
    </row>
    <row r="539" spans="1:1" x14ac:dyDescent="0.2">
      <c r="A539" s="196"/>
    </row>
    <row r="540" spans="1:1" x14ac:dyDescent="0.2">
      <c r="A540" s="196"/>
    </row>
    <row r="541" spans="1:1" x14ac:dyDescent="0.2">
      <c r="A541" s="196"/>
    </row>
    <row r="542" spans="1:1" x14ac:dyDescent="0.2">
      <c r="A542" s="196"/>
    </row>
    <row r="543" spans="1:1" x14ac:dyDescent="0.2">
      <c r="A543" s="196"/>
    </row>
    <row r="544" spans="1:1" x14ac:dyDescent="0.2">
      <c r="A544" s="196"/>
    </row>
    <row r="545" spans="1:1" x14ac:dyDescent="0.2">
      <c r="A545" s="196"/>
    </row>
    <row r="546" spans="1:1" x14ac:dyDescent="0.2">
      <c r="A546" s="196"/>
    </row>
  </sheetData>
  <sortState xmlns:xlrd2="http://schemas.microsoft.com/office/spreadsheetml/2017/richdata2" ref="A2:I6">
    <sortCondition descending="1" ref="A2:A6"/>
  </sortState>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386C2-33EA-44AD-A740-954F01EAC671}">
  <sheetPr codeName="Sheet70">
    <tabColor rgb="FF00B050"/>
  </sheetPr>
  <dimension ref="A1:C327"/>
  <sheetViews>
    <sheetView workbookViewId="0">
      <selection sqref="A1:A1048576"/>
    </sheetView>
  </sheetViews>
  <sheetFormatPr defaultRowHeight="12.75" x14ac:dyDescent="0.2"/>
  <cols>
    <col min="1" max="1" width="9.140625" style="190"/>
    <col min="2" max="2" width="12.5703125" bestFit="1" customWidth="1"/>
  </cols>
  <sheetData>
    <row r="1" spans="1:3" x14ac:dyDescent="0.2">
      <c r="A1" s="190" t="s">
        <v>1263</v>
      </c>
      <c r="B1" t="s">
        <v>3170</v>
      </c>
      <c r="C1" t="s">
        <v>3171</v>
      </c>
    </row>
    <row r="2" spans="1:3" x14ac:dyDescent="0.2">
      <c r="A2" s="196"/>
    </row>
    <row r="3" spans="1:3" x14ac:dyDescent="0.2">
      <c r="A3" s="196"/>
    </row>
    <row r="4" spans="1:3" x14ac:dyDescent="0.2">
      <c r="A4" s="196"/>
    </row>
    <row r="5" spans="1:3" x14ac:dyDescent="0.2">
      <c r="A5" s="196"/>
    </row>
    <row r="6" spans="1:3" x14ac:dyDescent="0.2">
      <c r="A6" s="196"/>
    </row>
    <row r="7" spans="1:3" x14ac:dyDescent="0.2">
      <c r="A7" s="196"/>
    </row>
    <row r="8" spans="1:3" x14ac:dyDescent="0.2">
      <c r="A8" s="196"/>
    </row>
    <row r="9" spans="1:3" x14ac:dyDescent="0.2">
      <c r="A9" s="196"/>
    </row>
    <row r="10" spans="1:3" x14ac:dyDescent="0.2">
      <c r="A10" s="196"/>
    </row>
    <row r="11" spans="1:3" x14ac:dyDescent="0.2">
      <c r="A11" s="196"/>
    </row>
    <row r="12" spans="1:3" x14ac:dyDescent="0.2">
      <c r="A12" s="196"/>
    </row>
    <row r="13" spans="1:3" x14ac:dyDescent="0.2">
      <c r="A13" s="196"/>
    </row>
    <row r="14" spans="1:3" x14ac:dyDescent="0.2">
      <c r="A14" s="196"/>
    </row>
    <row r="15" spans="1:3" x14ac:dyDescent="0.2">
      <c r="A15" s="196"/>
    </row>
    <row r="16" spans="1:3" x14ac:dyDescent="0.2">
      <c r="A16" s="196"/>
    </row>
    <row r="17" spans="1:1" x14ac:dyDescent="0.2">
      <c r="A17" s="196"/>
    </row>
    <row r="18" spans="1:1" x14ac:dyDescent="0.2">
      <c r="A18" s="196"/>
    </row>
    <row r="19" spans="1:1" x14ac:dyDescent="0.2">
      <c r="A19" s="196"/>
    </row>
    <row r="20" spans="1:1" x14ac:dyDescent="0.2">
      <c r="A20" s="196"/>
    </row>
    <row r="21" spans="1:1" x14ac:dyDescent="0.2">
      <c r="A21" s="196"/>
    </row>
    <row r="22" spans="1:1" x14ac:dyDescent="0.2">
      <c r="A22" s="196"/>
    </row>
    <row r="23" spans="1:1" x14ac:dyDescent="0.2">
      <c r="A23" s="196"/>
    </row>
    <row r="24" spans="1:1" x14ac:dyDescent="0.2">
      <c r="A24" s="196"/>
    </row>
    <row r="25" spans="1:1" x14ac:dyDescent="0.2">
      <c r="A25" s="196"/>
    </row>
    <row r="26" spans="1:1" x14ac:dyDescent="0.2">
      <c r="A26" s="196"/>
    </row>
    <row r="27" spans="1:1" x14ac:dyDescent="0.2">
      <c r="A27" s="196"/>
    </row>
    <row r="28" spans="1:1" x14ac:dyDescent="0.2">
      <c r="A28" s="196"/>
    </row>
    <row r="29" spans="1:1" x14ac:dyDescent="0.2">
      <c r="A29" s="196"/>
    </row>
    <row r="30" spans="1:1" x14ac:dyDescent="0.2">
      <c r="A30" s="196"/>
    </row>
    <row r="31" spans="1:1" x14ac:dyDescent="0.2">
      <c r="A31" s="196"/>
    </row>
    <row r="32" spans="1:1" x14ac:dyDescent="0.2">
      <c r="A32" s="196"/>
    </row>
    <row r="33" spans="1:1" x14ac:dyDescent="0.2">
      <c r="A33" s="196"/>
    </row>
    <row r="34" spans="1:1" x14ac:dyDescent="0.2">
      <c r="A34" s="196"/>
    </row>
    <row r="35" spans="1:1" x14ac:dyDescent="0.2">
      <c r="A35" s="196"/>
    </row>
    <row r="36" spans="1:1" x14ac:dyDescent="0.2">
      <c r="A36" s="196"/>
    </row>
    <row r="37" spans="1:1" x14ac:dyDescent="0.2">
      <c r="A37" s="196"/>
    </row>
    <row r="38" spans="1:1" x14ac:dyDescent="0.2">
      <c r="A38" s="196"/>
    </row>
    <row r="39" spans="1:1" x14ac:dyDescent="0.2">
      <c r="A39" s="196"/>
    </row>
    <row r="40" spans="1:1" x14ac:dyDescent="0.2">
      <c r="A40" s="196"/>
    </row>
    <row r="41" spans="1:1" x14ac:dyDescent="0.2">
      <c r="A41" s="196"/>
    </row>
    <row r="42" spans="1:1" x14ac:dyDescent="0.2">
      <c r="A42" s="196"/>
    </row>
    <row r="43" spans="1:1" x14ac:dyDescent="0.2">
      <c r="A43" s="196"/>
    </row>
    <row r="44" spans="1:1" x14ac:dyDescent="0.2">
      <c r="A44" s="196"/>
    </row>
    <row r="45" spans="1:1" x14ac:dyDescent="0.2">
      <c r="A45" s="196"/>
    </row>
    <row r="46" spans="1:1" x14ac:dyDescent="0.2">
      <c r="A46" s="196"/>
    </row>
    <row r="47" spans="1:1" x14ac:dyDescent="0.2">
      <c r="A47" s="196"/>
    </row>
    <row r="48" spans="1:1" x14ac:dyDescent="0.2">
      <c r="A48" s="196"/>
    </row>
    <row r="49" spans="1:1" x14ac:dyDescent="0.2">
      <c r="A49" s="196"/>
    </row>
    <row r="50" spans="1:1" x14ac:dyDescent="0.2">
      <c r="A50" s="196"/>
    </row>
    <row r="51" spans="1:1" x14ac:dyDescent="0.2">
      <c r="A51" s="196"/>
    </row>
    <row r="52" spans="1:1" x14ac:dyDescent="0.2">
      <c r="A52" s="196"/>
    </row>
    <row r="53" spans="1:1" x14ac:dyDescent="0.2">
      <c r="A53" s="196"/>
    </row>
    <row r="54" spans="1:1" x14ac:dyDescent="0.2">
      <c r="A54" s="196"/>
    </row>
    <row r="55" spans="1:1" x14ac:dyDescent="0.2">
      <c r="A55" s="196"/>
    </row>
    <row r="56" spans="1:1" x14ac:dyDescent="0.2">
      <c r="A56" s="196"/>
    </row>
    <row r="57" spans="1:1" x14ac:dyDescent="0.2">
      <c r="A57" s="196"/>
    </row>
    <row r="58" spans="1:1" x14ac:dyDescent="0.2">
      <c r="A58" s="196"/>
    </row>
    <row r="59" spans="1:1" x14ac:dyDescent="0.2">
      <c r="A59" s="196"/>
    </row>
    <row r="60" spans="1:1" x14ac:dyDescent="0.2">
      <c r="A60" s="196"/>
    </row>
    <row r="61" spans="1:1" x14ac:dyDescent="0.2">
      <c r="A61" s="196"/>
    </row>
    <row r="62" spans="1:1" x14ac:dyDescent="0.2">
      <c r="A62" s="196"/>
    </row>
    <row r="63" spans="1:1" x14ac:dyDescent="0.2">
      <c r="A63" s="196"/>
    </row>
    <row r="64" spans="1:1" x14ac:dyDescent="0.2">
      <c r="A64" s="196"/>
    </row>
    <row r="65" spans="1:1" x14ac:dyDescent="0.2">
      <c r="A65" s="196"/>
    </row>
    <row r="66" spans="1:1" x14ac:dyDescent="0.2">
      <c r="A66" s="196"/>
    </row>
    <row r="67" spans="1:1" x14ac:dyDescent="0.2">
      <c r="A67" s="196"/>
    </row>
    <row r="68" spans="1:1" x14ac:dyDescent="0.2">
      <c r="A68" s="196"/>
    </row>
    <row r="69" spans="1:1" x14ac:dyDescent="0.2">
      <c r="A69" s="196"/>
    </row>
    <row r="70" spans="1:1" x14ac:dyDescent="0.2">
      <c r="A70" s="196"/>
    </row>
    <row r="71" spans="1:1" x14ac:dyDescent="0.2">
      <c r="A71" s="196"/>
    </row>
    <row r="72" spans="1:1" x14ac:dyDescent="0.2">
      <c r="A72" s="196"/>
    </row>
    <row r="73" spans="1:1" x14ac:dyDescent="0.2">
      <c r="A73" s="196"/>
    </row>
    <row r="74" spans="1:1" x14ac:dyDescent="0.2">
      <c r="A74" s="196"/>
    </row>
    <row r="75" spans="1:1" x14ac:dyDescent="0.2">
      <c r="A75" s="196"/>
    </row>
    <row r="76" spans="1:1" x14ac:dyDescent="0.2">
      <c r="A76" s="196"/>
    </row>
    <row r="77" spans="1:1" x14ac:dyDescent="0.2">
      <c r="A77" s="196"/>
    </row>
    <row r="78" spans="1:1" x14ac:dyDescent="0.2">
      <c r="A78" s="196"/>
    </row>
    <row r="79" spans="1:1" x14ac:dyDescent="0.2">
      <c r="A79" s="196"/>
    </row>
    <row r="80" spans="1:1" x14ac:dyDescent="0.2">
      <c r="A80" s="196"/>
    </row>
    <row r="81" spans="1:1" x14ac:dyDescent="0.2">
      <c r="A81" s="196"/>
    </row>
    <row r="82" spans="1:1" x14ac:dyDescent="0.2">
      <c r="A82" s="196"/>
    </row>
    <row r="83" spans="1:1" x14ac:dyDescent="0.2">
      <c r="A83" s="196"/>
    </row>
    <row r="84" spans="1:1" x14ac:dyDescent="0.2">
      <c r="A84" s="196"/>
    </row>
    <row r="85" spans="1:1" x14ac:dyDescent="0.2">
      <c r="A85" s="196"/>
    </row>
    <row r="86" spans="1:1" x14ac:dyDescent="0.2">
      <c r="A86" s="196"/>
    </row>
    <row r="87" spans="1:1" x14ac:dyDescent="0.2">
      <c r="A87" s="196"/>
    </row>
    <row r="88" spans="1:1" x14ac:dyDescent="0.2">
      <c r="A88" s="196"/>
    </row>
    <row r="89" spans="1:1" x14ac:dyDescent="0.2">
      <c r="A89" s="196"/>
    </row>
    <row r="90" spans="1:1" x14ac:dyDescent="0.2">
      <c r="A90" s="196"/>
    </row>
    <row r="91" spans="1:1" x14ac:dyDescent="0.2">
      <c r="A91" s="196"/>
    </row>
    <row r="92" spans="1:1" x14ac:dyDescent="0.2">
      <c r="A92" s="196"/>
    </row>
    <row r="93" spans="1:1" x14ac:dyDescent="0.2">
      <c r="A93" s="196"/>
    </row>
    <row r="94" spans="1:1" x14ac:dyDescent="0.2">
      <c r="A94" s="196"/>
    </row>
    <row r="95" spans="1:1" x14ac:dyDescent="0.2">
      <c r="A95" s="196"/>
    </row>
    <row r="96" spans="1:1" x14ac:dyDescent="0.2">
      <c r="A96" s="196"/>
    </row>
    <row r="97" spans="1:1" x14ac:dyDescent="0.2">
      <c r="A97" s="196"/>
    </row>
    <row r="98" spans="1:1" x14ac:dyDescent="0.2">
      <c r="A98" s="196"/>
    </row>
    <row r="99" spans="1:1" x14ac:dyDescent="0.2">
      <c r="A99" s="196"/>
    </row>
    <row r="100" spans="1:1" x14ac:dyDescent="0.2">
      <c r="A100" s="196"/>
    </row>
    <row r="101" spans="1:1" x14ac:dyDescent="0.2">
      <c r="A101" s="196"/>
    </row>
    <row r="102" spans="1:1" x14ac:dyDescent="0.2">
      <c r="A102" s="196"/>
    </row>
    <row r="103" spans="1:1" x14ac:dyDescent="0.2">
      <c r="A103" s="196"/>
    </row>
    <row r="104" spans="1:1" x14ac:dyDescent="0.2">
      <c r="A104" s="196"/>
    </row>
    <row r="105" spans="1:1" x14ac:dyDescent="0.2">
      <c r="A105" s="196"/>
    </row>
    <row r="106" spans="1:1" x14ac:dyDescent="0.2">
      <c r="A106" s="196"/>
    </row>
    <row r="107" spans="1:1" x14ac:dyDescent="0.2">
      <c r="A107" s="196"/>
    </row>
    <row r="108" spans="1:1" x14ac:dyDescent="0.2">
      <c r="A108" s="196"/>
    </row>
    <row r="109" spans="1:1" x14ac:dyDescent="0.2">
      <c r="A109" s="196"/>
    </row>
    <row r="110" spans="1:1" x14ac:dyDescent="0.2">
      <c r="A110" s="196"/>
    </row>
    <row r="111" spans="1:1" x14ac:dyDescent="0.2">
      <c r="A111" s="196"/>
    </row>
    <row r="112" spans="1:1" x14ac:dyDescent="0.2">
      <c r="A112" s="196"/>
    </row>
    <row r="113" spans="1:1" x14ac:dyDescent="0.2">
      <c r="A113" s="196"/>
    </row>
    <row r="114" spans="1:1" x14ac:dyDescent="0.2">
      <c r="A114" s="196"/>
    </row>
    <row r="115" spans="1:1" x14ac:dyDescent="0.2">
      <c r="A115" s="196"/>
    </row>
    <row r="116" spans="1:1" x14ac:dyDescent="0.2">
      <c r="A116" s="196"/>
    </row>
    <row r="117" spans="1:1" x14ac:dyDescent="0.2">
      <c r="A117" s="196"/>
    </row>
    <row r="118" spans="1:1" x14ac:dyDescent="0.2">
      <c r="A118" s="196"/>
    </row>
    <row r="119" spans="1:1" x14ac:dyDescent="0.2">
      <c r="A119" s="196"/>
    </row>
    <row r="120" spans="1:1" x14ac:dyDescent="0.2">
      <c r="A120" s="196"/>
    </row>
    <row r="121" spans="1:1" x14ac:dyDescent="0.2">
      <c r="A121" s="196"/>
    </row>
    <row r="122" spans="1:1" x14ac:dyDescent="0.2">
      <c r="A122" s="196"/>
    </row>
    <row r="123" spans="1:1" x14ac:dyDescent="0.2">
      <c r="A123" s="196"/>
    </row>
    <row r="124" spans="1:1" x14ac:dyDescent="0.2">
      <c r="A124" s="196"/>
    </row>
    <row r="125" spans="1:1" x14ac:dyDescent="0.2">
      <c r="A125" s="196"/>
    </row>
    <row r="126" spans="1:1" x14ac:dyDescent="0.2">
      <c r="A126" s="196"/>
    </row>
    <row r="127" spans="1:1" x14ac:dyDescent="0.2">
      <c r="A127" s="196"/>
    </row>
    <row r="128" spans="1:1" x14ac:dyDescent="0.2">
      <c r="A128" s="196"/>
    </row>
    <row r="129" spans="1:1" x14ac:dyDescent="0.2">
      <c r="A129" s="196"/>
    </row>
    <row r="130" spans="1:1" x14ac:dyDescent="0.2">
      <c r="A130" s="196"/>
    </row>
    <row r="131" spans="1:1" x14ac:dyDescent="0.2">
      <c r="A131" s="196"/>
    </row>
    <row r="132" spans="1:1" x14ac:dyDescent="0.2">
      <c r="A132" s="196"/>
    </row>
    <row r="133" spans="1:1" x14ac:dyDescent="0.2">
      <c r="A133" s="196"/>
    </row>
    <row r="134" spans="1:1" x14ac:dyDescent="0.2">
      <c r="A134" s="196"/>
    </row>
    <row r="135" spans="1:1" x14ac:dyDescent="0.2">
      <c r="A135" s="196"/>
    </row>
    <row r="136" spans="1:1" x14ac:dyDescent="0.2">
      <c r="A136" s="196"/>
    </row>
    <row r="137" spans="1:1" x14ac:dyDescent="0.2">
      <c r="A137" s="196"/>
    </row>
    <row r="138" spans="1:1" x14ac:dyDescent="0.2">
      <c r="A138" s="196"/>
    </row>
    <row r="139" spans="1:1" x14ac:dyDescent="0.2">
      <c r="A139" s="196"/>
    </row>
    <row r="140" spans="1:1" x14ac:dyDescent="0.2">
      <c r="A140" s="196"/>
    </row>
    <row r="141" spans="1:1" x14ac:dyDescent="0.2">
      <c r="A141" s="196"/>
    </row>
    <row r="142" spans="1:1" x14ac:dyDescent="0.2">
      <c r="A142" s="196"/>
    </row>
    <row r="143" spans="1:1" x14ac:dyDescent="0.2">
      <c r="A143" s="196"/>
    </row>
    <row r="144" spans="1:1" x14ac:dyDescent="0.2">
      <c r="A144" s="196"/>
    </row>
    <row r="145" spans="1:1" x14ac:dyDescent="0.2">
      <c r="A145" s="196"/>
    </row>
    <row r="146" spans="1:1" x14ac:dyDescent="0.2">
      <c r="A146" s="196"/>
    </row>
    <row r="147" spans="1:1" x14ac:dyDescent="0.2">
      <c r="A147" s="196"/>
    </row>
    <row r="148" spans="1:1" x14ac:dyDescent="0.2">
      <c r="A148" s="196"/>
    </row>
    <row r="149" spans="1:1" x14ac:dyDescent="0.2">
      <c r="A149" s="196"/>
    </row>
    <row r="150" spans="1:1" x14ac:dyDescent="0.2">
      <c r="A150" s="196"/>
    </row>
    <row r="151" spans="1:1" x14ac:dyDescent="0.2">
      <c r="A151" s="196"/>
    </row>
    <row r="152" spans="1:1" x14ac:dyDescent="0.2">
      <c r="A152" s="196"/>
    </row>
    <row r="153" spans="1:1" x14ac:dyDescent="0.2">
      <c r="A153" s="196"/>
    </row>
    <row r="154" spans="1:1" x14ac:dyDescent="0.2">
      <c r="A154" s="196"/>
    </row>
    <row r="155" spans="1:1" x14ac:dyDescent="0.2">
      <c r="A155" s="196"/>
    </row>
    <row r="156" spans="1:1" x14ac:dyDescent="0.2">
      <c r="A156" s="196"/>
    </row>
    <row r="157" spans="1:1" x14ac:dyDescent="0.2">
      <c r="A157" s="196"/>
    </row>
    <row r="158" spans="1:1" x14ac:dyDescent="0.2">
      <c r="A158" s="196"/>
    </row>
    <row r="159" spans="1:1" x14ac:dyDescent="0.2">
      <c r="A159" s="196"/>
    </row>
    <row r="160" spans="1:1" x14ac:dyDescent="0.2">
      <c r="A160" s="196"/>
    </row>
    <row r="161" spans="1:1" x14ac:dyDescent="0.2">
      <c r="A161" s="196"/>
    </row>
    <row r="162" spans="1:1" x14ac:dyDescent="0.2">
      <c r="A162" s="196"/>
    </row>
    <row r="163" spans="1:1" x14ac:dyDescent="0.2">
      <c r="A163" s="196"/>
    </row>
    <row r="164" spans="1:1" x14ac:dyDescent="0.2">
      <c r="A164" s="196"/>
    </row>
    <row r="165" spans="1:1" x14ac:dyDescent="0.2">
      <c r="A165" s="196"/>
    </row>
    <row r="166" spans="1:1" x14ac:dyDescent="0.2">
      <c r="A166" s="196"/>
    </row>
    <row r="167" spans="1:1" x14ac:dyDescent="0.2">
      <c r="A167" s="196"/>
    </row>
    <row r="168" spans="1:1" x14ac:dyDescent="0.2">
      <c r="A168" s="196"/>
    </row>
    <row r="169" spans="1:1" x14ac:dyDescent="0.2">
      <c r="A169" s="196"/>
    </row>
    <row r="170" spans="1:1" x14ac:dyDescent="0.2">
      <c r="A170" s="196"/>
    </row>
    <row r="171" spans="1:1" x14ac:dyDescent="0.2">
      <c r="A171" s="196"/>
    </row>
    <row r="172" spans="1:1" x14ac:dyDescent="0.2">
      <c r="A172" s="196"/>
    </row>
    <row r="173" spans="1:1" x14ac:dyDescent="0.2">
      <c r="A173" s="196"/>
    </row>
    <row r="174" spans="1:1" x14ac:dyDescent="0.2">
      <c r="A174" s="196"/>
    </row>
    <row r="175" spans="1:1" x14ac:dyDescent="0.2">
      <c r="A175" s="196"/>
    </row>
    <row r="176" spans="1:1" x14ac:dyDescent="0.2">
      <c r="A176" s="196"/>
    </row>
    <row r="177" spans="1:1" x14ac:dyDescent="0.2">
      <c r="A177" s="196"/>
    </row>
    <row r="178" spans="1:1" x14ac:dyDescent="0.2">
      <c r="A178" s="196"/>
    </row>
    <row r="179" spans="1:1" x14ac:dyDescent="0.2">
      <c r="A179" s="196"/>
    </row>
    <row r="180" spans="1:1" x14ac:dyDescent="0.2">
      <c r="A180" s="196"/>
    </row>
    <row r="181" spans="1:1" x14ac:dyDescent="0.2">
      <c r="A181" s="196"/>
    </row>
    <row r="182" spans="1:1" x14ac:dyDescent="0.2">
      <c r="A182" s="196"/>
    </row>
    <row r="183" spans="1:1" x14ac:dyDescent="0.2">
      <c r="A183" s="196"/>
    </row>
    <row r="184" spans="1:1" x14ac:dyDescent="0.2">
      <c r="A184" s="196"/>
    </row>
    <row r="185" spans="1:1" x14ac:dyDescent="0.2">
      <c r="A185" s="196"/>
    </row>
    <row r="186" spans="1:1" x14ac:dyDescent="0.2">
      <c r="A186" s="196"/>
    </row>
    <row r="187" spans="1:1" x14ac:dyDescent="0.2">
      <c r="A187" s="196"/>
    </row>
    <row r="188" spans="1:1" x14ac:dyDescent="0.2">
      <c r="A188" s="196"/>
    </row>
    <row r="189" spans="1:1" x14ac:dyDescent="0.2">
      <c r="A189" s="196"/>
    </row>
    <row r="190" spans="1:1" x14ac:dyDescent="0.2">
      <c r="A190" s="196"/>
    </row>
    <row r="191" spans="1:1" x14ac:dyDescent="0.2">
      <c r="A191" s="196"/>
    </row>
    <row r="192" spans="1:1" x14ac:dyDescent="0.2">
      <c r="A192" s="196"/>
    </row>
    <row r="193" spans="1:1" x14ac:dyDescent="0.2">
      <c r="A193" s="196"/>
    </row>
    <row r="194" spans="1:1" x14ac:dyDescent="0.2">
      <c r="A194" s="196"/>
    </row>
    <row r="195" spans="1:1" x14ac:dyDescent="0.2">
      <c r="A195" s="196"/>
    </row>
    <row r="196" spans="1:1" x14ac:dyDescent="0.2">
      <c r="A196" s="196"/>
    </row>
    <row r="197" spans="1:1" x14ac:dyDescent="0.2">
      <c r="A197" s="196"/>
    </row>
    <row r="198" spans="1:1" x14ac:dyDescent="0.2">
      <c r="A198" s="196"/>
    </row>
    <row r="199" spans="1:1" x14ac:dyDescent="0.2">
      <c r="A199" s="196"/>
    </row>
    <row r="200" spans="1:1" x14ac:dyDescent="0.2">
      <c r="A200" s="196"/>
    </row>
    <row r="201" spans="1:1" x14ac:dyDescent="0.2">
      <c r="A201" s="196"/>
    </row>
    <row r="202" spans="1:1" x14ac:dyDescent="0.2">
      <c r="A202" s="196"/>
    </row>
    <row r="203" spans="1:1" x14ac:dyDescent="0.2">
      <c r="A203" s="196"/>
    </row>
    <row r="204" spans="1:1" x14ac:dyDescent="0.2">
      <c r="A204" s="196"/>
    </row>
    <row r="205" spans="1:1" x14ac:dyDescent="0.2">
      <c r="A205" s="196"/>
    </row>
    <row r="206" spans="1:1" x14ac:dyDescent="0.2">
      <c r="A206" s="196"/>
    </row>
    <row r="207" spans="1:1" x14ac:dyDescent="0.2">
      <c r="A207" s="196"/>
    </row>
    <row r="208" spans="1:1" x14ac:dyDescent="0.2">
      <c r="A208" s="196"/>
    </row>
    <row r="209" spans="1:1" x14ac:dyDescent="0.2">
      <c r="A209" s="196"/>
    </row>
    <row r="210" spans="1:1" x14ac:dyDescent="0.2">
      <c r="A210" s="196"/>
    </row>
    <row r="211" spans="1:1" x14ac:dyDescent="0.2">
      <c r="A211" s="196"/>
    </row>
    <row r="212" spans="1:1" x14ac:dyDescent="0.2">
      <c r="A212" s="196"/>
    </row>
    <row r="213" spans="1:1" x14ac:dyDescent="0.2">
      <c r="A213" s="196"/>
    </row>
    <row r="214" spans="1:1" x14ac:dyDescent="0.2">
      <c r="A214" s="196"/>
    </row>
    <row r="215" spans="1:1" x14ac:dyDescent="0.2">
      <c r="A215" s="196"/>
    </row>
    <row r="216" spans="1:1" x14ac:dyDescent="0.2">
      <c r="A216" s="196"/>
    </row>
    <row r="217" spans="1:1" x14ac:dyDescent="0.2">
      <c r="A217" s="196"/>
    </row>
    <row r="218" spans="1:1" x14ac:dyDescent="0.2">
      <c r="A218" s="196"/>
    </row>
    <row r="219" spans="1:1" x14ac:dyDescent="0.2">
      <c r="A219" s="196"/>
    </row>
    <row r="220" spans="1:1" x14ac:dyDescent="0.2">
      <c r="A220" s="196"/>
    </row>
    <row r="221" spans="1:1" x14ac:dyDescent="0.2">
      <c r="A221" s="196"/>
    </row>
    <row r="222" spans="1:1" x14ac:dyDescent="0.2">
      <c r="A222" s="196"/>
    </row>
    <row r="223" spans="1:1" x14ac:dyDescent="0.2">
      <c r="A223" s="196"/>
    </row>
    <row r="224" spans="1:1" x14ac:dyDescent="0.2">
      <c r="A224" s="196"/>
    </row>
    <row r="225" spans="1:1" x14ac:dyDescent="0.2">
      <c r="A225" s="196"/>
    </row>
    <row r="226" spans="1:1" x14ac:dyDescent="0.2">
      <c r="A226" s="196"/>
    </row>
    <row r="227" spans="1:1" x14ac:dyDescent="0.2">
      <c r="A227" s="196"/>
    </row>
    <row r="228" spans="1:1" x14ac:dyDescent="0.2">
      <c r="A228" s="196"/>
    </row>
    <row r="229" spans="1:1" x14ac:dyDescent="0.2">
      <c r="A229" s="196"/>
    </row>
    <row r="230" spans="1:1" x14ac:dyDescent="0.2">
      <c r="A230" s="196"/>
    </row>
    <row r="231" spans="1:1" x14ac:dyDescent="0.2">
      <c r="A231" s="196"/>
    </row>
    <row r="232" spans="1:1" x14ac:dyDescent="0.2">
      <c r="A232" s="196"/>
    </row>
    <row r="233" spans="1:1" x14ac:dyDescent="0.2">
      <c r="A233" s="196"/>
    </row>
    <row r="234" spans="1:1" x14ac:dyDescent="0.2">
      <c r="A234" s="196"/>
    </row>
    <row r="235" spans="1:1" x14ac:dyDescent="0.2">
      <c r="A235" s="196"/>
    </row>
    <row r="236" spans="1:1" x14ac:dyDescent="0.2">
      <c r="A236" s="196"/>
    </row>
    <row r="237" spans="1:1" x14ac:dyDescent="0.2">
      <c r="A237" s="196"/>
    </row>
    <row r="238" spans="1:1" x14ac:dyDescent="0.2">
      <c r="A238" s="196"/>
    </row>
    <row r="239" spans="1:1" x14ac:dyDescent="0.2">
      <c r="A239" s="196"/>
    </row>
    <row r="240" spans="1:1" x14ac:dyDescent="0.2">
      <c r="A240" s="196"/>
    </row>
    <row r="241" spans="1:1" x14ac:dyDescent="0.2">
      <c r="A241" s="196"/>
    </row>
    <row r="242" spans="1:1" x14ac:dyDescent="0.2">
      <c r="A242" s="196"/>
    </row>
    <row r="243" spans="1:1" x14ac:dyDescent="0.2">
      <c r="A243" s="196"/>
    </row>
    <row r="244" spans="1:1" x14ac:dyDescent="0.2">
      <c r="A244" s="196"/>
    </row>
    <row r="245" spans="1:1" x14ac:dyDescent="0.2">
      <c r="A245" s="196"/>
    </row>
    <row r="246" spans="1:1" x14ac:dyDescent="0.2">
      <c r="A246" s="196"/>
    </row>
    <row r="247" spans="1:1" x14ac:dyDescent="0.2">
      <c r="A247" s="196"/>
    </row>
    <row r="248" spans="1:1" x14ac:dyDescent="0.2">
      <c r="A248" s="196"/>
    </row>
    <row r="249" spans="1:1" x14ac:dyDescent="0.2">
      <c r="A249" s="196"/>
    </row>
    <row r="250" spans="1:1" x14ac:dyDescent="0.2">
      <c r="A250" s="196"/>
    </row>
    <row r="251" spans="1:1" x14ac:dyDescent="0.2">
      <c r="A251" s="196"/>
    </row>
    <row r="252" spans="1:1" x14ac:dyDescent="0.2">
      <c r="A252" s="196"/>
    </row>
    <row r="253" spans="1:1" x14ac:dyDescent="0.2">
      <c r="A253" s="196"/>
    </row>
    <row r="254" spans="1:1" x14ac:dyDescent="0.2">
      <c r="A254" s="196"/>
    </row>
    <row r="255" spans="1:1" x14ac:dyDescent="0.2">
      <c r="A255" s="196"/>
    </row>
    <row r="256" spans="1:1" x14ac:dyDescent="0.2">
      <c r="A256" s="196"/>
    </row>
    <row r="257" spans="1:1" x14ac:dyDescent="0.2">
      <c r="A257" s="196"/>
    </row>
    <row r="258" spans="1:1" x14ac:dyDescent="0.2">
      <c r="A258" s="196"/>
    </row>
    <row r="259" spans="1:1" x14ac:dyDescent="0.2">
      <c r="A259" s="196"/>
    </row>
    <row r="260" spans="1:1" x14ac:dyDescent="0.2">
      <c r="A260" s="196"/>
    </row>
    <row r="261" spans="1:1" x14ac:dyDescent="0.2">
      <c r="A261" s="196"/>
    </row>
    <row r="262" spans="1:1" x14ac:dyDescent="0.2">
      <c r="A262" s="196"/>
    </row>
    <row r="263" spans="1:1" x14ac:dyDescent="0.2">
      <c r="A263" s="196"/>
    </row>
    <row r="264" spans="1:1" x14ac:dyDescent="0.2">
      <c r="A264" s="196"/>
    </row>
    <row r="265" spans="1:1" x14ac:dyDescent="0.2">
      <c r="A265" s="196"/>
    </row>
    <row r="266" spans="1:1" x14ac:dyDescent="0.2">
      <c r="A266" s="196"/>
    </row>
    <row r="267" spans="1:1" x14ac:dyDescent="0.2">
      <c r="A267" s="196"/>
    </row>
    <row r="268" spans="1:1" x14ac:dyDescent="0.2">
      <c r="A268" s="196"/>
    </row>
    <row r="269" spans="1:1" x14ac:dyDescent="0.2">
      <c r="A269" s="196"/>
    </row>
    <row r="270" spans="1:1" x14ac:dyDescent="0.2">
      <c r="A270" s="196"/>
    </row>
    <row r="271" spans="1:1" x14ac:dyDescent="0.2">
      <c r="A271" s="196"/>
    </row>
    <row r="272" spans="1:1" x14ac:dyDescent="0.2">
      <c r="A272" s="196"/>
    </row>
    <row r="273" spans="1:1" x14ac:dyDescent="0.2">
      <c r="A273" s="196"/>
    </row>
    <row r="274" spans="1:1" x14ac:dyDescent="0.2">
      <c r="A274" s="196"/>
    </row>
    <row r="275" spans="1:1" x14ac:dyDescent="0.2">
      <c r="A275" s="196"/>
    </row>
    <row r="276" spans="1:1" x14ac:dyDescent="0.2">
      <c r="A276" s="196"/>
    </row>
    <row r="277" spans="1:1" x14ac:dyDescent="0.2">
      <c r="A277" s="196"/>
    </row>
    <row r="278" spans="1:1" x14ac:dyDescent="0.2">
      <c r="A278" s="196"/>
    </row>
    <row r="279" spans="1:1" x14ac:dyDescent="0.2">
      <c r="A279" s="196"/>
    </row>
    <row r="280" spans="1:1" x14ac:dyDescent="0.2">
      <c r="A280" s="196"/>
    </row>
    <row r="281" spans="1:1" x14ac:dyDescent="0.2">
      <c r="A281" s="196"/>
    </row>
    <row r="282" spans="1:1" x14ac:dyDescent="0.2">
      <c r="A282" s="196"/>
    </row>
    <row r="283" spans="1:1" x14ac:dyDescent="0.2">
      <c r="A283" s="196"/>
    </row>
    <row r="284" spans="1:1" x14ac:dyDescent="0.2">
      <c r="A284" s="196"/>
    </row>
    <row r="285" spans="1:1" x14ac:dyDescent="0.2">
      <c r="A285" s="196"/>
    </row>
    <row r="286" spans="1:1" x14ac:dyDescent="0.2">
      <c r="A286" s="196"/>
    </row>
    <row r="287" spans="1:1" x14ac:dyDescent="0.2">
      <c r="A287" s="196"/>
    </row>
    <row r="288" spans="1:1" x14ac:dyDescent="0.2">
      <c r="A288" s="196"/>
    </row>
    <row r="289" spans="1:1" x14ac:dyDescent="0.2">
      <c r="A289" s="196"/>
    </row>
    <row r="290" spans="1:1" x14ac:dyDescent="0.2">
      <c r="A290" s="196"/>
    </row>
    <row r="291" spans="1:1" x14ac:dyDescent="0.2">
      <c r="A291" s="196"/>
    </row>
    <row r="292" spans="1:1" x14ac:dyDescent="0.2">
      <c r="A292" s="196"/>
    </row>
    <row r="293" spans="1:1" x14ac:dyDescent="0.2">
      <c r="A293" s="196"/>
    </row>
    <row r="294" spans="1:1" x14ac:dyDescent="0.2">
      <c r="A294" s="196"/>
    </row>
    <row r="295" spans="1:1" x14ac:dyDescent="0.2">
      <c r="A295" s="196"/>
    </row>
    <row r="296" spans="1:1" x14ac:dyDescent="0.2">
      <c r="A296" s="196"/>
    </row>
    <row r="297" spans="1:1" x14ac:dyDescent="0.2">
      <c r="A297" s="196"/>
    </row>
    <row r="298" spans="1:1" x14ac:dyDescent="0.2">
      <c r="A298" s="196"/>
    </row>
    <row r="299" spans="1:1" x14ac:dyDescent="0.2">
      <c r="A299" s="196"/>
    </row>
    <row r="300" spans="1:1" x14ac:dyDescent="0.2">
      <c r="A300" s="196"/>
    </row>
    <row r="301" spans="1:1" x14ac:dyDescent="0.2">
      <c r="A301" s="196"/>
    </row>
    <row r="302" spans="1:1" x14ac:dyDescent="0.2">
      <c r="A302" s="196"/>
    </row>
    <row r="303" spans="1:1" x14ac:dyDescent="0.2">
      <c r="A303" s="196"/>
    </row>
    <row r="304" spans="1:1" x14ac:dyDescent="0.2">
      <c r="A304" s="196"/>
    </row>
    <row r="305" spans="1:1" x14ac:dyDescent="0.2">
      <c r="A305" s="196"/>
    </row>
    <row r="306" spans="1:1" x14ac:dyDescent="0.2">
      <c r="A306" s="196"/>
    </row>
    <row r="307" spans="1:1" x14ac:dyDescent="0.2">
      <c r="A307" s="196"/>
    </row>
    <row r="308" spans="1:1" x14ac:dyDescent="0.2">
      <c r="A308" s="196"/>
    </row>
    <row r="309" spans="1:1" x14ac:dyDescent="0.2">
      <c r="A309" s="196"/>
    </row>
    <row r="310" spans="1:1" x14ac:dyDescent="0.2">
      <c r="A310" s="196"/>
    </row>
    <row r="311" spans="1:1" x14ac:dyDescent="0.2">
      <c r="A311" s="196"/>
    </row>
    <row r="312" spans="1:1" x14ac:dyDescent="0.2">
      <c r="A312" s="196"/>
    </row>
    <row r="313" spans="1:1" x14ac:dyDescent="0.2">
      <c r="A313" s="196"/>
    </row>
    <row r="314" spans="1:1" x14ac:dyDescent="0.2">
      <c r="A314" s="196"/>
    </row>
    <row r="315" spans="1:1" x14ac:dyDescent="0.2">
      <c r="A315" s="196"/>
    </row>
    <row r="316" spans="1:1" x14ac:dyDescent="0.2">
      <c r="A316" s="196"/>
    </row>
    <row r="317" spans="1:1" x14ac:dyDescent="0.2">
      <c r="A317" s="196"/>
    </row>
    <row r="318" spans="1:1" x14ac:dyDescent="0.2">
      <c r="A318" s="196"/>
    </row>
    <row r="319" spans="1:1" x14ac:dyDescent="0.2">
      <c r="A319" s="196"/>
    </row>
    <row r="320" spans="1:1" x14ac:dyDescent="0.2">
      <c r="A320" s="196"/>
    </row>
    <row r="321" spans="1:1" x14ac:dyDescent="0.2">
      <c r="A321" s="196"/>
    </row>
    <row r="322" spans="1:1" x14ac:dyDescent="0.2">
      <c r="A322" s="196"/>
    </row>
    <row r="323" spans="1:1" x14ac:dyDescent="0.2">
      <c r="A323" s="196"/>
    </row>
    <row r="324" spans="1:1" x14ac:dyDescent="0.2">
      <c r="A324" s="196"/>
    </row>
    <row r="325" spans="1:1" x14ac:dyDescent="0.2">
      <c r="A325" s="196"/>
    </row>
    <row r="326" spans="1:1" x14ac:dyDescent="0.2">
      <c r="A326" s="196"/>
    </row>
    <row r="327" spans="1:1" x14ac:dyDescent="0.2">
      <c r="A327" s="196"/>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42969-ABA8-41DF-AA7A-00AA2DC4F701}">
  <sheetPr codeName="Sheet73"/>
  <dimension ref="A1:E34"/>
  <sheetViews>
    <sheetView workbookViewId="0">
      <selection activeCell="I8" sqref="I8"/>
    </sheetView>
  </sheetViews>
  <sheetFormatPr defaultRowHeight="12.75" x14ac:dyDescent="0.2"/>
  <sheetData>
    <row r="1" spans="1:5" x14ac:dyDescent="0.2">
      <c r="A1" t="s">
        <v>3410</v>
      </c>
      <c r="E1" t="s">
        <v>3411</v>
      </c>
    </row>
    <row r="2" spans="1:5" x14ac:dyDescent="0.2">
      <c r="A2" t="s">
        <v>3411</v>
      </c>
      <c r="E2" t="s">
        <v>3412</v>
      </c>
    </row>
    <row r="3" spans="1:5" x14ac:dyDescent="0.2">
      <c r="A3" t="s">
        <v>3412</v>
      </c>
      <c r="E3" t="s">
        <v>3414</v>
      </c>
    </row>
    <row r="4" spans="1:5" x14ac:dyDescent="0.2">
      <c r="A4" t="s">
        <v>3413</v>
      </c>
      <c r="E4" t="s">
        <v>3416</v>
      </c>
    </row>
    <row r="5" spans="1:5" x14ac:dyDescent="0.2">
      <c r="A5" t="s">
        <v>3414</v>
      </c>
      <c r="E5" t="s">
        <v>3417</v>
      </c>
    </row>
    <row r="6" spans="1:5" x14ac:dyDescent="0.2">
      <c r="A6" t="s">
        <v>3415</v>
      </c>
      <c r="E6" t="s">
        <v>3418</v>
      </c>
    </row>
    <row r="7" spans="1:5" x14ac:dyDescent="0.2">
      <c r="A7" t="s">
        <v>3416</v>
      </c>
      <c r="E7" t="s">
        <v>3419</v>
      </c>
    </row>
    <row r="8" spans="1:5" x14ac:dyDescent="0.2">
      <c r="A8" t="s">
        <v>3417</v>
      </c>
      <c r="E8" t="s">
        <v>3420</v>
      </c>
    </row>
    <row r="9" spans="1:5" x14ac:dyDescent="0.2">
      <c r="A9" t="s">
        <v>3418</v>
      </c>
      <c r="E9" t="s">
        <v>3425</v>
      </c>
    </row>
    <row r="10" spans="1:5" x14ac:dyDescent="0.2">
      <c r="A10" t="s">
        <v>3419</v>
      </c>
      <c r="E10" t="s">
        <v>3426</v>
      </c>
    </row>
    <row r="11" spans="1:5" x14ac:dyDescent="0.2">
      <c r="A11" t="s">
        <v>3420</v>
      </c>
      <c r="E11" t="s">
        <v>3427</v>
      </c>
    </row>
    <row r="12" spans="1:5" x14ac:dyDescent="0.2">
      <c r="A12" t="s">
        <v>3421</v>
      </c>
      <c r="E12" t="s">
        <v>3424</v>
      </c>
    </row>
    <row r="13" spans="1:5" x14ac:dyDescent="0.2">
      <c r="A13" t="s">
        <v>3422</v>
      </c>
      <c r="E13" t="s">
        <v>3440</v>
      </c>
    </row>
    <row r="14" spans="1:5" x14ac:dyDescent="0.2">
      <c r="A14" t="s">
        <v>3423</v>
      </c>
      <c r="E14" t="s">
        <v>3441</v>
      </c>
    </row>
    <row r="15" spans="1:5" x14ac:dyDescent="0.2">
      <c r="A15" t="s">
        <v>3424</v>
      </c>
      <c r="E15" t="s">
        <v>3421</v>
      </c>
    </row>
    <row r="16" spans="1:5" x14ac:dyDescent="0.2">
      <c r="A16" t="s">
        <v>3425</v>
      </c>
      <c r="E16" t="s">
        <v>3422</v>
      </c>
    </row>
    <row r="17" spans="1:5" x14ac:dyDescent="0.2">
      <c r="A17" t="s">
        <v>3426</v>
      </c>
      <c r="E17" t="s">
        <v>3423</v>
      </c>
    </row>
    <row r="18" spans="1:5" x14ac:dyDescent="0.2">
      <c r="A18" t="s">
        <v>3427</v>
      </c>
    </row>
    <row r="19" spans="1:5" x14ac:dyDescent="0.2">
      <c r="A19" t="s">
        <v>3428</v>
      </c>
    </row>
    <row r="20" spans="1:5" x14ac:dyDescent="0.2">
      <c r="A20" t="s">
        <v>3429</v>
      </c>
    </row>
    <row r="21" spans="1:5" x14ac:dyDescent="0.2">
      <c r="A21" t="s">
        <v>3430</v>
      </c>
    </row>
    <row r="22" spans="1:5" x14ac:dyDescent="0.2">
      <c r="A22" t="s">
        <v>3431</v>
      </c>
    </row>
    <row r="23" spans="1:5" x14ac:dyDescent="0.2">
      <c r="A23" t="s">
        <v>3432</v>
      </c>
    </row>
    <row r="24" spans="1:5" x14ac:dyDescent="0.2">
      <c r="A24" t="s">
        <v>3433</v>
      </c>
    </row>
    <row r="25" spans="1:5" x14ac:dyDescent="0.2">
      <c r="A25" t="s">
        <v>3434</v>
      </c>
    </row>
    <row r="26" spans="1:5" x14ac:dyDescent="0.2">
      <c r="A26" t="s">
        <v>3435</v>
      </c>
    </row>
    <row r="27" spans="1:5" x14ac:dyDescent="0.2">
      <c r="A27" t="s">
        <v>3436</v>
      </c>
    </row>
    <row r="28" spans="1:5" x14ac:dyDescent="0.2">
      <c r="A28" t="s">
        <v>3437</v>
      </c>
    </row>
    <row r="29" spans="1:5" x14ac:dyDescent="0.2">
      <c r="A29" t="s">
        <v>3438</v>
      </c>
    </row>
    <row r="30" spans="1:5" x14ac:dyDescent="0.2">
      <c r="A30" t="s">
        <v>3439</v>
      </c>
    </row>
    <row r="31" spans="1:5" x14ac:dyDescent="0.2">
      <c r="A31" t="s">
        <v>3440</v>
      </c>
    </row>
    <row r="32" spans="1:5" x14ac:dyDescent="0.2">
      <c r="A32" t="s">
        <v>3441</v>
      </c>
    </row>
    <row r="33" spans="1:1" x14ac:dyDescent="0.2">
      <c r="A33" t="s">
        <v>3442</v>
      </c>
    </row>
    <row r="34" spans="1:1" x14ac:dyDescent="0.2">
      <c r="A34" t="s">
        <v>3443</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5CD5D-C69A-401D-B74F-C16B74570E8D}">
  <sheetPr codeName="Sheet61">
    <tabColor rgb="FFFFFF00"/>
  </sheetPr>
  <dimension ref="A1:N27"/>
  <sheetViews>
    <sheetView workbookViewId="0">
      <selection activeCell="C10" sqref="C10"/>
    </sheetView>
  </sheetViews>
  <sheetFormatPr defaultRowHeight="12.75" x14ac:dyDescent="0.2"/>
  <cols>
    <col min="1" max="1" width="13" customWidth="1"/>
    <col min="14" max="14" width="10.5703125" bestFit="1" customWidth="1"/>
  </cols>
  <sheetData>
    <row r="1" spans="1:14" x14ac:dyDescent="0.2">
      <c r="A1" t="s">
        <v>3401</v>
      </c>
    </row>
    <row r="2" spans="1:14" x14ac:dyDescent="0.2">
      <c r="B2">
        <v>1</v>
      </c>
      <c r="C2">
        <v>2</v>
      </c>
      <c r="D2">
        <v>3</v>
      </c>
      <c r="G2" t="s">
        <v>3406</v>
      </c>
      <c r="J2" t="s">
        <v>3407</v>
      </c>
    </row>
    <row r="3" spans="1:14" x14ac:dyDescent="0.2">
      <c r="A3" t="s">
        <v>146</v>
      </c>
      <c r="B3" s="32">
        <f>Data!B1762</f>
        <v>0</v>
      </c>
      <c r="C3" s="32">
        <f>Data!B1776</f>
        <v>0</v>
      </c>
      <c r="D3" s="32">
        <f>Data!B1790</f>
        <v>0</v>
      </c>
      <c r="G3" s="158" t="str">
        <f>IF(B3&lt;2.01,B3*C12,"")&amp;IF(AND(B3&gt;2.99,B3&lt;4),B3*C13,"")&amp;IF(AND(B3&lt;24,B3&gt;3.99),B3*C14,"")</f>
        <v>0</v>
      </c>
      <c r="H3" s="158" t="str">
        <f t="shared" ref="H3:I3" si="0">IF(C3&lt;2.01,C3*D12,"")&amp;IF(AND(C3&gt;2.99,C3&lt;4),C3*D13,"")&amp;IF(AND(C3&lt;24,C3&gt;3.99),C3*D14,"")</f>
        <v>0</v>
      </c>
      <c r="I3" s="158" t="str">
        <f t="shared" si="0"/>
        <v>0</v>
      </c>
      <c r="K3" s="157"/>
      <c r="L3" s="157"/>
      <c r="M3" s="157"/>
    </row>
    <row r="4" spans="1:14" x14ac:dyDescent="0.2">
      <c r="A4" t="s">
        <v>147</v>
      </c>
      <c r="B4" s="32">
        <f>Data!B1763</f>
        <v>0</v>
      </c>
      <c r="C4" s="32">
        <f>Data!B1777</f>
        <v>0</v>
      </c>
      <c r="D4" s="32">
        <f>Data!B1791</f>
        <v>0</v>
      </c>
      <c r="G4" s="158" t="str">
        <f>IF(B4&lt;2.01,B4*C12,"")&amp;IF(AND(B4&gt;2.99,B4&lt;4),B4*C13,"")&amp;IF(AND(B4&lt;24,B4&gt;3.99),B4*C14,"")</f>
        <v>0</v>
      </c>
      <c r="H4" s="158" t="str">
        <f t="shared" ref="H4:I4" si="1">IF(C4&lt;2.01,C4*D12,"")&amp;IF(AND(C4&gt;2.99,C4&lt;4),C4*D13,"")&amp;IF(AND(C4&lt;24,C4&gt;3.99),C4*D14,"")</f>
        <v>0</v>
      </c>
      <c r="I4" s="158" t="str">
        <f t="shared" si="1"/>
        <v>0</v>
      </c>
      <c r="K4" s="157"/>
      <c r="L4" s="157"/>
      <c r="M4" s="157"/>
    </row>
    <row r="5" spans="1:14" x14ac:dyDescent="0.2">
      <c r="A5" t="s">
        <v>148</v>
      </c>
      <c r="B5" s="32">
        <f>Data!B1764</f>
        <v>0</v>
      </c>
      <c r="C5" s="32">
        <f>Data!B1778</f>
        <v>0</v>
      </c>
      <c r="D5" s="32">
        <f>Data!B1792</f>
        <v>0</v>
      </c>
      <c r="G5" s="158" t="str">
        <f>IF(B5&lt;2.01,B5*C12,"")&amp;IF(AND(B5&gt;2.99,B5&lt;4),B5*C13,"")&amp;IF(AND(B5&lt;24,B5&gt;3.99),B5*C14,"")</f>
        <v>0</v>
      </c>
      <c r="H5" s="158" t="str">
        <f t="shared" ref="H5:I5" si="2">IF(C5&lt;2.01,C5*D12,"")&amp;IF(AND(C5&gt;2.99,C5&lt;4),C5*D13,"")&amp;IF(AND(C5&lt;24,C5&gt;3.99),C5*D14,"")</f>
        <v>0</v>
      </c>
      <c r="I5" s="158" t="str">
        <f t="shared" si="2"/>
        <v>0</v>
      </c>
      <c r="K5" s="157"/>
      <c r="L5" s="157"/>
      <c r="M5" s="157"/>
    </row>
    <row r="6" spans="1:14" x14ac:dyDescent="0.2">
      <c r="A6" t="s">
        <v>149</v>
      </c>
      <c r="B6" s="32">
        <f>Data!B1765</f>
        <v>0</v>
      </c>
      <c r="C6" s="32">
        <f>Data!B1779</f>
        <v>0</v>
      </c>
      <c r="D6" s="32">
        <f>Data!B1793</f>
        <v>0</v>
      </c>
      <c r="G6" s="158" t="str">
        <f>IF(B6&lt;2.01,B6*C12,"")&amp;IF(AND(B6&gt;2.99,B6&lt;4),B6*C13,"")&amp;IF(AND(B6&lt;24,B6&gt;3.99),B6*C14,"")</f>
        <v>0</v>
      </c>
      <c r="H6" s="158" t="str">
        <f t="shared" ref="H6:I6" si="3">IF(C6&lt;2.01,C6*D12,"")&amp;IF(AND(C6&gt;2.99,C6&lt;4),C6*D13,"")&amp;IF(AND(C6&lt;24,C6&gt;3.99),C6*D14,"")</f>
        <v>0</v>
      </c>
      <c r="I6" s="158" t="str">
        <f t="shared" si="3"/>
        <v>0</v>
      </c>
      <c r="K6" s="157"/>
      <c r="L6" s="157"/>
      <c r="M6" s="157"/>
    </row>
    <row r="7" spans="1:14" x14ac:dyDescent="0.2">
      <c r="A7" t="s">
        <v>150</v>
      </c>
      <c r="B7" s="32">
        <f>Data!B1766</f>
        <v>0</v>
      </c>
      <c r="C7" s="32">
        <f>Data!B1780</f>
        <v>0</v>
      </c>
      <c r="D7" s="32">
        <f>Data!B1794</f>
        <v>0</v>
      </c>
      <c r="G7" s="158" t="str">
        <f>IF(B7&lt;2.01,B7*C12,"")&amp;IF(AND(B7&gt;2.99,B7&lt;4),B7*C13,"")&amp;IF(AND(B7&lt;24,B7&gt;3.99),B7*C14,"")</f>
        <v>0</v>
      </c>
      <c r="H7" s="158" t="str">
        <f t="shared" ref="H7:I7" si="4">IF(C7&lt;2.01,C7*D12,"")&amp;IF(AND(C7&gt;2.99,C7&lt;4),C7*D13,"")&amp;IF(AND(C7&lt;24,C7&gt;3.99),C7*D14,"")</f>
        <v>0</v>
      </c>
      <c r="I7" s="158" t="str">
        <f t="shared" si="4"/>
        <v>0</v>
      </c>
      <c r="K7" s="157"/>
      <c r="L7" s="157"/>
      <c r="M7" s="157"/>
    </row>
    <row r="8" spans="1:14" x14ac:dyDescent="0.2">
      <c r="A8" t="s">
        <v>151</v>
      </c>
      <c r="B8" s="32">
        <f>Data!B1767</f>
        <v>0</v>
      </c>
      <c r="C8" s="32">
        <f>Data!B1781</f>
        <v>0</v>
      </c>
      <c r="D8" s="32">
        <f>Data!B1795</f>
        <v>0</v>
      </c>
      <c r="G8" s="158" t="str">
        <f>IF(B8&lt;2.01,B8*C12,"")&amp;IF(AND(B8&gt;2.99,B8&lt;4),B8*C13,"")&amp;IF(AND(B8&lt;24,B8&gt;3.99),B8*C14,"")</f>
        <v>0</v>
      </c>
      <c r="H8" s="158" t="str">
        <f t="shared" ref="H8:I8" si="5">IF(C8&lt;2.01,C8*D12,"")&amp;IF(AND(C8&gt;2.99,C8&lt;4),C8*D13,"")&amp;IF(AND(C8&lt;24,C8&gt;3.99),C8*D14,"")</f>
        <v>0</v>
      </c>
      <c r="I8" s="158" t="str">
        <f t="shared" si="5"/>
        <v>0</v>
      </c>
      <c r="K8" s="157"/>
      <c r="L8" s="157"/>
      <c r="M8" s="157"/>
    </row>
    <row r="9" spans="1:14" x14ac:dyDescent="0.2">
      <c r="A9" t="s">
        <v>152</v>
      </c>
      <c r="B9" s="32">
        <f>Data!B1768</f>
        <v>0</v>
      </c>
      <c r="C9" s="32">
        <f>Data!B1782</f>
        <v>0</v>
      </c>
      <c r="D9" s="32">
        <f>Data!B1796</f>
        <v>0</v>
      </c>
      <c r="G9" s="158" t="str">
        <f>IF(B9&lt;2.01,B9*C12,"")&amp;IF(AND(B9&gt;2.99,B9&lt;4),B9*C13,"")&amp;IF(AND(B9&lt;24,B9&gt;3.99),B9*C24,"")</f>
        <v>0</v>
      </c>
      <c r="H9" s="158" t="str">
        <f t="shared" ref="H9:I9" si="6">IF(C9&lt;2.01,C9*D12,"")&amp;IF(AND(C9&gt;2.99,C9&lt;4),C9*D13,"")&amp;IF(AND(C9&lt;24,C9&gt;3.99),C9*D24,"")</f>
        <v>0</v>
      </c>
      <c r="I9" s="158" t="str">
        <f t="shared" si="6"/>
        <v>0</v>
      </c>
      <c r="K9" s="157"/>
      <c r="L9" s="157"/>
      <c r="M9" s="157"/>
    </row>
    <row r="10" spans="1:14" x14ac:dyDescent="0.2">
      <c r="A10" t="s">
        <v>199</v>
      </c>
      <c r="B10">
        <f>SUM(B3:B9)</f>
        <v>0</v>
      </c>
      <c r="C10">
        <f>SUM(C3:C9)</f>
        <v>0</v>
      </c>
      <c r="D10">
        <f>SUM(D3:D9)</f>
        <v>0</v>
      </c>
      <c r="E10" t="s">
        <v>3405</v>
      </c>
      <c r="F10">
        <f>SUM(B10:D10)</f>
        <v>0</v>
      </c>
      <c r="G10" s="32"/>
      <c r="K10" s="33">
        <f>SUM(K3:K9)</f>
        <v>0</v>
      </c>
      <c r="L10" s="33">
        <f>SUM(L3:L9)</f>
        <v>0</v>
      </c>
      <c r="M10" s="33">
        <f>SUM(M3:M9)</f>
        <v>0</v>
      </c>
      <c r="N10" s="33">
        <f>SUM(K10:M10)</f>
        <v>0</v>
      </c>
    </row>
    <row r="11" spans="1:14" x14ac:dyDescent="0.2">
      <c r="M11" t="s">
        <v>3408</v>
      </c>
      <c r="N11" s="33">
        <f>SUM(N10*2)</f>
        <v>0</v>
      </c>
    </row>
    <row r="12" spans="1:14" x14ac:dyDescent="0.2">
      <c r="A12" t="s">
        <v>3403</v>
      </c>
      <c r="B12">
        <v>2</v>
      </c>
      <c r="C12" s="127">
        <f>Data!G104</f>
        <v>0</v>
      </c>
      <c r="D12" s="127">
        <f>C12</f>
        <v>0</v>
      </c>
      <c r="E12" s="127">
        <f>C12</f>
        <v>0</v>
      </c>
    </row>
    <row r="13" spans="1:14" x14ac:dyDescent="0.2">
      <c r="B13">
        <v>3</v>
      </c>
      <c r="C13" s="127">
        <f>Data!G105</f>
        <v>0</v>
      </c>
      <c r="D13" s="127">
        <f>C13</f>
        <v>0</v>
      </c>
      <c r="E13" s="127">
        <f>C13</f>
        <v>0</v>
      </c>
    </row>
    <row r="14" spans="1:14" x14ac:dyDescent="0.2">
      <c r="B14" t="s">
        <v>3404</v>
      </c>
      <c r="C14" s="183">
        <f>Data!B105</f>
        <v>0</v>
      </c>
      <c r="D14" s="127">
        <f>C14</f>
        <v>0</v>
      </c>
      <c r="E14" s="127">
        <f>C14</f>
        <v>0</v>
      </c>
    </row>
    <row r="15" spans="1:14" x14ac:dyDescent="0.2">
      <c r="B15" t="s">
        <v>2925</v>
      </c>
      <c r="C15" s="127">
        <f>Data!B106</f>
        <v>0</v>
      </c>
      <c r="D15" s="127">
        <f>C15</f>
        <v>0</v>
      </c>
      <c r="E15" s="127">
        <f>C15</f>
        <v>0</v>
      </c>
    </row>
    <row r="16" spans="1:14" x14ac:dyDescent="0.2">
      <c r="B16" t="s">
        <v>2940</v>
      </c>
      <c r="C16" s="127">
        <f>Data!B107</f>
        <v>0</v>
      </c>
      <c r="D16" s="127">
        <f>C16</f>
        <v>0</v>
      </c>
      <c r="E16" s="127">
        <f>C16</f>
        <v>0</v>
      </c>
      <c r="G16" s="32"/>
      <c r="H16" s="32"/>
      <c r="I16" s="32"/>
    </row>
    <row r="17" spans="1:14" x14ac:dyDescent="0.2">
      <c r="G17" s="32"/>
      <c r="H17" s="32"/>
      <c r="I17" s="32"/>
    </row>
    <row r="18" spans="1:14" x14ac:dyDescent="0.2">
      <c r="G18" s="32" t="str">
        <f>IF(B3&lt;2.01,C12,"")&amp;IF(AND(B3&lt;4,B3&gt;2.99),C13,"")&amp;IF(AND(B3&lt;24,B3&gt;3.99),C14,"")</f>
        <v>0</v>
      </c>
      <c r="H18" s="32" t="str">
        <f t="shared" ref="H18:I18" si="7">IF(C3&lt;2.01,D12,"")&amp;IF(AND(C3&lt;4,C3&gt;2.99),D13,"")&amp;IF(AND(C3&lt;24,C3&gt;3.99),D14,"")</f>
        <v>0</v>
      </c>
      <c r="I18" s="32" t="str">
        <f t="shared" si="7"/>
        <v>0</v>
      </c>
      <c r="K18" s="127">
        <f>SUM(G18*B3)</f>
        <v>0</v>
      </c>
      <c r="L18" s="127">
        <f t="shared" ref="L18:M24" si="8">SUM(H18*C3)</f>
        <v>0</v>
      </c>
      <c r="M18" s="127">
        <f t="shared" si="8"/>
        <v>0</v>
      </c>
    </row>
    <row r="19" spans="1:14" x14ac:dyDescent="0.2">
      <c r="G19" s="32" t="str">
        <f>IF(B4&lt;2.01,C12,"")&amp;IF(AND(B4&lt;4,B4&gt;2.99),C13,"")&amp;IF(AND(B4&lt;24,B4&gt;3.99),C14,"")</f>
        <v>0</v>
      </c>
      <c r="H19" s="32" t="str">
        <f t="shared" ref="H19:I19" si="9">IF(C4&lt;2.01,D12,"")&amp;IF(AND(C4&lt;4,C4&gt;2.99),D13,"")&amp;IF(AND(C4&lt;24,C4&gt;3.99),D14,"")</f>
        <v>0</v>
      </c>
      <c r="I19" s="32" t="str">
        <f t="shared" si="9"/>
        <v>0</v>
      </c>
      <c r="K19" s="127">
        <f t="shared" ref="K19:K24" si="10">SUM(G19*B4)</f>
        <v>0</v>
      </c>
      <c r="L19" s="127">
        <f t="shared" si="8"/>
        <v>0</v>
      </c>
      <c r="M19" s="127">
        <f t="shared" si="8"/>
        <v>0</v>
      </c>
    </row>
    <row r="20" spans="1:14" x14ac:dyDescent="0.2">
      <c r="A20" t="s">
        <v>3409</v>
      </c>
      <c r="B20" s="158" t="str">
        <f>IF(OR(B3&lt;&gt;0,C3&lt;&gt;0,D3&lt;&gt;0),1,"")</f>
        <v/>
      </c>
      <c r="G20" s="32" t="str">
        <f>IF(B5&lt;2.01,C12,"")&amp;IF(AND(B5&lt;4,B5&gt;2.99),C13,"")&amp;IF(AND(B5&lt;24,B5&gt;3.99),C14,"")</f>
        <v>0</v>
      </c>
      <c r="H20" s="32" t="str">
        <f t="shared" ref="H20:I20" si="11">IF(C5&lt;2.01,D12,"")&amp;IF(AND(C5&lt;4,C5&gt;2.99),D13,"")&amp;IF(AND(C5&lt;24,C5&gt;3.99),D14,"")</f>
        <v>0</v>
      </c>
      <c r="I20" s="32" t="str">
        <f t="shared" si="11"/>
        <v>0</v>
      </c>
      <c r="K20" s="127">
        <f t="shared" si="10"/>
        <v>0</v>
      </c>
      <c r="L20" s="127">
        <f t="shared" si="8"/>
        <v>0</v>
      </c>
      <c r="M20" s="127">
        <f t="shared" si="8"/>
        <v>0</v>
      </c>
    </row>
    <row r="21" spans="1:14" x14ac:dyDescent="0.2">
      <c r="B21" s="158" t="str">
        <f t="shared" ref="B21:B26" si="12">IF(OR(B4&lt;&gt;0,C4&lt;&gt;0,D4&lt;&gt;0),1,"")</f>
        <v/>
      </c>
      <c r="G21" s="32" t="str">
        <f>IF(B6&lt;2.01,C12,"")&amp;IF(AND(B6&lt;4,B6&gt;2.99),C13,"")&amp;IF(AND(B6&lt;24,B6&gt;3.99),C14,"")</f>
        <v>0</v>
      </c>
      <c r="H21" s="32" t="str">
        <f t="shared" ref="H21:I21" si="13">IF(C6&lt;2.01,D12,"")&amp;IF(AND(C6&lt;4,C6&gt;2.99),D13,"")&amp;IF(AND(C6&lt;24,C6&gt;3.99),D14,"")</f>
        <v>0</v>
      </c>
      <c r="I21" s="32" t="str">
        <f t="shared" si="13"/>
        <v>0</v>
      </c>
      <c r="K21" s="127">
        <f t="shared" si="10"/>
        <v>0</v>
      </c>
      <c r="L21" s="127">
        <f t="shared" si="8"/>
        <v>0</v>
      </c>
      <c r="M21" s="127">
        <f t="shared" si="8"/>
        <v>0</v>
      </c>
    </row>
    <row r="22" spans="1:14" x14ac:dyDescent="0.2">
      <c r="B22" s="158" t="str">
        <f t="shared" si="12"/>
        <v/>
      </c>
      <c r="G22" s="32" t="str">
        <f>IF(B7&lt;2.01,C12,"")&amp;IF(AND(B7&lt;4,B7&gt;2.99),C13,"")&amp;IF(AND(B7&lt;24,B7&gt;3.99),C14,"")</f>
        <v>0</v>
      </c>
      <c r="H22" s="32" t="str">
        <f t="shared" ref="H22:I22" si="14">IF(C7&lt;2.01,D12,"")&amp;IF(AND(C7&lt;4,C7&gt;2.99),D13,"")&amp;IF(AND(C7&lt;24,C7&gt;3.99),D14,"")</f>
        <v>0</v>
      </c>
      <c r="I22" s="32" t="str">
        <f t="shared" si="14"/>
        <v>0</v>
      </c>
      <c r="K22" s="127">
        <f t="shared" si="10"/>
        <v>0</v>
      </c>
      <c r="L22" s="127">
        <f t="shared" si="8"/>
        <v>0</v>
      </c>
      <c r="M22" s="127">
        <f t="shared" si="8"/>
        <v>0</v>
      </c>
    </row>
    <row r="23" spans="1:14" x14ac:dyDescent="0.2">
      <c r="B23" s="158" t="str">
        <f t="shared" si="12"/>
        <v/>
      </c>
      <c r="G23" s="32" t="str">
        <f>IF(B8&lt;2.01,C12,"")&amp;IF(AND(B8&lt;4,B8&gt;2.99),C13,"")&amp;IF(AND(B8&lt;24,B8&gt;3.99),C14,"")</f>
        <v>0</v>
      </c>
      <c r="H23" s="32" t="str">
        <f t="shared" ref="H23:I23" si="15">IF(C8&lt;2.01,D12,"")&amp;IF(AND(C8&lt;4,C8&gt;2.99),D13,"")&amp;IF(AND(C8&lt;24,C8&gt;3.99),D14,"")</f>
        <v>0</v>
      </c>
      <c r="I23" s="32" t="str">
        <f t="shared" si="15"/>
        <v>0</v>
      </c>
      <c r="K23" s="127">
        <f t="shared" si="10"/>
        <v>0</v>
      </c>
      <c r="L23" s="127">
        <f t="shared" si="8"/>
        <v>0</v>
      </c>
      <c r="M23" s="127">
        <f t="shared" si="8"/>
        <v>0</v>
      </c>
    </row>
    <row r="24" spans="1:14" x14ac:dyDescent="0.2">
      <c r="B24" s="158" t="str">
        <f t="shared" si="12"/>
        <v/>
      </c>
      <c r="G24" s="32" t="str">
        <f>IF(B9&lt;2.01,C12,"")&amp;IF(AND(B9&lt;4,B9&gt;2.99),C13,"")&amp;IF(AND(B9&lt;24,B9&gt;3.99),C14,"")</f>
        <v>0</v>
      </c>
      <c r="H24" s="32" t="str">
        <f t="shared" ref="H24:I24" si="16">IF(C9&lt;2.01,D12,"")&amp;IF(AND(C9&lt;4,C9&gt;2.99),D13,"")&amp;IF(AND(C9&lt;24,C9&gt;3.99),D14,"")</f>
        <v>0</v>
      </c>
      <c r="I24" s="32" t="str">
        <f t="shared" si="16"/>
        <v>0</v>
      </c>
      <c r="K24" s="127">
        <f t="shared" si="10"/>
        <v>0</v>
      </c>
      <c r="L24" s="127">
        <f t="shared" si="8"/>
        <v>0</v>
      </c>
      <c r="M24" s="127">
        <f t="shared" si="8"/>
        <v>0</v>
      </c>
    </row>
    <row r="25" spans="1:14" x14ac:dyDescent="0.2">
      <c r="B25" s="158" t="str">
        <f t="shared" si="12"/>
        <v/>
      </c>
      <c r="K25" s="127">
        <f>SUM(K18:K24)</f>
        <v>0</v>
      </c>
      <c r="L25" s="127">
        <f>SUM(L18:L24)</f>
        <v>0</v>
      </c>
      <c r="M25" s="127">
        <f>SUM(M18:M24)</f>
        <v>0</v>
      </c>
      <c r="N25" s="127">
        <f>SUM(K25:M25)</f>
        <v>0</v>
      </c>
    </row>
    <row r="26" spans="1:14" x14ac:dyDescent="0.2">
      <c r="B26" s="158" t="str">
        <f t="shared" si="12"/>
        <v/>
      </c>
      <c r="M26" t="s">
        <v>3408</v>
      </c>
      <c r="N26" s="127">
        <f>SUM(N25*2)</f>
        <v>0</v>
      </c>
    </row>
    <row r="27" spans="1:14" x14ac:dyDescent="0.2">
      <c r="B27" s="32">
        <f>SUM(B20:B26)</f>
        <v>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84</vt:i4>
      </vt:variant>
      <vt:variant>
        <vt:lpstr>Named Ranges</vt:lpstr>
      </vt:variant>
      <vt:variant>
        <vt:i4>21</vt:i4>
      </vt:variant>
    </vt:vector>
  </HeadingPairs>
  <TitlesOfParts>
    <vt:vector size="105" baseType="lpstr">
      <vt:lpstr>Dashboard</vt:lpstr>
      <vt:lpstr>Data</vt:lpstr>
      <vt:lpstr>MedicationFull</vt:lpstr>
      <vt:lpstr>DxListFull</vt:lpstr>
      <vt:lpstr>VitalsHistory</vt:lpstr>
      <vt:lpstr>Signatures</vt:lpstr>
      <vt:lpstr>ClientPhysicians</vt:lpstr>
      <vt:lpstr>VisitDates</vt:lpstr>
      <vt:lpstr>EventHistory</vt:lpstr>
      <vt:lpstr>SV</vt:lpstr>
      <vt:lpstr>ppm.RnAssessment</vt:lpstr>
      <vt:lpstr>ppm.medprofile</vt:lpstr>
      <vt:lpstr>ppm.medprofilecont</vt:lpstr>
      <vt:lpstr>ppm.careplan1dual</vt:lpstr>
      <vt:lpstr>ppm.careplan1</vt:lpstr>
      <vt:lpstr>ppm.careplan2</vt:lpstr>
      <vt:lpstr>ppm.careplan3</vt:lpstr>
      <vt:lpstr>DiagnosisList</vt:lpstr>
      <vt:lpstr>DiagnosisListCont</vt:lpstr>
      <vt:lpstr>EmpEval</vt:lpstr>
      <vt:lpstr>ppm.srf</vt:lpstr>
      <vt:lpstr>ppm.vitals</vt:lpstr>
      <vt:lpstr>m.ConsentEmerg</vt:lpstr>
      <vt:lpstr>m.docuconf</vt:lpstr>
      <vt:lpstr>m.appendixL</vt:lpstr>
      <vt:lpstr>m.svcagreement</vt:lpstr>
      <vt:lpstr>m.svcagreementint</vt:lpstr>
      <vt:lpstr>pp.dualsvcagreement</vt:lpstr>
      <vt:lpstr>pp.svcagreementint</vt:lpstr>
      <vt:lpstr>m.costshare</vt:lpstr>
      <vt:lpstr>pp.docuconf</vt:lpstr>
      <vt:lpstr>ppm.supervision</vt:lpstr>
      <vt:lpstr>pp.svcagreement</vt:lpstr>
      <vt:lpstr>M.CostShareFinancial</vt:lpstr>
      <vt:lpstr>pp.dualfinancial</vt:lpstr>
      <vt:lpstr>pp.financial</vt:lpstr>
      <vt:lpstr>ppm.specific</vt:lpstr>
      <vt:lpstr>ppm.emergency</vt:lpstr>
      <vt:lpstr>ppm.clientinfo</vt:lpstr>
      <vt:lpstr>PCPDxNotice</vt:lpstr>
      <vt:lpstr>ClientDXNotice</vt:lpstr>
      <vt:lpstr>m.directives</vt:lpstr>
      <vt:lpstr>m.transportation</vt:lpstr>
      <vt:lpstr>m.rebroker</vt:lpstr>
      <vt:lpstr>pp.waivers</vt:lpstr>
      <vt:lpstr>pp.contacts</vt:lpstr>
      <vt:lpstr>ppm.SpecPhysicians</vt:lpstr>
      <vt:lpstr>ppm.complaints</vt:lpstr>
      <vt:lpstr>ppm.hipaa</vt:lpstr>
      <vt:lpstr>ppm.rights</vt:lpstr>
      <vt:lpstr>ppm.responsibilities</vt:lpstr>
      <vt:lpstr>ppm.servicepolicies</vt:lpstr>
      <vt:lpstr>ppm.discharge</vt:lpstr>
      <vt:lpstr>ppm.disaster</vt:lpstr>
      <vt:lpstr>m.admission</vt:lpstr>
      <vt:lpstr>LTC</vt:lpstr>
      <vt:lpstr>ppm.bignum</vt:lpstr>
      <vt:lpstr>ppm.bignumint</vt:lpstr>
      <vt:lpstr>TheGroup</vt:lpstr>
      <vt:lpstr>Template</vt:lpstr>
      <vt:lpstr>ProxyCarePlan</vt:lpstr>
      <vt:lpstr>InfConsentProxy</vt:lpstr>
      <vt:lpstr>SNFaxCover</vt:lpstr>
      <vt:lpstr>schtest</vt:lpstr>
      <vt:lpstr>Email</vt:lpstr>
      <vt:lpstr>CMOffice</vt:lpstr>
      <vt:lpstr>Pharmacy</vt:lpstr>
      <vt:lpstr>Values</vt:lpstr>
      <vt:lpstr>EventLog</vt:lpstr>
      <vt:lpstr>EventHidden</vt:lpstr>
      <vt:lpstr>EventIndPrint</vt:lpstr>
      <vt:lpstr>Macros</vt:lpstr>
      <vt:lpstr>Physicians</vt:lpstr>
      <vt:lpstr>Nurses</vt:lpstr>
      <vt:lpstr>FLCP</vt:lpstr>
      <vt:lpstr>ARCP</vt:lpstr>
      <vt:lpstr>SNSVCAgr</vt:lpstr>
      <vt:lpstr>SNCarePlan</vt:lpstr>
      <vt:lpstr>SNVisit</vt:lpstr>
      <vt:lpstr>AppHRN</vt:lpstr>
      <vt:lpstr>SnHistorical</vt:lpstr>
      <vt:lpstr>RNVisitFormHistorical</vt:lpstr>
      <vt:lpstr>Sheet1</vt:lpstr>
      <vt:lpstr>SCHDualMPP</vt:lpstr>
      <vt:lpstr>clientink</vt:lpstr>
      <vt:lpstr>eventink</vt:lpstr>
      <vt:lpstr>pastedpic1</vt:lpstr>
      <vt:lpstr>pastedpic10</vt:lpstr>
      <vt:lpstr>pastedpic11</vt:lpstr>
      <vt:lpstr>pastedpic12</vt:lpstr>
      <vt:lpstr>pastedpic13</vt:lpstr>
      <vt:lpstr>pastedpic14</vt:lpstr>
      <vt:lpstr>pastedpic15</vt:lpstr>
      <vt:lpstr>pastedpic2</vt:lpstr>
      <vt:lpstr>pastedpic3</vt:lpstr>
      <vt:lpstr>pastedpic4</vt:lpstr>
      <vt:lpstr>pastedpic5</vt:lpstr>
      <vt:lpstr>pastedpic6</vt:lpstr>
      <vt:lpstr>pastedpic7</vt:lpstr>
      <vt:lpstr>pastedpic8</vt:lpstr>
      <vt:lpstr>pastedpic9</vt:lpstr>
      <vt:lpstr>Data!TotalHours</vt:lpstr>
      <vt:lpstr>visitdates</vt:lpstr>
      <vt:lpstr>visittype</vt:lpstr>
      <vt:lpstr>vitalsclient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Suggestion</dc:creator>
  <cp:lastModifiedBy>Office PC</cp:lastModifiedBy>
  <cp:lastPrinted>2019-12-10T22:46:36Z</cp:lastPrinted>
  <dcterms:created xsi:type="dcterms:W3CDTF">2017-10-14T19:37:50Z</dcterms:created>
  <dcterms:modified xsi:type="dcterms:W3CDTF">2019-12-29T18:13:43Z</dcterms:modified>
</cp:coreProperties>
</file>