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8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ate1904="1"/>
  <mc:AlternateContent xmlns:mc="http://schemas.openxmlformats.org/markup-compatibility/2006">
    <mc:Choice Requires="x15">
      <x15ac:absPath xmlns:x15ac="http://schemas.microsoft.com/office/spreadsheetml/2010/11/ac" url="https://cf-my.sharepoint.com/personal/hornsbya_cardiff_ac_uk/Documents/UG Final Year Projects/Paola Piza 2024/"/>
    </mc:Choice>
  </mc:AlternateContent>
  <xr:revisionPtr revIDLastSave="4" documentId="8_{FB11AEE4-5D75-4BD5-A6C1-BB8A0C36F88D}" xr6:coauthVersionLast="47" xr6:coauthVersionMax="47" xr10:uidLastSave="{9A42BC72-58F0-4AE7-83A9-BAD7ECB00E26}"/>
  <bookViews>
    <workbookView xWindow="-120" yWindow="-120" windowWidth="38640" windowHeight="15720" tabRatio="769" firstSheet="7" activeTab="3" xr2:uid="{00000000-000D-0000-FFFF-FFFF00000000}"/>
  </bookViews>
  <sheets>
    <sheet name="Pre-FP Weights" sheetId="42" r:id="rId1"/>
    <sheet name="(WT) Growth Chart" sheetId="6" r:id="rId2"/>
    <sheet name="(HOM) Growth Chart" sheetId="45" r:id="rId3"/>
    <sheet name="(WT) Food intake" sheetId="46" r:id="rId4"/>
    <sheet name="(HOM) Food intake" sheetId="33" r:id="rId5"/>
    <sheet name="(WT) Data Summary" sheetId="44" r:id="rId6"/>
    <sheet name="(HOM) Data Summary" sheetId="48" r:id="rId7"/>
    <sheet name="Data Summary (Both)" sheetId="51" r:id="rId8"/>
    <sheet name="Cell Counts &amp; Behaviour Data" sheetId="50" r:id="rId9"/>
    <sheet name="BW Stats" sheetId="49" r:id="rId10"/>
    <sheet name="Cum. Caloric Intake Stats" sheetId="5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46" l="1"/>
  <c r="J93" i="46"/>
  <c r="S15" i="46"/>
  <c r="K95" i="46"/>
  <c r="BM15" i="51"/>
  <c r="AX24" i="51"/>
  <c r="AK33" i="51"/>
  <c r="AK38" i="51"/>
  <c r="Z42" i="51"/>
  <c r="BZ36" i="6"/>
  <c r="BZ35" i="6"/>
  <c r="BZ37" i="6"/>
  <c r="BZ67" i="6"/>
  <c r="BY67" i="6"/>
  <c r="BY37" i="6"/>
  <c r="BZ66" i="6"/>
  <c r="BZ65" i="6"/>
  <c r="BZ64" i="6"/>
  <c r="BZ68" i="6"/>
  <c r="Q39" i="51"/>
  <c r="Q50" i="50"/>
  <c r="BV76" i="51"/>
  <c r="BU76" i="51"/>
  <c r="BT76" i="51"/>
  <c r="BS76" i="51"/>
  <c r="BR76" i="51"/>
  <c r="BV75" i="51"/>
  <c r="BU75" i="51"/>
  <c r="BT75" i="51"/>
  <c r="BS75" i="51"/>
  <c r="BR75" i="51"/>
  <c r="BP76" i="51"/>
  <c r="BO76" i="51"/>
  <c r="BN76" i="51"/>
  <c r="BM76" i="51"/>
  <c r="BP75" i="51"/>
  <c r="BO75" i="51"/>
  <c r="BN75" i="51"/>
  <c r="BM75" i="51"/>
  <c r="BK75" i="51"/>
  <c r="BL75" i="51"/>
  <c r="BK76" i="51"/>
  <c r="BL76" i="51"/>
  <c r="BJ76" i="51"/>
  <c r="BI76" i="51"/>
  <c r="BH76" i="51"/>
  <c r="BJ75" i="51"/>
  <c r="BI75" i="51"/>
  <c r="BH75" i="51"/>
  <c r="BF76" i="51"/>
  <c r="BE76" i="51"/>
  <c r="BD76" i="51"/>
  <c r="BF75" i="51"/>
  <c r="BF77" i="51"/>
  <c r="BE75" i="51"/>
  <c r="BE77" i="51"/>
  <c r="BD75" i="51"/>
  <c r="BC76" i="51"/>
  <c r="BB76" i="51"/>
  <c r="BA76" i="51"/>
  <c r="BC75" i="51"/>
  <c r="BB75" i="51"/>
  <c r="BA75" i="51"/>
  <c r="BA77" i="51"/>
  <c r="AW76" i="51"/>
  <c r="AW75" i="51"/>
  <c r="AP76" i="51"/>
  <c r="AP75" i="51"/>
  <c r="AM76" i="51"/>
  <c r="AM75" i="51"/>
  <c r="AJ76" i="51"/>
  <c r="AJ75" i="51"/>
  <c r="AS76" i="51"/>
  <c r="AS75" i="51"/>
  <c r="AI76" i="51"/>
  <c r="AI75" i="51"/>
  <c r="V76" i="51"/>
  <c r="V75" i="51"/>
  <c r="U76" i="51"/>
  <c r="U75" i="51"/>
  <c r="T76" i="51"/>
  <c r="T75" i="51"/>
  <c r="S76" i="51"/>
  <c r="S75" i="51"/>
  <c r="R76" i="51"/>
  <c r="R75" i="51"/>
  <c r="Q76" i="51"/>
  <c r="Q75" i="51"/>
  <c r="P76" i="51"/>
  <c r="P75" i="51"/>
  <c r="O76" i="51"/>
  <c r="O75" i="51"/>
  <c r="N76" i="51"/>
  <c r="N75" i="51"/>
  <c r="AG76" i="51"/>
  <c r="AG75" i="51"/>
  <c r="AE76" i="51"/>
  <c r="AE75" i="51"/>
  <c r="AC76" i="51"/>
  <c r="AC75" i="51"/>
  <c r="AA76" i="51"/>
  <c r="AA75" i="51"/>
  <c r="Y76" i="51"/>
  <c r="Y75" i="51"/>
  <c r="W76" i="51"/>
  <c r="W75" i="51"/>
  <c r="M76" i="51"/>
  <c r="L76" i="51"/>
  <c r="M75" i="51"/>
  <c r="L75" i="51"/>
  <c r="J76" i="51"/>
  <c r="J75" i="51"/>
  <c r="H76" i="51"/>
  <c r="H75" i="51"/>
  <c r="I73" i="51"/>
  <c r="G76" i="51"/>
  <c r="G75" i="51"/>
  <c r="BV63" i="51"/>
  <c r="BU63" i="51"/>
  <c r="BT63" i="51"/>
  <c r="BS63" i="51"/>
  <c r="BR63" i="51"/>
  <c r="BV62" i="51"/>
  <c r="BU62" i="51"/>
  <c r="BT62" i="51"/>
  <c r="BS62" i="51"/>
  <c r="BR62" i="51"/>
  <c r="BP63" i="51"/>
  <c r="BO63" i="51"/>
  <c r="BN63" i="51"/>
  <c r="BM63" i="51"/>
  <c r="BP62" i="51"/>
  <c r="BO62" i="51"/>
  <c r="BN62" i="51"/>
  <c r="BM62" i="51"/>
  <c r="BK62" i="51"/>
  <c r="BL62" i="51"/>
  <c r="BK63" i="51"/>
  <c r="BL63" i="51"/>
  <c r="BJ63" i="51"/>
  <c r="BI63" i="51"/>
  <c r="BH63" i="51"/>
  <c r="BJ62" i="51"/>
  <c r="BI62" i="51"/>
  <c r="BH62" i="51"/>
  <c r="BF63" i="51"/>
  <c r="BE63" i="51"/>
  <c r="BD63" i="51"/>
  <c r="BF62" i="51"/>
  <c r="BF64" i="51"/>
  <c r="BE62" i="51"/>
  <c r="BE64" i="51"/>
  <c r="BD62" i="51"/>
  <c r="BC63" i="51"/>
  <c r="BB63" i="51"/>
  <c r="BA63" i="51"/>
  <c r="BC62" i="51"/>
  <c r="BB62" i="51"/>
  <c r="BB64" i="51"/>
  <c r="BA62" i="51"/>
  <c r="BA64" i="51"/>
  <c r="AW63" i="51"/>
  <c r="AW62" i="51"/>
  <c r="AP63" i="51"/>
  <c r="AP62" i="51"/>
  <c r="AM63" i="51"/>
  <c r="AM62" i="51"/>
  <c r="AJ63" i="51"/>
  <c r="AJ62" i="51"/>
  <c r="N63" i="51"/>
  <c r="M62" i="51"/>
  <c r="M63" i="51"/>
  <c r="N62" i="51"/>
  <c r="V63" i="51"/>
  <c r="V62" i="51"/>
  <c r="U63" i="51"/>
  <c r="U62" i="51"/>
  <c r="T63" i="51"/>
  <c r="T62" i="51"/>
  <c r="S63" i="51"/>
  <c r="S62" i="51"/>
  <c r="R63" i="51"/>
  <c r="R62" i="51"/>
  <c r="Q63" i="51"/>
  <c r="Q62" i="51"/>
  <c r="P63" i="51"/>
  <c r="O63" i="51"/>
  <c r="P62" i="51"/>
  <c r="O62" i="51"/>
  <c r="AG63" i="51"/>
  <c r="AG62" i="51"/>
  <c r="AE63" i="51"/>
  <c r="AE62" i="51"/>
  <c r="AC63" i="51"/>
  <c r="AC62" i="51"/>
  <c r="AA63" i="51"/>
  <c r="AA62" i="51"/>
  <c r="Y63" i="51"/>
  <c r="Y62" i="51"/>
  <c r="W63" i="51"/>
  <c r="W62" i="51"/>
  <c r="L63" i="51"/>
  <c r="L62" i="51"/>
  <c r="J63" i="51"/>
  <c r="J62" i="51"/>
  <c r="H63" i="51"/>
  <c r="H62" i="51"/>
  <c r="G63" i="51"/>
  <c r="G62" i="51"/>
  <c r="BV40" i="51"/>
  <c r="BU40" i="51"/>
  <c r="BT40" i="51"/>
  <c r="BS40" i="51"/>
  <c r="BR40" i="51"/>
  <c r="BV39" i="51"/>
  <c r="BU39" i="51"/>
  <c r="BT39" i="51"/>
  <c r="BS39" i="51"/>
  <c r="BR39" i="51"/>
  <c r="BP40" i="51"/>
  <c r="BO40" i="51"/>
  <c r="BN40" i="51"/>
  <c r="BM40" i="51"/>
  <c r="BP39" i="51"/>
  <c r="BO39" i="51"/>
  <c r="BN39" i="51"/>
  <c r="BM39" i="51"/>
  <c r="BK39" i="51"/>
  <c r="BL39" i="51"/>
  <c r="BK40" i="51"/>
  <c r="BL40" i="51"/>
  <c r="BJ40" i="51"/>
  <c r="BI40" i="51"/>
  <c r="BH40" i="51"/>
  <c r="BJ39" i="51"/>
  <c r="BI39" i="51"/>
  <c r="BH39" i="51"/>
  <c r="BF40" i="51"/>
  <c r="BE40" i="51"/>
  <c r="BD40" i="51"/>
  <c r="BF39" i="51"/>
  <c r="BF41" i="51"/>
  <c r="BE39" i="51"/>
  <c r="BE41" i="51"/>
  <c r="BD39" i="51"/>
  <c r="BC40" i="51"/>
  <c r="BB40" i="51"/>
  <c r="BA40" i="51"/>
  <c r="BC39" i="51"/>
  <c r="BB39" i="51"/>
  <c r="BB41" i="51"/>
  <c r="BA39" i="51"/>
  <c r="BA41" i="51"/>
  <c r="AW40" i="51"/>
  <c r="AW39" i="51"/>
  <c r="AP40" i="51"/>
  <c r="AP39" i="51"/>
  <c r="AM40" i="51"/>
  <c r="AM39" i="51"/>
  <c r="AJ40" i="51"/>
  <c r="AJ39" i="51"/>
  <c r="AS40" i="51"/>
  <c r="AS39" i="51"/>
  <c r="AS41" i="51"/>
  <c r="AI40" i="51"/>
  <c r="AI39" i="51"/>
  <c r="AI41" i="51"/>
  <c r="V40" i="51"/>
  <c r="V39" i="51"/>
  <c r="U40" i="51"/>
  <c r="U39" i="51"/>
  <c r="T40" i="51"/>
  <c r="T39" i="51"/>
  <c r="S40" i="51"/>
  <c r="S39" i="51"/>
  <c r="R40" i="51"/>
  <c r="R39" i="51"/>
  <c r="Q40" i="51"/>
  <c r="P40" i="51"/>
  <c r="P39" i="51"/>
  <c r="O40" i="51"/>
  <c r="O39" i="51"/>
  <c r="N40" i="51"/>
  <c r="N39" i="51"/>
  <c r="AG40" i="51"/>
  <c r="AG39" i="51"/>
  <c r="AE40" i="51"/>
  <c r="AE39" i="51"/>
  <c r="AC40" i="51"/>
  <c r="AC39" i="51"/>
  <c r="AA40" i="51"/>
  <c r="AA39" i="51"/>
  <c r="Y40" i="51"/>
  <c r="Y39" i="51"/>
  <c r="W40" i="51"/>
  <c r="W39" i="51"/>
  <c r="M40" i="51"/>
  <c r="L40" i="51"/>
  <c r="M39" i="51"/>
  <c r="L39" i="51"/>
  <c r="J40" i="51"/>
  <c r="J39" i="51"/>
  <c r="G40" i="51"/>
  <c r="G39" i="51"/>
  <c r="H40" i="51"/>
  <c r="H39" i="51"/>
  <c r="BV27" i="51"/>
  <c r="BU27" i="51"/>
  <c r="BT27" i="51"/>
  <c r="BS27" i="51"/>
  <c r="BR27" i="51"/>
  <c r="BV26" i="51"/>
  <c r="BU26" i="51"/>
  <c r="BT26" i="51"/>
  <c r="BS26" i="51"/>
  <c r="BR26" i="51"/>
  <c r="BP27" i="51"/>
  <c r="BO27" i="51"/>
  <c r="BN27" i="51"/>
  <c r="BM27" i="51"/>
  <c r="BP26" i="51"/>
  <c r="BO26" i="51"/>
  <c r="BN26" i="51"/>
  <c r="BM26" i="51"/>
  <c r="BJ26" i="51"/>
  <c r="BJ28" i="51" s="1"/>
  <c r="BK26" i="51"/>
  <c r="BL26" i="51"/>
  <c r="BJ27" i="51"/>
  <c r="BK27" i="51"/>
  <c r="BL27" i="51"/>
  <c r="BI27" i="51"/>
  <c r="BI26" i="51"/>
  <c r="BH27" i="51"/>
  <c r="BH26" i="51"/>
  <c r="BF27" i="51"/>
  <c r="BE27" i="51"/>
  <c r="BD27" i="51"/>
  <c r="BF26" i="51"/>
  <c r="BF28" i="51"/>
  <c r="BE26" i="51"/>
  <c r="BE28" i="51"/>
  <c r="BD26" i="51"/>
  <c r="BD28" i="51"/>
  <c r="BC27" i="51"/>
  <c r="BB27" i="51"/>
  <c r="BA27" i="51"/>
  <c r="BC26" i="51"/>
  <c r="BC28" i="51"/>
  <c r="BB26" i="51"/>
  <c r="BA26" i="51"/>
  <c r="BA28" i="51"/>
  <c r="AS27" i="51"/>
  <c r="AS26" i="51"/>
  <c r="AS28" i="51"/>
  <c r="AW27" i="51"/>
  <c r="AW26" i="51"/>
  <c r="AP27" i="51"/>
  <c r="AP26" i="51"/>
  <c r="AM27" i="51"/>
  <c r="AM26" i="51"/>
  <c r="AJ27" i="51"/>
  <c r="AJ26" i="51"/>
  <c r="AI27" i="51"/>
  <c r="AI26" i="51"/>
  <c r="AI28" i="51"/>
  <c r="AG27" i="51"/>
  <c r="AG26" i="51"/>
  <c r="AE27" i="51"/>
  <c r="AE26" i="51"/>
  <c r="AC27" i="51"/>
  <c r="AC26" i="51"/>
  <c r="AA27" i="51"/>
  <c r="AA26" i="51"/>
  <c r="Y27" i="51"/>
  <c r="Y26" i="51"/>
  <c r="W27" i="51"/>
  <c r="W26" i="51"/>
  <c r="V27" i="51"/>
  <c r="V26" i="51"/>
  <c r="U27" i="51"/>
  <c r="U26" i="51"/>
  <c r="T27" i="51"/>
  <c r="T26" i="51"/>
  <c r="S27" i="51"/>
  <c r="S26" i="51"/>
  <c r="R27" i="51"/>
  <c r="R26" i="51"/>
  <c r="Q27" i="51"/>
  <c r="Q26" i="51"/>
  <c r="P27" i="51"/>
  <c r="O27" i="51"/>
  <c r="P26" i="51"/>
  <c r="O26" i="51"/>
  <c r="N27" i="51"/>
  <c r="N26" i="51"/>
  <c r="M27" i="51"/>
  <c r="L27" i="51"/>
  <c r="M26" i="51"/>
  <c r="L26" i="51"/>
  <c r="J27" i="51"/>
  <c r="J26" i="51"/>
  <c r="G27" i="51"/>
  <c r="G26" i="51"/>
  <c r="H27" i="51"/>
  <c r="H26" i="51"/>
  <c r="AY74" i="51"/>
  <c r="AX74" i="51"/>
  <c r="AT74" i="51"/>
  <c r="AV74" i="51"/>
  <c r="AR74" i="51"/>
  <c r="AQ74" i="51"/>
  <c r="AO74" i="51"/>
  <c r="AN74" i="51"/>
  <c r="AL74" i="51"/>
  <c r="AK74" i="51"/>
  <c r="AH74" i="51"/>
  <c r="AF74" i="51"/>
  <c r="AD74" i="51"/>
  <c r="AB74" i="51"/>
  <c r="Z74" i="51"/>
  <c r="X74" i="51"/>
  <c r="K74" i="51"/>
  <c r="AY73" i="51"/>
  <c r="AX73" i="51"/>
  <c r="AT73" i="51"/>
  <c r="AV73" i="51"/>
  <c r="AR73" i="51"/>
  <c r="AQ73" i="51"/>
  <c r="AO73" i="51"/>
  <c r="AN73" i="51"/>
  <c r="AL73" i="51"/>
  <c r="AK73" i="51"/>
  <c r="AH73" i="51"/>
  <c r="AF73" i="51"/>
  <c r="AD73" i="51"/>
  <c r="AB73" i="51"/>
  <c r="Z73" i="51"/>
  <c r="X73" i="51"/>
  <c r="K73" i="51"/>
  <c r="AY61" i="51"/>
  <c r="AX61" i="51"/>
  <c r="AT61" i="51"/>
  <c r="AV61" i="51"/>
  <c r="AR61" i="51"/>
  <c r="AQ61" i="51"/>
  <c r="AO61" i="51"/>
  <c r="AN61" i="51"/>
  <c r="AL61" i="51"/>
  <c r="AK61" i="51"/>
  <c r="AH61" i="51"/>
  <c r="AF61" i="51"/>
  <c r="AD61" i="51"/>
  <c r="AB61" i="51"/>
  <c r="Z61" i="51"/>
  <c r="X61" i="51"/>
  <c r="K61" i="51"/>
  <c r="AY50" i="51"/>
  <c r="AX50" i="51"/>
  <c r="AT50" i="51"/>
  <c r="AU50" i="51"/>
  <c r="AR50" i="51"/>
  <c r="AQ50" i="51"/>
  <c r="AO50" i="51"/>
  <c r="AN50" i="51"/>
  <c r="AL50" i="51"/>
  <c r="AK50" i="51"/>
  <c r="AH50" i="51"/>
  <c r="AF50" i="51"/>
  <c r="AD50" i="51"/>
  <c r="AB50" i="51"/>
  <c r="Z50" i="51"/>
  <c r="X50" i="51"/>
  <c r="K50" i="51"/>
  <c r="AY38" i="51"/>
  <c r="AX38" i="51"/>
  <c r="AT38" i="51"/>
  <c r="AV38" i="51"/>
  <c r="AR38" i="51"/>
  <c r="AQ38" i="51"/>
  <c r="AO38" i="51"/>
  <c r="AN38" i="51"/>
  <c r="AL38" i="51"/>
  <c r="AH38" i="51"/>
  <c r="AF38" i="51"/>
  <c r="AD38" i="51"/>
  <c r="AB38" i="51"/>
  <c r="Z38" i="51"/>
  <c r="X38" i="51"/>
  <c r="K38" i="51"/>
  <c r="AY37" i="51"/>
  <c r="AX37" i="51"/>
  <c r="AT37" i="51"/>
  <c r="AU37" i="51"/>
  <c r="AR37" i="51"/>
  <c r="AQ37" i="51"/>
  <c r="AO37" i="51"/>
  <c r="AN37" i="51"/>
  <c r="AL37" i="51"/>
  <c r="AK37" i="51"/>
  <c r="AH37" i="51"/>
  <c r="AF37" i="51"/>
  <c r="AD37" i="51"/>
  <c r="AB37" i="51"/>
  <c r="Z37" i="51"/>
  <c r="X37" i="51"/>
  <c r="K37" i="51"/>
  <c r="AY25" i="51"/>
  <c r="AX25" i="51"/>
  <c r="AT25" i="51"/>
  <c r="AV25" i="51"/>
  <c r="AR25" i="51"/>
  <c r="AQ25" i="51"/>
  <c r="AO25" i="51"/>
  <c r="AN25" i="51"/>
  <c r="AL25" i="51"/>
  <c r="AK25" i="51"/>
  <c r="AH25" i="51"/>
  <c r="AF25" i="51"/>
  <c r="AD25" i="51"/>
  <c r="AB25" i="51"/>
  <c r="Z25" i="51"/>
  <c r="X25" i="51"/>
  <c r="K25" i="51"/>
  <c r="AY24" i="51"/>
  <c r="AT24" i="51"/>
  <c r="AV24" i="51"/>
  <c r="AR24" i="51"/>
  <c r="AQ24" i="51"/>
  <c r="AO24" i="51"/>
  <c r="AN24" i="51"/>
  <c r="AL24" i="51"/>
  <c r="AK24" i="51"/>
  <c r="AH24" i="51"/>
  <c r="AF24" i="51"/>
  <c r="AD24" i="51"/>
  <c r="AB24" i="51"/>
  <c r="Z24" i="51"/>
  <c r="X24" i="51"/>
  <c r="K24" i="51"/>
  <c r="AY13" i="51"/>
  <c r="AX13" i="51"/>
  <c r="AT13" i="51"/>
  <c r="AV13" i="51"/>
  <c r="AR13" i="51"/>
  <c r="AQ13" i="51"/>
  <c r="AO13" i="51"/>
  <c r="AN13" i="51"/>
  <c r="AL13" i="51"/>
  <c r="AK13" i="51"/>
  <c r="AH13" i="51"/>
  <c r="AF13" i="51"/>
  <c r="AD13" i="51"/>
  <c r="AB13" i="51"/>
  <c r="Z13" i="51"/>
  <c r="X13" i="51"/>
  <c r="K13" i="51"/>
  <c r="AY12" i="51"/>
  <c r="AX12" i="51"/>
  <c r="AR12" i="51"/>
  <c r="AQ12" i="51"/>
  <c r="AM12" i="51"/>
  <c r="AO12" i="51"/>
  <c r="AL12" i="51"/>
  <c r="AK12" i="51"/>
  <c r="AH12" i="51"/>
  <c r="AF12" i="51"/>
  <c r="AD12" i="51"/>
  <c r="AB12" i="51"/>
  <c r="Z12" i="51"/>
  <c r="K12" i="51"/>
  <c r="AY11" i="51"/>
  <c r="AX11" i="51"/>
  <c r="AT11" i="51"/>
  <c r="AV11" i="51"/>
  <c r="AR11" i="51"/>
  <c r="AQ11" i="51"/>
  <c r="AO11" i="51"/>
  <c r="AN11" i="51"/>
  <c r="AL11" i="51"/>
  <c r="AK11" i="51"/>
  <c r="AH11" i="51"/>
  <c r="AF11" i="51"/>
  <c r="AD11" i="51"/>
  <c r="AB11" i="51"/>
  <c r="Z11" i="51"/>
  <c r="X11" i="51"/>
  <c r="K11" i="51"/>
  <c r="G14" i="51"/>
  <c r="H14" i="51"/>
  <c r="J14" i="51"/>
  <c r="L14" i="51"/>
  <c r="M14" i="51"/>
  <c r="N14" i="51"/>
  <c r="O14" i="51"/>
  <c r="P14" i="51"/>
  <c r="Q14" i="51"/>
  <c r="R14" i="51"/>
  <c r="S14" i="51"/>
  <c r="T14" i="51"/>
  <c r="U14" i="51"/>
  <c r="V14" i="51"/>
  <c r="W14" i="51"/>
  <c r="Y14" i="51"/>
  <c r="AA14" i="51"/>
  <c r="AC14" i="51"/>
  <c r="AE14" i="51"/>
  <c r="AG14" i="51"/>
  <c r="AI14" i="51"/>
  <c r="AJ14" i="51"/>
  <c r="AP14" i="51"/>
  <c r="AS14" i="51"/>
  <c r="AW14" i="51"/>
  <c r="BA14" i="51"/>
  <c r="BB14" i="51"/>
  <c r="BC14" i="51"/>
  <c r="BD14" i="51"/>
  <c r="BE14" i="51"/>
  <c r="BF14" i="51"/>
  <c r="BH14" i="51"/>
  <c r="BI14" i="51"/>
  <c r="BJ14" i="51"/>
  <c r="BK14" i="51"/>
  <c r="BL14" i="51"/>
  <c r="BM14" i="51"/>
  <c r="BN14" i="51"/>
  <c r="BO14" i="51"/>
  <c r="BP14" i="51"/>
  <c r="BR14" i="51"/>
  <c r="BS14" i="51"/>
  <c r="BT14" i="51"/>
  <c r="BU14" i="51"/>
  <c r="BV14" i="51"/>
  <c r="AX36" i="48"/>
  <c r="AY36" i="48"/>
  <c r="AX35" i="48"/>
  <c r="AY35" i="48"/>
  <c r="AQ36" i="48"/>
  <c r="AR36" i="48"/>
  <c r="AR38" i="48"/>
  <c r="AT36" i="48"/>
  <c r="AU36" i="48"/>
  <c r="AV36" i="48"/>
  <c r="AQ35" i="48"/>
  <c r="AR35" i="48"/>
  <c r="AT35" i="48"/>
  <c r="AU35" i="48"/>
  <c r="AU38" i="48"/>
  <c r="AV35" i="48"/>
  <c r="AV38" i="48"/>
  <c r="AN36" i="48"/>
  <c r="AO36" i="48"/>
  <c r="AN35" i="48"/>
  <c r="AO35" i="48"/>
  <c r="AK36" i="48"/>
  <c r="AL36" i="48"/>
  <c r="AK35" i="48"/>
  <c r="AL35" i="48"/>
  <c r="AH36" i="48"/>
  <c r="AH37" i="48"/>
  <c r="AH35" i="48"/>
  <c r="AF36" i="48"/>
  <c r="AF35" i="48"/>
  <c r="AF38" i="48"/>
  <c r="AD36" i="48"/>
  <c r="AD35" i="48"/>
  <c r="AB36" i="48"/>
  <c r="AB37" i="48"/>
  <c r="AB35" i="48"/>
  <c r="Z36" i="48"/>
  <c r="Z35" i="48"/>
  <c r="X36" i="48"/>
  <c r="X35" i="48"/>
  <c r="K35" i="48"/>
  <c r="K36" i="48"/>
  <c r="K38" i="48"/>
  <c r="I36" i="48"/>
  <c r="I35" i="48"/>
  <c r="AS38" i="48"/>
  <c r="AS37" i="48"/>
  <c r="BF38" i="48"/>
  <c r="BE38" i="48"/>
  <c r="BD38" i="48"/>
  <c r="BF37" i="48"/>
  <c r="BE37" i="48"/>
  <c r="BD37" i="48"/>
  <c r="BC38" i="48"/>
  <c r="BB38" i="48"/>
  <c r="BA38" i="48"/>
  <c r="BC37" i="48"/>
  <c r="BB37" i="48"/>
  <c r="BA37" i="48"/>
  <c r="AX38" i="48"/>
  <c r="AW38" i="48"/>
  <c r="AX37" i="48"/>
  <c r="AW37" i="48"/>
  <c r="AT38" i="48"/>
  <c r="AV37" i="48"/>
  <c r="AU37" i="48"/>
  <c r="AT37" i="48"/>
  <c r="AQ38" i="48"/>
  <c r="AP38" i="48"/>
  <c r="AR37" i="48"/>
  <c r="AQ37" i="48"/>
  <c r="AP37" i="48"/>
  <c r="AO38" i="48"/>
  <c r="AN38" i="48"/>
  <c r="AM38" i="48"/>
  <c r="AO37" i="48"/>
  <c r="AN37" i="48"/>
  <c r="AM37" i="48"/>
  <c r="AI38" i="48"/>
  <c r="AI37" i="48"/>
  <c r="AK38" i="48"/>
  <c r="AJ38" i="48"/>
  <c r="AK37" i="48"/>
  <c r="AJ37" i="48"/>
  <c r="AH38" i="48"/>
  <c r="AG38" i="48"/>
  <c r="AG37" i="48"/>
  <c r="AE38" i="48"/>
  <c r="AE37" i="48"/>
  <c r="AD38" i="48"/>
  <c r="AC38" i="48"/>
  <c r="AD37" i="48"/>
  <c r="AC37" i="48"/>
  <c r="AB38" i="48"/>
  <c r="AA38" i="48"/>
  <c r="AA37" i="48"/>
  <c r="Z38" i="48"/>
  <c r="Y38" i="48"/>
  <c r="Z37" i="48"/>
  <c r="Y37" i="48"/>
  <c r="X38" i="48"/>
  <c r="W38" i="48"/>
  <c r="X37" i="48"/>
  <c r="W37" i="48"/>
  <c r="V38" i="48"/>
  <c r="V37" i="48"/>
  <c r="U38" i="48"/>
  <c r="U37" i="48"/>
  <c r="T38" i="48"/>
  <c r="T37" i="48"/>
  <c r="S38" i="48"/>
  <c r="S37" i="48"/>
  <c r="R38" i="48"/>
  <c r="R37" i="48"/>
  <c r="Q38" i="48"/>
  <c r="Q37" i="48"/>
  <c r="N38" i="48"/>
  <c r="N37" i="48"/>
  <c r="P38" i="48"/>
  <c r="O38" i="48"/>
  <c r="P37" i="48"/>
  <c r="O37" i="48"/>
  <c r="M38" i="48"/>
  <c r="L38" i="48"/>
  <c r="M37" i="48"/>
  <c r="L37" i="48"/>
  <c r="J38" i="48"/>
  <c r="K37" i="48"/>
  <c r="J37" i="48"/>
  <c r="G38" i="48"/>
  <c r="G37" i="48"/>
  <c r="H38" i="48"/>
  <c r="H37" i="48"/>
  <c r="BF25" i="48"/>
  <c r="BE25" i="48"/>
  <c r="BD25" i="48"/>
  <c r="BF24" i="48"/>
  <c r="BE24" i="48"/>
  <c r="BD24" i="48"/>
  <c r="BC25" i="48"/>
  <c r="BB25" i="48"/>
  <c r="BA25" i="48"/>
  <c r="BC24" i="48"/>
  <c r="BB24" i="48"/>
  <c r="BA24" i="48"/>
  <c r="AS25" i="48"/>
  <c r="AS24" i="48"/>
  <c r="AY25" i="48"/>
  <c r="AX25" i="48"/>
  <c r="AW25" i="48"/>
  <c r="AY24" i="48"/>
  <c r="AX24" i="48"/>
  <c r="AW24" i="48"/>
  <c r="AV25" i="48"/>
  <c r="AU25" i="48"/>
  <c r="AT25" i="48"/>
  <c r="AV24" i="48"/>
  <c r="AU24" i="48"/>
  <c r="AT24" i="48"/>
  <c r="AR25" i="48"/>
  <c r="AQ25" i="48"/>
  <c r="AP25" i="48"/>
  <c r="AR24" i="48"/>
  <c r="AQ24" i="48"/>
  <c r="AP24" i="48"/>
  <c r="AO25" i="48"/>
  <c r="AN25" i="48"/>
  <c r="AM25" i="48"/>
  <c r="AO24" i="48"/>
  <c r="AN24" i="48"/>
  <c r="AM24" i="48"/>
  <c r="AL25" i="48"/>
  <c r="AK25" i="48"/>
  <c r="AL24" i="48"/>
  <c r="AK24" i="48"/>
  <c r="AJ25" i="48"/>
  <c r="AJ24" i="48"/>
  <c r="AI25" i="48"/>
  <c r="AI24" i="48"/>
  <c r="AH25" i="48"/>
  <c r="AG25" i="48"/>
  <c r="AH24" i="48"/>
  <c r="AG24" i="48"/>
  <c r="AF25" i="48"/>
  <c r="AE25" i="48"/>
  <c r="AF24" i="48"/>
  <c r="AE24" i="48"/>
  <c r="AD25" i="48"/>
  <c r="AC25" i="48"/>
  <c r="AD24" i="48"/>
  <c r="AC24" i="48"/>
  <c r="AB25" i="48"/>
  <c r="AA25" i="48"/>
  <c r="AB24" i="48"/>
  <c r="AA24" i="48"/>
  <c r="Z25" i="48"/>
  <c r="Y25" i="48"/>
  <c r="Z24" i="48"/>
  <c r="Y24" i="48"/>
  <c r="W25" i="48"/>
  <c r="W24" i="48"/>
  <c r="V25" i="48"/>
  <c r="V24" i="48"/>
  <c r="U25" i="48"/>
  <c r="U24" i="48"/>
  <c r="T25" i="48"/>
  <c r="T24" i="48"/>
  <c r="S25" i="48"/>
  <c r="S24" i="48"/>
  <c r="R25" i="48"/>
  <c r="R24" i="48"/>
  <c r="Q25" i="48"/>
  <c r="Q24" i="48"/>
  <c r="P25" i="48"/>
  <c r="P24" i="48"/>
  <c r="O25" i="48"/>
  <c r="O24" i="48"/>
  <c r="N25" i="48"/>
  <c r="N24" i="48"/>
  <c r="M25" i="48"/>
  <c r="L25" i="48"/>
  <c r="M24" i="48"/>
  <c r="L24" i="48"/>
  <c r="K25" i="48"/>
  <c r="J25" i="48"/>
  <c r="K24" i="48"/>
  <c r="J24" i="48"/>
  <c r="I25" i="48"/>
  <c r="H24" i="48"/>
  <c r="H25" i="48"/>
  <c r="AX23" i="48"/>
  <c r="AY23" i="48"/>
  <c r="AQ23" i="48"/>
  <c r="AR23" i="48"/>
  <c r="AT23" i="48"/>
  <c r="AN23" i="48"/>
  <c r="AO23" i="48"/>
  <c r="AK23" i="48"/>
  <c r="AL23" i="48"/>
  <c r="AH23" i="48"/>
  <c r="AF23" i="48"/>
  <c r="AD23" i="48"/>
  <c r="AB23" i="48"/>
  <c r="Z23" i="48"/>
  <c r="X23" i="48"/>
  <c r="X25" i="48"/>
  <c r="G24" i="48"/>
  <c r="K23" i="48"/>
  <c r="AX12" i="48"/>
  <c r="AY12" i="48"/>
  <c r="AQ12" i="48"/>
  <c r="AR12" i="48"/>
  <c r="AT12" i="48"/>
  <c r="AU12" i="48"/>
  <c r="AN12" i="48"/>
  <c r="AO12" i="48"/>
  <c r="AK12" i="48"/>
  <c r="AL12" i="48"/>
  <c r="AH12" i="48"/>
  <c r="AF12" i="48"/>
  <c r="AD12" i="48"/>
  <c r="AB12" i="48"/>
  <c r="Z12" i="48"/>
  <c r="X12" i="48"/>
  <c r="K12" i="48"/>
  <c r="AY24" i="44"/>
  <c r="AY25" i="44"/>
  <c r="AV24" i="44"/>
  <c r="AV25" i="44"/>
  <c r="AY11" i="44"/>
  <c r="AY12" i="44"/>
  <c r="AY13" i="44"/>
  <c r="AV11" i="44"/>
  <c r="AV12" i="44"/>
  <c r="AV13" i="44"/>
  <c r="AL11" i="44"/>
  <c r="AL12" i="44"/>
  <c r="AL13" i="44"/>
  <c r="AN12" i="44"/>
  <c r="AN13" i="44"/>
  <c r="AO11" i="44"/>
  <c r="AO12" i="44"/>
  <c r="AO13" i="44"/>
  <c r="AR11" i="44"/>
  <c r="AR12" i="44"/>
  <c r="AR13" i="44"/>
  <c r="AR24" i="44"/>
  <c r="AR25" i="44"/>
  <c r="AO24" i="44"/>
  <c r="AO25" i="44"/>
  <c r="AL24" i="44"/>
  <c r="AL25" i="44"/>
  <c r="AX38" i="44"/>
  <c r="AY38" i="44"/>
  <c r="AX37" i="44"/>
  <c r="AY37" i="44"/>
  <c r="AQ38" i="44"/>
  <c r="AR38" i="44"/>
  <c r="AT38" i="44"/>
  <c r="AU38" i="44"/>
  <c r="AQ37" i="44"/>
  <c r="AR37" i="44"/>
  <c r="AT37" i="44"/>
  <c r="AU37" i="44"/>
  <c r="AV37" i="44"/>
  <c r="AN38" i="44"/>
  <c r="AO38" i="44"/>
  <c r="AN37" i="44"/>
  <c r="AO37" i="44"/>
  <c r="AK38" i="44"/>
  <c r="AL38" i="44"/>
  <c r="AK37" i="44"/>
  <c r="AL37" i="44"/>
  <c r="AH38" i="44"/>
  <c r="AH37" i="44"/>
  <c r="AF38" i="44"/>
  <c r="AF37" i="44"/>
  <c r="AD38" i="44"/>
  <c r="AD37" i="44"/>
  <c r="AB38" i="44"/>
  <c r="AB37" i="44"/>
  <c r="Z38" i="44"/>
  <c r="Z37" i="44"/>
  <c r="X38" i="44"/>
  <c r="X37" i="44"/>
  <c r="K37" i="44"/>
  <c r="K38" i="44"/>
  <c r="AX25" i="44"/>
  <c r="AX24" i="44"/>
  <c r="AQ25" i="44"/>
  <c r="AT25" i="44"/>
  <c r="AU25" i="44"/>
  <c r="AQ24" i="44"/>
  <c r="AT24" i="44"/>
  <c r="AU24" i="44"/>
  <c r="AN25" i="44"/>
  <c r="AN24" i="44"/>
  <c r="AK25" i="44"/>
  <c r="AK24" i="44"/>
  <c r="AH25" i="44"/>
  <c r="AH24" i="44"/>
  <c r="AF25" i="44"/>
  <c r="AF24" i="44"/>
  <c r="AD25" i="44"/>
  <c r="AD24" i="44"/>
  <c r="AB25" i="44"/>
  <c r="AB24" i="44"/>
  <c r="Z25" i="44"/>
  <c r="Z24" i="44"/>
  <c r="X25" i="44"/>
  <c r="X24" i="44"/>
  <c r="K24" i="44"/>
  <c r="K25" i="44"/>
  <c r="AX13" i="44"/>
  <c r="AX12" i="44"/>
  <c r="AX11" i="44"/>
  <c r="AU12" i="44"/>
  <c r="AU13" i="44"/>
  <c r="AT12" i="44"/>
  <c r="AT13" i="44"/>
  <c r="AQ13" i="44"/>
  <c r="AQ12" i="44"/>
  <c r="AQ11" i="44"/>
  <c r="AT11" i="44"/>
  <c r="AU11" i="44"/>
  <c r="AM12" i="44"/>
  <c r="AN11" i="44"/>
  <c r="AK13" i="44"/>
  <c r="AK12" i="44"/>
  <c r="AK11" i="44"/>
  <c r="AH13" i="44"/>
  <c r="AH12" i="44"/>
  <c r="AH11" i="44"/>
  <c r="AF13" i="44"/>
  <c r="AF12" i="44"/>
  <c r="AF11" i="44"/>
  <c r="AD13" i="44"/>
  <c r="AD12" i="44"/>
  <c r="AD11" i="44"/>
  <c r="AB13" i="44"/>
  <c r="AB12" i="44"/>
  <c r="AB11" i="44"/>
  <c r="Z13" i="44"/>
  <c r="Z12" i="44"/>
  <c r="Z11" i="44"/>
  <c r="X13" i="44"/>
  <c r="X11" i="44"/>
  <c r="K11" i="44"/>
  <c r="K12" i="44"/>
  <c r="K13" i="44"/>
  <c r="DY40" i="33"/>
  <c r="DY39" i="33"/>
  <c r="DY26" i="33"/>
  <c r="DY12" i="33"/>
  <c r="DY40" i="46"/>
  <c r="DY39" i="46"/>
  <c r="DY26" i="46"/>
  <c r="DY25" i="46"/>
  <c r="DY13" i="46"/>
  <c r="DY12" i="46"/>
  <c r="DY11" i="46"/>
  <c r="G26" i="44"/>
  <c r="G28" i="44"/>
  <c r="G14" i="44"/>
  <c r="BR38" i="45"/>
  <c r="BR39" i="45"/>
  <c r="BR26" i="45"/>
  <c r="BR12" i="45"/>
  <c r="BR39" i="6"/>
  <c r="BR40" i="6"/>
  <c r="BR25" i="6"/>
  <c r="BR26" i="6"/>
  <c r="BR11" i="6"/>
  <c r="BR12" i="6"/>
  <c r="BR13" i="6"/>
  <c r="DS40" i="33"/>
  <c r="DS39" i="33"/>
  <c r="DS38" i="33"/>
  <c r="DS26" i="33"/>
  <c r="DS12" i="33"/>
  <c r="DS11" i="33"/>
  <c r="DS39" i="46"/>
  <c r="DS40" i="46"/>
  <c r="DS25" i="46"/>
  <c r="DS26" i="46"/>
  <c r="DS11" i="46"/>
  <c r="DS12" i="46"/>
  <c r="DS13" i="46"/>
  <c r="BO38" i="45"/>
  <c r="BO39" i="45"/>
  <c r="BO26" i="45"/>
  <c r="BO12" i="45"/>
  <c r="BO39" i="6"/>
  <c r="BO40" i="6"/>
  <c r="BO25" i="6"/>
  <c r="BO26" i="6"/>
  <c r="BO11" i="6"/>
  <c r="BO12" i="6"/>
  <c r="BO13" i="6"/>
  <c r="DM40" i="33"/>
  <c r="DM39" i="33"/>
  <c r="DM26" i="33"/>
  <c r="DM12" i="33"/>
  <c r="DM39" i="46"/>
  <c r="DM40" i="46"/>
  <c r="DM25" i="46"/>
  <c r="DM26" i="46"/>
  <c r="DM11" i="46"/>
  <c r="DM12" i="46"/>
  <c r="DM13" i="46"/>
  <c r="BL38" i="45"/>
  <c r="BL39" i="45"/>
  <c r="BL26" i="45"/>
  <c r="BL12" i="45"/>
  <c r="BL39" i="6"/>
  <c r="BL40" i="6"/>
  <c r="BL25" i="6"/>
  <c r="BL26" i="6"/>
  <c r="BL11" i="6"/>
  <c r="BL12" i="6"/>
  <c r="BL13" i="6"/>
  <c r="DG40" i="33"/>
  <c r="DG39" i="33"/>
  <c r="DA40" i="33"/>
  <c r="DA39" i="33"/>
  <c r="DA38" i="33"/>
  <c r="DG26" i="33"/>
  <c r="DG12" i="33"/>
  <c r="DG39" i="46"/>
  <c r="DG40" i="46"/>
  <c r="DG25" i="46"/>
  <c r="DG26" i="46"/>
  <c r="DG11" i="46"/>
  <c r="DG12" i="46"/>
  <c r="DG13" i="46"/>
  <c r="BI38" i="45"/>
  <c r="BI39" i="45"/>
  <c r="BI26" i="45"/>
  <c r="BI12" i="45"/>
  <c r="BF39" i="45"/>
  <c r="K37" i="6"/>
  <c r="M37" i="6"/>
  <c r="P37" i="6"/>
  <c r="S37" i="6"/>
  <c r="V37" i="6"/>
  <c r="Y37" i="6"/>
  <c r="AB37" i="6"/>
  <c r="AE37" i="6"/>
  <c r="AH37" i="6"/>
  <c r="AK37" i="6"/>
  <c r="AN37" i="6"/>
  <c r="AQ37" i="6"/>
  <c r="AT37" i="6"/>
  <c r="AW37" i="6"/>
  <c r="AZ37" i="6"/>
  <c r="BC37" i="6"/>
  <c r="BF37" i="6"/>
  <c r="BI37" i="6"/>
  <c r="BL37" i="6"/>
  <c r="BO37" i="6"/>
  <c r="BR37" i="6"/>
  <c r="BI39" i="6"/>
  <c r="BI40" i="6"/>
  <c r="BI25" i="6"/>
  <c r="BI26" i="6"/>
  <c r="BI11" i="6"/>
  <c r="BI12" i="6"/>
  <c r="BI13" i="6"/>
  <c r="DA26" i="33"/>
  <c r="DA12" i="33"/>
  <c r="DA40" i="46"/>
  <c r="DA39" i="46"/>
  <c r="DA26" i="46"/>
  <c r="DA25" i="46"/>
  <c r="DA13" i="46"/>
  <c r="DA12" i="46"/>
  <c r="DA11" i="46"/>
  <c r="BF38" i="45"/>
  <c r="BF26" i="45"/>
  <c r="BF12" i="45"/>
  <c r="BF40" i="6"/>
  <c r="BF39" i="6"/>
  <c r="BF26" i="6"/>
  <c r="BF25" i="6"/>
  <c r="BF13" i="6"/>
  <c r="BF12" i="6"/>
  <c r="BF11" i="6"/>
  <c r="CB43" i="33"/>
  <c r="CB42" i="33"/>
  <c r="CU39" i="33"/>
  <c r="CU40" i="33"/>
  <c r="CU25" i="33"/>
  <c r="CU26" i="33"/>
  <c r="CU12" i="33"/>
  <c r="CU39" i="46"/>
  <c r="CU40" i="46"/>
  <c r="CU25" i="46"/>
  <c r="CU26" i="46"/>
  <c r="CU11" i="46"/>
  <c r="CU12" i="46"/>
  <c r="CU13" i="46"/>
  <c r="BC38" i="45"/>
  <c r="BC39" i="45"/>
  <c r="BC26" i="45"/>
  <c r="BC12" i="45"/>
  <c r="BC39" i="6"/>
  <c r="BC40" i="6"/>
  <c r="BC25" i="6"/>
  <c r="BC26" i="6"/>
  <c r="BC11" i="6"/>
  <c r="BC12" i="6"/>
  <c r="BC13" i="6"/>
  <c r="CO39" i="33"/>
  <c r="CO40" i="33"/>
  <c r="CO26" i="33"/>
  <c r="CO12" i="33"/>
  <c r="CO39" i="46"/>
  <c r="CO40" i="46"/>
  <c r="CO25" i="46"/>
  <c r="CO26" i="46"/>
  <c r="CO11" i="46"/>
  <c r="CO12" i="46"/>
  <c r="CO13" i="46"/>
  <c r="AZ38" i="45"/>
  <c r="AZ39" i="45"/>
  <c r="AZ26" i="45"/>
  <c r="AZ12" i="45"/>
  <c r="AZ39" i="6"/>
  <c r="AZ40" i="6"/>
  <c r="AZ25" i="6"/>
  <c r="AZ26" i="6"/>
  <c r="AZ11" i="6"/>
  <c r="AZ12" i="6"/>
  <c r="AZ13" i="6"/>
  <c r="CI40" i="33"/>
  <c r="CI39" i="33"/>
  <c r="CI26" i="33"/>
  <c r="CI12" i="33"/>
  <c r="CI39" i="46"/>
  <c r="CI40" i="46"/>
  <c r="CI25" i="46"/>
  <c r="CI26" i="46"/>
  <c r="CI11" i="46"/>
  <c r="CI12" i="46"/>
  <c r="CI13" i="46"/>
  <c r="AW38" i="45"/>
  <c r="AW39" i="45"/>
  <c r="AW26" i="45"/>
  <c r="AW12" i="45"/>
  <c r="AW39" i="6"/>
  <c r="AW40" i="6"/>
  <c r="AW25" i="6"/>
  <c r="AW26" i="6"/>
  <c r="AW11" i="6"/>
  <c r="AW12" i="6"/>
  <c r="AW13" i="6"/>
  <c r="CA40" i="33"/>
  <c r="CC40" i="33"/>
  <c r="CA39" i="33"/>
  <c r="CA26" i="33"/>
  <c r="CC26" i="33"/>
  <c r="CA12" i="33"/>
  <c r="CA40" i="46"/>
  <c r="CC40" i="46"/>
  <c r="CA39" i="46"/>
  <c r="CA25" i="46"/>
  <c r="CC25" i="46"/>
  <c r="CA26" i="46"/>
  <c r="CC26" i="46"/>
  <c r="CA11" i="46"/>
  <c r="CA12" i="46"/>
  <c r="CA13" i="46"/>
  <c r="CC39" i="46"/>
  <c r="CC11" i="46"/>
  <c r="CC12" i="46"/>
  <c r="CC13" i="46"/>
  <c r="AT38" i="45"/>
  <c r="AT39" i="45"/>
  <c r="AT26" i="45"/>
  <c r="AT12" i="45"/>
  <c r="AT39" i="6"/>
  <c r="AT40" i="6"/>
  <c r="AT25" i="6"/>
  <c r="AT26" i="6"/>
  <c r="AT11" i="6"/>
  <c r="AT12" i="6"/>
  <c r="AT13" i="6"/>
  <c r="BU40" i="33"/>
  <c r="BU39" i="33"/>
  <c r="BU26" i="33"/>
  <c r="BU12" i="33"/>
  <c r="BU39" i="46"/>
  <c r="BU40" i="46"/>
  <c r="BU25" i="46"/>
  <c r="BU26" i="46"/>
  <c r="BU11" i="46"/>
  <c r="BU12" i="46"/>
  <c r="BU13" i="46"/>
  <c r="AQ38" i="45"/>
  <c r="AQ39" i="45"/>
  <c r="AQ26" i="45"/>
  <c r="AQ12" i="45"/>
  <c r="AQ39" i="6"/>
  <c r="AQ40" i="6"/>
  <c r="AQ25" i="6"/>
  <c r="AQ26" i="6"/>
  <c r="AQ11" i="6"/>
  <c r="AQ12" i="6"/>
  <c r="AQ13" i="6"/>
  <c r="BI40" i="33"/>
  <c r="BI39" i="33"/>
  <c r="BO26" i="33"/>
  <c r="BO25" i="33"/>
  <c r="BO40" i="33"/>
  <c r="BO39" i="33"/>
  <c r="BO12" i="33"/>
  <c r="BO39" i="46"/>
  <c r="BO40" i="46"/>
  <c r="BO25" i="46"/>
  <c r="BO26" i="46"/>
  <c r="BI39" i="46"/>
  <c r="BI40" i="46"/>
  <c r="BI11" i="46"/>
  <c r="BI12" i="46"/>
  <c r="BI13" i="46"/>
  <c r="BO11" i="46"/>
  <c r="BO12" i="46"/>
  <c r="BO13" i="46"/>
  <c r="AN38" i="45"/>
  <c r="AN39" i="45"/>
  <c r="AN26" i="45"/>
  <c r="AN12" i="45"/>
  <c r="AN39" i="6"/>
  <c r="AN40" i="6"/>
  <c r="AN25" i="6"/>
  <c r="AN26" i="6"/>
  <c r="AN11" i="6"/>
  <c r="AN12" i="6"/>
  <c r="AN13" i="6"/>
  <c r="BI26" i="33"/>
  <c r="BI12" i="33"/>
  <c r="N86" i="46"/>
  <c r="N87" i="46"/>
  <c r="BI26" i="46"/>
  <c r="BI25" i="46"/>
  <c r="AK39" i="45"/>
  <c r="AK38" i="45"/>
  <c r="AK26" i="45"/>
  <c r="AK12" i="45"/>
  <c r="AK40" i="6"/>
  <c r="AK39" i="6"/>
  <c r="AK26" i="6"/>
  <c r="AK25" i="6"/>
  <c r="AK13" i="6"/>
  <c r="AK12" i="6"/>
  <c r="AK11" i="6"/>
  <c r="BC40" i="33"/>
  <c r="BC39" i="33"/>
  <c r="BC26" i="33"/>
  <c r="BC12" i="33"/>
  <c r="BC39" i="46"/>
  <c r="BC40" i="46"/>
  <c r="BC25" i="46"/>
  <c r="BC26" i="46"/>
  <c r="BC11" i="46"/>
  <c r="BC12" i="46"/>
  <c r="BC13" i="46"/>
  <c r="AH38" i="45"/>
  <c r="AH39" i="45"/>
  <c r="AH26" i="45"/>
  <c r="AH12" i="45"/>
  <c r="AH39" i="6"/>
  <c r="AH40" i="6"/>
  <c r="AH25" i="6"/>
  <c r="AH26" i="6"/>
  <c r="AH11" i="6"/>
  <c r="AH12" i="6"/>
  <c r="AH13" i="6"/>
  <c r="AW39" i="33"/>
  <c r="AW40" i="33"/>
  <c r="AW26" i="33"/>
  <c r="AW12" i="33"/>
  <c r="AW12" i="46"/>
  <c r="AW25" i="46"/>
  <c r="AW39" i="46"/>
  <c r="AW40" i="46"/>
  <c r="AW26" i="46"/>
  <c r="AW11" i="46"/>
  <c r="AW13" i="46"/>
  <c r="AE38" i="45"/>
  <c r="AE39" i="45"/>
  <c r="AE26" i="45"/>
  <c r="AE12" i="45"/>
  <c r="AE39" i="6"/>
  <c r="AE40" i="6"/>
  <c r="AE25" i="6"/>
  <c r="AE26" i="6"/>
  <c r="AE11" i="6"/>
  <c r="AE12" i="6"/>
  <c r="AE13" i="6"/>
  <c r="AQ39" i="33"/>
  <c r="AQ40" i="33"/>
  <c r="AQ26" i="33"/>
  <c r="AQ12" i="33"/>
  <c r="AE39" i="46"/>
  <c r="AQ39" i="46"/>
  <c r="AQ40" i="46"/>
  <c r="AQ25" i="46"/>
  <c r="AQ26" i="46"/>
  <c r="AQ11" i="46"/>
  <c r="AQ12" i="46"/>
  <c r="AQ13" i="46"/>
  <c r="AB38" i="45"/>
  <c r="AB39" i="45"/>
  <c r="AB26" i="45"/>
  <c r="AB12" i="45"/>
  <c r="AB39" i="6"/>
  <c r="AB40" i="6"/>
  <c r="AB25" i="6"/>
  <c r="AB26" i="6"/>
  <c r="AB11" i="6"/>
  <c r="AB12" i="6"/>
  <c r="AB13" i="6"/>
  <c r="AA43" i="6"/>
  <c r="G66" i="6"/>
  <c r="AK40" i="33"/>
  <c r="AQ38" i="33"/>
  <c r="AK38" i="33"/>
  <c r="AE38" i="33"/>
  <c r="AK39" i="33"/>
  <c r="AK12" i="33"/>
  <c r="AK39" i="46"/>
  <c r="AK40" i="46"/>
  <c r="AK25" i="46"/>
  <c r="AK26" i="46"/>
  <c r="AK11" i="46"/>
  <c r="AK12" i="46"/>
  <c r="AK13" i="46"/>
  <c r="X43" i="6"/>
  <c r="G65" i="6"/>
  <c r="X42" i="6"/>
  <c r="X29" i="6"/>
  <c r="X28" i="6"/>
  <c r="D65" i="6"/>
  <c r="X16" i="6"/>
  <c r="C65" i="6"/>
  <c r="X15" i="6"/>
  <c r="B65" i="6"/>
  <c r="BQ42" i="45"/>
  <c r="BQ41" i="45"/>
  <c r="F78" i="45"/>
  <c r="BN42" i="45"/>
  <c r="BN41" i="45"/>
  <c r="BK42" i="45"/>
  <c r="BK41" i="45"/>
  <c r="BH42" i="45"/>
  <c r="BH41" i="45"/>
  <c r="BE42" i="45"/>
  <c r="BE41" i="45"/>
  <c r="BB42" i="45"/>
  <c r="BB41" i="45"/>
  <c r="AY42" i="45"/>
  <c r="AY41" i="45"/>
  <c r="AV42" i="45"/>
  <c r="AV41" i="45"/>
  <c r="AS42" i="45"/>
  <c r="AS41" i="45"/>
  <c r="F70" i="45"/>
  <c r="AP42" i="45"/>
  <c r="AP41" i="45"/>
  <c r="AM42" i="45"/>
  <c r="AM41" i="45"/>
  <c r="AJ42" i="45"/>
  <c r="G67" i="45"/>
  <c r="AJ41" i="45"/>
  <c r="AG42" i="45"/>
  <c r="AG41" i="45"/>
  <c r="F66" i="45"/>
  <c r="AD42" i="45"/>
  <c r="AD41" i="45"/>
  <c r="AA42" i="45"/>
  <c r="AA41" i="45"/>
  <c r="X42" i="45"/>
  <c r="X41" i="45"/>
  <c r="U42" i="45"/>
  <c r="U41" i="45"/>
  <c r="F62" i="45"/>
  <c r="R42" i="45"/>
  <c r="R41" i="45"/>
  <c r="O42" i="45"/>
  <c r="O41" i="45"/>
  <c r="F60" i="45"/>
  <c r="L42" i="45"/>
  <c r="L41" i="45"/>
  <c r="J41" i="45"/>
  <c r="H41" i="45"/>
  <c r="I50" i="45"/>
  <c r="Y38" i="45"/>
  <c r="Y39" i="45"/>
  <c r="Y26" i="45"/>
  <c r="Y12" i="45"/>
  <c r="Y39" i="6"/>
  <c r="Y40" i="6"/>
  <c r="Y25" i="6"/>
  <c r="Y26" i="6"/>
  <c r="Y11" i="6"/>
  <c r="Y12" i="6"/>
  <c r="Y13" i="6"/>
  <c r="K50" i="45"/>
  <c r="M50" i="45"/>
  <c r="P50" i="45"/>
  <c r="S50" i="45"/>
  <c r="V50" i="45"/>
  <c r="Y50" i="45"/>
  <c r="AB50" i="45"/>
  <c r="AE50" i="45"/>
  <c r="AH50" i="45"/>
  <c r="AK50" i="45"/>
  <c r="AN50" i="45"/>
  <c r="AQ50" i="45"/>
  <c r="AT50" i="45"/>
  <c r="AW50" i="45"/>
  <c r="AZ50" i="45"/>
  <c r="BC50" i="45"/>
  <c r="BF50" i="45"/>
  <c r="BI50" i="45"/>
  <c r="BL50" i="45"/>
  <c r="BO50" i="45"/>
  <c r="BR50" i="45"/>
  <c r="AE12" i="33"/>
  <c r="AE40" i="46"/>
  <c r="AE25" i="46"/>
  <c r="AE26" i="46"/>
  <c r="AE11" i="46"/>
  <c r="AE12" i="46"/>
  <c r="AE13" i="46"/>
  <c r="V38" i="45"/>
  <c r="V39" i="45"/>
  <c r="V26" i="45"/>
  <c r="V12" i="45"/>
  <c r="V39" i="6"/>
  <c r="V40" i="6"/>
  <c r="V25" i="6"/>
  <c r="V26" i="6"/>
  <c r="V11" i="6"/>
  <c r="V12" i="6"/>
  <c r="V13" i="6"/>
  <c r="K20" i="45"/>
  <c r="M20" i="45"/>
  <c r="P20" i="45"/>
  <c r="S20" i="45"/>
  <c r="V20" i="45"/>
  <c r="Y20" i="45"/>
  <c r="AB20" i="45"/>
  <c r="AE20" i="45"/>
  <c r="AH20" i="45"/>
  <c r="AK20" i="45"/>
  <c r="AN20" i="45"/>
  <c r="AQ20" i="45"/>
  <c r="AT20" i="45"/>
  <c r="AW20" i="45"/>
  <c r="AZ20" i="45"/>
  <c r="BC20" i="45"/>
  <c r="BC29" i="45"/>
  <c r="U73" i="45"/>
  <c r="BF20" i="45"/>
  <c r="BI20" i="45"/>
  <c r="BL20" i="45"/>
  <c r="BO20" i="45"/>
  <c r="BO28" i="45"/>
  <c r="T77" i="45"/>
  <c r="BR20" i="45"/>
  <c r="K11" i="45"/>
  <c r="M11" i="45"/>
  <c r="N11" i="45"/>
  <c r="Q11" i="45"/>
  <c r="T11" i="45"/>
  <c r="W11" i="45"/>
  <c r="P11" i="45"/>
  <c r="S11" i="45"/>
  <c r="V11" i="45"/>
  <c r="Y11" i="45"/>
  <c r="AB11" i="45"/>
  <c r="AE11" i="45"/>
  <c r="AH11" i="45"/>
  <c r="AK11" i="45"/>
  <c r="AN11" i="45"/>
  <c r="AQ11" i="45"/>
  <c r="AT11" i="45"/>
  <c r="AW11" i="45"/>
  <c r="AZ11" i="45"/>
  <c r="BC11" i="45"/>
  <c r="BF11" i="45"/>
  <c r="BI11" i="45"/>
  <c r="BL11" i="45"/>
  <c r="BO11" i="45"/>
  <c r="BR11" i="45"/>
  <c r="S40" i="6"/>
  <c r="Y12" i="33"/>
  <c r="Y39" i="46"/>
  <c r="Y40" i="46"/>
  <c r="Y25" i="46"/>
  <c r="Y26" i="46"/>
  <c r="Y11" i="46"/>
  <c r="Y12" i="46"/>
  <c r="Y13" i="46"/>
  <c r="S38" i="45"/>
  <c r="S39" i="45"/>
  <c r="S26" i="45"/>
  <c r="S12" i="45"/>
  <c r="S39" i="6"/>
  <c r="S25" i="6"/>
  <c r="S26" i="6"/>
  <c r="S11" i="6"/>
  <c r="S12" i="6"/>
  <c r="S13" i="6"/>
  <c r="S39" i="33"/>
  <c r="S12" i="33"/>
  <c r="S40" i="46"/>
  <c r="S39" i="46"/>
  <c r="S26" i="46"/>
  <c r="S25" i="46"/>
  <c r="S13" i="46"/>
  <c r="S12" i="46"/>
  <c r="S11" i="46"/>
  <c r="P39" i="45"/>
  <c r="P38" i="45"/>
  <c r="P26" i="45"/>
  <c r="P12" i="45"/>
  <c r="P40" i="6"/>
  <c r="P39" i="6"/>
  <c r="P26" i="6"/>
  <c r="P25" i="6"/>
  <c r="P13" i="6"/>
  <c r="P12" i="6"/>
  <c r="P11" i="6"/>
  <c r="M40" i="33"/>
  <c r="N26" i="33"/>
  <c r="T26" i="33"/>
  <c r="Z26" i="33"/>
  <c r="AF26" i="33"/>
  <c r="AL26" i="33"/>
  <c r="AR26" i="33"/>
  <c r="AX26" i="33"/>
  <c r="BD26" i="33"/>
  <c r="M12" i="33"/>
  <c r="M39" i="46"/>
  <c r="M40" i="46"/>
  <c r="M25" i="46"/>
  <c r="M26" i="46"/>
  <c r="M11" i="46"/>
  <c r="M12" i="46"/>
  <c r="M13" i="46"/>
  <c r="M39" i="6"/>
  <c r="M40" i="6"/>
  <c r="M25" i="6"/>
  <c r="M26" i="6"/>
  <c r="M11" i="6"/>
  <c r="M12" i="6"/>
  <c r="M13" i="6"/>
  <c r="M38" i="45"/>
  <c r="M39" i="45"/>
  <c r="M26" i="45"/>
  <c r="M12" i="45"/>
  <c r="I40" i="33"/>
  <c r="I39" i="33"/>
  <c r="N39" i="33"/>
  <c r="T39" i="33"/>
  <c r="I12" i="33"/>
  <c r="I40" i="46"/>
  <c r="N40" i="46"/>
  <c r="T40" i="46"/>
  <c r="Z40" i="46"/>
  <c r="I39" i="46"/>
  <c r="I26" i="46"/>
  <c r="I25" i="46"/>
  <c r="I13" i="46"/>
  <c r="I12" i="46"/>
  <c r="I11" i="46"/>
  <c r="K39" i="45"/>
  <c r="N39" i="45"/>
  <c r="K38" i="45"/>
  <c r="N38" i="45"/>
  <c r="K26" i="45"/>
  <c r="K12" i="45"/>
  <c r="K40" i="6"/>
  <c r="K39" i="6"/>
  <c r="K26" i="6"/>
  <c r="K25" i="6"/>
  <c r="K13" i="6"/>
  <c r="K12" i="6"/>
  <c r="N12" i="6"/>
  <c r="K11" i="6"/>
  <c r="AQ21" i="51"/>
  <c r="AT4" i="44"/>
  <c r="AV4" i="44"/>
  <c r="M4" i="46"/>
  <c r="F65" i="46"/>
  <c r="F66" i="46"/>
  <c r="AL4" i="51"/>
  <c r="AF67" i="51"/>
  <c r="AF68" i="51"/>
  <c r="AF69" i="51"/>
  <c r="AF70" i="51"/>
  <c r="AF71" i="51"/>
  <c r="AF72" i="51"/>
  <c r="AF66" i="51"/>
  <c r="AF56" i="51"/>
  <c r="AF57" i="51"/>
  <c r="AF58" i="51"/>
  <c r="AF59" i="51"/>
  <c r="AF60" i="51"/>
  <c r="AF55" i="51"/>
  <c r="AF54" i="51"/>
  <c r="AF43" i="51"/>
  <c r="AF44" i="51"/>
  <c r="AF45" i="51"/>
  <c r="AF46" i="51"/>
  <c r="AF47" i="51"/>
  <c r="AF48" i="51"/>
  <c r="AF49" i="51"/>
  <c r="AF42" i="51"/>
  <c r="BY66" i="6"/>
  <c r="BY65" i="6"/>
  <c r="BY64" i="6"/>
  <c r="BY36" i="6"/>
  <c r="BY35" i="6"/>
  <c r="AY29" i="48"/>
  <c r="AY30" i="48"/>
  <c r="AY31" i="48"/>
  <c r="AY32" i="48"/>
  <c r="AY33" i="48"/>
  <c r="AY34" i="48"/>
  <c r="AY28" i="48"/>
  <c r="AY17" i="48"/>
  <c r="AY18" i="48"/>
  <c r="AY19" i="48"/>
  <c r="AY20" i="48"/>
  <c r="AY21" i="48"/>
  <c r="AY22" i="48"/>
  <c r="AY16" i="48"/>
  <c r="AY5" i="48"/>
  <c r="AY6" i="48"/>
  <c r="AY7" i="48"/>
  <c r="AY8" i="48"/>
  <c r="AY9" i="48"/>
  <c r="AY10" i="48"/>
  <c r="AY11" i="48"/>
  <c r="AY4" i="48"/>
  <c r="AY67" i="51"/>
  <c r="AY68" i="51"/>
  <c r="AY69" i="51"/>
  <c r="AY70" i="51"/>
  <c r="AY71" i="51"/>
  <c r="AY72" i="51"/>
  <c r="AY55" i="51"/>
  <c r="AY56" i="51"/>
  <c r="AY57" i="51"/>
  <c r="AY58" i="51"/>
  <c r="AY59" i="51"/>
  <c r="AY60" i="51"/>
  <c r="AY66" i="51"/>
  <c r="AY54" i="51"/>
  <c r="AY43" i="51"/>
  <c r="AY44" i="51"/>
  <c r="AY45" i="51"/>
  <c r="AY46" i="51"/>
  <c r="AY47" i="51"/>
  <c r="AY48" i="51"/>
  <c r="AY49" i="51"/>
  <c r="AY42" i="51"/>
  <c r="AY5" i="51"/>
  <c r="AY4" i="51"/>
  <c r="BZ70" i="51"/>
  <c r="BZ69" i="51"/>
  <c r="BZ68" i="51"/>
  <c r="BZ67" i="51"/>
  <c r="BY69" i="51"/>
  <c r="BY68" i="51"/>
  <c r="BY67" i="51"/>
  <c r="BD77" i="51"/>
  <c r="BC77" i="51"/>
  <c r="BB77" i="51"/>
  <c r="AS77" i="51"/>
  <c r="AI77" i="51"/>
  <c r="I66" i="51"/>
  <c r="I72" i="51"/>
  <c r="AX72" i="51"/>
  <c r="AT72" i="51"/>
  <c r="AV72" i="51"/>
  <c r="AR72" i="51"/>
  <c r="AQ72" i="51"/>
  <c r="AO72" i="51"/>
  <c r="AN72" i="51"/>
  <c r="AL72" i="51"/>
  <c r="AK72" i="51"/>
  <c r="AH72" i="51"/>
  <c r="AD72" i="51"/>
  <c r="AB72" i="51"/>
  <c r="Z72" i="51"/>
  <c r="X72" i="51"/>
  <c r="K72" i="51"/>
  <c r="AX71" i="51"/>
  <c r="AT71" i="51"/>
  <c r="AV71" i="51"/>
  <c r="AR71" i="51"/>
  <c r="AQ71" i="51"/>
  <c r="AO71" i="51"/>
  <c r="AN71" i="51"/>
  <c r="AL71" i="51"/>
  <c r="AK71" i="51"/>
  <c r="AH71" i="51"/>
  <c r="AD71" i="51"/>
  <c r="AB71" i="51"/>
  <c r="Z71" i="51"/>
  <c r="X71" i="51"/>
  <c r="K71" i="51"/>
  <c r="AX70" i="51"/>
  <c r="AT70" i="51"/>
  <c r="AR70" i="51"/>
  <c r="AQ70" i="51"/>
  <c r="AO70" i="51"/>
  <c r="AN70" i="51"/>
  <c r="AL70" i="51"/>
  <c r="AK70" i="51"/>
  <c r="AH70" i="51"/>
  <c r="AD70" i="51"/>
  <c r="AB70" i="51"/>
  <c r="Z70" i="51"/>
  <c r="X70" i="51"/>
  <c r="K70" i="51"/>
  <c r="AX69" i="51"/>
  <c r="AT69" i="51"/>
  <c r="AV69" i="51"/>
  <c r="AR69" i="51"/>
  <c r="AQ69" i="51"/>
  <c r="AO69" i="51"/>
  <c r="AN69" i="51"/>
  <c r="AL69" i="51"/>
  <c r="AK69" i="51"/>
  <c r="AH69" i="51"/>
  <c r="AD69" i="51"/>
  <c r="AB69" i="51"/>
  <c r="Z69" i="51"/>
  <c r="X69" i="51"/>
  <c r="K69" i="51"/>
  <c r="AX68" i="51"/>
  <c r="AT68" i="51"/>
  <c r="AV68" i="51"/>
  <c r="AR68" i="51"/>
  <c r="AQ68" i="51"/>
  <c r="AO68" i="51"/>
  <c r="AN68" i="51"/>
  <c r="AL68" i="51"/>
  <c r="AK68" i="51"/>
  <c r="AH68" i="51"/>
  <c r="AD68" i="51"/>
  <c r="AB68" i="51"/>
  <c r="Z68" i="51"/>
  <c r="K68" i="51"/>
  <c r="AX67" i="51"/>
  <c r="AT67" i="51"/>
  <c r="AV67" i="51"/>
  <c r="AR67" i="51"/>
  <c r="AQ67" i="51"/>
  <c r="AO67" i="51"/>
  <c r="AN67" i="51"/>
  <c r="AL67" i="51"/>
  <c r="AK67" i="51"/>
  <c r="AH67" i="51"/>
  <c r="AD67" i="51"/>
  <c r="AB67" i="51"/>
  <c r="Z67" i="51"/>
  <c r="X67" i="51"/>
  <c r="K67" i="51"/>
  <c r="AX66" i="51"/>
  <c r="AT66" i="51"/>
  <c r="AU66" i="51"/>
  <c r="AR66" i="51"/>
  <c r="AQ66" i="51"/>
  <c r="AO66" i="51"/>
  <c r="AN66" i="51"/>
  <c r="AL66" i="51"/>
  <c r="AK66" i="51"/>
  <c r="AH66" i="51"/>
  <c r="AD66" i="51"/>
  <c r="AB66" i="51"/>
  <c r="Z66" i="51"/>
  <c r="X66" i="51"/>
  <c r="K66" i="51"/>
  <c r="AS63" i="51"/>
  <c r="AI63" i="51"/>
  <c r="BD64" i="51"/>
  <c r="BC64" i="51"/>
  <c r="AS62" i="51"/>
  <c r="AS64" i="51"/>
  <c r="AI62" i="51"/>
  <c r="AI64" i="51"/>
  <c r="I61" i="51"/>
  <c r="AX60" i="51"/>
  <c r="AT60" i="51"/>
  <c r="AV60" i="51"/>
  <c r="AR60" i="51"/>
  <c r="AQ60" i="51"/>
  <c r="AO60" i="51"/>
  <c r="AN60" i="51"/>
  <c r="AL60" i="51"/>
  <c r="AK60" i="51"/>
  <c r="AH60" i="51"/>
  <c r="AD60" i="51"/>
  <c r="AB60" i="51"/>
  <c r="Z60" i="51"/>
  <c r="X60" i="51"/>
  <c r="K60" i="51"/>
  <c r="AX59" i="51"/>
  <c r="AT59" i="51"/>
  <c r="AV59" i="51"/>
  <c r="AR59" i="51"/>
  <c r="AQ59" i="51"/>
  <c r="AO59" i="51"/>
  <c r="AN59" i="51"/>
  <c r="AL59" i="51"/>
  <c r="AK59" i="51"/>
  <c r="AH59" i="51"/>
  <c r="AD59" i="51"/>
  <c r="AB59" i="51"/>
  <c r="Z59" i="51"/>
  <c r="X59" i="51"/>
  <c r="K59" i="51"/>
  <c r="AX58" i="51"/>
  <c r="AT58" i="51"/>
  <c r="AR58" i="51"/>
  <c r="AQ58" i="51"/>
  <c r="AO58" i="51"/>
  <c r="AN58" i="51"/>
  <c r="AL58" i="51"/>
  <c r="AK58" i="51"/>
  <c r="AH58" i="51"/>
  <c r="AD58" i="51"/>
  <c r="AB58" i="51"/>
  <c r="Z58" i="51"/>
  <c r="X58" i="51"/>
  <c r="K58" i="51"/>
  <c r="AX57" i="51"/>
  <c r="AT57" i="51"/>
  <c r="AV57" i="51"/>
  <c r="AR57" i="51"/>
  <c r="AQ57" i="51"/>
  <c r="AO57" i="51"/>
  <c r="AN57" i="51"/>
  <c r="AL57" i="51"/>
  <c r="AK57" i="51"/>
  <c r="AH57" i="51"/>
  <c r="AD57" i="51"/>
  <c r="AB57" i="51"/>
  <c r="Z57" i="51"/>
  <c r="X57" i="51"/>
  <c r="K57" i="51"/>
  <c r="AX56" i="51"/>
  <c r="AT56" i="51"/>
  <c r="AV56" i="51"/>
  <c r="AR56" i="51"/>
  <c r="AQ56" i="51"/>
  <c r="AO56" i="51"/>
  <c r="AN56" i="51"/>
  <c r="AL56" i="51"/>
  <c r="AK56" i="51"/>
  <c r="AH56" i="51"/>
  <c r="AD56" i="51"/>
  <c r="AB56" i="51"/>
  <c r="Z56" i="51"/>
  <c r="X56" i="51"/>
  <c r="K56" i="51"/>
  <c r="AX55" i="51"/>
  <c r="AT55" i="51"/>
  <c r="AV55" i="51"/>
  <c r="AR55" i="51"/>
  <c r="AQ55" i="51"/>
  <c r="AO55" i="51"/>
  <c r="AN55" i="51"/>
  <c r="AL55" i="51"/>
  <c r="AK55" i="51"/>
  <c r="AH55" i="51"/>
  <c r="AD55" i="51"/>
  <c r="AB55" i="51"/>
  <c r="Z55" i="51"/>
  <c r="X55" i="51"/>
  <c r="K55" i="51"/>
  <c r="AX54" i="51"/>
  <c r="AT54" i="51"/>
  <c r="AR54" i="51"/>
  <c r="AQ54" i="51"/>
  <c r="AO54" i="51"/>
  <c r="AN54" i="51"/>
  <c r="AL54" i="51"/>
  <c r="AK54" i="51"/>
  <c r="AH54" i="51"/>
  <c r="AD54" i="51"/>
  <c r="AB54" i="51"/>
  <c r="Z54" i="51"/>
  <c r="X54" i="51"/>
  <c r="K54" i="51"/>
  <c r="BV52" i="51"/>
  <c r="BU52" i="51"/>
  <c r="BT52" i="51"/>
  <c r="BS52" i="51"/>
  <c r="BR52" i="51"/>
  <c r="BP52" i="51"/>
  <c r="BO52" i="51"/>
  <c r="BN52" i="51"/>
  <c r="BM52" i="51"/>
  <c r="BL52" i="51"/>
  <c r="BK52" i="51"/>
  <c r="BJ52" i="51"/>
  <c r="BI52" i="51"/>
  <c r="BH52" i="51"/>
  <c r="BF52" i="51"/>
  <c r="BE52" i="51"/>
  <c r="BD52" i="51"/>
  <c r="BC52" i="51"/>
  <c r="BB52" i="51"/>
  <c r="BA52" i="51"/>
  <c r="AW52" i="51"/>
  <c r="AS52" i="51"/>
  <c r="AP52" i="51"/>
  <c r="AM52" i="51"/>
  <c r="AJ52" i="51"/>
  <c r="AI52" i="51"/>
  <c r="AG52" i="51"/>
  <c r="AE52" i="51"/>
  <c r="AC52" i="51"/>
  <c r="AA52" i="51"/>
  <c r="Y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J52" i="51"/>
  <c r="H52" i="51"/>
  <c r="G52" i="51"/>
  <c r="BV51" i="51"/>
  <c r="BU51" i="51"/>
  <c r="BT51" i="51"/>
  <c r="BS51" i="51"/>
  <c r="BR51" i="51"/>
  <c r="BP51" i="51"/>
  <c r="BO51" i="51"/>
  <c r="BN51" i="51"/>
  <c r="BM51" i="51"/>
  <c r="BL51" i="51"/>
  <c r="BK51" i="51"/>
  <c r="BJ51" i="51"/>
  <c r="BI51" i="51"/>
  <c r="BH51" i="51"/>
  <c r="BF51" i="51"/>
  <c r="BE51" i="51"/>
  <c r="BD51" i="51"/>
  <c r="BC51" i="51"/>
  <c r="BB51" i="51"/>
  <c r="BA51" i="51"/>
  <c r="AW51" i="51"/>
  <c r="AS51" i="51"/>
  <c r="AP51" i="51"/>
  <c r="AM51" i="51"/>
  <c r="AJ51" i="51"/>
  <c r="AI51" i="51"/>
  <c r="AG51" i="51"/>
  <c r="AE51" i="51"/>
  <c r="AC51" i="51"/>
  <c r="AA51" i="51"/>
  <c r="Y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J51" i="51"/>
  <c r="H51" i="51"/>
  <c r="I42" i="51"/>
  <c r="G51" i="51"/>
  <c r="AX49" i="51"/>
  <c r="AT49" i="51"/>
  <c r="AU49" i="51"/>
  <c r="AR49" i="51"/>
  <c r="AQ49" i="51"/>
  <c r="AO49" i="51"/>
  <c r="AN49" i="51"/>
  <c r="AL49" i="51"/>
  <c r="AK49" i="51"/>
  <c r="AH49" i="51"/>
  <c r="AD49" i="51"/>
  <c r="AB49" i="51"/>
  <c r="Z49" i="51"/>
  <c r="X49" i="51"/>
  <c r="K49" i="51"/>
  <c r="AX48" i="51"/>
  <c r="AT48" i="51"/>
  <c r="AU48" i="51"/>
  <c r="AR48" i="51"/>
  <c r="AQ48" i="51"/>
  <c r="AO48" i="51"/>
  <c r="AN48" i="51"/>
  <c r="AL48" i="51"/>
  <c r="AK48" i="51"/>
  <c r="AH48" i="51"/>
  <c r="AD48" i="51"/>
  <c r="AB48" i="51"/>
  <c r="Z48" i="51"/>
  <c r="X48" i="51"/>
  <c r="K48" i="51"/>
  <c r="AX47" i="51"/>
  <c r="AT47" i="51"/>
  <c r="AV47" i="51"/>
  <c r="AR47" i="51"/>
  <c r="AQ47" i="51"/>
  <c r="AO47" i="51"/>
  <c r="AN47" i="51"/>
  <c r="AL47" i="51"/>
  <c r="AK47" i="51"/>
  <c r="AH47" i="51"/>
  <c r="AD47" i="51"/>
  <c r="AB47" i="51"/>
  <c r="Z47" i="51"/>
  <c r="X47" i="51"/>
  <c r="K47" i="51"/>
  <c r="AX46" i="51"/>
  <c r="AT46" i="51"/>
  <c r="AV46" i="51"/>
  <c r="AR46" i="51"/>
  <c r="AQ46" i="51"/>
  <c r="AO46" i="51"/>
  <c r="AN46" i="51"/>
  <c r="AL46" i="51"/>
  <c r="AK46" i="51"/>
  <c r="AH46" i="51"/>
  <c r="AD46" i="51"/>
  <c r="AB46" i="51"/>
  <c r="Z46" i="51"/>
  <c r="X46" i="51"/>
  <c r="K46" i="51"/>
  <c r="AX45" i="51"/>
  <c r="AT45" i="51"/>
  <c r="AV45" i="51"/>
  <c r="AR45" i="51"/>
  <c r="AQ45" i="51"/>
  <c r="AO45" i="51"/>
  <c r="AN45" i="51"/>
  <c r="AL45" i="51"/>
  <c r="AK45" i="51"/>
  <c r="AH45" i="51"/>
  <c r="AD45" i="51"/>
  <c r="AB45" i="51"/>
  <c r="Z45" i="51"/>
  <c r="X45" i="51"/>
  <c r="K45" i="51"/>
  <c r="AX44" i="51"/>
  <c r="AT44" i="51"/>
  <c r="AU44" i="51"/>
  <c r="AR44" i="51"/>
  <c r="AQ44" i="51"/>
  <c r="AO44" i="51"/>
  <c r="AN44" i="51"/>
  <c r="AL44" i="51"/>
  <c r="AK44" i="51"/>
  <c r="AH44" i="51"/>
  <c r="AD44" i="51"/>
  <c r="AB44" i="51"/>
  <c r="Z44" i="51"/>
  <c r="X44" i="51"/>
  <c r="K44" i="51"/>
  <c r="AX43" i="51"/>
  <c r="AT43" i="51"/>
  <c r="AR43" i="51"/>
  <c r="AQ43" i="51"/>
  <c r="AO43" i="51"/>
  <c r="AN43" i="51"/>
  <c r="AL43" i="51"/>
  <c r="AK43" i="51"/>
  <c r="AH43" i="51"/>
  <c r="AD43" i="51"/>
  <c r="AB43" i="51"/>
  <c r="Z43" i="51"/>
  <c r="X43" i="51"/>
  <c r="K43" i="51"/>
  <c r="AX42" i="51"/>
  <c r="AT42" i="51"/>
  <c r="AU42" i="51"/>
  <c r="AR42" i="51"/>
  <c r="AQ42" i="51"/>
  <c r="AO42" i="51"/>
  <c r="AN42" i="51"/>
  <c r="AL42" i="51"/>
  <c r="AK42" i="51"/>
  <c r="AH42" i="51"/>
  <c r="AD42" i="51"/>
  <c r="AB42" i="51"/>
  <c r="X42" i="51"/>
  <c r="K42" i="51"/>
  <c r="BD41" i="51"/>
  <c r="BC41" i="51"/>
  <c r="AY35" i="51"/>
  <c r="AX35" i="51"/>
  <c r="AT35" i="51"/>
  <c r="AV35" i="51"/>
  <c r="AR35" i="51"/>
  <c r="AQ35" i="51"/>
  <c r="AO35" i="51"/>
  <c r="AN35" i="51"/>
  <c r="AL35" i="51"/>
  <c r="AK35" i="51"/>
  <c r="AH35" i="51"/>
  <c r="AF35" i="51"/>
  <c r="AD35" i="51"/>
  <c r="AB35" i="51"/>
  <c r="Z35" i="51"/>
  <c r="X35" i="51"/>
  <c r="K35" i="51"/>
  <c r="AY34" i="51"/>
  <c r="AX34" i="51"/>
  <c r="AT34" i="51"/>
  <c r="AV34" i="51"/>
  <c r="AR34" i="51"/>
  <c r="AQ34" i="51"/>
  <c r="AO34" i="51"/>
  <c r="AN34" i="51"/>
  <c r="AL34" i="51"/>
  <c r="AK34" i="51"/>
  <c r="AH34" i="51"/>
  <c r="AF34" i="51"/>
  <c r="AD34" i="51"/>
  <c r="AB34" i="51"/>
  <c r="Z34" i="51"/>
  <c r="X34" i="51"/>
  <c r="K34" i="51"/>
  <c r="AY33" i="51"/>
  <c r="AX33" i="51"/>
  <c r="AT33" i="51"/>
  <c r="AU33" i="51"/>
  <c r="AR33" i="51"/>
  <c r="AQ33" i="51"/>
  <c r="AO33" i="51"/>
  <c r="AN33" i="51"/>
  <c r="AL33" i="51"/>
  <c r="AH33" i="51"/>
  <c r="AF33" i="51"/>
  <c r="AD33" i="51"/>
  <c r="AB33" i="51"/>
  <c r="Z33" i="51"/>
  <c r="X33" i="51"/>
  <c r="K33" i="51"/>
  <c r="AY32" i="51"/>
  <c r="AX32" i="51"/>
  <c r="AT32" i="51"/>
  <c r="AV32" i="51"/>
  <c r="AR32" i="51"/>
  <c r="AQ32" i="51"/>
  <c r="AO32" i="51"/>
  <c r="AN32" i="51"/>
  <c r="AL32" i="51"/>
  <c r="AK32" i="51"/>
  <c r="AH32" i="51"/>
  <c r="AF32" i="51"/>
  <c r="AD32" i="51"/>
  <c r="AB32" i="51"/>
  <c r="Z32" i="51"/>
  <c r="X32" i="51"/>
  <c r="K32" i="51"/>
  <c r="AY31" i="51"/>
  <c r="AX31" i="51"/>
  <c r="AT31" i="51"/>
  <c r="AU31" i="51"/>
  <c r="AR31" i="51"/>
  <c r="AQ31" i="51"/>
  <c r="AO31" i="51"/>
  <c r="AN31" i="51"/>
  <c r="AL31" i="51"/>
  <c r="AK31" i="51"/>
  <c r="AH31" i="51"/>
  <c r="AF31" i="51"/>
  <c r="AD31" i="51"/>
  <c r="AB31" i="51"/>
  <c r="Z31" i="51"/>
  <c r="X31" i="51"/>
  <c r="K31" i="51"/>
  <c r="AY30" i="51"/>
  <c r="AX30" i="51"/>
  <c r="AT30" i="51"/>
  <c r="AU30" i="51"/>
  <c r="AR30" i="51"/>
  <c r="AQ30" i="51"/>
  <c r="AO30" i="51"/>
  <c r="AN30" i="51"/>
  <c r="AL30" i="51"/>
  <c r="AK30" i="51"/>
  <c r="AH30" i="51"/>
  <c r="AF30" i="51"/>
  <c r="AD30" i="51"/>
  <c r="AB30" i="51"/>
  <c r="Z30" i="51"/>
  <c r="X30" i="51"/>
  <c r="K30" i="51"/>
  <c r="BB28" i="51"/>
  <c r="AY22" i="51"/>
  <c r="AX22" i="51"/>
  <c r="AT22" i="51"/>
  <c r="AV22" i="51"/>
  <c r="AR22" i="51"/>
  <c r="AQ22" i="51"/>
  <c r="AO22" i="51"/>
  <c r="AN22" i="51"/>
  <c r="AL22" i="51"/>
  <c r="AK22" i="51"/>
  <c r="AH22" i="51"/>
  <c r="AF22" i="51"/>
  <c r="AD22" i="51"/>
  <c r="AB22" i="51"/>
  <c r="Z22" i="51"/>
  <c r="X22" i="51"/>
  <c r="K22" i="51"/>
  <c r="AY21" i="51"/>
  <c r="AX21" i="51"/>
  <c r="AT21" i="51"/>
  <c r="AV21" i="51"/>
  <c r="AR21" i="51"/>
  <c r="AO21" i="51"/>
  <c r="AN21" i="51"/>
  <c r="AL21" i="51"/>
  <c r="AK21" i="51"/>
  <c r="AH21" i="51"/>
  <c r="AF21" i="51"/>
  <c r="AD21" i="51"/>
  <c r="AB21" i="51"/>
  <c r="Z21" i="51"/>
  <c r="X21" i="51"/>
  <c r="K21" i="51"/>
  <c r="AY20" i="51"/>
  <c r="AX20" i="51"/>
  <c r="AT20" i="51"/>
  <c r="AV20" i="51"/>
  <c r="AR20" i="51"/>
  <c r="AQ20" i="51"/>
  <c r="AO20" i="51"/>
  <c r="AN20" i="51"/>
  <c r="AL20" i="51"/>
  <c r="AK20" i="51"/>
  <c r="AH20" i="51"/>
  <c r="AF20" i="51"/>
  <c r="AD20" i="51"/>
  <c r="AB20" i="51"/>
  <c r="Z20" i="51"/>
  <c r="X20" i="51"/>
  <c r="K20" i="51"/>
  <c r="AY19" i="51"/>
  <c r="AX19" i="51"/>
  <c r="AT19" i="51"/>
  <c r="AU19" i="51"/>
  <c r="AR19" i="51"/>
  <c r="AQ19" i="51"/>
  <c r="AO19" i="51"/>
  <c r="AN19" i="51"/>
  <c r="AL19" i="51"/>
  <c r="AK19" i="51"/>
  <c r="AH19" i="51"/>
  <c r="AF19" i="51"/>
  <c r="AD19" i="51"/>
  <c r="AB19" i="51"/>
  <c r="Z19" i="51"/>
  <c r="X19" i="51"/>
  <c r="K19" i="51"/>
  <c r="AY18" i="51"/>
  <c r="AX18" i="51"/>
  <c r="AT18" i="51"/>
  <c r="AU18" i="51"/>
  <c r="AR18" i="51"/>
  <c r="AQ18" i="51"/>
  <c r="AO18" i="51"/>
  <c r="AN18" i="51"/>
  <c r="AL18" i="51"/>
  <c r="AK18" i="51"/>
  <c r="AH18" i="51"/>
  <c r="AF18" i="51"/>
  <c r="AD18" i="51"/>
  <c r="AB18" i="51"/>
  <c r="Z18" i="51"/>
  <c r="X18" i="51"/>
  <c r="K18" i="51"/>
  <c r="AY17" i="51"/>
  <c r="AX17" i="51"/>
  <c r="AT17" i="51"/>
  <c r="AU17" i="51"/>
  <c r="AR17" i="51"/>
  <c r="AQ17" i="51"/>
  <c r="AO17" i="51"/>
  <c r="AN17" i="51"/>
  <c r="AL17" i="51"/>
  <c r="AK17" i="51"/>
  <c r="AH17" i="51"/>
  <c r="AF17" i="51"/>
  <c r="AD17" i="51"/>
  <c r="AB17" i="51"/>
  <c r="Z17" i="51"/>
  <c r="X17" i="51"/>
  <c r="K17" i="51"/>
  <c r="BV15" i="51"/>
  <c r="BU15" i="51"/>
  <c r="BT15" i="51"/>
  <c r="BS15" i="51"/>
  <c r="BR15" i="51"/>
  <c r="BP15" i="51"/>
  <c r="BO15" i="51"/>
  <c r="BN15" i="51"/>
  <c r="BL15" i="51"/>
  <c r="BK15" i="51"/>
  <c r="BJ15" i="51"/>
  <c r="BI15" i="51"/>
  <c r="BH15" i="51"/>
  <c r="BF15" i="51"/>
  <c r="BE15" i="51"/>
  <c r="BD15" i="51"/>
  <c r="BC15" i="51"/>
  <c r="BB15" i="51"/>
  <c r="BA15" i="51"/>
  <c r="AW15" i="51"/>
  <c r="AS15" i="51"/>
  <c r="AP15" i="51"/>
  <c r="AJ15" i="51"/>
  <c r="AI15" i="51"/>
  <c r="AG15" i="51"/>
  <c r="AE15" i="51"/>
  <c r="AC15" i="51"/>
  <c r="AA15" i="51"/>
  <c r="Y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J15" i="51"/>
  <c r="H15" i="51"/>
  <c r="G15" i="51"/>
  <c r="AY8" i="51"/>
  <c r="AX8" i="51"/>
  <c r="AT8" i="51"/>
  <c r="AU8" i="51"/>
  <c r="AR8" i="51"/>
  <c r="AQ8" i="51"/>
  <c r="AO8" i="51"/>
  <c r="AN8" i="51"/>
  <c r="AL8" i="51"/>
  <c r="AK8" i="51"/>
  <c r="AH8" i="51"/>
  <c r="AF8" i="51"/>
  <c r="AD8" i="51"/>
  <c r="AB8" i="51"/>
  <c r="Z8" i="51"/>
  <c r="X8" i="51"/>
  <c r="K8" i="51"/>
  <c r="AY7" i="51"/>
  <c r="AX7" i="51"/>
  <c r="AT7" i="51"/>
  <c r="AV7" i="51"/>
  <c r="AR7" i="51"/>
  <c r="AQ7" i="51"/>
  <c r="AO7" i="51"/>
  <c r="AN7" i="51"/>
  <c r="AL7" i="51"/>
  <c r="AK7" i="51"/>
  <c r="AH7" i="51"/>
  <c r="AF7" i="51"/>
  <c r="AD7" i="51"/>
  <c r="AB7" i="51"/>
  <c r="Z7" i="51"/>
  <c r="X7" i="51"/>
  <c r="K7" i="51"/>
  <c r="AY6" i="51"/>
  <c r="AX6" i="51"/>
  <c r="AT6" i="51"/>
  <c r="AU6" i="51"/>
  <c r="AR6" i="51"/>
  <c r="AQ6" i="51"/>
  <c r="AO6" i="51"/>
  <c r="AN6" i="51"/>
  <c r="AL6" i="51"/>
  <c r="AK6" i="51"/>
  <c r="AH6" i="51"/>
  <c r="AF6" i="51"/>
  <c r="AD6" i="51"/>
  <c r="AB6" i="51"/>
  <c r="Z6" i="51"/>
  <c r="X6" i="51"/>
  <c r="K6" i="51"/>
  <c r="AX5" i="51"/>
  <c r="AT5" i="51"/>
  <c r="AU5" i="51"/>
  <c r="AR5" i="51"/>
  <c r="AQ5" i="51"/>
  <c r="AO5" i="51"/>
  <c r="AN5" i="51"/>
  <c r="AL5" i="51"/>
  <c r="AK5" i="51"/>
  <c r="AH5" i="51"/>
  <c r="AF5" i="51"/>
  <c r="AD5" i="51"/>
  <c r="AB5" i="51"/>
  <c r="Z5" i="51"/>
  <c r="X5" i="51"/>
  <c r="K5" i="51"/>
  <c r="AX4" i="51"/>
  <c r="AT4" i="51"/>
  <c r="AU4" i="51"/>
  <c r="AR4" i="51"/>
  <c r="AQ4" i="51"/>
  <c r="AO4" i="51"/>
  <c r="AN4" i="51"/>
  <c r="AK4" i="51"/>
  <c r="AH4" i="51"/>
  <c r="AF4" i="51"/>
  <c r="AD4" i="51"/>
  <c r="AB4" i="51"/>
  <c r="Z4" i="51"/>
  <c r="X4" i="51"/>
  <c r="K4" i="51"/>
  <c r="W1" i="51"/>
  <c r="CB43" i="46"/>
  <c r="CI35" i="46"/>
  <c r="CI37" i="46"/>
  <c r="H28" i="45"/>
  <c r="I25" i="45"/>
  <c r="I8" i="46"/>
  <c r="H28" i="6"/>
  <c r="AY35" i="44"/>
  <c r="AX35" i="44"/>
  <c r="AT35" i="44"/>
  <c r="AU35" i="44"/>
  <c r="AR35" i="44"/>
  <c r="AQ35" i="44"/>
  <c r="AO35" i="44"/>
  <c r="AN35" i="44"/>
  <c r="AL35" i="44"/>
  <c r="AK35" i="44"/>
  <c r="AH35" i="44"/>
  <c r="AF35" i="44"/>
  <c r="AD35" i="44"/>
  <c r="AB35" i="44"/>
  <c r="Z35" i="44"/>
  <c r="X35" i="44"/>
  <c r="K35" i="44"/>
  <c r="H26" i="44"/>
  <c r="I21" i="44"/>
  <c r="AY22" i="44"/>
  <c r="AX22" i="44"/>
  <c r="AT22" i="44"/>
  <c r="AU22" i="44"/>
  <c r="AR22" i="44"/>
  <c r="AQ22" i="44"/>
  <c r="AO22" i="44"/>
  <c r="AN22" i="44"/>
  <c r="AL22" i="44"/>
  <c r="AK22" i="44"/>
  <c r="AH22" i="44"/>
  <c r="AF22" i="44"/>
  <c r="AD22" i="44"/>
  <c r="AB22" i="44"/>
  <c r="Z22" i="44"/>
  <c r="X22" i="44"/>
  <c r="K22" i="44"/>
  <c r="AT8" i="44"/>
  <c r="K8" i="44"/>
  <c r="H14" i="44"/>
  <c r="I12" i="44"/>
  <c r="H15" i="44"/>
  <c r="AL4" i="44"/>
  <c r="AV19" i="51"/>
  <c r="I8" i="44"/>
  <c r="AR34" i="48"/>
  <c r="AO34" i="48"/>
  <c r="AL34" i="48"/>
  <c r="AR21" i="48"/>
  <c r="AR22" i="48"/>
  <c r="AO21" i="48"/>
  <c r="AO22" i="48"/>
  <c r="AL21" i="48"/>
  <c r="AL22" i="48"/>
  <c r="K21" i="48"/>
  <c r="K22" i="48"/>
  <c r="K34" i="48"/>
  <c r="L39" i="44"/>
  <c r="K34" i="44"/>
  <c r="K21" i="44"/>
  <c r="AX21" i="48"/>
  <c r="AT21" i="48"/>
  <c r="AU21" i="48"/>
  <c r="AQ21" i="48"/>
  <c r="AN21" i="48"/>
  <c r="AK21" i="48"/>
  <c r="AH21" i="48"/>
  <c r="AF21" i="48"/>
  <c r="AD21" i="48"/>
  <c r="AB21" i="48"/>
  <c r="Z21" i="48"/>
  <c r="X21" i="48"/>
  <c r="AX34" i="44"/>
  <c r="AY34" i="44"/>
  <c r="AT34" i="44"/>
  <c r="AV34" i="44"/>
  <c r="AQ34" i="44"/>
  <c r="AR34" i="44"/>
  <c r="AN34" i="44"/>
  <c r="AO34" i="44"/>
  <c r="AK34" i="44"/>
  <c r="AL34" i="44"/>
  <c r="AX21" i="44"/>
  <c r="AY21" i="44"/>
  <c r="AT21" i="44"/>
  <c r="AU21" i="44"/>
  <c r="AQ21" i="44"/>
  <c r="AR21" i="44"/>
  <c r="AN21" i="44"/>
  <c r="AO21" i="44"/>
  <c r="AK21" i="44"/>
  <c r="AL21" i="44"/>
  <c r="DY25" i="33"/>
  <c r="BR25" i="45"/>
  <c r="DY37" i="46"/>
  <c r="DY23" i="46"/>
  <c r="BR23" i="6"/>
  <c r="DL25" i="33"/>
  <c r="DM25" i="33"/>
  <c r="DR25" i="33"/>
  <c r="DS25" i="33"/>
  <c r="BO25" i="45"/>
  <c r="DL37" i="46"/>
  <c r="DM37" i="46"/>
  <c r="DR37" i="46"/>
  <c r="DS37" i="46"/>
  <c r="DR23" i="46"/>
  <c r="DS23" i="46"/>
  <c r="DL23" i="46"/>
  <c r="DM23" i="46"/>
  <c r="BO23" i="6"/>
  <c r="BL25" i="45"/>
  <c r="BL23" i="6"/>
  <c r="DG25" i="33"/>
  <c r="DA25" i="33"/>
  <c r="BI25" i="45"/>
  <c r="BF25" i="45"/>
  <c r="DG37" i="46"/>
  <c r="DG23" i="46"/>
  <c r="DA37" i="46"/>
  <c r="DA23" i="46"/>
  <c r="BI23" i="6"/>
  <c r="BF23" i="6"/>
  <c r="BC25" i="45"/>
  <c r="CU37" i="46"/>
  <c r="CU23" i="46"/>
  <c r="BC23" i="6"/>
  <c r="CO25" i="33"/>
  <c r="AZ25" i="45"/>
  <c r="AZ23" i="6"/>
  <c r="CO37" i="46"/>
  <c r="CO23" i="46"/>
  <c r="CA25" i="33"/>
  <c r="CA37" i="46"/>
  <c r="CA23" i="46"/>
  <c r="CC23" i="46"/>
  <c r="CA24" i="33"/>
  <c r="CC24" i="33"/>
  <c r="CI25" i="33"/>
  <c r="AW25" i="45"/>
  <c r="AT25" i="45"/>
  <c r="AW23" i="6"/>
  <c r="AT23" i="6"/>
  <c r="AV21" i="44"/>
  <c r="CI23" i="46"/>
  <c r="CA22" i="46"/>
  <c r="BU25" i="33"/>
  <c r="BU32" i="46"/>
  <c r="BU37" i="46"/>
  <c r="BU23" i="46"/>
  <c r="AQ25" i="45"/>
  <c r="AQ23" i="6"/>
  <c r="AW74" i="45"/>
  <c r="AW73" i="45"/>
  <c r="BI25" i="33"/>
  <c r="AN25" i="45"/>
  <c r="AK25" i="45"/>
  <c r="BO37" i="46"/>
  <c r="BI37" i="46"/>
  <c r="BO23" i="46"/>
  <c r="BI23" i="46"/>
  <c r="AN23" i="6"/>
  <c r="AK23" i="6"/>
  <c r="BC25" i="33"/>
  <c r="AH25" i="45"/>
  <c r="BC37" i="46"/>
  <c r="BC23" i="46"/>
  <c r="AH23" i="6"/>
  <c r="AW25" i="33"/>
  <c r="AE25" i="45"/>
  <c r="AW37" i="46"/>
  <c r="AW23" i="46"/>
  <c r="AE23" i="6"/>
  <c r="AQ25" i="33"/>
  <c r="AB25" i="45"/>
  <c r="AQ37" i="46"/>
  <c r="AQ23" i="46"/>
  <c r="AB23" i="6"/>
  <c r="AJ25" i="33"/>
  <c r="AK25" i="33"/>
  <c r="Y25" i="45"/>
  <c r="AK37" i="46"/>
  <c r="AJ23" i="46"/>
  <c r="AK23" i="46"/>
  <c r="Y23" i="6"/>
  <c r="AE25" i="33"/>
  <c r="V25" i="45"/>
  <c r="AE37" i="46"/>
  <c r="AE23" i="46"/>
  <c r="V23" i="6"/>
  <c r="Y25" i="33"/>
  <c r="S25" i="45"/>
  <c r="Y37" i="46"/>
  <c r="X23" i="46"/>
  <c r="Y23" i="46"/>
  <c r="S23" i="6"/>
  <c r="S25" i="33"/>
  <c r="P25" i="45"/>
  <c r="S37" i="46"/>
  <c r="R23" i="46"/>
  <c r="S23" i="46"/>
  <c r="P23" i="6"/>
  <c r="L25" i="33"/>
  <c r="M25" i="33"/>
  <c r="M25" i="45"/>
  <c r="M37" i="46"/>
  <c r="M23" i="46"/>
  <c r="M23" i="6"/>
  <c r="I25" i="33"/>
  <c r="K25" i="45"/>
  <c r="I37" i="46"/>
  <c r="I23" i="46"/>
  <c r="N23" i="46"/>
  <c r="K23" i="6"/>
  <c r="X84" i="46"/>
  <c r="W84" i="46"/>
  <c r="V84" i="46"/>
  <c r="U84" i="46"/>
  <c r="T84" i="46"/>
  <c r="S84" i="46"/>
  <c r="R84" i="46"/>
  <c r="Q84" i="46"/>
  <c r="P84" i="46"/>
  <c r="O84" i="46"/>
  <c r="N84" i="46"/>
  <c r="M84" i="46"/>
  <c r="L84" i="46"/>
  <c r="K84" i="46"/>
  <c r="J84" i="46"/>
  <c r="I84" i="46"/>
  <c r="H84" i="46"/>
  <c r="G84" i="46"/>
  <c r="F84" i="46"/>
  <c r="E84" i="46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AX34" i="48"/>
  <c r="AQ34" i="48"/>
  <c r="AT34" i="48"/>
  <c r="AV34" i="48"/>
  <c r="AN34" i="48"/>
  <c r="AK34" i="48"/>
  <c r="AH34" i="48"/>
  <c r="AF34" i="48"/>
  <c r="AD34" i="48"/>
  <c r="AB34" i="48"/>
  <c r="Z34" i="48"/>
  <c r="X34" i="48"/>
  <c r="AX22" i="48"/>
  <c r="AQ22" i="48"/>
  <c r="AT22" i="48"/>
  <c r="AV22" i="48"/>
  <c r="AN22" i="48"/>
  <c r="AK22" i="48"/>
  <c r="AH22" i="48"/>
  <c r="AF22" i="48"/>
  <c r="AD22" i="48"/>
  <c r="AB22" i="48"/>
  <c r="Z22" i="48"/>
  <c r="X22" i="48"/>
  <c r="AX33" i="48"/>
  <c r="AT33" i="48"/>
  <c r="AV33" i="48"/>
  <c r="AR33" i="48"/>
  <c r="AQ33" i="48"/>
  <c r="AO33" i="48"/>
  <c r="AN33" i="48"/>
  <c r="AL33" i="48"/>
  <c r="AK33" i="48"/>
  <c r="AH33" i="48"/>
  <c r="AF33" i="48"/>
  <c r="AD33" i="48"/>
  <c r="AB33" i="48"/>
  <c r="Z33" i="48"/>
  <c r="X33" i="48"/>
  <c r="K33" i="48"/>
  <c r="AH34" i="44"/>
  <c r="AF34" i="44"/>
  <c r="AH21" i="44"/>
  <c r="AF21" i="44"/>
  <c r="AF20" i="44"/>
  <c r="AH20" i="44"/>
  <c r="AD34" i="44"/>
  <c r="AD21" i="44"/>
  <c r="AB21" i="44"/>
  <c r="AB34" i="44"/>
  <c r="Z34" i="44"/>
  <c r="X34" i="44"/>
  <c r="X21" i="44"/>
  <c r="Z21" i="44"/>
  <c r="DY36" i="46"/>
  <c r="DY22" i="46"/>
  <c r="DY38" i="33"/>
  <c r="DY24" i="33"/>
  <c r="BR37" i="45"/>
  <c r="BR24" i="45"/>
  <c r="BR36" i="6"/>
  <c r="BR22" i="6"/>
  <c r="DG38" i="33"/>
  <c r="DM38" i="33"/>
  <c r="DA24" i="33"/>
  <c r="DG24" i="33"/>
  <c r="DM24" i="33"/>
  <c r="DS24" i="33"/>
  <c r="DA36" i="46"/>
  <c r="DG36" i="46"/>
  <c r="DM36" i="46"/>
  <c r="DS36" i="46"/>
  <c r="DA22" i="46"/>
  <c r="DG22" i="46"/>
  <c r="DM22" i="46"/>
  <c r="DS22" i="46"/>
  <c r="BO37" i="45"/>
  <c r="BO24" i="45"/>
  <c r="BL37" i="45"/>
  <c r="BL24" i="45"/>
  <c r="BO36" i="6"/>
  <c r="BL36" i="6"/>
  <c r="BO22" i="6"/>
  <c r="BL22" i="6"/>
  <c r="BI36" i="6"/>
  <c r="BI22" i="6"/>
  <c r="BI37" i="45"/>
  <c r="BI24" i="45"/>
  <c r="BF37" i="45"/>
  <c r="BF24" i="45"/>
  <c r="BF36" i="6"/>
  <c r="BF22" i="6"/>
  <c r="CU38" i="33"/>
  <c r="I38" i="33"/>
  <c r="M38" i="33"/>
  <c r="N38" i="33"/>
  <c r="S38" i="33"/>
  <c r="Y38" i="33"/>
  <c r="AW38" i="33"/>
  <c r="BC38" i="33"/>
  <c r="BI38" i="33"/>
  <c r="BO38" i="33"/>
  <c r="BU38" i="33"/>
  <c r="CA38" i="33"/>
  <c r="CI38" i="33"/>
  <c r="CO38" i="33"/>
  <c r="T1" i="33"/>
  <c r="I37" i="33"/>
  <c r="M37" i="33"/>
  <c r="S37" i="33"/>
  <c r="CU24" i="33"/>
  <c r="I24" i="33"/>
  <c r="M24" i="33"/>
  <c r="S24" i="33"/>
  <c r="Y24" i="33"/>
  <c r="AE24" i="33"/>
  <c r="AK24" i="33"/>
  <c r="AM24" i="33"/>
  <c r="AQ24" i="33"/>
  <c r="AW24" i="33"/>
  <c r="AW29" i="33"/>
  <c r="M97" i="33"/>
  <c r="BC24" i="33"/>
  <c r="BI24" i="33"/>
  <c r="BO24" i="33"/>
  <c r="BU24" i="33"/>
  <c r="CI24" i="33"/>
  <c r="CO24" i="33"/>
  <c r="BC37" i="45"/>
  <c r="AT37" i="45"/>
  <c r="AW37" i="45"/>
  <c r="AZ37" i="45"/>
  <c r="BC24" i="45"/>
  <c r="AT24" i="45"/>
  <c r="AW24" i="45"/>
  <c r="AZ24" i="45"/>
  <c r="CU36" i="46"/>
  <c r="I36" i="46"/>
  <c r="M36" i="46"/>
  <c r="S36" i="46"/>
  <c r="Y36" i="46"/>
  <c r="AE36" i="46"/>
  <c r="AK36" i="46"/>
  <c r="AQ36" i="46"/>
  <c r="AW36" i="46"/>
  <c r="BC36" i="46"/>
  <c r="BI36" i="46"/>
  <c r="BO36" i="46"/>
  <c r="BU36" i="46"/>
  <c r="CA36" i="46"/>
  <c r="CC36" i="46"/>
  <c r="CI36" i="46"/>
  <c r="CO36" i="46"/>
  <c r="T1" i="46"/>
  <c r="CU22" i="46"/>
  <c r="I22" i="46"/>
  <c r="M22" i="46"/>
  <c r="S22" i="46"/>
  <c r="Y22" i="46"/>
  <c r="AE22" i="46"/>
  <c r="AK22" i="46"/>
  <c r="AQ22" i="46"/>
  <c r="AW22" i="46"/>
  <c r="BC22" i="46"/>
  <c r="BI22" i="46"/>
  <c r="BO22" i="46"/>
  <c r="BU22" i="46"/>
  <c r="CI22" i="46"/>
  <c r="CO22" i="46"/>
  <c r="BC36" i="6"/>
  <c r="AT36" i="6"/>
  <c r="AW36" i="6"/>
  <c r="AZ36" i="6"/>
  <c r="BC22" i="6"/>
  <c r="AT22" i="6"/>
  <c r="AW22" i="6"/>
  <c r="AZ22" i="6"/>
  <c r="CA37" i="33"/>
  <c r="CA32" i="46"/>
  <c r="AQ37" i="45"/>
  <c r="AQ24" i="45"/>
  <c r="AQ36" i="6"/>
  <c r="AQ22" i="6"/>
  <c r="O81" i="46"/>
  <c r="AN37" i="45"/>
  <c r="AN24" i="45"/>
  <c r="AK37" i="45"/>
  <c r="AK24" i="45"/>
  <c r="AN36" i="6"/>
  <c r="AN22" i="6"/>
  <c r="AK36" i="6"/>
  <c r="AK22" i="6"/>
  <c r="AH37" i="45"/>
  <c r="AH24" i="45"/>
  <c r="AH36" i="6"/>
  <c r="AH22" i="6"/>
  <c r="AE36" i="6"/>
  <c r="AE22" i="6"/>
  <c r="AE37" i="45"/>
  <c r="AE24" i="45"/>
  <c r="AQ18" i="46"/>
  <c r="AQ19" i="46"/>
  <c r="AQ21" i="46"/>
  <c r="AB37" i="45"/>
  <c r="AB24" i="45"/>
  <c r="AB36" i="6"/>
  <c r="AB22" i="6"/>
  <c r="Y37" i="45"/>
  <c r="Y24" i="45"/>
  <c r="Y36" i="6"/>
  <c r="Y22" i="6"/>
  <c r="I81" i="46"/>
  <c r="AE32" i="46"/>
  <c r="AE33" i="46"/>
  <c r="AE34" i="46"/>
  <c r="AE35" i="46"/>
  <c r="V37" i="45"/>
  <c r="V24" i="45"/>
  <c r="V36" i="6"/>
  <c r="V22" i="6"/>
  <c r="S37" i="45"/>
  <c r="S24" i="45"/>
  <c r="S36" i="6"/>
  <c r="S22" i="6"/>
  <c r="P37" i="45"/>
  <c r="P24" i="45"/>
  <c r="P36" i="6"/>
  <c r="P22" i="6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X81" i="46"/>
  <c r="W81" i="46"/>
  <c r="V81" i="46"/>
  <c r="U81" i="46"/>
  <c r="T81" i="46"/>
  <c r="S81" i="46"/>
  <c r="R81" i="46"/>
  <c r="Q81" i="46"/>
  <c r="P81" i="46"/>
  <c r="N81" i="46"/>
  <c r="M81" i="46"/>
  <c r="L81" i="46"/>
  <c r="K81" i="46"/>
  <c r="J81" i="46"/>
  <c r="H81" i="46"/>
  <c r="G81" i="46"/>
  <c r="F81" i="46"/>
  <c r="E81" i="46"/>
  <c r="M37" i="45"/>
  <c r="M24" i="45"/>
  <c r="M36" i="6"/>
  <c r="M22" i="6"/>
  <c r="K37" i="45"/>
  <c r="K24" i="45"/>
  <c r="K36" i="6"/>
  <c r="K22" i="6"/>
  <c r="K33" i="44"/>
  <c r="K32" i="44"/>
  <c r="K31" i="44"/>
  <c r="K30" i="44"/>
  <c r="K20" i="44"/>
  <c r="K17" i="44"/>
  <c r="K4" i="44"/>
  <c r="BR21" i="6"/>
  <c r="AK33" i="44"/>
  <c r="AL33" i="44"/>
  <c r="Z20" i="44"/>
  <c r="AA27" i="44"/>
  <c r="AA26" i="44"/>
  <c r="W14" i="48"/>
  <c r="DY37" i="33"/>
  <c r="EA37" i="33"/>
  <c r="AX33" i="44"/>
  <c r="AY33" i="44"/>
  <c r="AX20" i="44"/>
  <c r="AY20" i="44"/>
  <c r="AT33" i="44"/>
  <c r="AV33" i="44"/>
  <c r="AT20" i="44"/>
  <c r="AU20" i="44"/>
  <c r="AQ33" i="44"/>
  <c r="AR33" i="44"/>
  <c r="AN33" i="44"/>
  <c r="AO33" i="44"/>
  <c r="AQ20" i="44"/>
  <c r="AR20" i="44"/>
  <c r="AN20" i="44"/>
  <c r="AO20" i="44"/>
  <c r="AK20" i="44"/>
  <c r="AL20" i="44"/>
  <c r="AH33" i="44"/>
  <c r="AF33" i="44"/>
  <c r="AD33" i="44"/>
  <c r="AD20" i="44"/>
  <c r="AB33" i="44"/>
  <c r="AB20" i="44"/>
  <c r="Z33" i="44"/>
  <c r="X33" i="44"/>
  <c r="X20" i="44"/>
  <c r="DY35" i="46"/>
  <c r="DY21" i="46"/>
  <c r="BR36" i="45"/>
  <c r="BR35" i="6"/>
  <c r="G13" i="48"/>
  <c r="G39" i="44"/>
  <c r="G41" i="44"/>
  <c r="DR37" i="33"/>
  <c r="DS37" i="33"/>
  <c r="DS35" i="46"/>
  <c r="DR21" i="46"/>
  <c r="DS21" i="46"/>
  <c r="BO36" i="45"/>
  <c r="BO35" i="6"/>
  <c r="BO21" i="6"/>
  <c r="Y37" i="33"/>
  <c r="AE37" i="33"/>
  <c r="AG37" i="33"/>
  <c r="AK37" i="33"/>
  <c r="AK32" i="33"/>
  <c r="AK33" i="33"/>
  <c r="AK34" i="33"/>
  <c r="AK35" i="33"/>
  <c r="AK36" i="33"/>
  <c r="AM36" i="33"/>
  <c r="AQ37" i="33"/>
  <c r="AW37" i="33"/>
  <c r="BC37" i="33"/>
  <c r="BI37" i="33"/>
  <c r="BO37" i="33"/>
  <c r="BU37" i="33"/>
  <c r="BW37" i="33"/>
  <c r="CI37" i="33"/>
  <c r="CO37" i="33"/>
  <c r="CQ37" i="33"/>
  <c r="CU37" i="33"/>
  <c r="CU34" i="33"/>
  <c r="CU35" i="33"/>
  <c r="DA37" i="33"/>
  <c r="DG37" i="33"/>
  <c r="DM37" i="33"/>
  <c r="DM35" i="46"/>
  <c r="DM21" i="46"/>
  <c r="DG35" i="46"/>
  <c r="DG21" i="46"/>
  <c r="DA35" i="46"/>
  <c r="DA21" i="46"/>
  <c r="CU35" i="46"/>
  <c r="CU21" i="46"/>
  <c r="CO35" i="46"/>
  <c r="CO21" i="46"/>
  <c r="CI21" i="46"/>
  <c r="CA35" i="46"/>
  <c r="CA21" i="46"/>
  <c r="BU35" i="46"/>
  <c r="BU21" i="46"/>
  <c r="BO35" i="46"/>
  <c r="BO21" i="46"/>
  <c r="BI35" i="46"/>
  <c r="BI21" i="46"/>
  <c r="BC35" i="46"/>
  <c r="BC21" i="46"/>
  <c r="AW35" i="46"/>
  <c r="AW21" i="46"/>
  <c r="AQ35" i="46"/>
  <c r="AK21" i="46"/>
  <c r="AE21" i="46"/>
  <c r="Y35" i="46"/>
  <c r="Y21" i="46"/>
  <c r="S35" i="46"/>
  <c r="S21" i="46"/>
  <c r="M35" i="46"/>
  <c r="M21" i="46"/>
  <c r="I35" i="46"/>
  <c r="I21" i="46"/>
  <c r="BL36" i="45"/>
  <c r="BL35" i="6"/>
  <c r="BL21" i="6"/>
  <c r="BI36" i="45"/>
  <c r="BI35" i="6"/>
  <c r="BI21" i="6"/>
  <c r="BF36" i="45"/>
  <c r="BF35" i="6"/>
  <c r="BF21" i="6"/>
  <c r="BC36" i="45"/>
  <c r="BC35" i="6"/>
  <c r="BC21" i="6"/>
  <c r="AZ36" i="45"/>
  <c r="AZ35" i="6"/>
  <c r="AZ21" i="6"/>
  <c r="AW36" i="45"/>
  <c r="AW35" i="6"/>
  <c r="AW21" i="6"/>
  <c r="L55" i="50"/>
  <c r="L56" i="50"/>
  <c r="L57" i="50"/>
  <c r="L69" i="50"/>
  <c r="L68" i="50"/>
  <c r="L67" i="50"/>
  <c r="L66" i="50"/>
  <c r="L65" i="50"/>
  <c r="L75" i="50"/>
  <c r="L54" i="50"/>
  <c r="L53" i="50"/>
  <c r="L44" i="50"/>
  <c r="L45" i="50"/>
  <c r="L46" i="50"/>
  <c r="L47" i="50"/>
  <c r="L43" i="50"/>
  <c r="L42" i="50"/>
  <c r="L50" i="50"/>
  <c r="L41" i="50"/>
  <c r="L31" i="50"/>
  <c r="L30" i="50"/>
  <c r="L29" i="50"/>
  <c r="L19" i="50"/>
  <c r="L18" i="50"/>
  <c r="L26" i="50"/>
  <c r="L17" i="50"/>
  <c r="L6" i="50"/>
  <c r="L7" i="50"/>
  <c r="L8" i="50"/>
  <c r="L9" i="50"/>
  <c r="L5" i="50"/>
  <c r="L25" i="50"/>
  <c r="F66" i="50"/>
  <c r="F67" i="50"/>
  <c r="F68" i="50"/>
  <c r="F69" i="50"/>
  <c r="F54" i="50"/>
  <c r="F55" i="50"/>
  <c r="F56" i="50"/>
  <c r="F57" i="50"/>
  <c r="F65" i="50"/>
  <c r="F53" i="50"/>
  <c r="F46" i="50"/>
  <c r="F47" i="50"/>
  <c r="F45" i="50"/>
  <c r="F44" i="50"/>
  <c r="F43" i="50"/>
  <c r="F42" i="50"/>
  <c r="F41" i="50"/>
  <c r="F31" i="50"/>
  <c r="F30" i="50"/>
  <c r="F29" i="50"/>
  <c r="F18" i="50"/>
  <c r="F19" i="50"/>
  <c r="F17" i="50"/>
  <c r="F6" i="50"/>
  <c r="F7" i="50"/>
  <c r="F8" i="50"/>
  <c r="F9" i="50"/>
  <c r="F5" i="50"/>
  <c r="W75" i="50"/>
  <c r="V75" i="50"/>
  <c r="W74" i="50"/>
  <c r="V74" i="50"/>
  <c r="W62" i="50"/>
  <c r="V62" i="50"/>
  <c r="W61" i="50"/>
  <c r="V61" i="50"/>
  <c r="W51" i="50"/>
  <c r="V51" i="50"/>
  <c r="W50" i="50"/>
  <c r="V50" i="50"/>
  <c r="W38" i="50"/>
  <c r="V38" i="50"/>
  <c r="W37" i="50"/>
  <c r="V37" i="50"/>
  <c r="W26" i="50"/>
  <c r="V26" i="50"/>
  <c r="W25" i="50"/>
  <c r="V25" i="50"/>
  <c r="W15" i="50"/>
  <c r="V15" i="50"/>
  <c r="W14" i="50"/>
  <c r="V14" i="50"/>
  <c r="Y75" i="50"/>
  <c r="X75" i="50"/>
  <c r="Y74" i="50"/>
  <c r="X74" i="50"/>
  <c r="Y62" i="50"/>
  <c r="X62" i="50"/>
  <c r="Y61" i="50"/>
  <c r="X61" i="50"/>
  <c r="Y51" i="50"/>
  <c r="X51" i="50"/>
  <c r="Y50" i="50"/>
  <c r="X50" i="50"/>
  <c r="Y38" i="50"/>
  <c r="X38" i="50"/>
  <c r="Y37" i="50"/>
  <c r="X37" i="50"/>
  <c r="Y26" i="50"/>
  <c r="X26" i="50"/>
  <c r="Y25" i="50"/>
  <c r="X25" i="50"/>
  <c r="Y15" i="50"/>
  <c r="X15" i="50"/>
  <c r="Y14" i="50"/>
  <c r="X14" i="50"/>
  <c r="T75" i="50"/>
  <c r="T74" i="50"/>
  <c r="T62" i="50"/>
  <c r="T61" i="50"/>
  <c r="T51" i="50"/>
  <c r="T50" i="50"/>
  <c r="T63" i="50"/>
  <c r="T38" i="50"/>
  <c r="T37" i="50"/>
  <c r="T26" i="50"/>
  <c r="T25" i="50"/>
  <c r="T27" i="50"/>
  <c r="T15" i="50"/>
  <c r="T14" i="50"/>
  <c r="AA66" i="50"/>
  <c r="AA67" i="50"/>
  <c r="AA68" i="50"/>
  <c r="AA69" i="50"/>
  <c r="AA54" i="50"/>
  <c r="AA55" i="50"/>
  <c r="AA56" i="50"/>
  <c r="AA57" i="50"/>
  <c r="AA65" i="50"/>
  <c r="AA53" i="50"/>
  <c r="AA42" i="50"/>
  <c r="AA43" i="50"/>
  <c r="AA44" i="50"/>
  <c r="AA45" i="50"/>
  <c r="AA46" i="50"/>
  <c r="AA47" i="50"/>
  <c r="AA48" i="50"/>
  <c r="AA41" i="50"/>
  <c r="AA30" i="50"/>
  <c r="AA31" i="50"/>
  <c r="AA29" i="50"/>
  <c r="AA18" i="50"/>
  <c r="AA26" i="50"/>
  <c r="AA19" i="50"/>
  <c r="AA17" i="50"/>
  <c r="AA5" i="50"/>
  <c r="AA6" i="50"/>
  <c r="AA7" i="50"/>
  <c r="AA8" i="50"/>
  <c r="AA9" i="50"/>
  <c r="AC75" i="50"/>
  <c r="AC74" i="50"/>
  <c r="AC62" i="50"/>
  <c r="AC61" i="50"/>
  <c r="AC51" i="50"/>
  <c r="AC50" i="50"/>
  <c r="AC76" i="50"/>
  <c r="AC38" i="50"/>
  <c r="AC37" i="50"/>
  <c r="AC26" i="50"/>
  <c r="AC25" i="50"/>
  <c r="AC15" i="50"/>
  <c r="AC14" i="50"/>
  <c r="AB75" i="50"/>
  <c r="AB74" i="50"/>
  <c r="AB62" i="50"/>
  <c r="AB61" i="50"/>
  <c r="AB51" i="50"/>
  <c r="AB50" i="50"/>
  <c r="AB76" i="50"/>
  <c r="AB38" i="50"/>
  <c r="AB37" i="50"/>
  <c r="AB26" i="50"/>
  <c r="AB25" i="50"/>
  <c r="AB15" i="50"/>
  <c r="AB14" i="50"/>
  <c r="AT36" i="45"/>
  <c r="AT35" i="6"/>
  <c r="AT21" i="6"/>
  <c r="G25" i="48"/>
  <c r="G14" i="48"/>
  <c r="G40" i="44"/>
  <c r="G27" i="44"/>
  <c r="G15" i="44"/>
  <c r="AQ36" i="45"/>
  <c r="AQ35" i="6"/>
  <c r="AQ21" i="6"/>
  <c r="P75" i="50"/>
  <c r="O75" i="50"/>
  <c r="N75" i="50"/>
  <c r="M75" i="50"/>
  <c r="K75" i="50"/>
  <c r="U75" i="50"/>
  <c r="S75" i="50"/>
  <c r="R75" i="50"/>
  <c r="Q75" i="50"/>
  <c r="J75" i="50"/>
  <c r="I75" i="50"/>
  <c r="H75" i="50"/>
  <c r="G75" i="50"/>
  <c r="E75" i="50"/>
  <c r="P74" i="50"/>
  <c r="O74" i="50"/>
  <c r="N74" i="50"/>
  <c r="M74" i="50"/>
  <c r="K74" i="50"/>
  <c r="U74" i="50"/>
  <c r="S74" i="50"/>
  <c r="R74" i="50"/>
  <c r="Q74" i="50"/>
  <c r="J74" i="50"/>
  <c r="I74" i="50"/>
  <c r="H74" i="50"/>
  <c r="G74" i="50"/>
  <c r="E74" i="50"/>
  <c r="P62" i="50"/>
  <c r="O62" i="50"/>
  <c r="N62" i="50"/>
  <c r="M62" i="50"/>
  <c r="K62" i="50"/>
  <c r="U62" i="50"/>
  <c r="S62" i="50"/>
  <c r="R62" i="50"/>
  <c r="Q62" i="50"/>
  <c r="J62" i="50"/>
  <c r="I62" i="50"/>
  <c r="H62" i="50"/>
  <c r="G62" i="50"/>
  <c r="E62" i="50"/>
  <c r="P61" i="50"/>
  <c r="O61" i="50"/>
  <c r="N61" i="50"/>
  <c r="M61" i="50"/>
  <c r="K61" i="50"/>
  <c r="U61" i="50"/>
  <c r="S61" i="50"/>
  <c r="R61" i="50"/>
  <c r="Q61" i="50"/>
  <c r="J61" i="50"/>
  <c r="I61" i="50"/>
  <c r="H61" i="50"/>
  <c r="G61" i="50"/>
  <c r="E61" i="50"/>
  <c r="P51" i="50"/>
  <c r="O51" i="50"/>
  <c r="N51" i="50"/>
  <c r="M51" i="50"/>
  <c r="K51" i="50"/>
  <c r="U51" i="50"/>
  <c r="S51" i="50"/>
  <c r="R51" i="50"/>
  <c r="Q51" i="50"/>
  <c r="J51" i="50"/>
  <c r="I51" i="50"/>
  <c r="H51" i="50"/>
  <c r="G51" i="50"/>
  <c r="E51" i="50"/>
  <c r="P50" i="50"/>
  <c r="P76" i="50"/>
  <c r="O50" i="50"/>
  <c r="N50" i="50"/>
  <c r="M50" i="50"/>
  <c r="M76" i="50"/>
  <c r="K50" i="50"/>
  <c r="K76" i="50"/>
  <c r="U50" i="50"/>
  <c r="S50" i="50"/>
  <c r="R50" i="50"/>
  <c r="R76" i="50"/>
  <c r="Q76" i="50"/>
  <c r="J50" i="50"/>
  <c r="I50" i="50"/>
  <c r="H50" i="50"/>
  <c r="H63" i="50"/>
  <c r="G50" i="50"/>
  <c r="E50" i="50"/>
  <c r="P38" i="50"/>
  <c r="O38" i="50"/>
  <c r="N38" i="50"/>
  <c r="M38" i="50"/>
  <c r="K38" i="50"/>
  <c r="U38" i="50"/>
  <c r="S38" i="50"/>
  <c r="R38" i="50"/>
  <c r="Q38" i="50"/>
  <c r="J38" i="50"/>
  <c r="I38" i="50"/>
  <c r="H38" i="50"/>
  <c r="G38" i="50"/>
  <c r="E38" i="50"/>
  <c r="P37" i="50"/>
  <c r="O37" i="50"/>
  <c r="N37" i="50"/>
  <c r="M37" i="50"/>
  <c r="K37" i="50"/>
  <c r="U37" i="50"/>
  <c r="S37" i="50"/>
  <c r="R37" i="50"/>
  <c r="Q37" i="50"/>
  <c r="J37" i="50"/>
  <c r="I37" i="50"/>
  <c r="H37" i="50"/>
  <c r="G37" i="50"/>
  <c r="E37" i="50"/>
  <c r="P26" i="50"/>
  <c r="O26" i="50"/>
  <c r="N26" i="50"/>
  <c r="M26" i="50"/>
  <c r="K26" i="50"/>
  <c r="U26" i="50"/>
  <c r="S26" i="50"/>
  <c r="R26" i="50"/>
  <c r="Q26" i="50"/>
  <c r="J26" i="50"/>
  <c r="I26" i="50"/>
  <c r="H26" i="50"/>
  <c r="G26" i="50"/>
  <c r="E26" i="50"/>
  <c r="P25" i="50"/>
  <c r="O25" i="50"/>
  <c r="N25" i="50"/>
  <c r="M25" i="50"/>
  <c r="K25" i="50"/>
  <c r="U25" i="50"/>
  <c r="S25" i="50"/>
  <c r="R25" i="50"/>
  <c r="Q25" i="50"/>
  <c r="J25" i="50"/>
  <c r="I25" i="50"/>
  <c r="H25" i="50"/>
  <c r="G25" i="50"/>
  <c r="E25" i="50"/>
  <c r="P15" i="50"/>
  <c r="O15" i="50"/>
  <c r="N15" i="50"/>
  <c r="M15" i="50"/>
  <c r="K15" i="50"/>
  <c r="U15" i="50"/>
  <c r="S15" i="50"/>
  <c r="R15" i="50"/>
  <c r="Q15" i="50"/>
  <c r="J15" i="50"/>
  <c r="I15" i="50"/>
  <c r="H15" i="50"/>
  <c r="G15" i="50"/>
  <c r="E15" i="50"/>
  <c r="P14" i="50"/>
  <c r="P39" i="50"/>
  <c r="O14" i="50"/>
  <c r="N14" i="50"/>
  <c r="M14" i="50"/>
  <c r="M39" i="50"/>
  <c r="K14" i="50"/>
  <c r="K27" i="50"/>
  <c r="U14" i="50"/>
  <c r="S14" i="50"/>
  <c r="R14" i="50"/>
  <c r="Q14" i="50"/>
  <c r="Q39" i="50"/>
  <c r="J14" i="50"/>
  <c r="I14" i="50"/>
  <c r="H14" i="50"/>
  <c r="H39" i="50"/>
  <c r="G14" i="50"/>
  <c r="G39" i="50"/>
  <c r="E14" i="50"/>
  <c r="W1" i="50"/>
  <c r="AN36" i="45"/>
  <c r="AN35" i="6"/>
  <c r="AN21" i="6"/>
  <c r="AK36" i="45"/>
  <c r="AK35" i="6"/>
  <c r="AK21" i="6"/>
  <c r="AH36" i="45"/>
  <c r="AH35" i="6"/>
  <c r="AH21" i="6"/>
  <c r="AE36" i="45"/>
  <c r="AE35" i="6"/>
  <c r="AE21" i="6"/>
  <c r="AD42" i="6"/>
  <c r="F67" i="6"/>
  <c r="AK35" i="46"/>
  <c r="AB36" i="45"/>
  <c r="AB35" i="6"/>
  <c r="AB21" i="6"/>
  <c r="Y19" i="46"/>
  <c r="AE19" i="46"/>
  <c r="Y36" i="45"/>
  <c r="Y35" i="6"/>
  <c r="Y21" i="6"/>
  <c r="V36" i="45"/>
  <c r="V35" i="6"/>
  <c r="V21" i="6"/>
  <c r="S36" i="45"/>
  <c r="P36" i="45"/>
  <c r="S35" i="6"/>
  <c r="S21" i="6"/>
  <c r="P35" i="6"/>
  <c r="P21" i="6"/>
  <c r="G78" i="46"/>
  <c r="F78" i="46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M36" i="45"/>
  <c r="N36" i="45"/>
  <c r="Q36" i="45"/>
  <c r="T36" i="45"/>
  <c r="W36" i="45"/>
  <c r="Z36" i="45"/>
  <c r="AC36" i="45"/>
  <c r="AF36" i="45"/>
  <c r="AI36" i="45"/>
  <c r="AL36" i="45"/>
  <c r="M35" i="6"/>
  <c r="M21" i="6"/>
  <c r="K36" i="45"/>
  <c r="K35" i="6"/>
  <c r="K21" i="6"/>
  <c r="X78" i="46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E78" i="46"/>
  <c r="H29" i="6"/>
  <c r="E59" i="6"/>
  <c r="H42" i="6"/>
  <c r="I37" i="6"/>
  <c r="H43" i="6"/>
  <c r="G59" i="6"/>
  <c r="T68" i="42"/>
  <c r="T67" i="42"/>
  <c r="R74" i="42"/>
  <c r="R73" i="42"/>
  <c r="R22" i="42"/>
  <c r="R21" i="42"/>
  <c r="BV38" i="48"/>
  <c r="BU38" i="48"/>
  <c r="BT38" i="48"/>
  <c r="BS38" i="48"/>
  <c r="BR38" i="48"/>
  <c r="BV37" i="48"/>
  <c r="BU37" i="48"/>
  <c r="BT37" i="48"/>
  <c r="BS37" i="48"/>
  <c r="BR37" i="48"/>
  <c r="BV25" i="48"/>
  <c r="BU25" i="48"/>
  <c r="BT25" i="48"/>
  <c r="BS25" i="48"/>
  <c r="BR25" i="48"/>
  <c r="BV24" i="48"/>
  <c r="BU24" i="48"/>
  <c r="BT24" i="48"/>
  <c r="BS24" i="48"/>
  <c r="BR24" i="48"/>
  <c r="BV14" i="48"/>
  <c r="BU14" i="48"/>
  <c r="BT14" i="48"/>
  <c r="BS14" i="48"/>
  <c r="BR14" i="48"/>
  <c r="BV13" i="48"/>
  <c r="BV26" i="48"/>
  <c r="BU13" i="48"/>
  <c r="BU39" i="48"/>
  <c r="BT13" i="48"/>
  <c r="BS13" i="48"/>
  <c r="BS26" i="48"/>
  <c r="BR13" i="48"/>
  <c r="BV40" i="44"/>
  <c r="BU40" i="44"/>
  <c r="BT40" i="44"/>
  <c r="BS40" i="44"/>
  <c r="BR40" i="44"/>
  <c r="BV39" i="44"/>
  <c r="BU39" i="44"/>
  <c r="BT39" i="44"/>
  <c r="BS39" i="44"/>
  <c r="BR39" i="44"/>
  <c r="BV27" i="44"/>
  <c r="BU27" i="44"/>
  <c r="BT27" i="44"/>
  <c r="BS27" i="44"/>
  <c r="BR27" i="44"/>
  <c r="BV26" i="44"/>
  <c r="BU26" i="44"/>
  <c r="BT26" i="44"/>
  <c r="BS26" i="44"/>
  <c r="BR26" i="44"/>
  <c r="BV15" i="44"/>
  <c r="BU15" i="44"/>
  <c r="BT15" i="44"/>
  <c r="BS15" i="44"/>
  <c r="BR15" i="44"/>
  <c r="BV14" i="44"/>
  <c r="BV41" i="44"/>
  <c r="BU14" i="44"/>
  <c r="BU41" i="44"/>
  <c r="BT14" i="44"/>
  <c r="BT41" i="44"/>
  <c r="BS14" i="44"/>
  <c r="BR14" i="44"/>
  <c r="BR28" i="44"/>
  <c r="BM14" i="44"/>
  <c r="BN14" i="44"/>
  <c r="BO14" i="44"/>
  <c r="BP14" i="44"/>
  <c r="BM15" i="44"/>
  <c r="BN15" i="44"/>
  <c r="BO15" i="44"/>
  <c r="BP15" i="44"/>
  <c r="BM26" i="44"/>
  <c r="BN26" i="44"/>
  <c r="BO26" i="44"/>
  <c r="BP26" i="44"/>
  <c r="BM27" i="44"/>
  <c r="BN27" i="44"/>
  <c r="BO27" i="44"/>
  <c r="BP27" i="44"/>
  <c r="BM39" i="44"/>
  <c r="BN39" i="44"/>
  <c r="BN41" i="44"/>
  <c r="BO39" i="44"/>
  <c r="BP39" i="44"/>
  <c r="BM40" i="44"/>
  <c r="BN40" i="44"/>
  <c r="BO40" i="44"/>
  <c r="BP40" i="44"/>
  <c r="BP38" i="48"/>
  <c r="BO38" i="48"/>
  <c r="BN38" i="48"/>
  <c r="BM38" i="48"/>
  <c r="BL38" i="48"/>
  <c r="BK38" i="48"/>
  <c r="BJ38" i="48"/>
  <c r="BI38" i="48"/>
  <c r="BH38" i="48"/>
  <c r="BP37" i="48"/>
  <c r="BO37" i="48"/>
  <c r="BN37" i="48"/>
  <c r="BM37" i="48"/>
  <c r="BL37" i="48"/>
  <c r="BK37" i="48"/>
  <c r="BJ37" i="48"/>
  <c r="BI37" i="48"/>
  <c r="BH37" i="48"/>
  <c r="BH39" i="48"/>
  <c r="BP25" i="48"/>
  <c r="BO25" i="48"/>
  <c r="BN25" i="48"/>
  <c r="BM25" i="48"/>
  <c r="BL25" i="48"/>
  <c r="BK25" i="48"/>
  <c r="BJ25" i="48"/>
  <c r="BI25" i="48"/>
  <c r="BH25" i="48"/>
  <c r="BP24" i="48"/>
  <c r="BO24" i="48"/>
  <c r="BN24" i="48"/>
  <c r="BM24" i="48"/>
  <c r="BL24" i="48"/>
  <c r="BK24" i="48"/>
  <c r="BJ24" i="48"/>
  <c r="BI24" i="48"/>
  <c r="BH24" i="48"/>
  <c r="BH26" i="48"/>
  <c r="BP14" i="48"/>
  <c r="BO14" i="48"/>
  <c r="BN14" i="48"/>
  <c r="BM14" i="48"/>
  <c r="BL14" i="48"/>
  <c r="BK14" i="48"/>
  <c r="BJ14" i="48"/>
  <c r="BI14" i="48"/>
  <c r="BH14" i="48"/>
  <c r="BP13" i="48"/>
  <c r="BO13" i="48"/>
  <c r="BN13" i="48"/>
  <c r="BN26" i="48"/>
  <c r="BM13" i="48"/>
  <c r="BL13" i="48"/>
  <c r="BL39" i="48"/>
  <c r="BK13" i="48"/>
  <c r="BK39" i="48"/>
  <c r="BJ13" i="48"/>
  <c r="BJ39" i="48"/>
  <c r="BJ26" i="48"/>
  <c r="BI13" i="48"/>
  <c r="BI39" i="48"/>
  <c r="BH13" i="48"/>
  <c r="BI40" i="44"/>
  <c r="BI39" i="44"/>
  <c r="BI27" i="44"/>
  <c r="BI26" i="44"/>
  <c r="BI15" i="44"/>
  <c r="BI14" i="44"/>
  <c r="BJ40" i="44"/>
  <c r="BJ39" i="44"/>
  <c r="BJ27" i="44"/>
  <c r="BJ26" i="44"/>
  <c r="BJ15" i="44"/>
  <c r="BJ14" i="44"/>
  <c r="BJ41" i="44"/>
  <c r="BL40" i="44"/>
  <c r="BK40" i="44"/>
  <c r="BH40" i="44"/>
  <c r="BL39" i="44"/>
  <c r="BK39" i="44"/>
  <c r="BH39" i="44"/>
  <c r="BL27" i="44"/>
  <c r="BK27" i="44"/>
  <c r="BH27" i="44"/>
  <c r="BL26" i="44"/>
  <c r="BK26" i="44"/>
  <c r="BH26" i="44"/>
  <c r="BH28" i="44"/>
  <c r="BL15" i="44"/>
  <c r="BK15" i="44"/>
  <c r="BH15" i="44"/>
  <c r="BL14" i="44"/>
  <c r="BL41" i="44"/>
  <c r="BK14" i="44"/>
  <c r="BH14" i="44"/>
  <c r="BH41" i="44"/>
  <c r="DG57" i="46"/>
  <c r="BI49" i="45"/>
  <c r="BI53" i="6"/>
  <c r="BI52" i="6"/>
  <c r="BI51" i="6"/>
  <c r="DA58" i="33"/>
  <c r="DA59" i="46"/>
  <c r="DA58" i="46"/>
  <c r="DA57" i="46"/>
  <c r="BF49" i="45"/>
  <c r="BF53" i="6"/>
  <c r="BF52" i="6"/>
  <c r="BF51" i="6"/>
  <c r="CU58" i="33"/>
  <c r="CU59" i="46"/>
  <c r="CU58" i="46"/>
  <c r="CU57" i="46"/>
  <c r="BC49" i="45"/>
  <c r="BC53" i="6"/>
  <c r="BC52" i="6"/>
  <c r="BC51" i="6"/>
  <c r="CO58" i="33"/>
  <c r="CQ58" i="33"/>
  <c r="CO59" i="46"/>
  <c r="CO58" i="46"/>
  <c r="CO57" i="46"/>
  <c r="AZ49" i="45"/>
  <c r="AZ53" i="6"/>
  <c r="AZ52" i="6"/>
  <c r="AZ51" i="6"/>
  <c r="BU35" i="33"/>
  <c r="CA58" i="33"/>
  <c r="BU58" i="33"/>
  <c r="BW58" i="33"/>
  <c r="BU36" i="33"/>
  <c r="BO58" i="33"/>
  <c r="BQ58" i="33"/>
  <c r="BO36" i="33"/>
  <c r="BO35" i="33"/>
  <c r="BO23" i="33"/>
  <c r="BO22" i="33"/>
  <c r="BO21" i="33"/>
  <c r="BO20" i="33"/>
  <c r="BI35" i="33"/>
  <c r="BI36" i="33"/>
  <c r="BI58" i="33"/>
  <c r="BI34" i="33"/>
  <c r="BI43" i="33"/>
  <c r="BI21" i="33"/>
  <c r="BI22" i="33"/>
  <c r="BI23" i="33"/>
  <c r="BI20" i="33"/>
  <c r="BI11" i="33"/>
  <c r="BC58" i="33"/>
  <c r="AQ58" i="33"/>
  <c r="AW58" i="33"/>
  <c r="AW32" i="33"/>
  <c r="BC34" i="33"/>
  <c r="AW33" i="33"/>
  <c r="AY33" i="33"/>
  <c r="AW34" i="33"/>
  <c r="AW35" i="33"/>
  <c r="AY35" i="33"/>
  <c r="AW36" i="33"/>
  <c r="BC35" i="33"/>
  <c r="BC36" i="33"/>
  <c r="CI58" i="33"/>
  <c r="CI59" i="46"/>
  <c r="CI58" i="46"/>
  <c r="CI57" i="46"/>
  <c r="CI8" i="46"/>
  <c r="AW49" i="45"/>
  <c r="AW53" i="6"/>
  <c r="AW52" i="6"/>
  <c r="AW51" i="6"/>
  <c r="CB58" i="33"/>
  <c r="CC58" i="33"/>
  <c r="BZ59" i="46"/>
  <c r="CA59" i="46"/>
  <c r="CA58" i="46"/>
  <c r="CC58" i="46"/>
  <c r="CA57" i="46"/>
  <c r="AT49" i="45"/>
  <c r="AT53" i="6"/>
  <c r="AT52" i="6"/>
  <c r="AT51" i="6"/>
  <c r="BU59" i="46"/>
  <c r="BU58" i="46"/>
  <c r="BU57" i="46"/>
  <c r="AQ49" i="45"/>
  <c r="AQ53" i="6"/>
  <c r="AQ52" i="6"/>
  <c r="AQ51" i="6"/>
  <c r="BO59" i="46"/>
  <c r="BO58" i="46"/>
  <c r="BO8" i="46"/>
  <c r="BO57" i="46"/>
  <c r="AN49" i="45"/>
  <c r="AN53" i="6"/>
  <c r="AN52" i="6"/>
  <c r="AN51" i="6"/>
  <c r="BI59" i="46"/>
  <c r="BI58" i="46"/>
  <c r="BI57" i="46"/>
  <c r="AK49" i="45"/>
  <c r="AK53" i="6"/>
  <c r="AK52" i="6"/>
  <c r="AK51" i="6"/>
  <c r="BC8" i="46"/>
  <c r="BC54" i="46"/>
  <c r="BC57" i="46"/>
  <c r="BC59" i="46"/>
  <c r="BC58" i="46"/>
  <c r="AH49" i="45"/>
  <c r="AH53" i="6"/>
  <c r="AH52" i="6"/>
  <c r="AH51" i="6"/>
  <c r="Y57" i="46"/>
  <c r="AW59" i="46"/>
  <c r="AW58" i="46"/>
  <c r="AW57" i="46"/>
  <c r="AE49" i="45"/>
  <c r="AE53" i="6"/>
  <c r="AE52" i="6"/>
  <c r="AE51" i="6"/>
  <c r="AQ59" i="46"/>
  <c r="AQ57" i="46"/>
  <c r="AB49" i="45"/>
  <c r="AB53" i="6"/>
  <c r="AB52" i="6"/>
  <c r="AB51" i="6"/>
  <c r="AK58" i="33"/>
  <c r="AK59" i="46"/>
  <c r="AK58" i="46"/>
  <c r="AK57" i="46"/>
  <c r="Y49" i="45"/>
  <c r="Y53" i="6"/>
  <c r="Y52" i="6"/>
  <c r="Y51" i="6"/>
  <c r="AW76" i="45"/>
  <c r="AE58" i="33"/>
  <c r="AE59" i="46"/>
  <c r="AE58" i="46"/>
  <c r="AE57" i="46"/>
  <c r="V49" i="45"/>
  <c r="V52" i="6"/>
  <c r="V53" i="6"/>
  <c r="V51" i="6"/>
  <c r="Y58" i="33"/>
  <c r="AA58" i="33"/>
  <c r="Y59" i="46"/>
  <c r="Y60" i="46"/>
  <c r="Y58" i="46"/>
  <c r="S49" i="45"/>
  <c r="S53" i="6"/>
  <c r="S50" i="6"/>
  <c r="S52" i="6"/>
  <c r="S51" i="6"/>
  <c r="S58" i="33"/>
  <c r="S59" i="46"/>
  <c r="S60" i="46"/>
  <c r="S58" i="46"/>
  <c r="S57" i="46"/>
  <c r="P49" i="45"/>
  <c r="P53" i="6"/>
  <c r="P50" i="6"/>
  <c r="P52" i="6"/>
  <c r="P51" i="6"/>
  <c r="M58" i="33"/>
  <c r="O58" i="33"/>
  <c r="M59" i="46"/>
  <c r="M60" i="46"/>
  <c r="M58" i="46"/>
  <c r="M57" i="46"/>
  <c r="M49" i="45"/>
  <c r="N49" i="45"/>
  <c r="Q49" i="45"/>
  <c r="T49" i="45"/>
  <c r="W49" i="45"/>
  <c r="Z49" i="45"/>
  <c r="AC49" i="45"/>
  <c r="AF49" i="45"/>
  <c r="AI49" i="45"/>
  <c r="AL49" i="45"/>
  <c r="AO49" i="45"/>
  <c r="AR49" i="45"/>
  <c r="M53" i="6"/>
  <c r="M50" i="6"/>
  <c r="M52" i="6"/>
  <c r="M51" i="6"/>
  <c r="I58" i="33"/>
  <c r="I59" i="46"/>
  <c r="I60" i="46"/>
  <c r="I58" i="46"/>
  <c r="I57" i="46"/>
  <c r="K49" i="45"/>
  <c r="K53" i="6"/>
  <c r="K50" i="6"/>
  <c r="K52" i="6"/>
  <c r="K51" i="6"/>
  <c r="X32" i="48"/>
  <c r="Z32" i="48"/>
  <c r="AB32" i="48"/>
  <c r="AD32" i="48"/>
  <c r="AF32" i="48"/>
  <c r="AH32" i="48"/>
  <c r="AK32" i="48"/>
  <c r="AL32" i="48"/>
  <c r="AN32" i="48"/>
  <c r="AO32" i="48"/>
  <c r="AQ32" i="48"/>
  <c r="AR32" i="48"/>
  <c r="AT32" i="48"/>
  <c r="AV32" i="48"/>
  <c r="AX32" i="48"/>
  <c r="X20" i="48"/>
  <c r="Z20" i="48"/>
  <c r="AB20" i="48"/>
  <c r="AD20" i="48"/>
  <c r="AF20" i="48"/>
  <c r="AH20" i="48"/>
  <c r="AK20" i="48"/>
  <c r="AL20" i="48"/>
  <c r="AN20" i="48"/>
  <c r="AO20" i="48"/>
  <c r="AQ20" i="48"/>
  <c r="AR20" i="48"/>
  <c r="AT20" i="48"/>
  <c r="AU20" i="48"/>
  <c r="AV20" i="48"/>
  <c r="AX20" i="48"/>
  <c r="Z31" i="48"/>
  <c r="AB31" i="48"/>
  <c r="AD31" i="48"/>
  <c r="AF31" i="48"/>
  <c r="AH31" i="48"/>
  <c r="AK31" i="48"/>
  <c r="AL31" i="48"/>
  <c r="AN31" i="48"/>
  <c r="AO31" i="48"/>
  <c r="AQ31" i="48"/>
  <c r="AR31" i="48"/>
  <c r="AT31" i="48"/>
  <c r="AU31" i="48"/>
  <c r="AX31" i="48"/>
  <c r="X31" i="48"/>
  <c r="X32" i="44"/>
  <c r="Z32" i="44"/>
  <c r="AB32" i="44"/>
  <c r="AD32" i="44"/>
  <c r="AF32" i="44"/>
  <c r="AH32" i="44"/>
  <c r="AK32" i="44"/>
  <c r="AL32" i="44"/>
  <c r="AN32" i="44"/>
  <c r="AO32" i="44"/>
  <c r="AQ32" i="44"/>
  <c r="AR32" i="44"/>
  <c r="AT32" i="44"/>
  <c r="AU32" i="44"/>
  <c r="AX32" i="44"/>
  <c r="AY32" i="44"/>
  <c r="K31" i="48"/>
  <c r="K32" i="48"/>
  <c r="K20" i="48"/>
  <c r="DY35" i="33"/>
  <c r="DY36" i="33"/>
  <c r="DY33" i="33"/>
  <c r="DY34" i="33"/>
  <c r="DY23" i="33"/>
  <c r="DY34" i="46"/>
  <c r="BR35" i="45"/>
  <c r="BR23" i="45"/>
  <c r="BR34" i="6"/>
  <c r="DS35" i="33"/>
  <c r="DS36" i="33"/>
  <c r="DS23" i="33"/>
  <c r="DS34" i="46"/>
  <c r="BO35" i="45"/>
  <c r="BO23" i="45"/>
  <c r="BO34" i="6"/>
  <c r="DM35" i="33"/>
  <c r="DM36" i="33"/>
  <c r="DO36" i="33"/>
  <c r="DM23" i="33"/>
  <c r="DM34" i="46"/>
  <c r="BL35" i="45"/>
  <c r="BL23" i="45"/>
  <c r="BL34" i="6"/>
  <c r="DG35" i="33"/>
  <c r="DI35" i="33"/>
  <c r="DG36" i="33"/>
  <c r="DG23" i="33"/>
  <c r="DG34" i="46"/>
  <c r="BI35" i="45"/>
  <c r="BI23" i="45"/>
  <c r="BI34" i="6"/>
  <c r="DA35" i="33"/>
  <c r="DA36" i="33"/>
  <c r="DA23" i="33"/>
  <c r="DA34" i="46"/>
  <c r="BF35" i="45"/>
  <c r="BF23" i="45"/>
  <c r="BF34" i="6"/>
  <c r="CU23" i="33"/>
  <c r="CU34" i="46"/>
  <c r="BC35" i="45"/>
  <c r="BC23" i="45"/>
  <c r="BC34" i="6"/>
  <c r="CO35" i="33"/>
  <c r="CO36" i="33"/>
  <c r="CO23" i="33"/>
  <c r="CO34" i="46"/>
  <c r="AZ35" i="45"/>
  <c r="AZ23" i="45"/>
  <c r="AZ34" i="6"/>
  <c r="CI35" i="33"/>
  <c r="CI36" i="33"/>
  <c r="CI34" i="33"/>
  <c r="CI23" i="33"/>
  <c r="CI34" i="46"/>
  <c r="AW35" i="45"/>
  <c r="AW23" i="45"/>
  <c r="AW34" i="6"/>
  <c r="CA23" i="33"/>
  <c r="CA36" i="33"/>
  <c r="CA35" i="33"/>
  <c r="CC35" i="33"/>
  <c r="CA34" i="46"/>
  <c r="AT35" i="45"/>
  <c r="AT23" i="45"/>
  <c r="AT34" i="6"/>
  <c r="BU23" i="33"/>
  <c r="BW23" i="33"/>
  <c r="BU20" i="33"/>
  <c r="BW20" i="33"/>
  <c r="BU21" i="33"/>
  <c r="BU22" i="33"/>
  <c r="BU34" i="46"/>
  <c r="AQ35" i="45"/>
  <c r="AQ23" i="45"/>
  <c r="AQ34" i="6"/>
  <c r="BO34" i="46"/>
  <c r="AN35" i="45"/>
  <c r="AN23" i="45"/>
  <c r="AN34" i="6"/>
  <c r="BI34" i="46"/>
  <c r="AK35" i="45"/>
  <c r="AK23" i="45"/>
  <c r="AK34" i="6"/>
  <c r="BC23" i="33"/>
  <c r="BC34" i="46"/>
  <c r="AH35" i="45"/>
  <c r="AH23" i="45"/>
  <c r="AH34" i="6"/>
  <c r="AW34" i="46"/>
  <c r="AE35" i="45"/>
  <c r="AE23" i="45"/>
  <c r="AE34" i="6"/>
  <c r="AQ36" i="33"/>
  <c r="AS36" i="33"/>
  <c r="AQ35" i="33"/>
  <c r="AQ23" i="33"/>
  <c r="AQ34" i="46"/>
  <c r="AB35" i="45"/>
  <c r="AB23" i="45"/>
  <c r="AB34" i="6"/>
  <c r="AK23" i="33"/>
  <c r="AK34" i="46"/>
  <c r="Y35" i="45"/>
  <c r="Y23" i="45"/>
  <c r="Y34" i="6"/>
  <c r="AW63" i="45"/>
  <c r="AW62" i="45"/>
  <c r="AW75" i="45"/>
  <c r="AE35" i="33"/>
  <c r="AE36" i="33"/>
  <c r="AE23" i="33"/>
  <c r="V35" i="45"/>
  <c r="V23" i="45"/>
  <c r="V34" i="6"/>
  <c r="Y35" i="33"/>
  <c r="Y36" i="33"/>
  <c r="Y23" i="33"/>
  <c r="Y34" i="46"/>
  <c r="S35" i="45"/>
  <c r="S23" i="45"/>
  <c r="S34" i="6"/>
  <c r="S35" i="33"/>
  <c r="S32" i="33"/>
  <c r="S33" i="33"/>
  <c r="S34" i="33"/>
  <c r="S36" i="33"/>
  <c r="S23" i="33"/>
  <c r="S34" i="46"/>
  <c r="P35" i="45"/>
  <c r="P23" i="45"/>
  <c r="P34" i="6"/>
  <c r="M35" i="33"/>
  <c r="M36" i="33"/>
  <c r="I36" i="33"/>
  <c r="M23" i="33"/>
  <c r="M34" i="46"/>
  <c r="M35" i="45"/>
  <c r="M23" i="45"/>
  <c r="M34" i="6"/>
  <c r="I35" i="33"/>
  <c r="I23" i="33"/>
  <c r="J23" i="33"/>
  <c r="I34" i="46"/>
  <c r="K35" i="45"/>
  <c r="K23" i="45"/>
  <c r="K34" i="6"/>
  <c r="AX30" i="48"/>
  <c r="AX29" i="48"/>
  <c r="AX28" i="48"/>
  <c r="AX19" i="48"/>
  <c r="AX18" i="48"/>
  <c r="AX17" i="48"/>
  <c r="AX16" i="48"/>
  <c r="AX5" i="48"/>
  <c r="AX6" i="48"/>
  <c r="AX7" i="48"/>
  <c r="AX8" i="48"/>
  <c r="AX9" i="48"/>
  <c r="AX10" i="48"/>
  <c r="AX11" i="48"/>
  <c r="AT30" i="48"/>
  <c r="AV30" i="48"/>
  <c r="AT29" i="48"/>
  <c r="AT28" i="48"/>
  <c r="AU28" i="48"/>
  <c r="AT19" i="48"/>
  <c r="AT18" i="48"/>
  <c r="AV18" i="48"/>
  <c r="AT17" i="48"/>
  <c r="AU17" i="48"/>
  <c r="AT16" i="48"/>
  <c r="AV16" i="48"/>
  <c r="AT5" i="48"/>
  <c r="AU5" i="48"/>
  <c r="AT6" i="48"/>
  <c r="AV6" i="48"/>
  <c r="AT7" i="48"/>
  <c r="AV7" i="48"/>
  <c r="AT8" i="48"/>
  <c r="AU8" i="48"/>
  <c r="AT9" i="48"/>
  <c r="AU9" i="48"/>
  <c r="AT10" i="48"/>
  <c r="AV10" i="48"/>
  <c r="AT11" i="48"/>
  <c r="AV11" i="48"/>
  <c r="AR30" i="48"/>
  <c r="AQ30" i="48"/>
  <c r="AR29" i="48"/>
  <c r="AQ29" i="48"/>
  <c r="AR28" i="48"/>
  <c r="AQ28" i="48"/>
  <c r="AR19" i="48"/>
  <c r="AQ19" i="48"/>
  <c r="AR18" i="48"/>
  <c r="AQ18" i="48"/>
  <c r="AR17" i="48"/>
  <c r="AQ17" i="48"/>
  <c r="AR16" i="48"/>
  <c r="AQ16" i="48"/>
  <c r="AQ5" i="48"/>
  <c r="AR5" i="48"/>
  <c r="AQ6" i="48"/>
  <c r="AR6" i="48"/>
  <c r="AQ7" i="48"/>
  <c r="AR7" i="48"/>
  <c r="AQ8" i="48"/>
  <c r="AR8" i="48"/>
  <c r="AQ9" i="48"/>
  <c r="AR9" i="48"/>
  <c r="AQ10" i="48"/>
  <c r="AR10" i="48"/>
  <c r="AQ11" i="48"/>
  <c r="AR11" i="48"/>
  <c r="AR4" i="48"/>
  <c r="AO30" i="48"/>
  <c r="AN30" i="48"/>
  <c r="AO29" i="48"/>
  <c r="AN29" i="48"/>
  <c r="AO28" i="48"/>
  <c r="AN28" i="48"/>
  <c r="AO19" i="48"/>
  <c r="AN19" i="48"/>
  <c r="AO18" i="48"/>
  <c r="AN18" i="48"/>
  <c r="AO17" i="48"/>
  <c r="AN17" i="48"/>
  <c r="AO16" i="48"/>
  <c r="AN16" i="48"/>
  <c r="AN5" i="48"/>
  <c r="AO5" i="48"/>
  <c r="AN6" i="48"/>
  <c r="AO6" i="48"/>
  <c r="AN7" i="48"/>
  <c r="AO7" i="48"/>
  <c r="AN8" i="48"/>
  <c r="AO8" i="48"/>
  <c r="AN9" i="48"/>
  <c r="AO9" i="48"/>
  <c r="AN10" i="48"/>
  <c r="AO10" i="48"/>
  <c r="AN11" i="48"/>
  <c r="AO11" i="48"/>
  <c r="AO4" i="48"/>
  <c r="AK29" i="48"/>
  <c r="AL29" i="48"/>
  <c r="AK30" i="48"/>
  <c r="AL30" i="48"/>
  <c r="AK17" i="48"/>
  <c r="AL17" i="48"/>
  <c r="AK18" i="48"/>
  <c r="AL18" i="48"/>
  <c r="AK19" i="48"/>
  <c r="AL19" i="48"/>
  <c r="AK5" i="48"/>
  <c r="AL5" i="48"/>
  <c r="AK6" i="48"/>
  <c r="AL6" i="48"/>
  <c r="AK7" i="48"/>
  <c r="AL7" i="48"/>
  <c r="AK8" i="48"/>
  <c r="AL8" i="48"/>
  <c r="AK9" i="48"/>
  <c r="AL9" i="48"/>
  <c r="AK10" i="48"/>
  <c r="AL10" i="48"/>
  <c r="AK11" i="48"/>
  <c r="AL11" i="48"/>
  <c r="AL28" i="48"/>
  <c r="AK28" i="48"/>
  <c r="AL16" i="48"/>
  <c r="AK16" i="48"/>
  <c r="AL4" i="48"/>
  <c r="AH30" i="48"/>
  <c r="AH19" i="48"/>
  <c r="AH9" i="48"/>
  <c r="AH10" i="48"/>
  <c r="AH11" i="48"/>
  <c r="AF30" i="48"/>
  <c r="AF19" i="48"/>
  <c r="AF9" i="48"/>
  <c r="AF10" i="48"/>
  <c r="AF11" i="48"/>
  <c r="AD30" i="48"/>
  <c r="AD19" i="48"/>
  <c r="AD9" i="48"/>
  <c r="AD10" i="48"/>
  <c r="AD11" i="48"/>
  <c r="AB30" i="48"/>
  <c r="AB19" i="48"/>
  <c r="AB9" i="48"/>
  <c r="AB10" i="48"/>
  <c r="AB11" i="48"/>
  <c r="Z30" i="48"/>
  <c r="Z19" i="48"/>
  <c r="Z9" i="48"/>
  <c r="Z10" i="48"/>
  <c r="Z11" i="48"/>
  <c r="X19" i="48"/>
  <c r="X9" i="48"/>
  <c r="X10" i="48"/>
  <c r="X11" i="48"/>
  <c r="K30" i="48"/>
  <c r="K19" i="48"/>
  <c r="K9" i="48"/>
  <c r="K10" i="48"/>
  <c r="K11" i="48"/>
  <c r="AY31" i="44"/>
  <c r="AY30" i="44"/>
  <c r="AY19" i="44"/>
  <c r="AY18" i="44"/>
  <c r="AY17" i="44"/>
  <c r="AY5" i="44"/>
  <c r="AY6" i="44"/>
  <c r="AY7" i="44"/>
  <c r="AY8" i="44"/>
  <c r="AY4" i="44"/>
  <c r="AX31" i="44"/>
  <c r="AX19" i="44"/>
  <c r="AX8" i="44"/>
  <c r="AU8" i="44"/>
  <c r="AT31" i="44"/>
  <c r="AV31" i="44"/>
  <c r="AT19" i="44"/>
  <c r="AU19" i="44"/>
  <c r="AR31" i="44"/>
  <c r="AR18" i="44"/>
  <c r="AR19" i="44"/>
  <c r="AR30" i="44"/>
  <c r="AR17" i="44"/>
  <c r="AR5" i="44"/>
  <c r="AR6" i="44"/>
  <c r="AR7" i="44"/>
  <c r="AR8" i="44"/>
  <c r="AR4" i="44"/>
  <c r="AQ31" i="44"/>
  <c r="AQ19" i="44"/>
  <c r="AQ8" i="44"/>
  <c r="AO31" i="44"/>
  <c r="AO18" i="44"/>
  <c r="AO19" i="44"/>
  <c r="AO30" i="44"/>
  <c r="AO17" i="44"/>
  <c r="AO5" i="44"/>
  <c r="AO6" i="44"/>
  <c r="AO7" i="44"/>
  <c r="AO8" i="44"/>
  <c r="AO4" i="44"/>
  <c r="AN31" i="44"/>
  <c r="AN19" i="44"/>
  <c r="AN8" i="44"/>
  <c r="AL19" i="44"/>
  <c r="AL31" i="44"/>
  <c r="AL30" i="44"/>
  <c r="AL18" i="44"/>
  <c r="AL17" i="44"/>
  <c r="AL5" i="44"/>
  <c r="AL6" i="44"/>
  <c r="AL7" i="44"/>
  <c r="AL8" i="44"/>
  <c r="AK31" i="44"/>
  <c r="AK19" i="44"/>
  <c r="AK8" i="44"/>
  <c r="AH31" i="44"/>
  <c r="AH19" i="44"/>
  <c r="AH8" i="44"/>
  <c r="AF31" i="44"/>
  <c r="AF19" i="44"/>
  <c r="AF8" i="44"/>
  <c r="AD31" i="44"/>
  <c r="AD19" i="44"/>
  <c r="AD8" i="44"/>
  <c r="AB31" i="44"/>
  <c r="AB19" i="44"/>
  <c r="AB8" i="44"/>
  <c r="Z31" i="44"/>
  <c r="Z19" i="44"/>
  <c r="Z8" i="44"/>
  <c r="X31" i="44"/>
  <c r="X19" i="44"/>
  <c r="X8" i="44"/>
  <c r="K19" i="44"/>
  <c r="DY22" i="33"/>
  <c r="EA22" i="33"/>
  <c r="DY9" i="33"/>
  <c r="DY10" i="33"/>
  <c r="DY11" i="33"/>
  <c r="DY33" i="46"/>
  <c r="DY20" i="46"/>
  <c r="DY8" i="46"/>
  <c r="BR34" i="45"/>
  <c r="BR22" i="45"/>
  <c r="BR9" i="45"/>
  <c r="BR10" i="45"/>
  <c r="BR33" i="6"/>
  <c r="BR20" i="6"/>
  <c r="BR8" i="6"/>
  <c r="DS34" i="33"/>
  <c r="DS22" i="33"/>
  <c r="DS9" i="33"/>
  <c r="DS10" i="33"/>
  <c r="DS33" i="46"/>
  <c r="DS20" i="46"/>
  <c r="DS8" i="46"/>
  <c r="BO34" i="45"/>
  <c r="BO22" i="45"/>
  <c r="BO10" i="45"/>
  <c r="BO9" i="45"/>
  <c r="BO33" i="6"/>
  <c r="BO20" i="6"/>
  <c r="BO8" i="6"/>
  <c r="AV17" i="48"/>
  <c r="AU18" i="48"/>
  <c r="AV19" i="48"/>
  <c r="AU19" i="48"/>
  <c r="DM34" i="33"/>
  <c r="DM22" i="33"/>
  <c r="DM9" i="33"/>
  <c r="DM10" i="33"/>
  <c r="DM11" i="33"/>
  <c r="DM33" i="46"/>
  <c r="DM20" i="46"/>
  <c r="DM8" i="46"/>
  <c r="BL34" i="45"/>
  <c r="BL22" i="45"/>
  <c r="BL10" i="45"/>
  <c r="BL9" i="45"/>
  <c r="BL33" i="6"/>
  <c r="BL20" i="6"/>
  <c r="BL8" i="6"/>
  <c r="BO32" i="46"/>
  <c r="K17" i="48"/>
  <c r="K18" i="48"/>
  <c r="K7" i="48"/>
  <c r="K8" i="48"/>
  <c r="K18" i="44"/>
  <c r="K7" i="44"/>
  <c r="K6" i="44"/>
  <c r="DG34" i="33"/>
  <c r="DG22" i="33"/>
  <c r="DG9" i="33"/>
  <c r="DG10" i="33"/>
  <c r="DG11" i="33"/>
  <c r="DI11" i="33"/>
  <c r="DG33" i="46"/>
  <c r="DG20" i="46"/>
  <c r="DG8" i="46"/>
  <c r="BI34" i="45"/>
  <c r="BI22" i="45"/>
  <c r="BI9" i="45"/>
  <c r="BI10" i="45"/>
  <c r="BI33" i="6"/>
  <c r="BI20" i="6"/>
  <c r="BI8" i="6"/>
  <c r="DA34" i="33"/>
  <c r="DA22" i="33"/>
  <c r="DA9" i="33"/>
  <c r="DC9" i="33"/>
  <c r="DA10" i="33"/>
  <c r="DC10" i="33"/>
  <c r="DA11" i="33"/>
  <c r="DC11" i="33"/>
  <c r="DA33" i="46"/>
  <c r="DA20" i="46"/>
  <c r="DA8" i="46"/>
  <c r="BF34" i="45"/>
  <c r="BF22" i="45"/>
  <c r="BF9" i="45"/>
  <c r="BF10" i="45"/>
  <c r="BF33" i="6"/>
  <c r="BF20" i="6"/>
  <c r="BF8" i="6"/>
  <c r="CU22" i="33"/>
  <c r="CU9" i="33"/>
  <c r="CU10" i="33"/>
  <c r="CU11" i="33"/>
  <c r="CU33" i="46"/>
  <c r="CU20" i="46"/>
  <c r="CU8" i="46"/>
  <c r="BC34" i="45"/>
  <c r="BC22" i="45"/>
  <c r="BC9" i="45"/>
  <c r="BC10" i="45"/>
  <c r="BC33" i="6"/>
  <c r="BC20" i="6"/>
  <c r="BC8" i="6"/>
  <c r="CO34" i="33"/>
  <c r="CO22" i="33"/>
  <c r="CO9" i="33"/>
  <c r="CO10" i="33"/>
  <c r="CO11" i="33"/>
  <c r="CO33" i="46"/>
  <c r="CO20" i="46"/>
  <c r="CO8" i="46"/>
  <c r="AZ34" i="45"/>
  <c r="AZ22" i="45"/>
  <c r="AZ9" i="45"/>
  <c r="AZ10" i="45"/>
  <c r="AZ33" i="6"/>
  <c r="AZ20" i="6"/>
  <c r="AZ8" i="6"/>
  <c r="CI22" i="33"/>
  <c r="CI9" i="33"/>
  <c r="CK9" i="33"/>
  <c r="CI10" i="33"/>
  <c r="CI11" i="33"/>
  <c r="CK11" i="33"/>
  <c r="CI33" i="46"/>
  <c r="CI20" i="46"/>
  <c r="AW34" i="45"/>
  <c r="AW22" i="45"/>
  <c r="AW9" i="45"/>
  <c r="AW10" i="45"/>
  <c r="AW33" i="6"/>
  <c r="AW20" i="6"/>
  <c r="AW8" i="6"/>
  <c r="CB29" i="46"/>
  <c r="CA34" i="33"/>
  <c r="CA22" i="33"/>
  <c r="CC22" i="33"/>
  <c r="CA11" i="33"/>
  <c r="CA10" i="33"/>
  <c r="CA9" i="33"/>
  <c r="CA33" i="46"/>
  <c r="CC33" i="46"/>
  <c r="CA20" i="46"/>
  <c r="CA8" i="46"/>
  <c r="CA4" i="46"/>
  <c r="CA5" i="46"/>
  <c r="CA6" i="46"/>
  <c r="CC6" i="46"/>
  <c r="CA7" i="46"/>
  <c r="AT34" i="45"/>
  <c r="AT22" i="45"/>
  <c r="AT10" i="45"/>
  <c r="AT9" i="45"/>
  <c r="AT33" i="6"/>
  <c r="AT20" i="6"/>
  <c r="AT8" i="6"/>
  <c r="BU34" i="33"/>
  <c r="BU33" i="46"/>
  <c r="BU20" i="46"/>
  <c r="BU9" i="33"/>
  <c r="BU10" i="33"/>
  <c r="BW10" i="33"/>
  <c r="BU11" i="33"/>
  <c r="AQ34" i="45"/>
  <c r="AQ22" i="45"/>
  <c r="AQ9" i="45"/>
  <c r="AQ10" i="45"/>
  <c r="BU8" i="46"/>
  <c r="AQ33" i="6"/>
  <c r="AQ20" i="6"/>
  <c r="AQ8" i="6"/>
  <c r="BO34" i="33"/>
  <c r="BO11" i="33"/>
  <c r="BQ11" i="33"/>
  <c r="BO10" i="33"/>
  <c r="BO9" i="33"/>
  <c r="BO33" i="46"/>
  <c r="BO20" i="46"/>
  <c r="AN34" i="45"/>
  <c r="AN22" i="45"/>
  <c r="AN10" i="45"/>
  <c r="AN9" i="45"/>
  <c r="AN33" i="6"/>
  <c r="AN20" i="6"/>
  <c r="AN8" i="6"/>
  <c r="BI9" i="33"/>
  <c r="BI10" i="33"/>
  <c r="BI33" i="46"/>
  <c r="BI20" i="46"/>
  <c r="BI8" i="46"/>
  <c r="AK34" i="45"/>
  <c r="AK22" i="45"/>
  <c r="AK9" i="45"/>
  <c r="AK10" i="45"/>
  <c r="AK33" i="6"/>
  <c r="AK20" i="6"/>
  <c r="AK8" i="6"/>
  <c r="BC22" i="33"/>
  <c r="BC11" i="33"/>
  <c r="BC10" i="33"/>
  <c r="BC9" i="33"/>
  <c r="BE9" i="33"/>
  <c r="BC33" i="46"/>
  <c r="BC20" i="46"/>
  <c r="AH34" i="45"/>
  <c r="AH22" i="45"/>
  <c r="AH10" i="45"/>
  <c r="AH9" i="45"/>
  <c r="AH33" i="6"/>
  <c r="AH20" i="6"/>
  <c r="AH8" i="6"/>
  <c r="AW9" i="33"/>
  <c r="AW10" i="33"/>
  <c r="AY10" i="33"/>
  <c r="AW11" i="33"/>
  <c r="AE34" i="45"/>
  <c r="AE22" i="45"/>
  <c r="AE9" i="45"/>
  <c r="AE10" i="45"/>
  <c r="AW33" i="46"/>
  <c r="AW20" i="46"/>
  <c r="AW8" i="46"/>
  <c r="AE33" i="6"/>
  <c r="AE20" i="6"/>
  <c r="AE8" i="6"/>
  <c r="AQ9" i="33"/>
  <c r="AQ10" i="33"/>
  <c r="AS10" i="33"/>
  <c r="AQ11" i="33"/>
  <c r="AQ33" i="46"/>
  <c r="AQ8" i="46"/>
  <c r="AB34" i="45"/>
  <c r="AB22" i="45"/>
  <c r="AB9" i="45"/>
  <c r="AB10" i="45"/>
  <c r="AB33" i="6"/>
  <c r="AB20" i="6"/>
  <c r="AB8" i="6"/>
  <c r="AK11" i="33"/>
  <c r="AK10" i="33"/>
  <c r="AK9" i="33"/>
  <c r="AK33" i="46"/>
  <c r="S33" i="46"/>
  <c r="Y20" i="46"/>
  <c r="S20" i="46"/>
  <c r="AK8" i="46"/>
  <c r="Y34" i="45"/>
  <c r="Y22" i="45"/>
  <c r="Y10" i="45"/>
  <c r="Y9" i="45"/>
  <c r="Y33" i="6"/>
  <c r="Y20" i="6"/>
  <c r="Y8" i="6"/>
  <c r="AE34" i="33"/>
  <c r="AE9" i="33"/>
  <c r="AG9" i="33"/>
  <c r="AE10" i="33"/>
  <c r="AE11" i="33"/>
  <c r="AE8" i="46"/>
  <c r="V9" i="45"/>
  <c r="V10" i="45"/>
  <c r="S22" i="45"/>
  <c r="V22" i="45"/>
  <c r="V34" i="45"/>
  <c r="V33" i="6"/>
  <c r="V20" i="6"/>
  <c r="V8" i="6"/>
  <c r="Y34" i="33"/>
  <c r="Y11" i="33"/>
  <c r="Y10" i="33"/>
  <c r="Y9" i="33"/>
  <c r="Y33" i="46"/>
  <c r="Y8" i="46"/>
  <c r="S34" i="45"/>
  <c r="S10" i="45"/>
  <c r="S9" i="45"/>
  <c r="R42" i="6"/>
  <c r="F63" i="6"/>
  <c r="S33" i="6"/>
  <c r="S20" i="6"/>
  <c r="S8" i="6"/>
  <c r="S9" i="33"/>
  <c r="S10" i="33"/>
  <c r="S11" i="33"/>
  <c r="S8" i="46"/>
  <c r="P34" i="45"/>
  <c r="P22" i="45"/>
  <c r="P9" i="45"/>
  <c r="P10" i="45"/>
  <c r="P33" i="6"/>
  <c r="P20" i="6"/>
  <c r="P8" i="6"/>
  <c r="M34" i="33"/>
  <c r="I34" i="33"/>
  <c r="J34" i="33"/>
  <c r="N22" i="33"/>
  <c r="T22" i="33"/>
  <c r="Z22" i="33"/>
  <c r="AF22" i="33"/>
  <c r="AL22" i="33"/>
  <c r="AR22" i="33"/>
  <c r="AX22" i="33"/>
  <c r="BD22" i="33"/>
  <c r="BJ22" i="33"/>
  <c r="M9" i="33"/>
  <c r="M10" i="33"/>
  <c r="M11" i="33"/>
  <c r="M33" i="46"/>
  <c r="M20" i="46"/>
  <c r="M8" i="46"/>
  <c r="M34" i="45"/>
  <c r="M21" i="45"/>
  <c r="M22" i="45"/>
  <c r="M9" i="45"/>
  <c r="M10" i="45"/>
  <c r="M33" i="6"/>
  <c r="M20" i="6"/>
  <c r="M8" i="6"/>
  <c r="I9" i="33"/>
  <c r="I10" i="33"/>
  <c r="N10" i="33"/>
  <c r="I11" i="33"/>
  <c r="I33" i="46"/>
  <c r="I20" i="46"/>
  <c r="K34" i="45"/>
  <c r="K22" i="45"/>
  <c r="N22" i="45"/>
  <c r="K9" i="45"/>
  <c r="N9" i="45"/>
  <c r="K10" i="45"/>
  <c r="K33" i="6"/>
  <c r="K20" i="6"/>
  <c r="N20" i="6"/>
  <c r="K8" i="6"/>
  <c r="H16" i="6"/>
  <c r="C59" i="6"/>
  <c r="DS6" i="33"/>
  <c r="DS5" i="33"/>
  <c r="DS4" i="33"/>
  <c r="DS6" i="46"/>
  <c r="DS5" i="46"/>
  <c r="DS4" i="46"/>
  <c r="DM4" i="33"/>
  <c r="DS7" i="33"/>
  <c r="AH17" i="48"/>
  <c r="AH18" i="48"/>
  <c r="AH7" i="48"/>
  <c r="AH8" i="48"/>
  <c r="AF4" i="48"/>
  <c r="AF17" i="48"/>
  <c r="AF18" i="48"/>
  <c r="AF7" i="48"/>
  <c r="AF8" i="48"/>
  <c r="AD17" i="48"/>
  <c r="AD18" i="48"/>
  <c r="AD7" i="48"/>
  <c r="AD8" i="48"/>
  <c r="AB17" i="48"/>
  <c r="AB18" i="48"/>
  <c r="AB7" i="48"/>
  <c r="AB8" i="48"/>
  <c r="Z17" i="48"/>
  <c r="Z18" i="48"/>
  <c r="Z7" i="48"/>
  <c r="Z8" i="48"/>
  <c r="X17" i="48"/>
  <c r="X18" i="48"/>
  <c r="X7" i="48"/>
  <c r="X8" i="48"/>
  <c r="AX30" i="44"/>
  <c r="AX18" i="44"/>
  <c r="AX7" i="44"/>
  <c r="AT30" i="44"/>
  <c r="AU30" i="44"/>
  <c r="AT18" i="44"/>
  <c r="AV18" i="44"/>
  <c r="AT7" i="44"/>
  <c r="AV7" i="44"/>
  <c r="AQ30" i="44"/>
  <c r="AQ18" i="44"/>
  <c r="AQ7" i="44"/>
  <c r="AN30" i="44"/>
  <c r="AN18" i="44"/>
  <c r="AN7" i="44"/>
  <c r="AK30" i="44"/>
  <c r="AK18" i="44"/>
  <c r="AK7" i="44"/>
  <c r="AH30" i="44"/>
  <c r="AH18" i="44"/>
  <c r="AH7" i="44"/>
  <c r="AF30" i="44"/>
  <c r="AF18" i="44"/>
  <c r="AF7" i="44"/>
  <c r="AD30" i="44"/>
  <c r="AD18" i="44"/>
  <c r="AD7" i="44"/>
  <c r="AB30" i="44"/>
  <c r="AB18" i="44"/>
  <c r="AB7" i="44"/>
  <c r="Z30" i="44"/>
  <c r="Z18" i="44"/>
  <c r="Z7" i="44"/>
  <c r="X30" i="44"/>
  <c r="X18" i="44"/>
  <c r="X7" i="44"/>
  <c r="DY21" i="33"/>
  <c r="DY20" i="33"/>
  <c r="DY7" i="33"/>
  <c r="DY8" i="33"/>
  <c r="DY32" i="46"/>
  <c r="DY19" i="46"/>
  <c r="DY7" i="46"/>
  <c r="BR21" i="45"/>
  <c r="BR7" i="45"/>
  <c r="BR8" i="45"/>
  <c r="BR32" i="6"/>
  <c r="BR19" i="6"/>
  <c r="BR7" i="6"/>
  <c r="DS21" i="33"/>
  <c r="DS20" i="33"/>
  <c r="DS8" i="33"/>
  <c r="DM7" i="33"/>
  <c r="DS32" i="46"/>
  <c r="DS19" i="46"/>
  <c r="DS7" i="46"/>
  <c r="BO21" i="45"/>
  <c r="BO7" i="45"/>
  <c r="BO8" i="45"/>
  <c r="BO32" i="6"/>
  <c r="BO19" i="6"/>
  <c r="BO7" i="6"/>
  <c r="DG20" i="33"/>
  <c r="DG21" i="33"/>
  <c r="DM21" i="33"/>
  <c r="DM20" i="33"/>
  <c r="DO20" i="33"/>
  <c r="DM8" i="33"/>
  <c r="DM32" i="46"/>
  <c r="DM19" i="46"/>
  <c r="DM7" i="46"/>
  <c r="BL21" i="45"/>
  <c r="BL7" i="45"/>
  <c r="BL8" i="45"/>
  <c r="BL32" i="6"/>
  <c r="BL19" i="6"/>
  <c r="BL7" i="6"/>
  <c r="DG7" i="33"/>
  <c r="DG8" i="33"/>
  <c r="DG32" i="46"/>
  <c r="DG19" i="46"/>
  <c r="DG7" i="46"/>
  <c r="BI21" i="45"/>
  <c r="BI7" i="45"/>
  <c r="BI8" i="45"/>
  <c r="BI32" i="6"/>
  <c r="BI19" i="6"/>
  <c r="BI7" i="6"/>
  <c r="DA21" i="33"/>
  <c r="DA20" i="33"/>
  <c r="DA7" i="33"/>
  <c r="DA8" i="33"/>
  <c r="DA32" i="46"/>
  <c r="DA19" i="46"/>
  <c r="DA7" i="46"/>
  <c r="BF21" i="45"/>
  <c r="BF7" i="45"/>
  <c r="BF8" i="45"/>
  <c r="BF32" i="6"/>
  <c r="BF19" i="6"/>
  <c r="BF7" i="6"/>
  <c r="CU21" i="33"/>
  <c r="CU20" i="33"/>
  <c r="CU7" i="33"/>
  <c r="CU8" i="33"/>
  <c r="CW8" i="33"/>
  <c r="CU32" i="46"/>
  <c r="CU19" i="46"/>
  <c r="CU7" i="46"/>
  <c r="BC21" i="45"/>
  <c r="BC7" i="45"/>
  <c r="BC8" i="45"/>
  <c r="BC32" i="6"/>
  <c r="BC19" i="6"/>
  <c r="BC7" i="6"/>
  <c r="CO21" i="33"/>
  <c r="CO20" i="33"/>
  <c r="CO7" i="33"/>
  <c r="CO8" i="33"/>
  <c r="CO32" i="46"/>
  <c r="CO19" i="46"/>
  <c r="CO7" i="46"/>
  <c r="AZ21" i="45"/>
  <c r="AZ7" i="45"/>
  <c r="AZ8" i="45"/>
  <c r="AZ32" i="6"/>
  <c r="AZ19" i="6"/>
  <c r="AZ7" i="6"/>
  <c r="Q68" i="46"/>
  <c r="Q69" i="46"/>
  <c r="CI21" i="33"/>
  <c r="CI20" i="33"/>
  <c r="CI7" i="33"/>
  <c r="CI8" i="33"/>
  <c r="CI32" i="46"/>
  <c r="CI19" i="46"/>
  <c r="CI7" i="46"/>
  <c r="AW21" i="45"/>
  <c r="AW7" i="45"/>
  <c r="AW8" i="45"/>
  <c r="AW32" i="6"/>
  <c r="AW19" i="6"/>
  <c r="AW7" i="6"/>
  <c r="CA20" i="33"/>
  <c r="CE20" i="33"/>
  <c r="CA21" i="33"/>
  <c r="CE21" i="33"/>
  <c r="CA7" i="33"/>
  <c r="CC7" i="33"/>
  <c r="CA8" i="33"/>
  <c r="CA19" i="46"/>
  <c r="AT21" i="45"/>
  <c r="AT7" i="45"/>
  <c r="AT8" i="45"/>
  <c r="AT32" i="6"/>
  <c r="AT19" i="6"/>
  <c r="AT7" i="6"/>
  <c r="BU7" i="33"/>
  <c r="BU8" i="33"/>
  <c r="BU19" i="46"/>
  <c r="BU7" i="46"/>
  <c r="AQ21" i="45"/>
  <c r="AQ7" i="45"/>
  <c r="AQ8" i="45"/>
  <c r="AQ32" i="6"/>
  <c r="AQ19" i="6"/>
  <c r="AQ7" i="6"/>
  <c r="BI19" i="46"/>
  <c r="BO7" i="33"/>
  <c r="BO8" i="33"/>
  <c r="BC32" i="46"/>
  <c r="BI32" i="46"/>
  <c r="BC19" i="46"/>
  <c r="BO19" i="46"/>
  <c r="BO7" i="46"/>
  <c r="AN21" i="45"/>
  <c r="AN7" i="45"/>
  <c r="AN8" i="45"/>
  <c r="AN32" i="6"/>
  <c r="AN19" i="6"/>
  <c r="AN7" i="6"/>
  <c r="BI7" i="33"/>
  <c r="BI8" i="33"/>
  <c r="BI7" i="46"/>
  <c r="AK21" i="45"/>
  <c r="AK7" i="45"/>
  <c r="AK8" i="45"/>
  <c r="AK32" i="6"/>
  <c r="AK19" i="6"/>
  <c r="AK7" i="6"/>
  <c r="BC21" i="33"/>
  <c r="BC20" i="33"/>
  <c r="BC7" i="33"/>
  <c r="BC8" i="33"/>
  <c r="BC7" i="46"/>
  <c r="AH21" i="45"/>
  <c r="AH7" i="45"/>
  <c r="AH8" i="45"/>
  <c r="AH32" i="6"/>
  <c r="AH19" i="6"/>
  <c r="AH7" i="6"/>
  <c r="AW7" i="33"/>
  <c r="AW8" i="33"/>
  <c r="AW32" i="46"/>
  <c r="AW19" i="46"/>
  <c r="AW7" i="46"/>
  <c r="AE21" i="45"/>
  <c r="AE7" i="45"/>
  <c r="AE8" i="45"/>
  <c r="AE32" i="6"/>
  <c r="AE19" i="6"/>
  <c r="AE7" i="6"/>
  <c r="AQ20" i="33"/>
  <c r="AQ21" i="33"/>
  <c r="AQ7" i="33"/>
  <c r="AQ8" i="33"/>
  <c r="AQ32" i="46"/>
  <c r="AQ7" i="46"/>
  <c r="AB21" i="45"/>
  <c r="AB7" i="45"/>
  <c r="AB8" i="45"/>
  <c r="AB32" i="6"/>
  <c r="AB19" i="6"/>
  <c r="AB7" i="6"/>
  <c r="AK20" i="33"/>
  <c r="AK21" i="33"/>
  <c r="AK7" i="33"/>
  <c r="AK8" i="33"/>
  <c r="AK32" i="46"/>
  <c r="AK19" i="46"/>
  <c r="AK7" i="46"/>
  <c r="Y21" i="45"/>
  <c r="Y7" i="45"/>
  <c r="Y8" i="45"/>
  <c r="Y32" i="6"/>
  <c r="Y19" i="6"/>
  <c r="Y7" i="6"/>
  <c r="AE20" i="33"/>
  <c r="AE21" i="33"/>
  <c r="AE7" i="33"/>
  <c r="AG7" i="33"/>
  <c r="AE8" i="33"/>
  <c r="AE7" i="46"/>
  <c r="V21" i="45"/>
  <c r="V7" i="45"/>
  <c r="V8" i="45"/>
  <c r="V32" i="6"/>
  <c r="V19" i="6"/>
  <c r="V7" i="6"/>
  <c r="Y20" i="33"/>
  <c r="Y21" i="33"/>
  <c r="Y7" i="33"/>
  <c r="Y8" i="33"/>
  <c r="Y32" i="46"/>
  <c r="Y7" i="46"/>
  <c r="S21" i="45"/>
  <c r="S7" i="45"/>
  <c r="S8" i="45"/>
  <c r="S32" i="6"/>
  <c r="S19" i="6"/>
  <c r="S7" i="6"/>
  <c r="S20" i="33"/>
  <c r="S21" i="33"/>
  <c r="U21" i="33"/>
  <c r="S7" i="33"/>
  <c r="S8" i="33"/>
  <c r="S32" i="46"/>
  <c r="S19" i="46"/>
  <c r="S7" i="46"/>
  <c r="P21" i="45"/>
  <c r="O16" i="45"/>
  <c r="B60" i="45"/>
  <c r="P7" i="45"/>
  <c r="P8" i="45"/>
  <c r="P32" i="6"/>
  <c r="P19" i="6"/>
  <c r="P7" i="6"/>
  <c r="M20" i="33"/>
  <c r="M21" i="33"/>
  <c r="M7" i="33"/>
  <c r="M8" i="33"/>
  <c r="M32" i="46"/>
  <c r="M19" i="46"/>
  <c r="M7" i="46"/>
  <c r="M7" i="45"/>
  <c r="M8" i="45"/>
  <c r="N8" i="45"/>
  <c r="Q8" i="45"/>
  <c r="T8" i="45"/>
  <c r="W8" i="45"/>
  <c r="Z8" i="45"/>
  <c r="M32" i="6"/>
  <c r="M19" i="6"/>
  <c r="M7" i="6"/>
  <c r="I20" i="33"/>
  <c r="I19" i="33"/>
  <c r="I21" i="33"/>
  <c r="I7" i="33"/>
  <c r="I8" i="33"/>
  <c r="I32" i="46"/>
  <c r="I19" i="46"/>
  <c r="I7" i="46"/>
  <c r="K21" i="45"/>
  <c r="K7" i="45"/>
  <c r="K8" i="45"/>
  <c r="K32" i="6"/>
  <c r="K19" i="6"/>
  <c r="K7" i="6"/>
  <c r="M4" i="45"/>
  <c r="W89" i="33"/>
  <c r="V89" i="33"/>
  <c r="U89" i="33"/>
  <c r="T89" i="33"/>
  <c r="S89" i="33"/>
  <c r="R89" i="33"/>
  <c r="R92" i="46"/>
  <c r="Y6" i="45"/>
  <c r="AX4" i="48"/>
  <c r="AX14" i="48"/>
  <c r="AT4" i="48"/>
  <c r="AV4" i="48"/>
  <c r="AQ4" i="48"/>
  <c r="AN4" i="48"/>
  <c r="AK4" i="48"/>
  <c r="AK14" i="48"/>
  <c r="AH29" i="48"/>
  <c r="AH28" i="48"/>
  <c r="AH16" i="48"/>
  <c r="AH5" i="48"/>
  <c r="AH6" i="48"/>
  <c r="AH4" i="48"/>
  <c r="AF29" i="48"/>
  <c r="AF28" i="48"/>
  <c r="AF16" i="48"/>
  <c r="AF5" i="48"/>
  <c r="AF6" i="48"/>
  <c r="AD29" i="48"/>
  <c r="AD28" i="48"/>
  <c r="AD16" i="48"/>
  <c r="AD5" i="48"/>
  <c r="AD6" i="48"/>
  <c r="AD4" i="48"/>
  <c r="AB29" i="48"/>
  <c r="AB28" i="48"/>
  <c r="AB16" i="48"/>
  <c r="AB5" i="48"/>
  <c r="AB6" i="48"/>
  <c r="AB4" i="48"/>
  <c r="Z29" i="48"/>
  <c r="Z28" i="48"/>
  <c r="Z16" i="48"/>
  <c r="Z5" i="48"/>
  <c r="Z6" i="48"/>
  <c r="Z4" i="48"/>
  <c r="X29" i="48"/>
  <c r="X28" i="48"/>
  <c r="X16" i="48"/>
  <c r="X5" i="48"/>
  <c r="X6" i="48"/>
  <c r="X4" i="48"/>
  <c r="K29" i="48"/>
  <c r="K28" i="48"/>
  <c r="K16" i="48"/>
  <c r="K5" i="48"/>
  <c r="K6" i="48"/>
  <c r="K4" i="48"/>
  <c r="AX17" i="44"/>
  <c r="AX5" i="44"/>
  <c r="AX6" i="44"/>
  <c r="AX4" i="44"/>
  <c r="AT17" i="44"/>
  <c r="AV17" i="44"/>
  <c r="AT5" i="44"/>
  <c r="AV5" i="44"/>
  <c r="AT6" i="44"/>
  <c r="AV6" i="44"/>
  <c r="AQ17" i="44"/>
  <c r="AQ5" i="44"/>
  <c r="AQ6" i="44"/>
  <c r="AQ4" i="44"/>
  <c r="AN17" i="44"/>
  <c r="AN5" i="44"/>
  <c r="AN6" i="44"/>
  <c r="AN4" i="44"/>
  <c r="AK17" i="44"/>
  <c r="AK5" i="44"/>
  <c r="AK6" i="44"/>
  <c r="AK4" i="44"/>
  <c r="AH17" i="44"/>
  <c r="AH4" i="44"/>
  <c r="AH5" i="44"/>
  <c r="AH6" i="44"/>
  <c r="AF17" i="44"/>
  <c r="AF5" i="44"/>
  <c r="AF6" i="44"/>
  <c r="AF4" i="44"/>
  <c r="AD17" i="44"/>
  <c r="AD5" i="44"/>
  <c r="AD6" i="44"/>
  <c r="AD4" i="44"/>
  <c r="AB17" i="44"/>
  <c r="AB5" i="44"/>
  <c r="AB6" i="44"/>
  <c r="AB4" i="44"/>
  <c r="Z17" i="44"/>
  <c r="Z5" i="44"/>
  <c r="Z6" i="44"/>
  <c r="Z4" i="44"/>
  <c r="X17" i="44"/>
  <c r="X5" i="44"/>
  <c r="X6" i="44"/>
  <c r="X4" i="44"/>
  <c r="K5" i="44"/>
  <c r="DY5" i="33"/>
  <c r="EA5" i="33"/>
  <c r="DY6" i="33"/>
  <c r="DY4" i="33"/>
  <c r="DY18" i="46"/>
  <c r="DY5" i="46"/>
  <c r="DY6" i="46"/>
  <c r="DY4" i="46"/>
  <c r="BR33" i="45"/>
  <c r="BR32" i="45"/>
  <c r="BR19" i="45"/>
  <c r="BR5" i="45"/>
  <c r="BR6" i="45"/>
  <c r="BR4" i="45"/>
  <c r="BR18" i="6"/>
  <c r="BR5" i="6"/>
  <c r="BR6" i="6"/>
  <c r="BR4" i="6"/>
  <c r="DS33" i="33"/>
  <c r="BO33" i="45"/>
  <c r="BO32" i="45"/>
  <c r="BO19" i="45"/>
  <c r="BO5" i="45"/>
  <c r="BO6" i="45"/>
  <c r="BO4" i="45"/>
  <c r="BO18" i="6"/>
  <c r="BO5" i="6"/>
  <c r="BO6" i="6"/>
  <c r="BO4" i="6"/>
  <c r="DM6" i="33"/>
  <c r="DM5" i="33"/>
  <c r="DM6" i="46"/>
  <c r="DM5" i="46"/>
  <c r="DM4" i="46"/>
  <c r="BL33" i="45"/>
  <c r="BL32" i="45"/>
  <c r="BL19" i="45"/>
  <c r="BL5" i="45"/>
  <c r="BL6" i="45"/>
  <c r="BL4" i="45"/>
  <c r="BL18" i="6"/>
  <c r="BL5" i="6"/>
  <c r="BL6" i="6"/>
  <c r="BL4" i="6"/>
  <c r="DG32" i="33"/>
  <c r="DG19" i="33"/>
  <c r="DG5" i="33"/>
  <c r="DG6" i="33"/>
  <c r="DG4" i="33"/>
  <c r="DG5" i="46"/>
  <c r="DG6" i="46"/>
  <c r="DG4" i="46"/>
  <c r="BI33" i="45"/>
  <c r="BI32" i="45"/>
  <c r="BF32" i="45"/>
  <c r="BI19" i="45"/>
  <c r="BI5" i="45"/>
  <c r="BI6" i="45"/>
  <c r="BI4" i="45"/>
  <c r="BI18" i="6"/>
  <c r="BF4" i="6"/>
  <c r="BI5" i="6"/>
  <c r="BI6" i="6"/>
  <c r="BI4" i="6"/>
  <c r="DA5" i="33"/>
  <c r="DA6" i="33"/>
  <c r="DA4" i="33"/>
  <c r="DA5" i="46"/>
  <c r="DA4" i="46"/>
  <c r="DA6" i="46"/>
  <c r="BF33" i="45"/>
  <c r="BF19" i="45"/>
  <c r="BF5" i="45"/>
  <c r="BF6" i="45"/>
  <c r="BF4" i="45"/>
  <c r="BF18" i="6"/>
  <c r="BF5" i="6"/>
  <c r="BF6" i="6"/>
  <c r="CU19" i="33"/>
  <c r="CU5" i="33"/>
  <c r="CU6" i="33"/>
  <c r="CU4" i="33"/>
  <c r="T83" i="33"/>
  <c r="T84" i="33"/>
  <c r="CU5" i="46"/>
  <c r="CU6" i="46"/>
  <c r="CU4" i="46"/>
  <c r="BC33" i="45"/>
  <c r="BC32" i="45"/>
  <c r="BC19" i="45"/>
  <c r="BC5" i="45"/>
  <c r="BC6" i="45"/>
  <c r="BC4" i="45"/>
  <c r="BC18" i="6"/>
  <c r="BC5" i="6"/>
  <c r="BC6" i="6"/>
  <c r="BC4" i="6"/>
  <c r="CO18" i="46"/>
  <c r="CO5" i="46"/>
  <c r="CO6" i="46"/>
  <c r="CO4" i="46"/>
  <c r="CO32" i="33"/>
  <c r="CO5" i="33"/>
  <c r="CO6" i="33"/>
  <c r="CO4" i="33"/>
  <c r="S83" i="33"/>
  <c r="S84" i="33"/>
  <c r="AZ33" i="45"/>
  <c r="AZ32" i="45"/>
  <c r="AZ19" i="45"/>
  <c r="AZ5" i="45"/>
  <c r="AZ6" i="45"/>
  <c r="AZ4" i="45"/>
  <c r="AZ18" i="6"/>
  <c r="AZ5" i="6"/>
  <c r="AZ6" i="6"/>
  <c r="AZ4" i="6"/>
  <c r="CI5" i="33"/>
  <c r="CI6" i="33"/>
  <c r="CI4" i="33"/>
  <c r="R83" i="33"/>
  <c r="R84" i="33"/>
  <c r="CI5" i="46"/>
  <c r="CI6" i="46"/>
  <c r="CI4" i="46"/>
  <c r="AW33" i="45"/>
  <c r="AW32" i="45"/>
  <c r="AW19" i="45"/>
  <c r="AW5" i="45"/>
  <c r="AW6" i="45"/>
  <c r="AW4" i="45"/>
  <c r="AW18" i="6"/>
  <c r="AW5" i="6"/>
  <c r="AW6" i="6"/>
  <c r="AW4" i="6"/>
  <c r="CC33" i="33"/>
  <c r="CC32" i="33"/>
  <c r="CC19" i="33"/>
  <c r="CA5" i="33"/>
  <c r="CA6" i="33"/>
  <c r="CA4" i="33"/>
  <c r="CC18" i="46"/>
  <c r="AT33" i="45"/>
  <c r="AT32" i="45"/>
  <c r="AT19" i="45"/>
  <c r="AT5" i="45"/>
  <c r="AT6" i="45"/>
  <c r="AT4" i="45"/>
  <c r="AT5" i="6"/>
  <c r="AT6" i="6"/>
  <c r="AT18" i="6"/>
  <c r="AT4" i="6"/>
  <c r="BU5" i="33"/>
  <c r="BU6" i="33"/>
  <c r="BW6" i="33"/>
  <c r="BU4" i="33"/>
  <c r="P83" i="33"/>
  <c r="P84" i="33"/>
  <c r="BU5" i="46"/>
  <c r="BU6" i="46"/>
  <c r="BU4" i="46"/>
  <c r="AQ33" i="45"/>
  <c r="AQ32" i="45"/>
  <c r="AQ19" i="45"/>
  <c r="AQ5" i="45"/>
  <c r="AQ6" i="45"/>
  <c r="AQ4" i="45"/>
  <c r="AQ18" i="6"/>
  <c r="AQ5" i="6"/>
  <c r="AQ6" i="6"/>
  <c r="AQ4" i="6"/>
  <c r="BO5" i="33"/>
  <c r="BO6" i="33"/>
  <c r="BO4" i="33"/>
  <c r="BO16" i="33"/>
  <c r="BO5" i="46"/>
  <c r="BO6" i="46"/>
  <c r="BO4" i="46"/>
  <c r="AN33" i="45"/>
  <c r="AN32" i="45"/>
  <c r="AN19" i="45"/>
  <c r="AN5" i="45"/>
  <c r="AN6" i="45"/>
  <c r="AN4" i="45"/>
  <c r="AN18" i="6"/>
  <c r="AN5" i="6"/>
  <c r="AN6" i="6"/>
  <c r="AN4" i="6"/>
  <c r="BI5" i="33"/>
  <c r="BI6" i="33"/>
  <c r="BI4" i="33"/>
  <c r="N83" i="33"/>
  <c r="N84" i="33"/>
  <c r="BI5" i="46"/>
  <c r="BI4" i="46"/>
  <c r="BI6" i="46"/>
  <c r="AK33" i="45"/>
  <c r="AK32" i="45"/>
  <c r="AK19" i="45"/>
  <c r="AK5" i="45"/>
  <c r="AK6" i="45"/>
  <c r="AK4" i="45"/>
  <c r="AK18" i="6"/>
  <c r="AK5" i="6"/>
  <c r="AK6" i="6"/>
  <c r="AK4" i="6"/>
  <c r="BC5" i="33"/>
  <c r="BC6" i="33"/>
  <c r="BE6" i="33"/>
  <c r="BC4" i="33"/>
  <c r="M83" i="33"/>
  <c r="M84" i="33"/>
  <c r="BC5" i="46"/>
  <c r="BC6" i="46"/>
  <c r="BC4" i="46"/>
  <c r="AH33" i="45"/>
  <c r="AH32" i="45"/>
  <c r="AH19" i="45"/>
  <c r="AH5" i="45"/>
  <c r="AH6" i="45"/>
  <c r="AH4" i="45"/>
  <c r="AH18" i="6"/>
  <c r="AH5" i="6"/>
  <c r="AH6" i="6"/>
  <c r="AH4" i="6"/>
  <c r="AW5" i="33"/>
  <c r="AW6" i="33"/>
  <c r="AW4" i="33"/>
  <c r="AW18" i="46"/>
  <c r="AW5" i="46"/>
  <c r="AW6" i="46"/>
  <c r="AW4" i="46"/>
  <c r="AE33" i="45"/>
  <c r="AE32" i="45"/>
  <c r="AE19" i="45"/>
  <c r="AE5" i="45"/>
  <c r="AE6" i="45"/>
  <c r="AE4" i="45"/>
  <c r="AE18" i="6"/>
  <c r="AE5" i="6"/>
  <c r="AE6" i="6"/>
  <c r="AE4" i="6"/>
  <c r="I69" i="33"/>
  <c r="AK18" i="46"/>
  <c r="AE18" i="46"/>
  <c r="Y18" i="46"/>
  <c r="S18" i="46"/>
  <c r="AQ33" i="33"/>
  <c r="AQ32" i="33"/>
  <c r="AQ42" i="33"/>
  <c r="AQ19" i="33"/>
  <c r="AQ5" i="33"/>
  <c r="AQ6" i="33"/>
  <c r="AQ4" i="33"/>
  <c r="K83" i="33"/>
  <c r="K84" i="33"/>
  <c r="R66" i="46"/>
  <c r="AQ5" i="46"/>
  <c r="AQ6" i="46"/>
  <c r="AQ4" i="46"/>
  <c r="AB33" i="45"/>
  <c r="AB32" i="45"/>
  <c r="AB19" i="45"/>
  <c r="AB28" i="45"/>
  <c r="T64" i="45"/>
  <c r="AB5" i="45"/>
  <c r="AB6" i="45"/>
  <c r="AB4" i="45"/>
  <c r="AB18" i="6"/>
  <c r="AB5" i="6"/>
  <c r="AB6" i="6"/>
  <c r="AB4" i="6"/>
  <c r="AK19" i="33"/>
  <c r="AM19" i="33"/>
  <c r="AK5" i="33"/>
  <c r="AM5" i="33"/>
  <c r="AK6" i="33"/>
  <c r="AM6" i="33"/>
  <c r="AK4" i="33"/>
  <c r="J83" i="33"/>
  <c r="J84" i="33"/>
  <c r="AK5" i="46"/>
  <c r="AK6" i="46"/>
  <c r="AK4" i="46"/>
  <c r="Y33" i="45"/>
  <c r="Y32" i="45"/>
  <c r="Y19" i="45"/>
  <c r="Y5" i="45"/>
  <c r="Y4" i="45"/>
  <c r="Y5" i="6"/>
  <c r="Y18" i="6"/>
  <c r="Y6" i="6"/>
  <c r="Y4" i="6"/>
  <c r="AE5" i="46"/>
  <c r="AE6" i="46"/>
  <c r="AE4" i="46"/>
  <c r="V33" i="45"/>
  <c r="V32" i="45"/>
  <c r="V19" i="45"/>
  <c r="V5" i="45"/>
  <c r="V6" i="45"/>
  <c r="V4" i="45"/>
  <c r="V18" i="6"/>
  <c r="V5" i="6"/>
  <c r="V6" i="6"/>
  <c r="V4" i="6"/>
  <c r="AE32" i="33"/>
  <c r="AE19" i="33"/>
  <c r="AE4" i="33"/>
  <c r="AE5" i="33"/>
  <c r="AE6" i="33"/>
  <c r="AG6" i="33"/>
  <c r="Y33" i="33"/>
  <c r="Z46" i="33"/>
  <c r="AE33" i="33"/>
  <c r="Y4" i="33"/>
  <c r="Y32" i="33"/>
  <c r="AA32" i="33"/>
  <c r="Y19" i="33"/>
  <c r="Y5" i="33"/>
  <c r="Y6" i="33"/>
  <c r="Y4" i="46"/>
  <c r="Y5" i="46"/>
  <c r="Y6" i="46"/>
  <c r="S33" i="45"/>
  <c r="S32" i="45"/>
  <c r="S19" i="45"/>
  <c r="S6" i="45"/>
  <c r="S5" i="45"/>
  <c r="S4" i="45"/>
  <c r="S18" i="6"/>
  <c r="S5" i="6"/>
  <c r="S6" i="6"/>
  <c r="S4" i="6"/>
  <c r="S19" i="33"/>
  <c r="S5" i="33"/>
  <c r="S6" i="33"/>
  <c r="S4" i="33"/>
  <c r="G83" i="33"/>
  <c r="G84" i="33"/>
  <c r="S5" i="46"/>
  <c r="S6" i="46"/>
  <c r="S4" i="46"/>
  <c r="P33" i="45"/>
  <c r="P32" i="45"/>
  <c r="P19" i="45"/>
  <c r="P5" i="45"/>
  <c r="P6" i="45"/>
  <c r="P4" i="45"/>
  <c r="P18" i="6"/>
  <c r="K4" i="6"/>
  <c r="P5" i="6"/>
  <c r="P6" i="6"/>
  <c r="P4" i="6"/>
  <c r="M4" i="6"/>
  <c r="M33" i="33"/>
  <c r="I33" i="33"/>
  <c r="M32" i="33"/>
  <c r="M19" i="33"/>
  <c r="M5" i="33"/>
  <c r="M6" i="33"/>
  <c r="M4" i="33"/>
  <c r="F83" i="33"/>
  <c r="F84" i="33"/>
  <c r="M18" i="46"/>
  <c r="M5" i="46"/>
  <c r="M6" i="46"/>
  <c r="M33" i="45"/>
  <c r="M32" i="45"/>
  <c r="M19" i="45"/>
  <c r="M5" i="45"/>
  <c r="M6" i="45"/>
  <c r="M18" i="6"/>
  <c r="M5" i="6"/>
  <c r="M6" i="6"/>
  <c r="I32" i="33"/>
  <c r="I5" i="33"/>
  <c r="I6" i="33"/>
  <c r="I4" i="33"/>
  <c r="E83" i="33"/>
  <c r="E84" i="33"/>
  <c r="I18" i="46"/>
  <c r="I5" i="46"/>
  <c r="I6" i="46"/>
  <c r="I4" i="46"/>
  <c r="K33" i="45"/>
  <c r="K32" i="45"/>
  <c r="K19" i="45"/>
  <c r="N19" i="45"/>
  <c r="K5" i="45"/>
  <c r="K6" i="45"/>
  <c r="K4" i="45"/>
  <c r="N4" i="45"/>
  <c r="Q4" i="45"/>
  <c r="T4" i="45"/>
  <c r="W4" i="45"/>
  <c r="K18" i="6"/>
  <c r="K6" i="6"/>
  <c r="K5" i="6"/>
  <c r="BF39" i="48"/>
  <c r="BE39" i="48"/>
  <c r="BD39" i="48"/>
  <c r="BC39" i="48"/>
  <c r="BB39" i="48"/>
  <c r="BA39" i="48"/>
  <c r="AS39" i="48"/>
  <c r="AI39" i="48"/>
  <c r="P39" i="48"/>
  <c r="I32" i="48"/>
  <c r="BF26" i="48"/>
  <c r="BE26" i="48"/>
  <c r="BD26" i="48"/>
  <c r="BC26" i="48"/>
  <c r="BB26" i="48"/>
  <c r="BA26" i="48"/>
  <c r="AS26" i="48"/>
  <c r="AI26" i="48"/>
  <c r="I22" i="48"/>
  <c r="BF14" i="48"/>
  <c r="BE14" i="48"/>
  <c r="BD14" i="48"/>
  <c r="BC14" i="48"/>
  <c r="BB14" i="48"/>
  <c r="BA14" i="48"/>
  <c r="AW14" i="48"/>
  <c r="AS14" i="48"/>
  <c r="AP14" i="48"/>
  <c r="AM14" i="48"/>
  <c r="AJ14" i="48"/>
  <c r="AI14" i="48"/>
  <c r="AG14" i="48"/>
  <c r="AE14" i="48"/>
  <c r="AC14" i="48"/>
  <c r="AA14" i="48"/>
  <c r="Y14" i="48"/>
  <c r="V14" i="48"/>
  <c r="U14" i="48"/>
  <c r="T14" i="48"/>
  <c r="S14" i="48"/>
  <c r="R14" i="48"/>
  <c r="Q14" i="48"/>
  <c r="P14" i="48"/>
  <c r="O14" i="48"/>
  <c r="N14" i="48"/>
  <c r="M14" i="48"/>
  <c r="L14" i="48"/>
  <c r="J14" i="48"/>
  <c r="H14" i="48"/>
  <c r="BF13" i="48"/>
  <c r="BE13" i="48"/>
  <c r="BD13" i="48"/>
  <c r="BC13" i="48"/>
  <c r="BB13" i="48"/>
  <c r="BA13" i="48"/>
  <c r="AW13" i="48"/>
  <c r="AW39" i="48"/>
  <c r="AS13" i="48"/>
  <c r="AP13" i="48"/>
  <c r="AM13" i="48"/>
  <c r="AM26" i="48"/>
  <c r="AJ13" i="48"/>
  <c r="AJ26" i="48"/>
  <c r="AI13" i="48"/>
  <c r="AG13" i="48"/>
  <c r="AG26" i="48"/>
  <c r="AE13" i="48"/>
  <c r="AC13" i="48"/>
  <c r="AA13" i="48"/>
  <c r="Y13" i="48"/>
  <c r="W13" i="48"/>
  <c r="W26" i="48"/>
  <c r="V13" i="48"/>
  <c r="U13" i="48"/>
  <c r="U26" i="48"/>
  <c r="T13" i="48"/>
  <c r="S13" i="48"/>
  <c r="R13" i="48"/>
  <c r="R26" i="48"/>
  <c r="Q13" i="48"/>
  <c r="Q39" i="48"/>
  <c r="P13" i="48"/>
  <c r="O13" i="48"/>
  <c r="N13" i="48"/>
  <c r="N26" i="48"/>
  <c r="M13" i="48"/>
  <c r="L13" i="48"/>
  <c r="J13" i="48"/>
  <c r="J26" i="48"/>
  <c r="H13" i="48"/>
  <c r="I4" i="48"/>
  <c r="W1" i="48"/>
  <c r="W92" i="46"/>
  <c r="V92" i="46"/>
  <c r="U92" i="46"/>
  <c r="T92" i="46"/>
  <c r="S92" i="46"/>
  <c r="T75" i="46"/>
  <c r="S75" i="46"/>
  <c r="P75" i="46"/>
  <c r="N75" i="46"/>
  <c r="G75" i="46"/>
  <c r="X75" i="46"/>
  <c r="W75" i="46"/>
  <c r="V75" i="46"/>
  <c r="U75" i="46"/>
  <c r="R75" i="46"/>
  <c r="Q75" i="46"/>
  <c r="O75" i="46"/>
  <c r="M75" i="46"/>
  <c r="L75" i="46"/>
  <c r="K75" i="46"/>
  <c r="J75" i="46"/>
  <c r="I75" i="46"/>
  <c r="H75" i="46"/>
  <c r="F75" i="46"/>
  <c r="E75" i="46"/>
  <c r="X72" i="46"/>
  <c r="W72" i="46"/>
  <c r="V72" i="46"/>
  <c r="U72" i="46"/>
  <c r="T72" i="46"/>
  <c r="S72" i="46"/>
  <c r="R72" i="46"/>
  <c r="Q72" i="46"/>
  <c r="P72" i="46"/>
  <c r="N72" i="46"/>
  <c r="M72" i="46"/>
  <c r="L72" i="46"/>
  <c r="K72" i="46"/>
  <c r="J72" i="46"/>
  <c r="I72" i="46"/>
  <c r="H72" i="46"/>
  <c r="G72" i="46"/>
  <c r="F72" i="46"/>
  <c r="E72" i="46"/>
  <c r="X69" i="46"/>
  <c r="W69" i="46"/>
  <c r="V69" i="46"/>
  <c r="U69" i="46"/>
  <c r="T69" i="46"/>
  <c r="S69" i="46"/>
  <c r="R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T66" i="46"/>
  <c r="S66" i="46"/>
  <c r="D66" i="46"/>
  <c r="Q66" i="46"/>
  <c r="P66" i="46"/>
  <c r="O66" i="46"/>
  <c r="M66" i="46"/>
  <c r="K66" i="46"/>
  <c r="I66" i="46"/>
  <c r="G78" i="45"/>
  <c r="G77" i="45"/>
  <c r="G76" i="45"/>
  <c r="G75" i="45"/>
  <c r="G74" i="45"/>
  <c r="G73" i="45"/>
  <c r="G72" i="45"/>
  <c r="G71" i="45"/>
  <c r="G70" i="45"/>
  <c r="G69" i="45"/>
  <c r="G68" i="45"/>
  <c r="G66" i="45"/>
  <c r="G65" i="45"/>
  <c r="G64" i="45"/>
  <c r="G63" i="45"/>
  <c r="G62" i="45"/>
  <c r="G61" i="45"/>
  <c r="G60" i="45"/>
  <c r="G59" i="45"/>
  <c r="J42" i="45"/>
  <c r="G58" i="45"/>
  <c r="H42" i="45"/>
  <c r="G57" i="45"/>
  <c r="F76" i="45"/>
  <c r="F74" i="45"/>
  <c r="F73" i="45"/>
  <c r="F69" i="45"/>
  <c r="F68" i="45"/>
  <c r="F67" i="45"/>
  <c r="F65" i="45"/>
  <c r="F64" i="45"/>
  <c r="F63" i="45"/>
  <c r="F61" i="45"/>
  <c r="F59" i="45"/>
  <c r="F58" i="45"/>
  <c r="BQ29" i="45"/>
  <c r="E78" i="45"/>
  <c r="BN29" i="45"/>
  <c r="E77" i="45"/>
  <c r="BK29" i="45"/>
  <c r="E76" i="45"/>
  <c r="BH29" i="45"/>
  <c r="E75" i="45"/>
  <c r="BE29" i="45"/>
  <c r="E74" i="45"/>
  <c r="BB29" i="45"/>
  <c r="E73" i="45"/>
  <c r="AY29" i="45"/>
  <c r="E72" i="45"/>
  <c r="AV29" i="45"/>
  <c r="E71" i="45"/>
  <c r="AS29" i="45"/>
  <c r="E70" i="45"/>
  <c r="AP29" i="45"/>
  <c r="E69" i="45"/>
  <c r="AM29" i="45"/>
  <c r="E68" i="45"/>
  <c r="AJ29" i="45"/>
  <c r="E67" i="45"/>
  <c r="AG29" i="45"/>
  <c r="E66" i="45"/>
  <c r="AD29" i="45"/>
  <c r="E65" i="45"/>
  <c r="AA29" i="45"/>
  <c r="E64" i="45"/>
  <c r="X29" i="45"/>
  <c r="E63" i="45"/>
  <c r="U29" i="45"/>
  <c r="E62" i="45"/>
  <c r="R29" i="45"/>
  <c r="E61" i="45"/>
  <c r="O29" i="45"/>
  <c r="E60" i="45"/>
  <c r="L29" i="45"/>
  <c r="E59" i="45"/>
  <c r="J29" i="45"/>
  <c r="E58" i="45"/>
  <c r="H29" i="45"/>
  <c r="E57" i="45"/>
  <c r="BQ28" i="45"/>
  <c r="D78" i="45"/>
  <c r="BN28" i="45"/>
  <c r="D77" i="45"/>
  <c r="BK28" i="45"/>
  <c r="D76" i="45"/>
  <c r="BH28" i="45"/>
  <c r="D75" i="45"/>
  <c r="BE28" i="45"/>
  <c r="D74" i="45"/>
  <c r="BB28" i="45"/>
  <c r="D73" i="45"/>
  <c r="AY28" i="45"/>
  <c r="D72" i="45"/>
  <c r="AV28" i="45"/>
  <c r="D71" i="45"/>
  <c r="AS28" i="45"/>
  <c r="D70" i="45"/>
  <c r="AP28" i="45"/>
  <c r="D69" i="45"/>
  <c r="AM28" i="45"/>
  <c r="D68" i="45"/>
  <c r="AJ28" i="45"/>
  <c r="AG28" i="45"/>
  <c r="D66" i="45"/>
  <c r="AD28" i="45"/>
  <c r="D65" i="45"/>
  <c r="AA28" i="45"/>
  <c r="D64" i="45"/>
  <c r="X28" i="45"/>
  <c r="D63" i="45"/>
  <c r="U28" i="45"/>
  <c r="D62" i="45"/>
  <c r="R28" i="45"/>
  <c r="O28" i="45"/>
  <c r="D60" i="45"/>
  <c r="L28" i="45"/>
  <c r="D59" i="45"/>
  <c r="J28" i="45"/>
  <c r="D58" i="45"/>
  <c r="BQ17" i="45"/>
  <c r="C78" i="45"/>
  <c r="BN17" i="45"/>
  <c r="BK17" i="45"/>
  <c r="C76" i="45"/>
  <c r="BH17" i="45"/>
  <c r="C75" i="45"/>
  <c r="BE17" i="45"/>
  <c r="C74" i="45"/>
  <c r="BB17" i="45"/>
  <c r="C73" i="45"/>
  <c r="AY17" i="45"/>
  <c r="C72" i="45"/>
  <c r="AV17" i="45"/>
  <c r="C71" i="45"/>
  <c r="AS17" i="45"/>
  <c r="C70" i="45"/>
  <c r="AP17" i="45"/>
  <c r="C69" i="45"/>
  <c r="AM17" i="45"/>
  <c r="C68" i="45"/>
  <c r="AJ17" i="45"/>
  <c r="C67" i="45"/>
  <c r="AG17" i="45"/>
  <c r="C66" i="45"/>
  <c r="AD17" i="45"/>
  <c r="C65" i="45"/>
  <c r="AA17" i="45"/>
  <c r="C64" i="45"/>
  <c r="X17" i="45"/>
  <c r="C63" i="45"/>
  <c r="U17" i="45"/>
  <c r="C62" i="45"/>
  <c r="R17" i="45"/>
  <c r="C61" i="45"/>
  <c r="O17" i="45"/>
  <c r="C60" i="45"/>
  <c r="L17" i="45"/>
  <c r="C59" i="45"/>
  <c r="J17" i="45"/>
  <c r="C58" i="45"/>
  <c r="H17" i="45"/>
  <c r="C57" i="45"/>
  <c r="BQ16" i="45"/>
  <c r="B78" i="45"/>
  <c r="BN16" i="45"/>
  <c r="B77" i="45"/>
  <c r="BK16" i="45"/>
  <c r="B76" i="45"/>
  <c r="BH16" i="45"/>
  <c r="B75" i="45"/>
  <c r="BE16" i="45"/>
  <c r="BB16" i="45"/>
  <c r="B73" i="45"/>
  <c r="AY16" i="45"/>
  <c r="B72" i="45"/>
  <c r="AV16" i="45"/>
  <c r="B71" i="45"/>
  <c r="AS16" i="45"/>
  <c r="B70" i="45"/>
  <c r="AP16" i="45"/>
  <c r="AP43" i="45"/>
  <c r="AM16" i="45"/>
  <c r="AM43" i="45"/>
  <c r="AJ16" i="45"/>
  <c r="AG16" i="45"/>
  <c r="AD16" i="45"/>
  <c r="B65" i="45"/>
  <c r="AA16" i="45"/>
  <c r="AA43" i="45"/>
  <c r="X16" i="45"/>
  <c r="B63" i="45"/>
  <c r="U16" i="45"/>
  <c r="B62" i="45"/>
  <c r="R16" i="45"/>
  <c r="B61" i="45"/>
  <c r="L16" i="45"/>
  <c r="B59" i="45"/>
  <c r="J16" i="45"/>
  <c r="H16" i="45"/>
  <c r="I19" i="48"/>
  <c r="I18" i="48"/>
  <c r="I17" i="48"/>
  <c r="I16" i="48"/>
  <c r="H40" i="44"/>
  <c r="J40" i="44"/>
  <c r="L40" i="44"/>
  <c r="N40" i="44"/>
  <c r="O40" i="44"/>
  <c r="P40" i="44"/>
  <c r="Q40" i="44"/>
  <c r="R40" i="44"/>
  <c r="S40" i="44"/>
  <c r="T40" i="44"/>
  <c r="U40" i="44"/>
  <c r="V40" i="44"/>
  <c r="W40" i="44"/>
  <c r="Y40" i="44"/>
  <c r="AA40" i="44"/>
  <c r="AC40" i="44"/>
  <c r="AE40" i="44"/>
  <c r="AG40" i="44"/>
  <c r="AI40" i="44"/>
  <c r="AJ40" i="44"/>
  <c r="AM40" i="44"/>
  <c r="AP40" i="44"/>
  <c r="AS40" i="44"/>
  <c r="AW40" i="44"/>
  <c r="H27" i="44"/>
  <c r="J27" i="44"/>
  <c r="L27" i="44"/>
  <c r="N27" i="44"/>
  <c r="O27" i="44"/>
  <c r="P27" i="44"/>
  <c r="Q27" i="44"/>
  <c r="R27" i="44"/>
  <c r="S27" i="44"/>
  <c r="T27" i="44"/>
  <c r="U27" i="44"/>
  <c r="V27" i="44"/>
  <c r="W27" i="44"/>
  <c r="Y27" i="44"/>
  <c r="AC27" i="44"/>
  <c r="AE27" i="44"/>
  <c r="AG27" i="44"/>
  <c r="AI27" i="44"/>
  <c r="AJ27" i="44"/>
  <c r="AM27" i="44"/>
  <c r="AP27" i="44"/>
  <c r="AS27" i="44"/>
  <c r="AW27" i="44"/>
  <c r="J15" i="44"/>
  <c r="AW15" i="44"/>
  <c r="N15" i="44"/>
  <c r="O15" i="44"/>
  <c r="P15" i="44"/>
  <c r="Q15" i="44"/>
  <c r="R15" i="44"/>
  <c r="S15" i="44"/>
  <c r="T15" i="44"/>
  <c r="U15" i="44"/>
  <c r="V15" i="44"/>
  <c r="W15" i="44"/>
  <c r="Y15" i="44"/>
  <c r="AA15" i="44"/>
  <c r="AC15" i="44"/>
  <c r="AE15" i="44"/>
  <c r="AG15" i="44"/>
  <c r="AI15" i="44"/>
  <c r="AJ15" i="44"/>
  <c r="AM15" i="44"/>
  <c r="AP15" i="44"/>
  <c r="AS15" i="44"/>
  <c r="BA15" i="44"/>
  <c r="BB15" i="44"/>
  <c r="BC15" i="44"/>
  <c r="BD15" i="44"/>
  <c r="BE15" i="44"/>
  <c r="BF15" i="44"/>
  <c r="J26" i="44"/>
  <c r="T69" i="33"/>
  <c r="H15" i="6"/>
  <c r="O15" i="6"/>
  <c r="B62" i="6"/>
  <c r="H39" i="44"/>
  <c r="I35" i="44"/>
  <c r="W1" i="44"/>
  <c r="J14" i="44"/>
  <c r="N14" i="44"/>
  <c r="O14" i="44"/>
  <c r="P14" i="44"/>
  <c r="Q14" i="44"/>
  <c r="R14" i="44"/>
  <c r="S14" i="44"/>
  <c r="T14" i="44"/>
  <c r="U14" i="44"/>
  <c r="V14" i="44"/>
  <c r="W14" i="44"/>
  <c r="Y14" i="44"/>
  <c r="AA14" i="44"/>
  <c r="AC14" i="44"/>
  <c r="AE14" i="44"/>
  <c r="AG14" i="44"/>
  <c r="AI14" i="44"/>
  <c r="AJ14" i="44"/>
  <c r="AM14" i="44"/>
  <c r="AP14" i="44"/>
  <c r="AS14" i="44"/>
  <c r="AW14" i="44"/>
  <c r="BA14" i="44"/>
  <c r="BB14" i="44"/>
  <c r="BC14" i="44"/>
  <c r="BD14" i="44"/>
  <c r="BE14" i="44"/>
  <c r="BF14" i="44"/>
  <c r="L26" i="44"/>
  <c r="N26" i="44"/>
  <c r="O26" i="44"/>
  <c r="P26" i="44"/>
  <c r="Q26" i="44"/>
  <c r="R26" i="44"/>
  <c r="S26" i="44"/>
  <c r="T26" i="44"/>
  <c r="U26" i="44"/>
  <c r="V26" i="44"/>
  <c r="W26" i="44"/>
  <c r="Y26" i="44"/>
  <c r="AC26" i="44"/>
  <c r="AC28" i="44"/>
  <c r="AE26" i="44"/>
  <c r="AG26" i="44"/>
  <c r="AI26" i="44"/>
  <c r="AI28" i="44"/>
  <c r="AJ26" i="44"/>
  <c r="AM26" i="44"/>
  <c r="AP26" i="44"/>
  <c r="AS26" i="44"/>
  <c r="AS28" i="44"/>
  <c r="AW26" i="44"/>
  <c r="AW28" i="44"/>
  <c r="BA26" i="44"/>
  <c r="BA28" i="44"/>
  <c r="BB26" i="44"/>
  <c r="BB28" i="44"/>
  <c r="BC26" i="44"/>
  <c r="BC28" i="44"/>
  <c r="BD26" i="44"/>
  <c r="BD28" i="44"/>
  <c r="BE26" i="44"/>
  <c r="BE28" i="44"/>
  <c r="BF26" i="44"/>
  <c r="BF28" i="44"/>
  <c r="BA27" i="44"/>
  <c r="BB27" i="44"/>
  <c r="BC27" i="44"/>
  <c r="BD27" i="44"/>
  <c r="BE27" i="44"/>
  <c r="BF27" i="44"/>
  <c r="J39" i="44"/>
  <c r="N39" i="44"/>
  <c r="O39" i="44"/>
  <c r="P39" i="44"/>
  <c r="Q39" i="44"/>
  <c r="R39" i="44"/>
  <c r="S39" i="44"/>
  <c r="T39" i="44"/>
  <c r="U39" i="44"/>
  <c r="V39" i="44"/>
  <c r="W39" i="44"/>
  <c r="Y39" i="44"/>
  <c r="AA39" i="44"/>
  <c r="AC39" i="44"/>
  <c r="AE39" i="44"/>
  <c r="AG39" i="44"/>
  <c r="AI39" i="44"/>
  <c r="AI41" i="44"/>
  <c r="AJ39" i="44"/>
  <c r="AM39" i="44"/>
  <c r="AP39" i="44"/>
  <c r="AS39" i="44"/>
  <c r="AS41" i="44"/>
  <c r="AW39" i="44"/>
  <c r="BA39" i="44"/>
  <c r="BA41" i="44"/>
  <c r="BB39" i="44"/>
  <c r="BB41" i="44"/>
  <c r="BC39" i="44"/>
  <c r="BC41" i="44"/>
  <c r="BD39" i="44"/>
  <c r="BD41" i="44"/>
  <c r="BE39" i="44"/>
  <c r="BE41" i="44"/>
  <c r="BF39" i="44"/>
  <c r="BF41" i="44"/>
  <c r="BA40" i="44"/>
  <c r="BB40" i="44"/>
  <c r="BC40" i="44"/>
  <c r="BD40" i="44"/>
  <c r="BE40" i="44"/>
  <c r="BF40" i="44"/>
  <c r="M26" i="44"/>
  <c r="M27" i="44"/>
  <c r="H41" i="44"/>
  <c r="M40" i="44"/>
  <c r="M39" i="44"/>
  <c r="L15" i="44"/>
  <c r="BQ43" i="6"/>
  <c r="G80" i="6"/>
  <c r="BQ42" i="6"/>
  <c r="F80" i="6"/>
  <c r="BQ29" i="6"/>
  <c r="E80" i="6"/>
  <c r="BQ28" i="6"/>
  <c r="D80" i="6"/>
  <c r="BQ16" i="6"/>
  <c r="C80" i="6"/>
  <c r="BQ15" i="6"/>
  <c r="L14" i="44"/>
  <c r="L41" i="44"/>
  <c r="BN43" i="6"/>
  <c r="G79" i="6"/>
  <c r="BN42" i="6"/>
  <c r="F79" i="6"/>
  <c r="BN29" i="6"/>
  <c r="E79" i="6"/>
  <c r="BN28" i="6"/>
  <c r="D79" i="6"/>
  <c r="BN16" i="6"/>
  <c r="BN15" i="6"/>
  <c r="M15" i="44"/>
  <c r="M14" i="44"/>
  <c r="M28" i="44"/>
  <c r="BK43" i="6"/>
  <c r="G78" i="6"/>
  <c r="BK42" i="6"/>
  <c r="F78" i="6"/>
  <c r="BK29" i="6"/>
  <c r="E78" i="6"/>
  <c r="BK28" i="6"/>
  <c r="D78" i="6"/>
  <c r="BK16" i="6"/>
  <c r="C78" i="6"/>
  <c r="BK15" i="6"/>
  <c r="B78" i="6"/>
  <c r="BH43" i="6"/>
  <c r="G77" i="6"/>
  <c r="BH42" i="6"/>
  <c r="F77" i="6"/>
  <c r="BH29" i="6"/>
  <c r="E77" i="6"/>
  <c r="BH28" i="6"/>
  <c r="D77" i="6"/>
  <c r="BH16" i="6"/>
  <c r="C77" i="6"/>
  <c r="BH15" i="6"/>
  <c r="BE43" i="6"/>
  <c r="G76" i="6"/>
  <c r="BE42" i="6"/>
  <c r="F76" i="6"/>
  <c r="BE29" i="6"/>
  <c r="E76" i="6"/>
  <c r="BE28" i="6"/>
  <c r="D76" i="6"/>
  <c r="BE16" i="6"/>
  <c r="C76" i="6"/>
  <c r="BE15" i="6"/>
  <c r="B76" i="6"/>
  <c r="BB43" i="6"/>
  <c r="G75" i="6"/>
  <c r="BB42" i="6"/>
  <c r="F75" i="6"/>
  <c r="BB29" i="6"/>
  <c r="E75" i="6"/>
  <c r="BB28" i="6"/>
  <c r="D75" i="6"/>
  <c r="BB16" i="6"/>
  <c r="C75" i="6"/>
  <c r="BB15" i="6"/>
  <c r="AY43" i="6"/>
  <c r="G74" i="6"/>
  <c r="AY29" i="6"/>
  <c r="E74" i="6"/>
  <c r="AY42" i="6"/>
  <c r="F74" i="6"/>
  <c r="AY28" i="6"/>
  <c r="D74" i="6"/>
  <c r="AY16" i="6"/>
  <c r="C74" i="6"/>
  <c r="AY15" i="6"/>
  <c r="B74" i="6"/>
  <c r="AV43" i="6"/>
  <c r="G73" i="6"/>
  <c r="AV42" i="6"/>
  <c r="AV28" i="6"/>
  <c r="D73" i="6"/>
  <c r="AV29" i="6"/>
  <c r="E73" i="6"/>
  <c r="AV16" i="6"/>
  <c r="C73" i="6"/>
  <c r="AV15" i="6"/>
  <c r="B73" i="6"/>
  <c r="AS43" i="6"/>
  <c r="G72" i="6"/>
  <c r="AS42" i="6"/>
  <c r="F72" i="6"/>
  <c r="AS29" i="6"/>
  <c r="E72" i="6"/>
  <c r="AS28" i="6"/>
  <c r="AS16" i="6"/>
  <c r="C72" i="6"/>
  <c r="AS15" i="6"/>
  <c r="B72" i="6"/>
  <c r="AP16" i="6"/>
  <c r="C71" i="6"/>
  <c r="AP43" i="6"/>
  <c r="G71" i="6"/>
  <c r="AP42" i="6"/>
  <c r="F71" i="6"/>
  <c r="AP29" i="6"/>
  <c r="E71" i="6"/>
  <c r="AP28" i="6"/>
  <c r="D71" i="6"/>
  <c r="AP15" i="6"/>
  <c r="AM43" i="6"/>
  <c r="G70" i="6"/>
  <c r="AM42" i="6"/>
  <c r="AM29" i="6"/>
  <c r="E70" i="6"/>
  <c r="AM28" i="6"/>
  <c r="D70" i="6"/>
  <c r="AM16" i="6"/>
  <c r="C70" i="6"/>
  <c r="AM15" i="6"/>
  <c r="B70" i="6"/>
  <c r="AJ29" i="6"/>
  <c r="E69" i="6"/>
  <c r="AJ15" i="6"/>
  <c r="B69" i="6"/>
  <c r="AJ16" i="6"/>
  <c r="C69" i="6"/>
  <c r="AJ43" i="6"/>
  <c r="G69" i="6"/>
  <c r="AJ42" i="6"/>
  <c r="F69" i="6"/>
  <c r="AJ28" i="6"/>
  <c r="D69" i="6"/>
  <c r="AG43" i="6"/>
  <c r="G68" i="6"/>
  <c r="AG42" i="6"/>
  <c r="F68" i="6"/>
  <c r="AG29" i="6"/>
  <c r="E68" i="6"/>
  <c r="AG28" i="6"/>
  <c r="AG16" i="6"/>
  <c r="C68" i="6"/>
  <c r="AG15" i="6"/>
  <c r="B68" i="6"/>
  <c r="AD43" i="6"/>
  <c r="G67" i="6"/>
  <c r="AD29" i="6"/>
  <c r="E67" i="6"/>
  <c r="AD28" i="6"/>
  <c r="D67" i="6"/>
  <c r="AD16" i="6"/>
  <c r="C67" i="6"/>
  <c r="AD15" i="6"/>
  <c r="AA42" i="6"/>
  <c r="F66" i="6"/>
  <c r="AA29" i="6"/>
  <c r="E66" i="6"/>
  <c r="AA28" i="6"/>
  <c r="D66" i="6"/>
  <c r="AA16" i="6"/>
  <c r="C66" i="6"/>
  <c r="AA15" i="6"/>
  <c r="E65" i="6"/>
  <c r="U43" i="6"/>
  <c r="G64" i="6"/>
  <c r="U42" i="6"/>
  <c r="F64" i="6"/>
  <c r="U29" i="6"/>
  <c r="E64" i="6"/>
  <c r="U28" i="6"/>
  <c r="D64" i="6"/>
  <c r="U16" i="6"/>
  <c r="C64" i="6"/>
  <c r="U15" i="6"/>
  <c r="B64" i="6"/>
  <c r="R43" i="6"/>
  <c r="G63" i="6"/>
  <c r="R29" i="6"/>
  <c r="E63" i="6"/>
  <c r="R28" i="6"/>
  <c r="D63" i="6"/>
  <c r="R16" i="6"/>
  <c r="C63" i="6"/>
  <c r="R15" i="6"/>
  <c r="B63" i="6"/>
  <c r="O43" i="6"/>
  <c r="G62" i="6"/>
  <c r="O42" i="6"/>
  <c r="F62" i="6"/>
  <c r="O29" i="6"/>
  <c r="E62" i="6"/>
  <c r="O28" i="6"/>
  <c r="D62" i="6"/>
  <c r="O16" i="6"/>
  <c r="C62" i="6"/>
  <c r="L43" i="6"/>
  <c r="G61" i="6"/>
  <c r="L42" i="6"/>
  <c r="F61" i="6"/>
  <c r="L29" i="6"/>
  <c r="E61" i="6"/>
  <c r="L28" i="6"/>
  <c r="D61" i="6"/>
  <c r="L16" i="6"/>
  <c r="C61" i="6"/>
  <c r="L15" i="6"/>
  <c r="B61" i="6"/>
  <c r="J43" i="6"/>
  <c r="G60" i="6"/>
  <c r="J42" i="6"/>
  <c r="F60" i="6"/>
  <c r="J29" i="6"/>
  <c r="E60" i="6"/>
  <c r="J28" i="6"/>
  <c r="D60" i="6"/>
  <c r="J16" i="6"/>
  <c r="C60" i="6"/>
  <c r="J15" i="6"/>
  <c r="B60" i="6"/>
  <c r="L72" i="33"/>
  <c r="H72" i="33"/>
  <c r="E72" i="33"/>
  <c r="H66" i="33"/>
  <c r="E66" i="33"/>
  <c r="K66" i="33"/>
  <c r="V69" i="33"/>
  <c r="N72" i="33"/>
  <c r="P72" i="33"/>
  <c r="Q72" i="33"/>
  <c r="S72" i="33"/>
  <c r="T72" i="33"/>
  <c r="U72" i="33"/>
  <c r="X66" i="33"/>
  <c r="D63" i="33"/>
  <c r="M63" i="33"/>
  <c r="P63" i="33"/>
  <c r="R63" i="33"/>
  <c r="S63" i="33"/>
  <c r="T63" i="33"/>
  <c r="M66" i="33"/>
  <c r="N66" i="33"/>
  <c r="P66" i="33"/>
  <c r="R66" i="33"/>
  <c r="S66" i="33"/>
  <c r="W66" i="33"/>
  <c r="F69" i="33"/>
  <c r="G69" i="33"/>
  <c r="J69" i="33"/>
  <c r="K69" i="33"/>
  <c r="M69" i="33"/>
  <c r="O69" i="33"/>
  <c r="R69" i="33"/>
  <c r="S69" i="33"/>
  <c r="G66" i="33"/>
  <c r="E69" i="33"/>
  <c r="U66" i="33"/>
  <c r="V66" i="33"/>
  <c r="P69" i="33"/>
  <c r="L69" i="33"/>
  <c r="L66" i="33"/>
  <c r="K63" i="33"/>
  <c r="J66" i="33"/>
  <c r="U69" i="33"/>
  <c r="X69" i="33"/>
  <c r="Q69" i="33"/>
  <c r="F66" i="33"/>
  <c r="T66" i="33"/>
  <c r="O66" i="33"/>
  <c r="I66" i="33"/>
  <c r="N69" i="33"/>
  <c r="W69" i="33"/>
  <c r="F72" i="33"/>
  <c r="I63" i="33"/>
  <c r="I72" i="33"/>
  <c r="M72" i="33"/>
  <c r="R72" i="33"/>
  <c r="V72" i="33"/>
  <c r="J72" i="33"/>
  <c r="O72" i="33"/>
  <c r="W72" i="33"/>
  <c r="K72" i="33"/>
  <c r="X72" i="33"/>
  <c r="N7" i="33"/>
  <c r="BO41" i="44"/>
  <c r="BN28" i="44"/>
  <c r="BT26" i="48"/>
  <c r="BS41" i="44"/>
  <c r="BR39" i="48"/>
  <c r="J41" i="44"/>
  <c r="AU6" i="44"/>
  <c r="AV19" i="44"/>
  <c r="BM39" i="48"/>
  <c r="BO39" i="48"/>
  <c r="BK28" i="44"/>
  <c r="BI41" i="44"/>
  <c r="AV8" i="44"/>
  <c r="Z27" i="44"/>
  <c r="AU7" i="44"/>
  <c r="AU18" i="44"/>
  <c r="I7" i="44"/>
  <c r="I4" i="44"/>
  <c r="I6" i="44"/>
  <c r="AU4" i="44"/>
  <c r="I31" i="44"/>
  <c r="I5" i="44"/>
  <c r="CB16" i="33"/>
  <c r="B69" i="45"/>
  <c r="L51" i="50"/>
  <c r="V76" i="50"/>
  <c r="F38" i="50"/>
  <c r="Z38" i="50"/>
  <c r="Z37" i="50"/>
  <c r="Z62" i="50"/>
  <c r="Z15" i="50"/>
  <c r="Z14" i="50"/>
  <c r="Z26" i="50"/>
  <c r="Z51" i="50"/>
  <c r="Z50" i="50"/>
  <c r="Z61" i="50"/>
  <c r="W39" i="50"/>
  <c r="W76" i="50"/>
  <c r="Z25" i="50"/>
  <c r="W27" i="50"/>
  <c r="V39" i="50"/>
  <c r="V27" i="50"/>
  <c r="X76" i="50"/>
  <c r="V63" i="50"/>
  <c r="Y76" i="50"/>
  <c r="W63" i="50"/>
  <c r="X39" i="50"/>
  <c r="X27" i="50"/>
  <c r="Y39" i="50"/>
  <c r="Y27" i="50"/>
  <c r="AA14" i="50"/>
  <c r="T39" i="50"/>
  <c r="X63" i="50"/>
  <c r="Y63" i="50"/>
  <c r="AA50" i="50"/>
  <c r="AC39" i="50"/>
  <c r="AC27" i="50"/>
  <c r="AB39" i="50"/>
  <c r="AB27" i="50"/>
  <c r="E39" i="50"/>
  <c r="O39" i="50"/>
  <c r="G76" i="50"/>
  <c r="S76" i="50"/>
  <c r="U27" i="50"/>
  <c r="U63" i="50"/>
  <c r="I63" i="50"/>
  <c r="K63" i="50"/>
  <c r="J63" i="50"/>
  <c r="S39" i="50"/>
  <c r="I27" i="50"/>
  <c r="J39" i="50"/>
  <c r="N76" i="50"/>
  <c r="E76" i="50"/>
  <c r="O76" i="50"/>
  <c r="N63" i="50"/>
  <c r="H76" i="50"/>
  <c r="U76" i="50"/>
  <c r="E63" i="50"/>
  <c r="O63" i="50"/>
  <c r="I76" i="50"/>
  <c r="G63" i="50"/>
  <c r="S63" i="50"/>
  <c r="J76" i="50"/>
  <c r="N39" i="50"/>
  <c r="J27" i="50"/>
  <c r="M27" i="50"/>
  <c r="U39" i="50"/>
  <c r="N27" i="50"/>
  <c r="I39" i="50"/>
  <c r="K39" i="50"/>
  <c r="E27" i="50"/>
  <c r="O27" i="50"/>
  <c r="G27" i="50"/>
  <c r="S27" i="50"/>
  <c r="Z39" i="50"/>
  <c r="Z27" i="50"/>
  <c r="Z75" i="50"/>
  <c r="Z74" i="50"/>
  <c r="N19" i="33"/>
  <c r="O62" i="33"/>
  <c r="O63" i="33"/>
  <c r="L43" i="45"/>
  <c r="CC9" i="33"/>
  <c r="BQ23" i="33"/>
  <c r="CB29" i="33"/>
  <c r="CB28" i="33"/>
  <c r="AA30" i="45"/>
  <c r="T39" i="48"/>
  <c r="T26" i="48"/>
  <c r="S39" i="48"/>
  <c r="CB28" i="46"/>
  <c r="O39" i="48"/>
  <c r="AU6" i="48"/>
  <c r="AV9" i="48"/>
  <c r="Y26" i="48"/>
  <c r="AU4" i="48"/>
  <c r="I20" i="44"/>
  <c r="CB16" i="46"/>
  <c r="CB15" i="46"/>
  <c r="CB42" i="46"/>
  <c r="CW33" i="33"/>
  <c r="AM33" i="33"/>
  <c r="BE19" i="33"/>
  <c r="U7" i="33"/>
  <c r="CQ10" i="33"/>
  <c r="DC33" i="33"/>
  <c r="AS11" i="33"/>
  <c r="AM37" i="33"/>
  <c r="CK32" i="33"/>
  <c r="CK8" i="33"/>
  <c r="DC23" i="33"/>
  <c r="AG5" i="33"/>
  <c r="J22" i="33"/>
  <c r="DI37" i="33"/>
  <c r="O38" i="33"/>
  <c r="O10" i="33"/>
  <c r="I23" i="45"/>
  <c r="CC7" i="46"/>
  <c r="I33" i="44"/>
  <c r="I34" i="44"/>
  <c r="U41" i="44"/>
  <c r="I32" i="44"/>
  <c r="V26" i="48"/>
  <c r="N35" i="33"/>
  <c r="T35" i="33"/>
  <c r="N24" i="33"/>
  <c r="CC34" i="33"/>
  <c r="I19" i="45"/>
  <c r="N34" i="45"/>
  <c r="Q34" i="45"/>
  <c r="T34" i="45"/>
  <c r="W34" i="45"/>
  <c r="Z34" i="45"/>
  <c r="BQ36" i="33"/>
  <c r="F62" i="33"/>
  <c r="F63" i="33"/>
  <c r="N32" i="33"/>
  <c r="CC5" i="33"/>
  <c r="H62" i="33"/>
  <c r="H63" i="33"/>
  <c r="CC10" i="33"/>
  <c r="CB17" i="33"/>
  <c r="AF39" i="51"/>
  <c r="L41" i="51"/>
  <c r="AK26" i="51"/>
  <c r="AN39" i="51"/>
  <c r="AL40" i="51"/>
  <c r="K39" i="51"/>
  <c r="AR40" i="51"/>
  <c r="I74" i="51"/>
  <c r="X39" i="51"/>
  <c r="AB27" i="51"/>
  <c r="AB39" i="51"/>
  <c r="AD39" i="51"/>
  <c r="AK40" i="51"/>
  <c r="BY68" i="6"/>
  <c r="AF40" i="46"/>
  <c r="AL40" i="46"/>
  <c r="AR40" i="46"/>
  <c r="AX40" i="46"/>
  <c r="BD40" i="46"/>
  <c r="BJ40" i="46"/>
  <c r="BP40" i="46"/>
  <c r="BV40" i="46"/>
  <c r="N25" i="46"/>
  <c r="R41" i="44"/>
  <c r="I37" i="44"/>
  <c r="I38" i="44"/>
  <c r="I24" i="44"/>
  <c r="I25" i="44"/>
  <c r="I11" i="44"/>
  <c r="I13" i="44"/>
  <c r="AY40" i="51"/>
  <c r="Y41" i="51"/>
  <c r="AQ39" i="51"/>
  <c r="AE42" i="33"/>
  <c r="U62" i="33"/>
  <c r="U63" i="33"/>
  <c r="V62" i="33"/>
  <c r="V63" i="33"/>
  <c r="S42" i="33"/>
  <c r="BC42" i="33"/>
  <c r="AW42" i="33"/>
  <c r="AK42" i="33"/>
  <c r="BE40" i="33"/>
  <c r="O39" i="33"/>
  <c r="O40" i="33"/>
  <c r="O12" i="33"/>
  <c r="U39" i="33"/>
  <c r="AA12" i="33"/>
  <c r="BQ39" i="33"/>
  <c r="CQ12" i="33"/>
  <c r="CQ40" i="33"/>
  <c r="AG12" i="33"/>
  <c r="AM12" i="33"/>
  <c r="BQ12" i="33"/>
  <c r="CE26" i="33"/>
  <c r="CQ26" i="33"/>
  <c r="CQ39" i="33"/>
  <c r="DI12" i="33"/>
  <c r="I42" i="33"/>
  <c r="N5" i="33"/>
  <c r="T5" i="33"/>
  <c r="Z5" i="33"/>
  <c r="AF5" i="33"/>
  <c r="AL5" i="33"/>
  <c r="AR5" i="33"/>
  <c r="AA4" i="33"/>
  <c r="H83" i="33"/>
  <c r="H84" i="33"/>
  <c r="L83" i="33"/>
  <c r="L84" i="33"/>
  <c r="V83" i="33"/>
  <c r="V84" i="33"/>
  <c r="DG43" i="33"/>
  <c r="DG42" i="33"/>
  <c r="DY29" i="33"/>
  <c r="M110" i="33"/>
  <c r="W62" i="33"/>
  <c r="W63" i="33"/>
  <c r="W83" i="33"/>
  <c r="W84" i="33"/>
  <c r="X83" i="33"/>
  <c r="X84" i="33"/>
  <c r="CE34" i="33"/>
  <c r="CA43" i="33"/>
  <c r="CA42" i="33"/>
  <c r="DM43" i="33"/>
  <c r="DM42" i="33"/>
  <c r="N37" i="33"/>
  <c r="T37" i="33"/>
  <c r="Z37" i="33"/>
  <c r="AF37" i="33"/>
  <c r="AL37" i="33"/>
  <c r="AR37" i="33"/>
  <c r="AX37" i="33"/>
  <c r="BD37" i="33"/>
  <c r="BJ37" i="33"/>
  <c r="BP37" i="33"/>
  <c r="BV37" i="33"/>
  <c r="DO38" i="33"/>
  <c r="J12" i="33"/>
  <c r="P12" i="33"/>
  <c r="J40" i="33"/>
  <c r="O26" i="33"/>
  <c r="N40" i="33"/>
  <c r="T40" i="33"/>
  <c r="Z40" i="33"/>
  <c r="AF40" i="33"/>
  <c r="AL40" i="33"/>
  <c r="AR40" i="33"/>
  <c r="AX40" i="33"/>
  <c r="BD40" i="33"/>
  <c r="BJ40" i="33"/>
  <c r="BP40" i="33"/>
  <c r="AA40" i="33"/>
  <c r="I83" i="33"/>
  <c r="I84" i="33"/>
  <c r="AM26" i="33"/>
  <c r="BJ26" i="33"/>
  <c r="BP26" i="33"/>
  <c r="S43" i="33"/>
  <c r="Y43" i="33"/>
  <c r="AE43" i="33"/>
  <c r="AK43" i="33"/>
  <c r="AQ43" i="33"/>
  <c r="AW43" i="33"/>
  <c r="BC43" i="33"/>
  <c r="CE12" i="33"/>
  <c r="CC12" i="33"/>
  <c r="CE40" i="33"/>
  <c r="CK12" i="33"/>
  <c r="CK40" i="33"/>
  <c r="CW12" i="33"/>
  <c r="CW39" i="33"/>
  <c r="DI26" i="33"/>
  <c r="DO12" i="33"/>
  <c r="DU26" i="33"/>
  <c r="BO43" i="33"/>
  <c r="O100" i="33"/>
  <c r="BO42" i="33"/>
  <c r="BO44" i="33"/>
  <c r="N34" i="33"/>
  <c r="M43" i="33"/>
  <c r="CQ32" i="33"/>
  <c r="CO43" i="33"/>
  <c r="CO42" i="33"/>
  <c r="N11" i="33"/>
  <c r="T11" i="33"/>
  <c r="Z11" i="33"/>
  <c r="AF11" i="33"/>
  <c r="AL11" i="33"/>
  <c r="AR11" i="33"/>
  <c r="BU43" i="33"/>
  <c r="BU42" i="33"/>
  <c r="CI43" i="33"/>
  <c r="CI42" i="33"/>
  <c r="O99" i="33"/>
  <c r="CU43" i="33"/>
  <c r="CU42" i="33"/>
  <c r="J26" i="33"/>
  <c r="AG40" i="33"/>
  <c r="AM39" i="33"/>
  <c r="DI40" i="33"/>
  <c r="DO26" i="33"/>
  <c r="T32" i="33"/>
  <c r="Z35" i="33"/>
  <c r="BI16" i="33"/>
  <c r="U83" i="33"/>
  <c r="U84" i="33"/>
  <c r="DS43" i="33"/>
  <c r="DS42" i="33"/>
  <c r="DA43" i="33"/>
  <c r="DA42" i="33"/>
  <c r="DY43" i="33"/>
  <c r="DY42" i="33"/>
  <c r="CE19" i="33"/>
  <c r="EA40" i="33"/>
  <c r="BK39" i="33"/>
  <c r="BK12" i="33"/>
  <c r="BE26" i="33"/>
  <c r="BE12" i="33"/>
  <c r="AY39" i="33"/>
  <c r="AY40" i="33"/>
  <c r="AY26" i="33"/>
  <c r="AY12" i="33"/>
  <c r="AS39" i="33"/>
  <c r="AS40" i="33"/>
  <c r="AS26" i="33"/>
  <c r="AS12" i="33"/>
  <c r="AG39" i="33"/>
  <c r="AA26" i="33"/>
  <c r="U40" i="33"/>
  <c r="EA39" i="33"/>
  <c r="DU12" i="33"/>
  <c r="DC40" i="33"/>
  <c r="BQ40" i="33"/>
  <c r="AM40" i="33"/>
  <c r="AG26" i="33"/>
  <c r="AA39" i="33"/>
  <c r="J39" i="33"/>
  <c r="P39" i="33"/>
  <c r="V39" i="33"/>
  <c r="AB39" i="33"/>
  <c r="AH39" i="33"/>
  <c r="AN39" i="33"/>
  <c r="AT39" i="33"/>
  <c r="AZ39" i="33"/>
  <c r="N12" i="33"/>
  <c r="T12" i="33"/>
  <c r="Z12" i="33"/>
  <c r="AF12" i="33"/>
  <c r="AL12" i="33"/>
  <c r="AR12" i="33"/>
  <c r="AX12" i="33"/>
  <c r="BD12" i="33"/>
  <c r="BJ12" i="33"/>
  <c r="BP12" i="33"/>
  <c r="BV12" i="33"/>
  <c r="CD12" i="33"/>
  <c r="CJ12" i="33"/>
  <c r="CP12" i="33"/>
  <c r="CV12" i="33"/>
  <c r="DB12" i="33"/>
  <c r="DH12" i="33"/>
  <c r="DN12" i="33"/>
  <c r="DT12" i="33"/>
  <c r="DZ12" i="33"/>
  <c r="U26" i="33"/>
  <c r="M42" i="33"/>
  <c r="Y42" i="33"/>
  <c r="BI42" i="33"/>
  <c r="N99" i="33"/>
  <c r="BQ26" i="33"/>
  <c r="O83" i="33"/>
  <c r="O84" i="33"/>
  <c r="CE39" i="33"/>
  <c r="CC39" i="33"/>
  <c r="CW26" i="33"/>
  <c r="CW40" i="33"/>
  <c r="DC26" i="33"/>
  <c r="EA12" i="33"/>
  <c r="BC55" i="46"/>
  <c r="BC53" i="46"/>
  <c r="N26" i="46"/>
  <c r="G86" i="46"/>
  <c r="G87" i="46"/>
  <c r="CD40" i="46"/>
  <c r="CJ40" i="46"/>
  <c r="CP40" i="46"/>
  <c r="CV40" i="46"/>
  <c r="DB40" i="46"/>
  <c r="DH40" i="46"/>
  <c r="DN40" i="46"/>
  <c r="DT40" i="46"/>
  <c r="DZ40" i="46"/>
  <c r="Z11" i="45"/>
  <c r="AC11" i="45"/>
  <c r="I22" i="45"/>
  <c r="AM30" i="45"/>
  <c r="I34" i="45"/>
  <c r="I21" i="45"/>
  <c r="AP30" i="45"/>
  <c r="AG43" i="45"/>
  <c r="D57" i="45"/>
  <c r="I24" i="45"/>
  <c r="U43" i="45"/>
  <c r="M29" i="45"/>
  <c r="U59" i="45"/>
  <c r="BO29" i="45"/>
  <c r="U77" i="45"/>
  <c r="N7" i="45"/>
  <c r="N35" i="45"/>
  <c r="N20" i="45"/>
  <c r="Q20" i="45"/>
  <c r="T20" i="45"/>
  <c r="W20" i="45"/>
  <c r="Z20" i="45"/>
  <c r="AC20" i="45"/>
  <c r="AF20" i="45"/>
  <c r="AI20" i="45"/>
  <c r="AL20" i="45"/>
  <c r="AO20" i="45"/>
  <c r="AR20" i="45"/>
  <c r="AU20" i="45"/>
  <c r="AX20" i="45"/>
  <c r="BA20" i="45"/>
  <c r="BD20" i="45"/>
  <c r="BG20" i="45"/>
  <c r="BJ20" i="45"/>
  <c r="BM20" i="45"/>
  <c r="BP20" i="45"/>
  <c r="BS20" i="45"/>
  <c r="I35" i="45"/>
  <c r="S29" i="45"/>
  <c r="U61" i="45"/>
  <c r="N23" i="45"/>
  <c r="N11" i="6"/>
  <c r="Q11" i="6"/>
  <c r="T11" i="6"/>
  <c r="N35" i="6"/>
  <c r="Q35" i="6"/>
  <c r="T35" i="6"/>
  <c r="W35" i="6"/>
  <c r="Z35" i="6"/>
  <c r="AC35" i="6"/>
  <c r="AF35" i="6"/>
  <c r="AI35" i="6"/>
  <c r="AL35" i="6"/>
  <c r="AO35" i="6"/>
  <c r="AR35" i="6"/>
  <c r="AU35" i="6"/>
  <c r="AX35" i="6"/>
  <c r="BA35" i="6"/>
  <c r="BD35" i="6"/>
  <c r="BG35" i="6"/>
  <c r="BJ35" i="6"/>
  <c r="BM35" i="6"/>
  <c r="BP35" i="6"/>
  <c r="BS35" i="6"/>
  <c r="N13" i="6"/>
  <c r="Q13" i="6"/>
  <c r="T13" i="6"/>
  <c r="W13" i="6"/>
  <c r="Z13" i="6"/>
  <c r="AC13" i="6"/>
  <c r="AF13" i="6"/>
  <c r="AI13" i="6"/>
  <c r="AL13" i="6"/>
  <c r="AO13" i="6"/>
  <c r="AR13" i="6"/>
  <c r="AU13" i="6"/>
  <c r="AX13" i="6"/>
  <c r="BA13" i="6"/>
  <c r="BD13" i="6"/>
  <c r="BG13" i="6"/>
  <c r="BJ13" i="6"/>
  <c r="BM13" i="6"/>
  <c r="N40" i="6"/>
  <c r="Q40" i="6"/>
  <c r="T40" i="6"/>
  <c r="W40" i="6"/>
  <c r="Z40" i="6"/>
  <c r="AC40" i="6"/>
  <c r="AF40" i="6"/>
  <c r="AI40" i="6"/>
  <c r="AL40" i="6"/>
  <c r="AO40" i="6"/>
  <c r="AR40" i="6"/>
  <c r="AU40" i="6"/>
  <c r="AX40" i="6"/>
  <c r="BA40" i="6"/>
  <c r="BD40" i="6"/>
  <c r="BG40" i="6"/>
  <c r="BJ40" i="6"/>
  <c r="BM40" i="6"/>
  <c r="BP40" i="6"/>
  <c r="BS40" i="6"/>
  <c r="N37" i="6"/>
  <c r="Q37" i="6"/>
  <c r="T37" i="6"/>
  <c r="W37" i="6"/>
  <c r="Z37" i="6"/>
  <c r="AC37" i="6"/>
  <c r="AF37" i="6"/>
  <c r="AI37" i="6"/>
  <c r="AL37" i="6"/>
  <c r="AO37" i="6"/>
  <c r="AR37" i="6"/>
  <c r="AU37" i="6"/>
  <c r="AX37" i="6"/>
  <c r="BA37" i="6"/>
  <c r="BD37" i="6"/>
  <c r="BG37" i="6"/>
  <c r="BJ37" i="6"/>
  <c r="BM37" i="6"/>
  <c r="BP37" i="6"/>
  <c r="BS37" i="6"/>
  <c r="AB43" i="6"/>
  <c r="W66" i="6"/>
  <c r="N25" i="6"/>
  <c r="Q25" i="6"/>
  <c r="T25" i="6"/>
  <c r="W25" i="6"/>
  <c r="Z25" i="6"/>
  <c r="AC25" i="6"/>
  <c r="AF25" i="6"/>
  <c r="AI25" i="6"/>
  <c r="AL25" i="6"/>
  <c r="AO25" i="6"/>
  <c r="AR25" i="6"/>
  <c r="AU25" i="6"/>
  <c r="AX25" i="6"/>
  <c r="BA25" i="6"/>
  <c r="BD25" i="6"/>
  <c r="BG25" i="6"/>
  <c r="BJ25" i="6"/>
  <c r="BM25" i="6"/>
  <c r="BP25" i="6"/>
  <c r="BS25" i="6"/>
  <c r="N26" i="6"/>
  <c r="Q26" i="6"/>
  <c r="T26" i="6"/>
  <c r="W26" i="6"/>
  <c r="Z26" i="6"/>
  <c r="AC26" i="6"/>
  <c r="AF26" i="6"/>
  <c r="AI26" i="6"/>
  <c r="AL26" i="6"/>
  <c r="AO26" i="6"/>
  <c r="AR26" i="6"/>
  <c r="AU26" i="6"/>
  <c r="AX26" i="6"/>
  <c r="BA26" i="6"/>
  <c r="BD26" i="6"/>
  <c r="BG26" i="6"/>
  <c r="BJ26" i="6"/>
  <c r="BM26" i="6"/>
  <c r="BP26" i="6"/>
  <c r="BS26" i="6"/>
  <c r="Q12" i="6"/>
  <c r="T12" i="6"/>
  <c r="W12" i="6"/>
  <c r="Z12" i="6"/>
  <c r="AC12" i="6"/>
  <c r="AF12" i="6"/>
  <c r="AI12" i="6"/>
  <c r="AL12" i="6"/>
  <c r="AO12" i="6"/>
  <c r="AR12" i="6"/>
  <c r="AU12" i="6"/>
  <c r="AX12" i="6"/>
  <c r="BA12" i="6"/>
  <c r="BD12" i="6"/>
  <c r="BG12" i="6"/>
  <c r="BJ12" i="6"/>
  <c r="BM12" i="6"/>
  <c r="N39" i="6"/>
  <c r="Q39" i="6"/>
  <c r="T39" i="6"/>
  <c r="W39" i="6"/>
  <c r="Z39" i="6"/>
  <c r="AC39" i="6"/>
  <c r="AF39" i="6"/>
  <c r="AI39" i="6"/>
  <c r="AL39" i="6"/>
  <c r="AO39" i="6"/>
  <c r="AR39" i="6"/>
  <c r="AU39" i="6"/>
  <c r="AX39" i="6"/>
  <c r="BA39" i="6"/>
  <c r="BD39" i="6"/>
  <c r="BG39" i="6"/>
  <c r="BJ39" i="6"/>
  <c r="BM39" i="6"/>
  <c r="BP39" i="6"/>
  <c r="BS39" i="6"/>
  <c r="BB30" i="6"/>
  <c r="W11" i="6"/>
  <c r="Z11" i="6"/>
  <c r="AC11" i="6"/>
  <c r="AF11" i="6"/>
  <c r="AI11" i="6"/>
  <c r="AL11" i="6"/>
  <c r="AO11" i="6"/>
  <c r="AR11" i="6"/>
  <c r="AU11" i="6"/>
  <c r="AX11" i="6"/>
  <c r="BA11" i="6"/>
  <c r="BD11" i="6"/>
  <c r="BG11" i="6"/>
  <c r="BJ11" i="6"/>
  <c r="BM11" i="6"/>
  <c r="N6" i="6"/>
  <c r="Q6" i="6"/>
  <c r="T6" i="6"/>
  <c r="W6" i="6"/>
  <c r="Z6" i="6"/>
  <c r="AC6" i="6"/>
  <c r="AF6" i="6"/>
  <c r="AI6" i="6"/>
  <c r="AL6" i="6"/>
  <c r="AO6" i="6"/>
  <c r="AR6" i="6"/>
  <c r="AU6" i="6"/>
  <c r="AX6" i="6"/>
  <c r="BA6" i="6"/>
  <c r="BD6" i="6"/>
  <c r="BG6" i="6"/>
  <c r="BJ6" i="6"/>
  <c r="BM6" i="6"/>
  <c r="BS6" i="6"/>
  <c r="AP30" i="6"/>
  <c r="N22" i="6"/>
  <c r="Q22" i="6"/>
  <c r="N8" i="6"/>
  <c r="Q8" i="6"/>
  <c r="Y28" i="51"/>
  <c r="AB63" i="51"/>
  <c r="K62" i="51"/>
  <c r="AD63" i="51"/>
  <c r="N64" i="51"/>
  <c r="AF63" i="51"/>
  <c r="AX39" i="51"/>
  <c r="AL62" i="51"/>
  <c r="AR62" i="51"/>
  <c r="AB75" i="51"/>
  <c r="AL75" i="51"/>
  <c r="AR75" i="51"/>
  <c r="AN63" i="51"/>
  <c r="X27" i="51"/>
  <c r="AF27" i="51"/>
  <c r="AN27" i="51"/>
  <c r="AT62" i="51"/>
  <c r="AH63" i="51"/>
  <c r="AO62" i="51"/>
  <c r="AQ26" i="51"/>
  <c r="AY26" i="51"/>
  <c r="Z27" i="51"/>
  <c r="AH27" i="51"/>
  <c r="AO26" i="51"/>
  <c r="AX26" i="51"/>
  <c r="Z39" i="51"/>
  <c r="AH39" i="51"/>
  <c r="AO39" i="51"/>
  <c r="X63" i="51"/>
  <c r="AX62" i="51"/>
  <c r="K75" i="51"/>
  <c r="AD75" i="51"/>
  <c r="AN75" i="51"/>
  <c r="AY62" i="51"/>
  <c r="I18" i="51"/>
  <c r="Z63" i="51"/>
  <c r="AK62" i="51"/>
  <c r="AQ62" i="51"/>
  <c r="X75" i="51"/>
  <c r="AH75" i="51"/>
  <c r="AO76" i="51"/>
  <c r="AX75" i="51"/>
  <c r="AY75" i="51"/>
  <c r="K26" i="51"/>
  <c r="AD27" i="51"/>
  <c r="AL27" i="51"/>
  <c r="AR26" i="51"/>
  <c r="Z75" i="51"/>
  <c r="AK76" i="51"/>
  <c r="AQ75" i="51"/>
  <c r="AF75" i="51"/>
  <c r="K27" i="51"/>
  <c r="X26" i="51"/>
  <c r="Z26" i="51"/>
  <c r="AB26" i="51"/>
  <c r="AD26" i="51"/>
  <c r="AF26" i="51"/>
  <c r="AH26" i="51"/>
  <c r="AK27" i="51"/>
  <c r="AN26" i="51"/>
  <c r="AO27" i="51"/>
  <c r="K40" i="51"/>
  <c r="X40" i="51"/>
  <c r="Z40" i="51"/>
  <c r="AB40" i="51"/>
  <c r="AD40" i="51"/>
  <c r="AF40" i="51"/>
  <c r="AH40" i="51"/>
  <c r="AK39" i="51"/>
  <c r="AN40" i="51"/>
  <c r="AR39" i="51"/>
  <c r="AT39" i="51"/>
  <c r="AY39" i="51"/>
  <c r="AF62" i="51"/>
  <c r="AH62" i="51"/>
  <c r="AD62" i="51"/>
  <c r="AK63" i="51"/>
  <c r="AN62" i="51"/>
  <c r="AO63" i="51"/>
  <c r="AL76" i="51"/>
  <c r="AO75" i="51"/>
  <c r="AQ76" i="51"/>
  <c r="AX76" i="51"/>
  <c r="AL26" i="51"/>
  <c r="AQ27" i="51"/>
  <c r="AX27" i="51"/>
  <c r="AO40" i="51"/>
  <c r="K63" i="51"/>
  <c r="X62" i="51"/>
  <c r="Z62" i="51"/>
  <c r="AB62" i="51"/>
  <c r="AL63" i="51"/>
  <c r="AQ63" i="51"/>
  <c r="AX63" i="51"/>
  <c r="K76" i="51"/>
  <c r="X76" i="51"/>
  <c r="Z76" i="51"/>
  <c r="AB76" i="51"/>
  <c r="AD76" i="51"/>
  <c r="AF76" i="51"/>
  <c r="AH76" i="51"/>
  <c r="AK75" i="51"/>
  <c r="AR76" i="51"/>
  <c r="AT76" i="51"/>
  <c r="AY76" i="51"/>
  <c r="AR27" i="51"/>
  <c r="AT27" i="51"/>
  <c r="AY27" i="51"/>
  <c r="AL39" i="51"/>
  <c r="AQ40" i="51"/>
  <c r="AX40" i="51"/>
  <c r="AR63" i="51"/>
  <c r="AT63" i="51"/>
  <c r="AY63" i="51"/>
  <c r="AN76" i="51"/>
  <c r="AT75" i="51"/>
  <c r="AT26" i="51"/>
  <c r="AT40" i="51"/>
  <c r="I12" i="51"/>
  <c r="R39" i="50"/>
  <c r="AA51" i="50"/>
  <c r="L74" i="50"/>
  <c r="L76" i="50"/>
  <c r="AA61" i="50"/>
  <c r="AA63" i="50"/>
  <c r="L61" i="50"/>
  <c r="AA75" i="50"/>
  <c r="F26" i="50"/>
  <c r="F51" i="50"/>
  <c r="R27" i="50"/>
  <c r="R63" i="50"/>
  <c r="H27" i="50"/>
  <c r="T76" i="50"/>
  <c r="AA62" i="50"/>
  <c r="F74" i="50"/>
  <c r="M63" i="50"/>
  <c r="F14" i="50"/>
  <c r="L38" i="50"/>
  <c r="L62" i="50"/>
  <c r="AA74" i="50"/>
  <c r="AA76" i="50"/>
  <c r="AA25" i="50"/>
  <c r="AA27" i="50"/>
  <c r="AA15" i="50"/>
  <c r="AA38" i="50"/>
  <c r="F15" i="50"/>
  <c r="F37" i="50"/>
  <c r="F39" i="50"/>
  <c r="F50" i="50"/>
  <c r="L15" i="50"/>
  <c r="F25" i="50"/>
  <c r="L14" i="50"/>
  <c r="L27" i="50"/>
  <c r="L37" i="50"/>
  <c r="F62" i="50"/>
  <c r="Z76" i="50"/>
  <c r="F75" i="50"/>
  <c r="Q63" i="50"/>
  <c r="AB63" i="50"/>
  <c r="AC63" i="50"/>
  <c r="AA37" i="50"/>
  <c r="AA39" i="50"/>
  <c r="Z63" i="50"/>
  <c r="P27" i="50"/>
  <c r="P63" i="50"/>
  <c r="L63" i="50"/>
  <c r="F61" i="50"/>
  <c r="F63" i="50"/>
  <c r="Q27" i="50"/>
  <c r="AF11" i="45"/>
  <c r="AI11" i="45"/>
  <c r="AL11" i="45"/>
  <c r="AO11" i="45"/>
  <c r="AR11" i="45"/>
  <c r="AU11" i="45"/>
  <c r="AX11" i="45"/>
  <c r="BA11" i="45"/>
  <c r="BD11" i="45"/>
  <c r="BG11" i="45"/>
  <c r="BJ11" i="45"/>
  <c r="BM11" i="45"/>
  <c r="BP11" i="45"/>
  <c r="BS11" i="45"/>
  <c r="AS43" i="45"/>
  <c r="N50" i="45"/>
  <c r="Q50" i="45"/>
  <c r="T50" i="45"/>
  <c r="W50" i="45"/>
  <c r="Z50" i="45"/>
  <c r="AC50" i="45"/>
  <c r="AF50" i="45"/>
  <c r="AI50" i="45"/>
  <c r="AL50" i="45"/>
  <c r="AO50" i="45"/>
  <c r="AR50" i="45"/>
  <c r="AU50" i="45"/>
  <c r="AX50" i="45"/>
  <c r="BA50" i="45"/>
  <c r="BD50" i="45"/>
  <c r="BG50" i="45"/>
  <c r="BJ50" i="45"/>
  <c r="BM50" i="45"/>
  <c r="BP50" i="45"/>
  <c r="BS50" i="45"/>
  <c r="AY30" i="45"/>
  <c r="BF17" i="45"/>
  <c r="S74" i="45"/>
  <c r="N12" i="45"/>
  <c r="Q12" i="45"/>
  <c r="T12" i="45"/>
  <c r="W12" i="45"/>
  <c r="Z12" i="45"/>
  <c r="AC12" i="45"/>
  <c r="AF12" i="45"/>
  <c r="AI12" i="45"/>
  <c r="AL12" i="45"/>
  <c r="AO12" i="45"/>
  <c r="AR12" i="45"/>
  <c r="AU12" i="45"/>
  <c r="AX12" i="45"/>
  <c r="BA12" i="45"/>
  <c r="BD12" i="45"/>
  <c r="BG12" i="45"/>
  <c r="BJ12" i="45"/>
  <c r="BM12" i="45"/>
  <c r="BP12" i="45"/>
  <c r="BS12" i="45"/>
  <c r="N6" i="45"/>
  <c r="Q6" i="45"/>
  <c r="T6" i="45"/>
  <c r="W6" i="45"/>
  <c r="Z6" i="45"/>
  <c r="AQ16" i="45"/>
  <c r="N26" i="45"/>
  <c r="Q26" i="45"/>
  <c r="T26" i="45"/>
  <c r="W26" i="45"/>
  <c r="Z26" i="45"/>
  <c r="AC26" i="45"/>
  <c r="AF26" i="45"/>
  <c r="AI26" i="45"/>
  <c r="AL26" i="45"/>
  <c r="AO26" i="45"/>
  <c r="AR26" i="45"/>
  <c r="AU26" i="45"/>
  <c r="AX26" i="45"/>
  <c r="BA26" i="45"/>
  <c r="BD26" i="45"/>
  <c r="BG26" i="45"/>
  <c r="BJ26" i="45"/>
  <c r="BM26" i="45"/>
  <c r="BP26" i="45"/>
  <c r="BS26" i="45"/>
  <c r="BO16" i="45"/>
  <c r="R77" i="45"/>
  <c r="Q39" i="45"/>
  <c r="T39" i="45"/>
  <c r="W39" i="45"/>
  <c r="Z39" i="45"/>
  <c r="AC39" i="45"/>
  <c r="AF39" i="45"/>
  <c r="AI39" i="45"/>
  <c r="AL39" i="45"/>
  <c r="BK30" i="45"/>
  <c r="Q9" i="45"/>
  <c r="T9" i="45"/>
  <c r="AU73" i="51"/>
  <c r="AU74" i="51"/>
  <c r="I8" i="51"/>
  <c r="AU55" i="51"/>
  <c r="I71" i="51"/>
  <c r="I70" i="51"/>
  <c r="I67" i="51"/>
  <c r="I68" i="51"/>
  <c r="I69" i="51"/>
  <c r="J41" i="51"/>
  <c r="AU57" i="51"/>
  <c r="AM15" i="51"/>
  <c r="AU61" i="51"/>
  <c r="BK41" i="51"/>
  <c r="I38" i="51"/>
  <c r="AU38" i="51"/>
  <c r="AU32" i="51"/>
  <c r="BR77" i="51"/>
  <c r="I37" i="51"/>
  <c r="AG41" i="51"/>
  <c r="BU28" i="51"/>
  <c r="AV37" i="51"/>
  <c r="AV50" i="51"/>
  <c r="BI77" i="51"/>
  <c r="BK28" i="51"/>
  <c r="I50" i="51"/>
  <c r="I48" i="51"/>
  <c r="BJ77" i="51"/>
  <c r="V41" i="51"/>
  <c r="AU59" i="51"/>
  <c r="AU45" i="51"/>
  <c r="BP64" i="51"/>
  <c r="I49" i="51"/>
  <c r="T41" i="51"/>
  <c r="I6" i="51"/>
  <c r="I7" i="51"/>
  <c r="AW41" i="51"/>
  <c r="AU24" i="51"/>
  <c r="AV31" i="51"/>
  <c r="J77" i="51"/>
  <c r="W77" i="51"/>
  <c r="BN64" i="51"/>
  <c r="AM14" i="51"/>
  <c r="AM28" i="51"/>
  <c r="I5" i="51"/>
  <c r="I47" i="51"/>
  <c r="L77" i="51"/>
  <c r="I20" i="51"/>
  <c r="I46" i="51"/>
  <c r="AG77" i="51"/>
  <c r="AT12" i="51"/>
  <c r="AU12" i="51"/>
  <c r="V28" i="51"/>
  <c r="H77" i="51"/>
  <c r="I45" i="51"/>
  <c r="AH51" i="51"/>
  <c r="BS64" i="51"/>
  <c r="AU69" i="51"/>
  <c r="I35" i="51"/>
  <c r="I44" i="51"/>
  <c r="AV4" i="51"/>
  <c r="BS28" i="51"/>
  <c r="I43" i="51"/>
  <c r="N41" i="51"/>
  <c r="I4" i="51"/>
  <c r="BK77" i="51"/>
  <c r="AA41" i="51"/>
  <c r="M41" i="51"/>
  <c r="P28" i="51"/>
  <c r="BS77" i="51"/>
  <c r="I25" i="51"/>
  <c r="BI64" i="51"/>
  <c r="O41" i="51"/>
  <c r="AE41" i="51"/>
  <c r="S41" i="51"/>
  <c r="AN12" i="51"/>
  <c r="AN15" i="51"/>
  <c r="AX52" i="51"/>
  <c r="AM77" i="51"/>
  <c r="BJ64" i="51"/>
  <c r="AE64" i="51"/>
  <c r="AV33" i="51"/>
  <c r="H28" i="51"/>
  <c r="AV44" i="51"/>
  <c r="AU25" i="51"/>
  <c r="R64" i="51"/>
  <c r="BV77" i="51"/>
  <c r="AE28" i="51"/>
  <c r="I24" i="51"/>
  <c r="BO64" i="51"/>
  <c r="AY14" i="51"/>
  <c r="AV6" i="51"/>
  <c r="AB52" i="51"/>
  <c r="M77" i="51"/>
  <c r="AA77" i="51"/>
  <c r="AU71" i="51"/>
  <c r="AE77" i="51"/>
  <c r="P77" i="51"/>
  <c r="AG64" i="51"/>
  <c r="Q41" i="51"/>
  <c r="Q77" i="51"/>
  <c r="BT28" i="51"/>
  <c r="AV42" i="51"/>
  <c r="K14" i="51"/>
  <c r="S28" i="51"/>
  <c r="AV49" i="51"/>
  <c r="G77" i="51"/>
  <c r="BK64" i="51"/>
  <c r="I21" i="51"/>
  <c r="H64" i="51"/>
  <c r="P41" i="51"/>
  <c r="X14" i="51"/>
  <c r="AU7" i="51"/>
  <c r="W64" i="51"/>
  <c r="AU67" i="51"/>
  <c r="I55" i="51"/>
  <c r="AV17" i="51"/>
  <c r="AU46" i="51"/>
  <c r="I54" i="51"/>
  <c r="AD14" i="51"/>
  <c r="X15" i="51"/>
  <c r="AV8" i="51"/>
  <c r="AV18" i="51"/>
  <c r="AU35" i="51"/>
  <c r="AV48" i="51"/>
  <c r="O77" i="51"/>
  <c r="AC41" i="51"/>
  <c r="AF14" i="51"/>
  <c r="Z14" i="51"/>
  <c r="AX15" i="51"/>
  <c r="AT52" i="51"/>
  <c r="AL51" i="51"/>
  <c r="AY52" i="51"/>
  <c r="BO41" i="51"/>
  <c r="AB14" i="51"/>
  <c r="AB15" i="51"/>
  <c r="X51" i="51"/>
  <c r="AX51" i="51"/>
  <c r="AR51" i="51"/>
  <c r="BN28" i="51"/>
  <c r="AU34" i="51"/>
  <c r="AK14" i="51"/>
  <c r="BM41" i="51"/>
  <c r="W41" i="51"/>
  <c r="J28" i="51"/>
  <c r="AF15" i="51"/>
  <c r="AH52" i="51"/>
  <c r="BT64" i="51"/>
  <c r="BL28" i="51"/>
  <c r="AW28" i="51"/>
  <c r="AP77" i="51"/>
  <c r="S64" i="51"/>
  <c r="AM64" i="51"/>
  <c r="G41" i="51"/>
  <c r="AU13" i="51"/>
  <c r="J64" i="51"/>
  <c r="BL64" i="51"/>
  <c r="T64" i="51"/>
  <c r="AP64" i="51"/>
  <c r="I11" i="51"/>
  <c r="AR14" i="51"/>
  <c r="I59" i="51"/>
  <c r="BV41" i="51"/>
  <c r="BI28" i="51"/>
  <c r="AO14" i="51"/>
  <c r="BV28" i="51"/>
  <c r="AH14" i="51"/>
  <c r="AL14" i="51"/>
  <c r="U41" i="51"/>
  <c r="I13" i="51"/>
  <c r="W28" i="51"/>
  <c r="AU11" i="51"/>
  <c r="AQ14" i="51"/>
  <c r="T28" i="51"/>
  <c r="U28" i="51"/>
  <c r="BI41" i="51"/>
  <c r="O64" i="51"/>
  <c r="I56" i="51"/>
  <c r="X52" i="51"/>
  <c r="I58" i="51"/>
  <c r="N28" i="51"/>
  <c r="AD51" i="51"/>
  <c r="O28" i="51"/>
  <c r="AU43" i="51"/>
  <c r="AB51" i="51"/>
  <c r="AU47" i="51"/>
  <c r="AJ64" i="51"/>
  <c r="Y77" i="51"/>
  <c r="BP28" i="51"/>
  <c r="R41" i="51"/>
  <c r="BN77" i="51"/>
  <c r="BM28" i="51"/>
  <c r="AU21" i="51"/>
  <c r="AW64" i="51"/>
  <c r="N77" i="51"/>
  <c r="BM77" i="51"/>
  <c r="AC77" i="51"/>
  <c r="AX14" i="51"/>
  <c r="I57" i="51"/>
  <c r="AN52" i="51"/>
  <c r="AK51" i="51"/>
  <c r="Y64" i="51"/>
  <c r="R77" i="51"/>
  <c r="AJ77" i="51"/>
  <c r="BL77" i="51"/>
  <c r="AL52" i="51"/>
  <c r="AY15" i="51"/>
  <c r="I30" i="51"/>
  <c r="AA64" i="51"/>
  <c r="S77" i="51"/>
  <c r="BL41" i="51"/>
  <c r="AU20" i="51"/>
  <c r="AD52" i="51"/>
  <c r="AQ52" i="51"/>
  <c r="T77" i="51"/>
  <c r="BT77" i="51"/>
  <c r="I60" i="51"/>
  <c r="AC64" i="51"/>
  <c r="AR52" i="51"/>
  <c r="G64" i="51"/>
  <c r="BM64" i="51"/>
  <c r="AF52" i="51"/>
  <c r="AV43" i="51"/>
  <c r="AA28" i="51"/>
  <c r="V64" i="51"/>
  <c r="AW77" i="51"/>
  <c r="AP28" i="51"/>
  <c r="BP41" i="51"/>
  <c r="AP41" i="51"/>
  <c r="X24" i="48"/>
  <c r="AW16" i="46"/>
  <c r="AW15" i="46"/>
  <c r="BC29" i="46"/>
  <c r="BC28" i="46"/>
  <c r="L101" i="46"/>
  <c r="CC4" i="46"/>
  <c r="CE4" i="46"/>
  <c r="AE43" i="46"/>
  <c r="EA40" i="46"/>
  <c r="EA39" i="46"/>
  <c r="EA25" i="46"/>
  <c r="DU39" i="46"/>
  <c r="DU40" i="46"/>
  <c r="DU25" i="46"/>
  <c r="DU26" i="46"/>
  <c r="DU11" i="46"/>
  <c r="DU12" i="46"/>
  <c r="DU13" i="46"/>
  <c r="DO39" i="46"/>
  <c r="DO40" i="46"/>
  <c r="DO25" i="46"/>
  <c r="DO26" i="46"/>
  <c r="DO11" i="46"/>
  <c r="DO12" i="46"/>
  <c r="DO13" i="46"/>
  <c r="DI39" i="46"/>
  <c r="DI40" i="46"/>
  <c r="DI25" i="46"/>
  <c r="DI26" i="46"/>
  <c r="DI11" i="46"/>
  <c r="DI12" i="46"/>
  <c r="DI13" i="46"/>
  <c r="DC40" i="46"/>
  <c r="DC39" i="46"/>
  <c r="DC26" i="46"/>
  <c r="DC25" i="46"/>
  <c r="CW39" i="46"/>
  <c r="CW40" i="46"/>
  <c r="CW25" i="46"/>
  <c r="CW26" i="46"/>
  <c r="CW11" i="46"/>
  <c r="CW12" i="46"/>
  <c r="CW13" i="46"/>
  <c r="CQ39" i="46"/>
  <c r="CQ40" i="46"/>
  <c r="CQ25" i="46"/>
  <c r="CQ26" i="46"/>
  <c r="CQ11" i="46"/>
  <c r="CQ12" i="46"/>
  <c r="CQ13" i="46"/>
  <c r="CK39" i="46"/>
  <c r="CK40" i="46"/>
  <c r="CK25" i="46"/>
  <c r="CK26" i="46"/>
  <c r="CK11" i="46"/>
  <c r="CK12" i="46"/>
  <c r="CK13" i="46"/>
  <c r="BW39" i="46"/>
  <c r="BW40" i="46"/>
  <c r="BW25" i="46"/>
  <c r="BW26" i="46"/>
  <c r="BW11" i="46"/>
  <c r="BW12" i="46"/>
  <c r="BW13" i="46"/>
  <c r="BQ39" i="46"/>
  <c r="BQ40" i="46"/>
  <c r="BQ25" i="46"/>
  <c r="BQ26" i="46"/>
  <c r="BK39" i="46"/>
  <c r="BK40" i="46"/>
  <c r="BK11" i="46"/>
  <c r="BK12" i="46"/>
  <c r="BK13" i="46"/>
  <c r="BQ11" i="46"/>
  <c r="BQ12" i="46"/>
  <c r="BQ13" i="46"/>
  <c r="BK25" i="46"/>
  <c r="BE39" i="46"/>
  <c r="BE40" i="46"/>
  <c r="BE25" i="46"/>
  <c r="BE26" i="46"/>
  <c r="BE11" i="46"/>
  <c r="BE12" i="46"/>
  <c r="BE13" i="46"/>
  <c r="AY25" i="46"/>
  <c r="AY26" i="46"/>
  <c r="AS39" i="46"/>
  <c r="AS40" i="46"/>
  <c r="AS25" i="46"/>
  <c r="AS26" i="46"/>
  <c r="AM39" i="46"/>
  <c r="AM40" i="46"/>
  <c r="AM25" i="46"/>
  <c r="AM26" i="46"/>
  <c r="AG25" i="46"/>
  <c r="AG26" i="46"/>
  <c r="AA39" i="46"/>
  <c r="AA40" i="46"/>
  <c r="AA25" i="46"/>
  <c r="AA26" i="46"/>
  <c r="U40" i="46"/>
  <c r="U12" i="46"/>
  <c r="U11" i="46"/>
  <c r="O39" i="46"/>
  <c r="O40" i="46"/>
  <c r="O25" i="46"/>
  <c r="O26" i="46"/>
  <c r="O11" i="46"/>
  <c r="O12" i="46"/>
  <c r="O13" i="46"/>
  <c r="J40" i="46"/>
  <c r="J26" i="46"/>
  <c r="P26" i="46"/>
  <c r="J25" i="46"/>
  <c r="AG37" i="46"/>
  <c r="CK37" i="46"/>
  <c r="J11" i="46"/>
  <c r="P11" i="46"/>
  <c r="V11" i="46"/>
  <c r="E86" i="46"/>
  <c r="E87" i="46"/>
  <c r="N11" i="46"/>
  <c r="T11" i="46"/>
  <c r="Z11" i="46"/>
  <c r="AF11" i="46"/>
  <c r="AL11" i="46"/>
  <c r="AR11" i="46"/>
  <c r="AX11" i="46"/>
  <c r="BD11" i="46"/>
  <c r="BJ11" i="46"/>
  <c r="BP11" i="46"/>
  <c r="BV11" i="46"/>
  <c r="CD11" i="46"/>
  <c r="CJ11" i="46"/>
  <c r="CP11" i="46"/>
  <c r="CV11" i="46"/>
  <c r="J12" i="46"/>
  <c r="N12" i="46"/>
  <c r="J13" i="46"/>
  <c r="N13" i="46"/>
  <c r="T13" i="46"/>
  <c r="Z13" i="46"/>
  <c r="AF13" i="46"/>
  <c r="AL13" i="46"/>
  <c r="AR13" i="46"/>
  <c r="AX13" i="46"/>
  <c r="BD13" i="46"/>
  <c r="BJ13" i="46"/>
  <c r="BP13" i="46"/>
  <c r="BV13" i="46"/>
  <c r="CD13" i="46"/>
  <c r="CJ13" i="46"/>
  <c r="CP13" i="46"/>
  <c r="CV13" i="46"/>
  <c r="DB13" i="46"/>
  <c r="DH13" i="46"/>
  <c r="DN13" i="46"/>
  <c r="DT13" i="46"/>
  <c r="DZ13" i="46"/>
  <c r="J39" i="46"/>
  <c r="N39" i="46"/>
  <c r="F86" i="46"/>
  <c r="F87" i="46"/>
  <c r="T12" i="46"/>
  <c r="Z12" i="46"/>
  <c r="AF12" i="46"/>
  <c r="AL12" i="46"/>
  <c r="AR12" i="46"/>
  <c r="AX12" i="46"/>
  <c r="BD12" i="46"/>
  <c r="BJ12" i="46"/>
  <c r="BP12" i="46"/>
  <c r="BV12" i="46"/>
  <c r="CD12" i="46"/>
  <c r="CJ12" i="46"/>
  <c r="CP12" i="46"/>
  <c r="CV12" i="46"/>
  <c r="DB12" i="46"/>
  <c r="DH12" i="46"/>
  <c r="DN12" i="46"/>
  <c r="DT12" i="46"/>
  <c r="DZ12" i="46"/>
  <c r="U13" i="46"/>
  <c r="T25" i="46"/>
  <c r="Z25" i="46"/>
  <c r="AF25" i="46"/>
  <c r="AL25" i="46"/>
  <c r="AR25" i="46"/>
  <c r="AX25" i="46"/>
  <c r="BD25" i="46"/>
  <c r="BJ25" i="46"/>
  <c r="BP25" i="46"/>
  <c r="BV25" i="46"/>
  <c r="CD25" i="46"/>
  <c r="CJ25" i="46"/>
  <c r="CP25" i="46"/>
  <c r="CV25" i="46"/>
  <c r="DB25" i="46"/>
  <c r="DH25" i="46"/>
  <c r="DN25" i="46"/>
  <c r="DT25" i="46"/>
  <c r="DZ25" i="46"/>
  <c r="T26" i="46"/>
  <c r="Z26" i="46"/>
  <c r="AF26" i="46"/>
  <c r="AL26" i="46"/>
  <c r="AR26" i="46"/>
  <c r="AX26" i="46"/>
  <c r="BD26" i="46"/>
  <c r="BJ26" i="46"/>
  <c r="BP26" i="46"/>
  <c r="BV26" i="46"/>
  <c r="CD26" i="46"/>
  <c r="CJ26" i="46"/>
  <c r="CP26" i="46"/>
  <c r="CV26" i="46"/>
  <c r="DB26" i="46"/>
  <c r="DH26" i="46"/>
  <c r="DN26" i="46"/>
  <c r="DT26" i="46"/>
  <c r="DZ26" i="46"/>
  <c r="T39" i="46"/>
  <c r="Z39" i="46"/>
  <c r="AF39" i="46"/>
  <c r="AL39" i="46"/>
  <c r="AR39" i="46"/>
  <c r="AX39" i="46"/>
  <c r="BD39" i="46"/>
  <c r="BJ39" i="46"/>
  <c r="BP39" i="46"/>
  <c r="BV39" i="46"/>
  <c r="CD39" i="46"/>
  <c r="CJ39" i="46"/>
  <c r="CP39" i="46"/>
  <c r="CV39" i="46"/>
  <c r="DB39" i="46"/>
  <c r="DH39" i="46"/>
  <c r="DN39" i="46"/>
  <c r="DT39" i="46"/>
  <c r="DZ39" i="46"/>
  <c r="AA13" i="46"/>
  <c r="AA12" i="46"/>
  <c r="AA11" i="46"/>
  <c r="H86" i="46"/>
  <c r="H87" i="46"/>
  <c r="AG13" i="46"/>
  <c r="AG12" i="46"/>
  <c r="AG11" i="46"/>
  <c r="I86" i="46"/>
  <c r="I87" i="46"/>
  <c r="AG40" i="46"/>
  <c r="AM13" i="46"/>
  <c r="AM12" i="46"/>
  <c r="AM11" i="46"/>
  <c r="J86" i="46"/>
  <c r="J87" i="46"/>
  <c r="AS13" i="46"/>
  <c r="AS12" i="46"/>
  <c r="AS11" i="46"/>
  <c r="K86" i="46"/>
  <c r="K87" i="46"/>
  <c r="AG39" i="46"/>
  <c r="AY13" i="46"/>
  <c r="L86" i="46"/>
  <c r="L87" i="46"/>
  <c r="AY11" i="46"/>
  <c r="AY40" i="46"/>
  <c r="AY39" i="46"/>
  <c r="AY12" i="46"/>
  <c r="M86" i="46"/>
  <c r="M87" i="46"/>
  <c r="O86" i="46"/>
  <c r="O87" i="46"/>
  <c r="P86" i="46"/>
  <c r="P87" i="46"/>
  <c r="Q86" i="46"/>
  <c r="Q87" i="46"/>
  <c r="CE13" i="46"/>
  <c r="CE12" i="46"/>
  <c r="CE11" i="46"/>
  <c r="CE26" i="46"/>
  <c r="CE25" i="46"/>
  <c r="CE39" i="46"/>
  <c r="CE40" i="46"/>
  <c r="R86" i="46"/>
  <c r="R87" i="46"/>
  <c r="S86" i="46"/>
  <c r="S87" i="46"/>
  <c r="T86" i="46"/>
  <c r="T87" i="46"/>
  <c r="DB11" i="46"/>
  <c r="DH11" i="46"/>
  <c r="DN11" i="46"/>
  <c r="DT11" i="46"/>
  <c r="DZ11" i="46"/>
  <c r="DC11" i="46"/>
  <c r="U86" i="46"/>
  <c r="U87" i="46"/>
  <c r="DC12" i="46"/>
  <c r="DC13" i="46"/>
  <c r="V86" i="46"/>
  <c r="V87" i="46"/>
  <c r="W86" i="46"/>
  <c r="W87" i="46"/>
  <c r="X86" i="46"/>
  <c r="X87" i="46"/>
  <c r="EA11" i="46"/>
  <c r="EA12" i="46"/>
  <c r="EA13" i="46"/>
  <c r="AY38" i="48"/>
  <c r="AY37" i="48"/>
  <c r="AP39" i="48"/>
  <c r="AL37" i="48"/>
  <c r="AL38" i="48"/>
  <c r="AF37" i="48"/>
  <c r="AC39" i="48"/>
  <c r="BV39" i="48"/>
  <c r="AU16" i="48"/>
  <c r="BO26" i="48"/>
  <c r="M39" i="48"/>
  <c r="L26" i="48"/>
  <c r="BP26" i="48"/>
  <c r="BN39" i="48"/>
  <c r="AU10" i="48"/>
  <c r="M26" i="48"/>
  <c r="U39" i="48"/>
  <c r="AV28" i="48"/>
  <c r="BK26" i="48"/>
  <c r="BS39" i="48"/>
  <c r="BL26" i="48"/>
  <c r="BR26" i="48"/>
  <c r="P26" i="48"/>
  <c r="AB13" i="48"/>
  <c r="AB26" i="48"/>
  <c r="AK13" i="48"/>
  <c r="AO13" i="48"/>
  <c r="AO39" i="48"/>
  <c r="AQ13" i="48"/>
  <c r="AY14" i="48"/>
  <c r="AM39" i="48"/>
  <c r="AE26" i="48"/>
  <c r="V39" i="48"/>
  <c r="AF13" i="48"/>
  <c r="AL13" i="48"/>
  <c r="AL26" i="48"/>
  <c r="AN13" i="48"/>
  <c r="AN26" i="48"/>
  <c r="AR14" i="48"/>
  <c r="AU11" i="48"/>
  <c r="S26" i="48"/>
  <c r="AH14" i="48"/>
  <c r="X13" i="48"/>
  <c r="X26" i="48"/>
  <c r="BM26" i="48"/>
  <c r="BI26" i="48"/>
  <c r="BU26" i="48"/>
  <c r="AJ39" i="48"/>
  <c r="K14" i="48"/>
  <c r="AD13" i="48"/>
  <c r="AD26" i="48"/>
  <c r="I30" i="48"/>
  <c r="AU7" i="48"/>
  <c r="AU14" i="48"/>
  <c r="AV29" i="48"/>
  <c r="BT39" i="48"/>
  <c r="I23" i="48"/>
  <c r="Y39" i="48"/>
  <c r="AT13" i="48"/>
  <c r="AU33" i="48"/>
  <c r="AB14" i="48"/>
  <c r="AV5" i="48"/>
  <c r="AC26" i="48"/>
  <c r="Z14" i="48"/>
  <c r="AL14" i="48"/>
  <c r="AY13" i="48"/>
  <c r="AV23" i="48"/>
  <c r="AU23" i="48"/>
  <c r="Z13" i="48"/>
  <c r="AU29" i="48"/>
  <c r="R39" i="48"/>
  <c r="I28" i="48"/>
  <c r="AH13" i="48"/>
  <c r="AV31" i="48"/>
  <c r="K13" i="48"/>
  <c r="I31" i="48"/>
  <c r="I29" i="48"/>
  <c r="Q26" i="48"/>
  <c r="X14" i="48"/>
  <c r="AX26" i="48"/>
  <c r="AX13" i="48"/>
  <c r="BP39" i="48"/>
  <c r="AU22" i="48"/>
  <c r="AU34" i="48"/>
  <c r="AN14" i="48"/>
  <c r="X39" i="48"/>
  <c r="I11" i="48"/>
  <c r="AO14" i="48"/>
  <c r="AU30" i="48"/>
  <c r="AU32" i="48"/>
  <c r="I12" i="48"/>
  <c r="AB39" i="48"/>
  <c r="L39" i="48"/>
  <c r="AD14" i="48"/>
  <c r="I20" i="48"/>
  <c r="I24" i="48"/>
  <c r="I21" i="48"/>
  <c r="AT14" i="48"/>
  <c r="AQ14" i="48"/>
  <c r="AR13" i="48"/>
  <c r="AR26" i="48"/>
  <c r="N39" i="48"/>
  <c r="AF14" i="48"/>
  <c r="I34" i="48"/>
  <c r="AA26" i="48"/>
  <c r="J39" i="48"/>
  <c r="AV8" i="48"/>
  <c r="I33" i="48"/>
  <c r="AV21" i="48"/>
  <c r="O26" i="48"/>
  <c r="G26" i="48"/>
  <c r="AW26" i="48"/>
  <c r="AV12" i="48"/>
  <c r="AP26" i="48"/>
  <c r="AG39" i="48"/>
  <c r="AE39" i="48"/>
  <c r="AA39" i="48"/>
  <c r="W39" i="48"/>
  <c r="I6" i="48"/>
  <c r="H39" i="48"/>
  <c r="I7" i="48"/>
  <c r="I10" i="48"/>
  <c r="H26" i="48"/>
  <c r="I5" i="48"/>
  <c r="I9" i="48"/>
  <c r="I8" i="48"/>
  <c r="G39" i="48"/>
  <c r="AV38" i="44"/>
  <c r="AG41" i="44"/>
  <c r="I30" i="44"/>
  <c r="I39" i="44"/>
  <c r="Y28" i="44"/>
  <c r="Y41" i="44"/>
  <c r="EA26" i="33"/>
  <c r="EA26" i="46"/>
  <c r="BI28" i="44"/>
  <c r="U28" i="44"/>
  <c r="Q41" i="44"/>
  <c r="AR14" i="44"/>
  <c r="BP41" i="44"/>
  <c r="BT28" i="44"/>
  <c r="K27" i="44"/>
  <c r="Q28" i="44"/>
  <c r="BJ28" i="44"/>
  <c r="AP41" i="44"/>
  <c r="T41" i="44"/>
  <c r="P28" i="44"/>
  <c r="AF14" i="44"/>
  <c r="AQ14" i="44"/>
  <c r="AR40" i="44"/>
  <c r="AL39" i="44"/>
  <c r="AD39" i="44"/>
  <c r="BP28" i="44"/>
  <c r="L28" i="44"/>
  <c r="M41" i="44"/>
  <c r="AA41" i="44"/>
  <c r="T28" i="44"/>
  <c r="I18" i="44"/>
  <c r="AT27" i="44"/>
  <c r="AR39" i="44"/>
  <c r="AD40" i="44"/>
  <c r="BV28" i="44"/>
  <c r="AP28" i="44"/>
  <c r="AG28" i="44"/>
  <c r="AD27" i="44"/>
  <c r="I17" i="44"/>
  <c r="BR41" i="44"/>
  <c r="AL40" i="44"/>
  <c r="I22" i="44"/>
  <c r="I19" i="44"/>
  <c r="AU17" i="44"/>
  <c r="AU26" i="44"/>
  <c r="BL28" i="44"/>
  <c r="H28" i="44"/>
  <c r="P41" i="44"/>
  <c r="X15" i="44"/>
  <c r="Z15" i="44"/>
  <c r="AF15" i="44"/>
  <c r="AQ15" i="44"/>
  <c r="AX14" i="44"/>
  <c r="AL27" i="44"/>
  <c r="AO26" i="44"/>
  <c r="AR15" i="44"/>
  <c r="AR26" i="44"/>
  <c r="AY14" i="44"/>
  <c r="AY27" i="44"/>
  <c r="K40" i="44"/>
  <c r="AV35" i="44"/>
  <c r="AX39" i="44"/>
  <c r="AN39" i="44"/>
  <c r="X39" i="44"/>
  <c r="BS28" i="44"/>
  <c r="AB27" i="44"/>
  <c r="AO39" i="44"/>
  <c r="AY39" i="44"/>
  <c r="AA28" i="44"/>
  <c r="AK40" i="44"/>
  <c r="K26" i="44"/>
  <c r="AB40" i="44"/>
  <c r="AN26" i="44"/>
  <c r="AX26" i="44"/>
  <c r="AM28" i="44"/>
  <c r="AE28" i="44"/>
  <c r="W41" i="44"/>
  <c r="O28" i="44"/>
  <c r="AD14" i="44"/>
  <c r="AD41" i="44"/>
  <c r="AO40" i="44"/>
  <c r="AU5" i="44"/>
  <c r="AU15" i="44"/>
  <c r="X14" i="44"/>
  <c r="AL26" i="44"/>
  <c r="AY15" i="44"/>
  <c r="K39" i="44"/>
  <c r="AT39" i="44"/>
  <c r="X40" i="44"/>
  <c r="AB15" i="44"/>
  <c r="AF40" i="44"/>
  <c r="AK14" i="44"/>
  <c r="AQ40" i="44"/>
  <c r="AN14" i="44"/>
  <c r="AO15" i="44"/>
  <c r="AO27" i="44"/>
  <c r="AR27" i="44"/>
  <c r="S28" i="44"/>
  <c r="AL14" i="44"/>
  <c r="Z40" i="44"/>
  <c r="AV30" i="44"/>
  <c r="AT15" i="44"/>
  <c r="K15" i="44"/>
  <c r="X26" i="44"/>
  <c r="Z26" i="44"/>
  <c r="AB26" i="44"/>
  <c r="AF27" i="44"/>
  <c r="AH27" i="44"/>
  <c r="AK26" i="44"/>
  <c r="AN27" i="44"/>
  <c r="AQ27" i="44"/>
  <c r="AX15" i="44"/>
  <c r="BM41" i="44"/>
  <c r="AH14" i="44"/>
  <c r="AH40" i="44"/>
  <c r="S41" i="44"/>
  <c r="Z14" i="44"/>
  <c r="BU28" i="44"/>
  <c r="AL15" i="44"/>
  <c r="AT26" i="44"/>
  <c r="AO14" i="44"/>
  <c r="AD26" i="44"/>
  <c r="AK15" i="44"/>
  <c r="AT40" i="44"/>
  <c r="AY26" i="44"/>
  <c r="AY28" i="44"/>
  <c r="K14" i="44"/>
  <c r="AH26" i="44"/>
  <c r="AX27" i="44"/>
  <c r="AE41" i="44"/>
  <c r="AX40" i="44"/>
  <c r="AK39" i="44"/>
  <c r="BM28" i="44"/>
  <c r="AY40" i="44"/>
  <c r="AQ26" i="44"/>
  <c r="AU31" i="44"/>
  <c r="AD15" i="44"/>
  <c r="AF26" i="44"/>
  <c r="Z39" i="44"/>
  <c r="AT14" i="44"/>
  <c r="AN15" i="44"/>
  <c r="AF39" i="44"/>
  <c r="AQ39" i="44"/>
  <c r="J28" i="44"/>
  <c r="AB39" i="44"/>
  <c r="AK27" i="44"/>
  <c r="X27" i="44"/>
  <c r="AM41" i="44"/>
  <c r="O41" i="44"/>
  <c r="AH15" i="44"/>
  <c r="AH39" i="44"/>
  <c r="BK41" i="44"/>
  <c r="I15" i="44"/>
  <c r="AW41" i="44"/>
  <c r="AJ28" i="44"/>
  <c r="AC41" i="44"/>
  <c r="V41" i="44"/>
  <c r="R28" i="44"/>
  <c r="N41" i="44"/>
  <c r="AV32" i="44"/>
  <c r="BO28" i="44"/>
  <c r="AB14" i="44"/>
  <c r="AN40" i="44"/>
  <c r="AV22" i="44"/>
  <c r="W28" i="44"/>
  <c r="AV15" i="44"/>
  <c r="AV14" i="44"/>
  <c r="V28" i="44"/>
  <c r="I14" i="44"/>
  <c r="N28" i="44"/>
  <c r="AJ41" i="44"/>
  <c r="AV20" i="44"/>
  <c r="AU33" i="44"/>
  <c r="AU27" i="44"/>
  <c r="AU34" i="44"/>
  <c r="DU39" i="33"/>
  <c r="DU40" i="33"/>
  <c r="DO39" i="33"/>
  <c r="DO40" i="33"/>
  <c r="Z4" i="45"/>
  <c r="N32" i="45"/>
  <c r="K42" i="45"/>
  <c r="K41" i="45"/>
  <c r="M42" i="45"/>
  <c r="M41" i="45"/>
  <c r="P42" i="45"/>
  <c r="W60" i="45"/>
  <c r="P41" i="45"/>
  <c r="V60" i="45"/>
  <c r="S16" i="45"/>
  <c r="R61" i="45"/>
  <c r="S42" i="45"/>
  <c r="W61" i="45"/>
  <c r="S41" i="45"/>
  <c r="V42" i="45"/>
  <c r="V41" i="45"/>
  <c r="Y42" i="45"/>
  <c r="Y41" i="45"/>
  <c r="V63" i="45"/>
  <c r="AB42" i="45"/>
  <c r="W64" i="45"/>
  <c r="AB41" i="45"/>
  <c r="AE42" i="45"/>
  <c r="AE41" i="45"/>
  <c r="V65" i="45"/>
  <c r="AH42" i="45"/>
  <c r="W66" i="45"/>
  <c r="AH41" i="45"/>
  <c r="AK42" i="45"/>
  <c r="AK41" i="45"/>
  <c r="V67" i="45"/>
  <c r="AN42" i="45"/>
  <c r="W68" i="45"/>
  <c r="AN41" i="45"/>
  <c r="V68" i="45"/>
  <c r="AQ42" i="45"/>
  <c r="W69" i="45"/>
  <c r="AQ41" i="45"/>
  <c r="V69" i="45"/>
  <c r="AT42" i="45"/>
  <c r="AT41" i="45"/>
  <c r="AW42" i="45"/>
  <c r="AW41" i="45"/>
  <c r="AZ42" i="45"/>
  <c r="W72" i="45"/>
  <c r="AZ41" i="45"/>
  <c r="V72" i="45"/>
  <c r="BC42" i="45"/>
  <c r="W73" i="45"/>
  <c r="BC41" i="45"/>
  <c r="BF42" i="45"/>
  <c r="W74" i="45"/>
  <c r="BI42" i="45"/>
  <c r="BI41" i="45"/>
  <c r="BL42" i="45"/>
  <c r="BL41" i="45"/>
  <c r="BO42" i="45"/>
  <c r="BO41" i="45"/>
  <c r="BR42" i="45"/>
  <c r="BR41" i="45"/>
  <c r="V78" i="45"/>
  <c r="BF29" i="45"/>
  <c r="U74" i="45"/>
  <c r="W67" i="45"/>
  <c r="AO39" i="45"/>
  <c r="AR39" i="45"/>
  <c r="AU39" i="45"/>
  <c r="AX39" i="45"/>
  <c r="BA39" i="45"/>
  <c r="BD39" i="45"/>
  <c r="BG39" i="45"/>
  <c r="BJ39" i="45"/>
  <c r="BM39" i="45"/>
  <c r="BP39" i="45"/>
  <c r="BS39" i="45"/>
  <c r="Q38" i="45"/>
  <c r="T38" i="45"/>
  <c r="W38" i="45"/>
  <c r="Z38" i="45"/>
  <c r="AC38" i="45"/>
  <c r="AF38" i="45"/>
  <c r="AI38" i="45"/>
  <c r="AL38" i="45"/>
  <c r="AO38" i="45"/>
  <c r="AR38" i="45"/>
  <c r="AU38" i="45"/>
  <c r="AX38" i="45"/>
  <c r="BA38" i="45"/>
  <c r="BD38" i="45"/>
  <c r="BG38" i="45"/>
  <c r="BJ38" i="45"/>
  <c r="BM38" i="45"/>
  <c r="BP38" i="45"/>
  <c r="BS38" i="45"/>
  <c r="DI39" i="33"/>
  <c r="DC39" i="33"/>
  <c r="DC12" i="33"/>
  <c r="BF41" i="45"/>
  <c r="BE30" i="45"/>
  <c r="BE43" i="45"/>
  <c r="CK39" i="33"/>
  <c r="CK26" i="33"/>
  <c r="AS30" i="6"/>
  <c r="BW40" i="33"/>
  <c r="BV40" i="33"/>
  <c r="CD40" i="33"/>
  <c r="CJ40" i="33"/>
  <c r="CP40" i="33"/>
  <c r="CV40" i="33"/>
  <c r="DB40" i="33"/>
  <c r="DH40" i="33"/>
  <c r="DN40" i="33"/>
  <c r="DT40" i="33"/>
  <c r="DZ40" i="33"/>
  <c r="BW39" i="33"/>
  <c r="BW26" i="33"/>
  <c r="BV26" i="33"/>
  <c r="CD26" i="33"/>
  <c r="CJ26" i="33"/>
  <c r="CP26" i="33"/>
  <c r="CV26" i="33"/>
  <c r="DB26" i="33"/>
  <c r="DH26" i="33"/>
  <c r="DN26" i="33"/>
  <c r="DT26" i="33"/>
  <c r="DZ26" i="33"/>
  <c r="BW12" i="33"/>
  <c r="N110" i="33"/>
  <c r="N103" i="33"/>
  <c r="BK40" i="33"/>
  <c r="BK26" i="33"/>
  <c r="BK26" i="46"/>
  <c r="BE39" i="33"/>
  <c r="P26" i="33"/>
  <c r="V26" i="33"/>
  <c r="AB26" i="33"/>
  <c r="AH26" i="33"/>
  <c r="AN26" i="33"/>
  <c r="AT26" i="33"/>
  <c r="AZ26" i="33"/>
  <c r="BF26" i="33"/>
  <c r="Z39" i="33"/>
  <c r="AF39" i="33"/>
  <c r="AL39" i="33"/>
  <c r="AR39" i="33"/>
  <c r="AX39" i="33"/>
  <c r="BD39" i="33"/>
  <c r="BJ39" i="33"/>
  <c r="BP39" i="33"/>
  <c r="BV39" i="33"/>
  <c r="CD39" i="33"/>
  <c r="CJ39" i="33"/>
  <c r="CP39" i="33"/>
  <c r="CV39" i="33"/>
  <c r="DB39" i="33"/>
  <c r="DH39" i="33"/>
  <c r="DN39" i="33"/>
  <c r="DT39" i="33"/>
  <c r="DZ39" i="33"/>
  <c r="I39" i="45"/>
  <c r="I38" i="45"/>
  <c r="I26" i="45"/>
  <c r="I20" i="45"/>
  <c r="I7" i="45"/>
  <c r="I11" i="45"/>
  <c r="AY43" i="45"/>
  <c r="I35" i="6"/>
  <c r="I40" i="6"/>
  <c r="I39" i="6"/>
  <c r="U12" i="33"/>
  <c r="V12" i="33"/>
  <c r="AB12" i="33"/>
  <c r="AH12" i="33"/>
  <c r="AN12" i="33"/>
  <c r="U39" i="46"/>
  <c r="U26" i="46"/>
  <c r="U25" i="46"/>
  <c r="O30" i="45"/>
  <c r="T34" i="33"/>
  <c r="Z34" i="33"/>
  <c r="AF34" i="33"/>
  <c r="AL34" i="33"/>
  <c r="AR34" i="33"/>
  <c r="AX34" i="33"/>
  <c r="BD34" i="33"/>
  <c r="BJ34" i="33"/>
  <c r="BP34" i="33"/>
  <c r="BV34" i="33"/>
  <c r="CD34" i="33"/>
  <c r="CJ34" i="33"/>
  <c r="CP34" i="33"/>
  <c r="CV34" i="33"/>
  <c r="DB34" i="33"/>
  <c r="DH34" i="33"/>
  <c r="DN34" i="33"/>
  <c r="DT34" i="33"/>
  <c r="DZ34" i="33"/>
  <c r="AX5" i="33"/>
  <c r="BD5" i="33"/>
  <c r="BJ5" i="33"/>
  <c r="BP5" i="33"/>
  <c r="BV5" i="33"/>
  <c r="G62" i="33"/>
  <c r="G63" i="33"/>
  <c r="AW17" i="33"/>
  <c r="K97" i="33"/>
  <c r="N8" i="33"/>
  <c r="BC28" i="33"/>
  <c r="L98" i="33"/>
  <c r="BU16" i="33"/>
  <c r="J101" i="33"/>
  <c r="H68" i="33"/>
  <c r="H69" i="33"/>
  <c r="N92" i="33"/>
  <c r="AE29" i="33"/>
  <c r="M94" i="33"/>
  <c r="N100" i="33"/>
  <c r="DA28" i="33"/>
  <c r="L106" i="33"/>
  <c r="N6" i="33"/>
  <c r="T6" i="33"/>
  <c r="Z6" i="33"/>
  <c r="AF6" i="33"/>
  <c r="AQ16" i="33"/>
  <c r="J96" i="33"/>
  <c r="T19" i="33"/>
  <c r="Z19" i="33"/>
  <c r="AF19" i="33"/>
  <c r="AF35" i="33"/>
  <c r="AL35" i="33"/>
  <c r="AR35" i="33"/>
  <c r="AX35" i="33"/>
  <c r="BD35" i="33"/>
  <c r="BJ35" i="33"/>
  <c r="BP35" i="33"/>
  <c r="BV35" i="33"/>
  <c r="CD35" i="33"/>
  <c r="CJ35" i="33"/>
  <c r="CP35" i="33"/>
  <c r="CV35" i="33"/>
  <c r="DB35" i="33"/>
  <c r="DH35" i="33"/>
  <c r="DN35" i="33"/>
  <c r="DT35" i="33"/>
  <c r="DZ35" i="33"/>
  <c r="J43" i="45"/>
  <c r="L62" i="33"/>
  <c r="L63" i="33"/>
  <c r="AG23" i="33"/>
  <c r="M16" i="33"/>
  <c r="J91" i="33"/>
  <c r="E62" i="33"/>
  <c r="E63" i="33"/>
  <c r="BI28" i="33"/>
  <c r="L99" i="33"/>
  <c r="BI17" i="33"/>
  <c r="K99" i="33"/>
  <c r="AX11" i="33"/>
  <c r="BD11" i="33"/>
  <c r="BJ11" i="33"/>
  <c r="BP11" i="33"/>
  <c r="BV11" i="33"/>
  <c r="AE28" i="33"/>
  <c r="L94" i="33"/>
  <c r="CO28" i="33"/>
  <c r="L104" i="33"/>
  <c r="N62" i="33"/>
  <c r="N63" i="33"/>
  <c r="N20" i="33"/>
  <c r="T20" i="33"/>
  <c r="Z20" i="33"/>
  <c r="BP22" i="33"/>
  <c r="BV22" i="33"/>
  <c r="CD22" i="33"/>
  <c r="CJ22" i="33"/>
  <c r="CP22" i="33"/>
  <c r="CV22" i="33"/>
  <c r="DB22" i="33"/>
  <c r="DH22" i="33"/>
  <c r="DN22" i="33"/>
  <c r="DT22" i="33"/>
  <c r="DZ22" i="33"/>
  <c r="CC20" i="33"/>
  <c r="CU28" i="33"/>
  <c r="L105" i="33"/>
  <c r="DA17" i="33"/>
  <c r="K106" i="33"/>
  <c r="T10" i="33"/>
  <c r="Z10" i="33"/>
  <c r="AF10" i="33"/>
  <c r="AL10" i="33"/>
  <c r="AR10" i="33"/>
  <c r="AX10" i="33"/>
  <c r="BD10" i="33"/>
  <c r="BJ10" i="33"/>
  <c r="BP10" i="33"/>
  <c r="BV10" i="33"/>
  <c r="CD10" i="33"/>
  <c r="CJ10" i="33"/>
  <c r="CP10" i="33"/>
  <c r="CV10" i="33"/>
  <c r="DB10" i="33"/>
  <c r="DH10" i="33"/>
  <c r="DN10" i="33"/>
  <c r="DT10" i="33"/>
  <c r="DZ10" i="33"/>
  <c r="N106" i="33"/>
  <c r="DM16" i="33"/>
  <c r="Y29" i="33"/>
  <c r="M93" i="33"/>
  <c r="O98" i="33"/>
  <c r="N105" i="33"/>
  <c r="DA29" i="33"/>
  <c r="M106" i="33"/>
  <c r="AQ17" i="33"/>
  <c r="K96" i="33"/>
  <c r="AW16" i="33"/>
  <c r="J97" i="33"/>
  <c r="CB44" i="33"/>
  <c r="CA17" i="33"/>
  <c r="AG33" i="46"/>
  <c r="BQ22" i="46"/>
  <c r="BK36" i="33"/>
  <c r="CI17" i="33"/>
  <c r="K103" i="33"/>
  <c r="CK25" i="33"/>
  <c r="CC21" i="33"/>
  <c r="DO25" i="33"/>
  <c r="O105" i="33"/>
  <c r="O95" i="33"/>
  <c r="AA38" i="33"/>
  <c r="DC38" i="33"/>
  <c r="N33" i="33"/>
  <c r="T33" i="33"/>
  <c r="Z33" i="33"/>
  <c r="S17" i="33"/>
  <c r="K92" i="33"/>
  <c r="DS17" i="33"/>
  <c r="K109" i="33"/>
  <c r="CK38" i="33"/>
  <c r="T38" i="33"/>
  <c r="Z38" i="33"/>
  <c r="AF38" i="33"/>
  <c r="AL38" i="33"/>
  <c r="AR38" i="33"/>
  <c r="AX38" i="33"/>
  <c r="BD38" i="33"/>
  <c r="BJ38" i="33"/>
  <c r="N25" i="33"/>
  <c r="T25" i="33"/>
  <c r="Z25" i="33"/>
  <c r="AF25" i="33"/>
  <c r="AL25" i="33"/>
  <c r="AR25" i="33"/>
  <c r="AX25" i="33"/>
  <c r="BD25" i="33"/>
  <c r="BJ25" i="33"/>
  <c r="BP25" i="33"/>
  <c r="BV25" i="33"/>
  <c r="AA25" i="33"/>
  <c r="AM25" i="33"/>
  <c r="CD5" i="33"/>
  <c r="CJ5" i="33"/>
  <c r="CP5" i="33"/>
  <c r="CV5" i="33"/>
  <c r="DB5" i="33"/>
  <c r="DH5" i="33"/>
  <c r="DN5" i="33"/>
  <c r="DT5" i="33"/>
  <c r="DZ5" i="33"/>
  <c r="Z32" i="33"/>
  <c r="CU29" i="33"/>
  <c r="M105" i="33"/>
  <c r="Y28" i="33"/>
  <c r="L93" i="33"/>
  <c r="CI16" i="33"/>
  <c r="J103" i="33"/>
  <c r="O4" i="33"/>
  <c r="BW25" i="33"/>
  <c r="EA7" i="33"/>
  <c r="O34" i="33"/>
  <c r="P34" i="33"/>
  <c r="AM38" i="33"/>
  <c r="DU4" i="33"/>
  <c r="CW35" i="33"/>
  <c r="BK6" i="33"/>
  <c r="J7" i="33"/>
  <c r="DC7" i="33"/>
  <c r="DC21" i="33"/>
  <c r="CW20" i="33"/>
  <c r="CK10" i="33"/>
  <c r="CQ22" i="33"/>
  <c r="EA21" i="33"/>
  <c r="DO10" i="33"/>
  <c r="CW10" i="33"/>
  <c r="AG24" i="33"/>
  <c r="DU5" i="33"/>
  <c r="CQ11" i="33"/>
  <c r="DO32" i="33"/>
  <c r="AM7" i="33"/>
  <c r="EA23" i="33"/>
  <c r="DO7" i="33"/>
  <c r="BQ4" i="33"/>
  <c r="EA19" i="33"/>
  <c r="BW24" i="33"/>
  <c r="CW32" i="33"/>
  <c r="BE21" i="33"/>
  <c r="BE33" i="33"/>
  <c r="BC16" i="33"/>
  <c r="J98" i="33"/>
  <c r="CE32" i="33"/>
  <c r="CQ25" i="33"/>
  <c r="DI7" i="33"/>
  <c r="BK38" i="33"/>
  <c r="DC5" i="33"/>
  <c r="AS37" i="33"/>
  <c r="DO5" i="33"/>
  <c r="BW21" i="33"/>
  <c r="DI6" i="33"/>
  <c r="U10" i="33"/>
  <c r="O37" i="33"/>
  <c r="BW9" i="33"/>
  <c r="BQ19" i="33"/>
  <c r="CQ34" i="33"/>
  <c r="U6" i="33"/>
  <c r="BK24" i="33"/>
  <c r="DU7" i="33"/>
  <c r="CE6" i="33"/>
  <c r="CE33" i="33"/>
  <c r="O25" i="33"/>
  <c r="CA16" i="33"/>
  <c r="BK23" i="33"/>
  <c r="AS25" i="33"/>
  <c r="J25" i="33"/>
  <c r="BW7" i="33"/>
  <c r="AS20" i="33"/>
  <c r="DM17" i="33"/>
  <c r="K108" i="33"/>
  <c r="CW5" i="33"/>
  <c r="AA37" i="33"/>
  <c r="CW58" i="33"/>
  <c r="AG58" i="33"/>
  <c r="AA10" i="33"/>
  <c r="BK32" i="33"/>
  <c r="DU11" i="33"/>
  <c r="BK19" i="33"/>
  <c r="BQ35" i="33"/>
  <c r="DC22" i="33"/>
  <c r="BE36" i="33"/>
  <c r="CW36" i="33"/>
  <c r="BK11" i="33"/>
  <c r="DO11" i="33"/>
  <c r="EA36" i="33"/>
  <c r="DC32" i="33"/>
  <c r="DI23" i="33"/>
  <c r="AS19" i="33"/>
  <c r="AY36" i="33"/>
  <c r="BQ33" i="33"/>
  <c r="AY24" i="33"/>
  <c r="CK23" i="33"/>
  <c r="O96" i="33"/>
  <c r="BC17" i="33"/>
  <c r="K98" i="33"/>
  <c r="BK21" i="33"/>
  <c r="N4" i="33"/>
  <c r="T4" i="33"/>
  <c r="Z4" i="33"/>
  <c r="AF4" i="33"/>
  <c r="CE5" i="33"/>
  <c r="CE58" i="33"/>
  <c r="J38" i="33"/>
  <c r="P38" i="33"/>
  <c r="AL6" i="33"/>
  <c r="AR6" i="33"/>
  <c r="AX6" i="33"/>
  <c r="BD6" i="33"/>
  <c r="BJ6" i="33"/>
  <c r="BP6" i="33"/>
  <c r="BV6" i="33"/>
  <c r="BO17" i="33"/>
  <c r="K100" i="33"/>
  <c r="BK25" i="33"/>
  <c r="DC20" i="33"/>
  <c r="U32" i="33"/>
  <c r="DU10" i="33"/>
  <c r="CQ9" i="33"/>
  <c r="DC34" i="33"/>
  <c r="DU9" i="33"/>
  <c r="BQ34" i="33"/>
  <c r="CQ20" i="33"/>
  <c r="AA7" i="33"/>
  <c r="BQ32" i="33"/>
  <c r="BE10" i="33"/>
  <c r="DO24" i="33"/>
  <c r="J11" i="33"/>
  <c r="BK58" i="33"/>
  <c r="U25" i="33"/>
  <c r="J4" i="33"/>
  <c r="BI29" i="33"/>
  <c r="M99" i="33"/>
  <c r="AY8" i="33"/>
  <c r="DU6" i="33"/>
  <c r="AG8" i="33"/>
  <c r="DO4" i="33"/>
  <c r="AM10" i="33"/>
  <c r="BK35" i="33"/>
  <c r="BE20" i="33"/>
  <c r="U58" i="33"/>
  <c r="AG32" i="33"/>
  <c r="BW22" i="33"/>
  <c r="O32" i="33"/>
  <c r="BW4" i="33"/>
  <c r="CQ19" i="33"/>
  <c r="CW23" i="33"/>
  <c r="DO35" i="33"/>
  <c r="DI58" i="33"/>
  <c r="DC8" i="33"/>
  <c r="BK22" i="33"/>
  <c r="U36" i="33"/>
  <c r="J10" i="33"/>
  <c r="P10" i="33"/>
  <c r="DO34" i="33"/>
  <c r="CK33" i="33"/>
  <c r="CK24" i="33"/>
  <c r="AS7" i="33"/>
  <c r="AA22" i="33"/>
  <c r="S28" i="33"/>
  <c r="DG16" i="33"/>
  <c r="J107" i="33"/>
  <c r="AY34" i="33"/>
  <c r="CQ35" i="33"/>
  <c r="AY11" i="33"/>
  <c r="CE8" i="33"/>
  <c r="O11" i="33"/>
  <c r="DC58" i="33"/>
  <c r="AA24" i="33"/>
  <c r="CW38" i="33"/>
  <c r="AG25" i="33"/>
  <c r="Y16" i="33"/>
  <c r="I17" i="33"/>
  <c r="EA38" i="33"/>
  <c r="BK5" i="33"/>
  <c r="DO21" i="33"/>
  <c r="O20" i="33"/>
  <c r="EA20" i="33"/>
  <c r="CK35" i="33"/>
  <c r="CW7" i="33"/>
  <c r="BW34" i="33"/>
  <c r="AY5" i="33"/>
  <c r="AA5" i="33"/>
  <c r="DI34" i="33"/>
  <c r="AS5" i="33"/>
  <c r="DI36" i="33"/>
  <c r="AY6" i="33"/>
  <c r="AY58" i="33"/>
  <c r="BQ6" i="33"/>
  <c r="BK4" i="33"/>
  <c r="AG22" i="33"/>
  <c r="J6" i="33"/>
  <c r="DU33" i="33"/>
  <c r="EA35" i="33"/>
  <c r="BE32" i="33"/>
  <c r="U22" i="33"/>
  <c r="BW33" i="33"/>
  <c r="O24" i="33"/>
  <c r="CW19" i="33"/>
  <c r="AS24" i="33"/>
  <c r="CO29" i="33"/>
  <c r="M104" i="33"/>
  <c r="O23" i="33"/>
  <c r="P23" i="33"/>
  <c r="AM8" i="33"/>
  <c r="BK34" i="33"/>
  <c r="AL19" i="33"/>
  <c r="AR19" i="33"/>
  <c r="AX19" i="33"/>
  <c r="CE7" i="33"/>
  <c r="CE25" i="33"/>
  <c r="I29" i="33"/>
  <c r="M90" i="33"/>
  <c r="AA6" i="33"/>
  <c r="DC37" i="33"/>
  <c r="BE35" i="33"/>
  <c r="DG17" i="33"/>
  <c r="K107" i="33"/>
  <c r="U38" i="33"/>
  <c r="O33" i="33"/>
  <c r="AG38" i="33"/>
  <c r="CK7" i="33"/>
  <c r="AS21" i="33"/>
  <c r="EA34" i="33"/>
  <c r="DU38" i="33"/>
  <c r="AM34" i="33"/>
  <c r="DC6" i="33"/>
  <c r="U33" i="33"/>
  <c r="DU22" i="33"/>
  <c r="AA23" i="33"/>
  <c r="DI19" i="33"/>
  <c r="EA9" i="33"/>
  <c r="CK34" i="33"/>
  <c r="CK6" i="33"/>
  <c r="AY9" i="33"/>
  <c r="AG19" i="33"/>
  <c r="EA6" i="33"/>
  <c r="O19" i="33"/>
  <c r="J19" i="33"/>
  <c r="CW4" i="33"/>
  <c r="J9" i="33"/>
  <c r="J37" i="33"/>
  <c r="P37" i="33"/>
  <c r="BK7" i="33"/>
  <c r="BQ24" i="33"/>
  <c r="O8" i="33"/>
  <c r="CC6" i="33"/>
  <c r="DI4" i="33"/>
  <c r="DC35" i="33"/>
  <c r="CE35" i="33"/>
  <c r="AS58" i="33"/>
  <c r="DC25" i="33"/>
  <c r="DU25" i="33"/>
  <c r="X62" i="33"/>
  <c r="X63" i="33"/>
  <c r="S16" i="33"/>
  <c r="I16" i="33"/>
  <c r="O106" i="33"/>
  <c r="AS38" i="33"/>
  <c r="BE38" i="33"/>
  <c r="DU21" i="33"/>
  <c r="AS32" i="33"/>
  <c r="DI38" i="33"/>
  <c r="DI10" i="33"/>
  <c r="DU24" i="33"/>
  <c r="CQ4" i="33"/>
  <c r="O36" i="33"/>
  <c r="CK22" i="33"/>
  <c r="AG20" i="33"/>
  <c r="BE4" i="33"/>
  <c r="J33" i="33"/>
  <c r="AS8" i="33"/>
  <c r="AS33" i="33"/>
  <c r="O5" i="33"/>
  <c r="BW8" i="33"/>
  <c r="BK37" i="33"/>
  <c r="AS35" i="33"/>
  <c r="J21" i="33"/>
  <c r="J8" i="33"/>
  <c r="DC24" i="33"/>
  <c r="AM11" i="33"/>
  <c r="BK8" i="33"/>
  <c r="CK4" i="33"/>
  <c r="AG4" i="33"/>
  <c r="CW6" i="33"/>
  <c r="U11" i="33"/>
  <c r="DU36" i="33"/>
  <c r="AM58" i="33"/>
  <c r="BE58" i="33"/>
  <c r="BQ21" i="33"/>
  <c r="CW25" i="33"/>
  <c r="DI25" i="33"/>
  <c r="N23" i="33"/>
  <c r="T23" i="33"/>
  <c r="Z23" i="33"/>
  <c r="AF23" i="33"/>
  <c r="AL23" i="33"/>
  <c r="AR23" i="33"/>
  <c r="AX23" i="33"/>
  <c r="BD23" i="33"/>
  <c r="BJ23" i="33"/>
  <c r="BP23" i="33"/>
  <c r="BV23" i="33"/>
  <c r="EA33" i="33"/>
  <c r="BQ38" i="33"/>
  <c r="AY38" i="33"/>
  <c r="CW24" i="33"/>
  <c r="N95" i="33"/>
  <c r="O103" i="33"/>
  <c r="AM22" i="33"/>
  <c r="AM21" i="33"/>
  <c r="AY4" i="33"/>
  <c r="AM35" i="33"/>
  <c r="AY22" i="33"/>
  <c r="DI8" i="33"/>
  <c r="AM32" i="33"/>
  <c r="AS4" i="33"/>
  <c r="AA20" i="33"/>
  <c r="O6" i="33"/>
  <c r="AA33" i="33"/>
  <c r="CQ33" i="33"/>
  <c r="AM4" i="33"/>
  <c r="DC36" i="33"/>
  <c r="AS9" i="33"/>
  <c r="EA32" i="33"/>
  <c r="EA43" i="33"/>
  <c r="DI21" i="33"/>
  <c r="EA24" i="33"/>
  <c r="CW21" i="33"/>
  <c r="CQ24" i="33"/>
  <c r="DI32" i="33"/>
  <c r="DC19" i="33"/>
  <c r="T7" i="33"/>
  <c r="Z7" i="33"/>
  <c r="AF7" i="33"/>
  <c r="AL7" i="33"/>
  <c r="AR7" i="33"/>
  <c r="AX7" i="33"/>
  <c r="BD7" i="33"/>
  <c r="BJ7" i="33"/>
  <c r="BP7" i="33"/>
  <c r="BV7" i="33"/>
  <c r="CD7" i="33"/>
  <c r="CJ7" i="33"/>
  <c r="CP7" i="33"/>
  <c r="CV7" i="33"/>
  <c r="DB7" i="33"/>
  <c r="DH7" i="33"/>
  <c r="DN7" i="33"/>
  <c r="DT7" i="33"/>
  <c r="DZ7" i="33"/>
  <c r="CE9" i="33"/>
  <c r="DU35" i="33"/>
  <c r="CK58" i="33"/>
  <c r="DA16" i="33"/>
  <c r="O110" i="33"/>
  <c r="U37" i="33"/>
  <c r="BW38" i="33"/>
  <c r="BQ22" i="33"/>
  <c r="BW19" i="33"/>
  <c r="BW36" i="33"/>
  <c r="BQ37" i="33"/>
  <c r="DI33" i="33"/>
  <c r="CK19" i="33"/>
  <c r="U23" i="33"/>
  <c r="J32" i="33"/>
  <c r="AA19" i="33"/>
  <c r="DU19" i="33"/>
  <c r="U19" i="33"/>
  <c r="AM20" i="33"/>
  <c r="AA35" i="33"/>
  <c r="DO33" i="33"/>
  <c r="CQ7" i="33"/>
  <c r="DO9" i="33"/>
  <c r="U4" i="33"/>
  <c r="DO23" i="33"/>
  <c r="AY20" i="33"/>
  <c r="CQ5" i="33"/>
  <c r="DO22" i="33"/>
  <c r="O7" i="33"/>
  <c r="O22" i="33"/>
  <c r="P22" i="33"/>
  <c r="CW37" i="33"/>
  <c r="CB30" i="33"/>
  <c r="AA21" i="33"/>
  <c r="EA8" i="33"/>
  <c r="U9" i="33"/>
  <c r="CE10" i="33"/>
  <c r="EA11" i="33"/>
  <c r="AG36" i="33"/>
  <c r="BE23" i="33"/>
  <c r="DU37" i="33"/>
  <c r="BQ25" i="33"/>
  <c r="BK20" i="33"/>
  <c r="CK37" i="33"/>
  <c r="BE34" i="33"/>
  <c r="BQ5" i="33"/>
  <c r="AY7" i="33"/>
  <c r="BQ8" i="33"/>
  <c r="BE8" i="33"/>
  <c r="AS22" i="33"/>
  <c r="U5" i="33"/>
  <c r="CK5" i="33"/>
  <c r="DU32" i="33"/>
  <c r="BQ7" i="33"/>
  <c r="J5" i="33"/>
  <c r="P5" i="33"/>
  <c r="V5" i="33"/>
  <c r="CK20" i="33"/>
  <c r="AY19" i="33"/>
  <c r="AY32" i="33"/>
  <c r="AA9" i="33"/>
  <c r="CW34" i="33"/>
  <c r="J35" i="33"/>
  <c r="DU23" i="33"/>
  <c r="CW11" i="33"/>
  <c r="DO8" i="33"/>
  <c r="DI22" i="33"/>
  <c r="BK33" i="33"/>
  <c r="J24" i="33"/>
  <c r="P24" i="33"/>
  <c r="AY23" i="33"/>
  <c r="AG11" i="33"/>
  <c r="BK10" i="33"/>
  <c r="BQ9" i="33"/>
  <c r="CW22" i="33"/>
  <c r="EA10" i="33"/>
  <c r="AG35" i="33"/>
  <c r="CQ6" i="33"/>
  <c r="U34" i="33"/>
  <c r="CQ23" i="33"/>
  <c r="BE11" i="33"/>
  <c r="DI24" i="33"/>
  <c r="AM23" i="33"/>
  <c r="DC4" i="33"/>
  <c r="AS6" i="33"/>
  <c r="CQ21" i="33"/>
  <c r="AA8" i="33"/>
  <c r="DI5" i="33"/>
  <c r="AG21" i="33"/>
  <c r="DI9" i="33"/>
  <c r="BW35" i="33"/>
  <c r="BE7" i="33"/>
  <c r="AM9" i="33"/>
  <c r="AG34" i="33"/>
  <c r="BE5" i="33"/>
  <c r="BW32" i="33"/>
  <c r="DO19" i="33"/>
  <c r="O35" i="33"/>
  <c r="CK36" i="33"/>
  <c r="BE24" i="33"/>
  <c r="AS34" i="33"/>
  <c r="U20" i="33"/>
  <c r="DO6" i="33"/>
  <c r="AY21" i="33"/>
  <c r="CQ38" i="33"/>
  <c r="CQ36" i="33"/>
  <c r="AA36" i="33"/>
  <c r="BK9" i="33"/>
  <c r="BQ10" i="33"/>
  <c r="BW11" i="33"/>
  <c r="CE22" i="33"/>
  <c r="CC25" i="33"/>
  <c r="CI44" i="33"/>
  <c r="M17" i="33"/>
  <c r="K91" i="33"/>
  <c r="O9" i="33"/>
  <c r="BO29" i="33"/>
  <c r="M100" i="33"/>
  <c r="BO28" i="33"/>
  <c r="BQ20" i="33"/>
  <c r="DO37" i="33"/>
  <c r="N108" i="33"/>
  <c r="O108" i="33"/>
  <c r="AY37" i="33"/>
  <c r="O97" i="33"/>
  <c r="CC36" i="33"/>
  <c r="CE36" i="33"/>
  <c r="J108" i="33"/>
  <c r="DG28" i="33"/>
  <c r="DG29" i="33"/>
  <c r="M107" i="33"/>
  <c r="DI20" i="33"/>
  <c r="DU8" i="33"/>
  <c r="DS16" i="33"/>
  <c r="CC23" i="33"/>
  <c r="CE23" i="33"/>
  <c r="CA28" i="33"/>
  <c r="CA29" i="33"/>
  <c r="J58" i="33"/>
  <c r="P58" i="33"/>
  <c r="N58" i="33"/>
  <c r="T58" i="33"/>
  <c r="Z58" i="33"/>
  <c r="AF58" i="33"/>
  <c r="AL58" i="33"/>
  <c r="AR58" i="33"/>
  <c r="AX58" i="33"/>
  <c r="BD58" i="33"/>
  <c r="BJ58" i="33"/>
  <c r="BP58" i="33"/>
  <c r="BV58" i="33"/>
  <c r="CD58" i="33"/>
  <c r="CJ58" i="33"/>
  <c r="CP58" i="33"/>
  <c r="CV58" i="33"/>
  <c r="DB58" i="33"/>
  <c r="DH58" i="33"/>
  <c r="DS29" i="33"/>
  <c r="M109" i="33"/>
  <c r="DU20" i="33"/>
  <c r="DS28" i="33"/>
  <c r="L109" i="33"/>
  <c r="J99" i="33"/>
  <c r="BI44" i="33"/>
  <c r="CI28" i="33"/>
  <c r="L103" i="33"/>
  <c r="CI29" i="33"/>
  <c r="M103" i="33"/>
  <c r="CQ8" i="33"/>
  <c r="CO17" i="33"/>
  <c r="K104" i="33"/>
  <c r="CO16" i="33"/>
  <c r="CK21" i="33"/>
  <c r="O101" i="33"/>
  <c r="BE37" i="33"/>
  <c r="CE37" i="33"/>
  <c r="CC37" i="33"/>
  <c r="S29" i="33"/>
  <c r="M92" i="33"/>
  <c r="T24" i="33"/>
  <c r="Z24" i="33"/>
  <c r="AF24" i="33"/>
  <c r="AL24" i="33"/>
  <c r="AR24" i="33"/>
  <c r="AX24" i="33"/>
  <c r="BD24" i="33"/>
  <c r="BJ24" i="33"/>
  <c r="BP24" i="33"/>
  <c r="BV24" i="33"/>
  <c r="CD24" i="33"/>
  <c r="CJ24" i="33"/>
  <c r="CP24" i="33"/>
  <c r="CV24" i="33"/>
  <c r="DB24" i="33"/>
  <c r="DH24" i="33"/>
  <c r="DN24" i="33"/>
  <c r="DT24" i="33"/>
  <c r="DZ24" i="33"/>
  <c r="U24" i="33"/>
  <c r="EA25" i="33"/>
  <c r="DY28" i="33"/>
  <c r="L110" i="33"/>
  <c r="J20" i="33"/>
  <c r="I28" i="33"/>
  <c r="O21" i="33"/>
  <c r="N21" i="33"/>
  <c r="T21" i="33"/>
  <c r="Z21" i="33"/>
  <c r="AF21" i="33"/>
  <c r="AL21" i="33"/>
  <c r="AR21" i="33"/>
  <c r="AX21" i="33"/>
  <c r="BD21" i="33"/>
  <c r="BJ21" i="33"/>
  <c r="BP21" i="33"/>
  <c r="BV21" i="33"/>
  <c r="CU17" i="33"/>
  <c r="K105" i="33"/>
  <c r="CU16" i="33"/>
  <c r="CW9" i="33"/>
  <c r="O109" i="33"/>
  <c r="DU34" i="33"/>
  <c r="N109" i="33"/>
  <c r="N36" i="33"/>
  <c r="I43" i="33"/>
  <c r="J36" i="33"/>
  <c r="U35" i="33"/>
  <c r="O92" i="33"/>
  <c r="DY16" i="33"/>
  <c r="DY17" i="33"/>
  <c r="K110" i="33"/>
  <c r="EA4" i="33"/>
  <c r="M28" i="33"/>
  <c r="M29" i="33"/>
  <c r="M91" i="33"/>
  <c r="T8" i="33"/>
  <c r="Z8" i="33"/>
  <c r="AF8" i="33"/>
  <c r="AL8" i="33"/>
  <c r="AR8" i="33"/>
  <c r="AX8" i="33"/>
  <c r="BD8" i="33"/>
  <c r="BJ8" i="33"/>
  <c r="BP8" i="33"/>
  <c r="BV8" i="33"/>
  <c r="U8" i="33"/>
  <c r="AA11" i="33"/>
  <c r="Y17" i="33"/>
  <c r="K93" i="33"/>
  <c r="BE22" i="33"/>
  <c r="BC29" i="33"/>
  <c r="M98" i="33"/>
  <c r="CC11" i="33"/>
  <c r="CE11" i="33"/>
  <c r="N91" i="33"/>
  <c r="O91" i="33"/>
  <c r="AS23" i="33"/>
  <c r="AQ29" i="33"/>
  <c r="M96" i="33"/>
  <c r="AQ28" i="33"/>
  <c r="BU29" i="33"/>
  <c r="M101" i="33"/>
  <c r="BU28" i="33"/>
  <c r="DM29" i="33"/>
  <c r="M108" i="33"/>
  <c r="DM28" i="33"/>
  <c r="L108" i="33"/>
  <c r="J62" i="33"/>
  <c r="J63" i="33"/>
  <c r="AK16" i="33"/>
  <c r="AK17" i="33"/>
  <c r="K95" i="33"/>
  <c r="BU17" i="33"/>
  <c r="K101" i="33"/>
  <c r="BW5" i="33"/>
  <c r="CE4" i="33"/>
  <c r="CC4" i="33"/>
  <c r="O93" i="33"/>
  <c r="AA34" i="33"/>
  <c r="AG10" i="33"/>
  <c r="AE17" i="33"/>
  <c r="K94" i="33"/>
  <c r="AE16" i="33"/>
  <c r="AG33" i="33"/>
  <c r="N94" i="33"/>
  <c r="O94" i="33"/>
  <c r="AK29" i="33"/>
  <c r="M95" i="33"/>
  <c r="AK28" i="33"/>
  <c r="L95" i="33"/>
  <c r="N9" i="33"/>
  <c r="CE38" i="33"/>
  <c r="CC38" i="33"/>
  <c r="AY25" i="33"/>
  <c r="AW28" i="33"/>
  <c r="CE24" i="33"/>
  <c r="CC8" i="33"/>
  <c r="Q65" i="33"/>
  <c r="Q66" i="33"/>
  <c r="BE25" i="33"/>
  <c r="N8" i="46"/>
  <c r="CC35" i="46"/>
  <c r="CE35" i="46"/>
  <c r="BQ59" i="46"/>
  <c r="CE18" i="46"/>
  <c r="BK23" i="46"/>
  <c r="AS4" i="46"/>
  <c r="AG18" i="46"/>
  <c r="BW6" i="46"/>
  <c r="AM57" i="46"/>
  <c r="AS58" i="46"/>
  <c r="DI36" i="46"/>
  <c r="BW5" i="46"/>
  <c r="DI58" i="46"/>
  <c r="BE20" i="46"/>
  <c r="BK35" i="46"/>
  <c r="U37" i="46"/>
  <c r="AG20" i="46"/>
  <c r="AY22" i="46"/>
  <c r="CW37" i="46"/>
  <c r="O23" i="46"/>
  <c r="DO18" i="46"/>
  <c r="EA37" i="46"/>
  <c r="DC36" i="46"/>
  <c r="DC23" i="46"/>
  <c r="AA57" i="46"/>
  <c r="AY21" i="46"/>
  <c r="AY5" i="46"/>
  <c r="CQ5" i="46"/>
  <c r="DI5" i="46"/>
  <c r="DI7" i="46"/>
  <c r="U33" i="46"/>
  <c r="CQ8" i="46"/>
  <c r="DO34" i="46"/>
  <c r="EA21" i="46"/>
  <c r="AG23" i="46"/>
  <c r="BQ37" i="46"/>
  <c r="CW23" i="46"/>
  <c r="DI32" i="46"/>
  <c r="EA34" i="46"/>
  <c r="O21" i="46"/>
  <c r="DC6" i="46"/>
  <c r="J36" i="46"/>
  <c r="DU37" i="46"/>
  <c r="AG36" i="46"/>
  <c r="AS34" i="46"/>
  <c r="CE36" i="46"/>
  <c r="BK7" i="46"/>
  <c r="CE19" i="46"/>
  <c r="DO19" i="46"/>
  <c r="J33" i="46"/>
  <c r="BK57" i="46"/>
  <c r="CQ57" i="46"/>
  <c r="N21" i="46"/>
  <c r="T21" i="46"/>
  <c r="Z21" i="46"/>
  <c r="AF21" i="46"/>
  <c r="AL21" i="46"/>
  <c r="AR21" i="46"/>
  <c r="AX21" i="46"/>
  <c r="BD21" i="46"/>
  <c r="BJ21" i="46"/>
  <c r="BP21" i="46"/>
  <c r="BV21" i="46"/>
  <c r="BK37" i="46"/>
  <c r="BW37" i="46"/>
  <c r="DC37" i="46"/>
  <c r="CK35" i="46"/>
  <c r="BQ6" i="46"/>
  <c r="J7" i="46"/>
  <c r="BW20" i="46"/>
  <c r="CE6" i="46"/>
  <c r="DU8" i="46"/>
  <c r="CK34" i="46"/>
  <c r="U57" i="46"/>
  <c r="AA59" i="46"/>
  <c r="CQ58" i="46"/>
  <c r="DI57" i="46"/>
  <c r="AG19" i="46"/>
  <c r="BE21" i="46"/>
  <c r="CQ21" i="46"/>
  <c r="DU35" i="46"/>
  <c r="CK36" i="46"/>
  <c r="O36" i="46"/>
  <c r="J37" i="46"/>
  <c r="U23" i="46"/>
  <c r="BW19" i="46"/>
  <c r="BW33" i="46"/>
  <c r="CE5" i="46"/>
  <c r="U34" i="46"/>
  <c r="U58" i="46"/>
  <c r="AS57" i="46"/>
  <c r="BK59" i="46"/>
  <c r="CQ59" i="46"/>
  <c r="AA19" i="46"/>
  <c r="BE35" i="46"/>
  <c r="AS23" i="46"/>
  <c r="BE23" i="46"/>
  <c r="DI37" i="46"/>
  <c r="AG4" i="46"/>
  <c r="O7" i="46"/>
  <c r="O8" i="46"/>
  <c r="DU33" i="46"/>
  <c r="AM34" i="46"/>
  <c r="AS59" i="46"/>
  <c r="BW57" i="46"/>
  <c r="AS37" i="46"/>
  <c r="AM6" i="46"/>
  <c r="U65" i="46"/>
  <c r="U66" i="46"/>
  <c r="DO5" i="46"/>
  <c r="CE8" i="46"/>
  <c r="U59" i="46"/>
  <c r="BE58" i="46"/>
  <c r="DC57" i="46"/>
  <c r="U21" i="46"/>
  <c r="EA4" i="46"/>
  <c r="BK19" i="46"/>
  <c r="CQ7" i="46"/>
  <c r="DU19" i="46"/>
  <c r="AA33" i="46"/>
  <c r="BQ21" i="46"/>
  <c r="BE5" i="46"/>
  <c r="EA6" i="46"/>
  <c r="CQ19" i="46"/>
  <c r="EA7" i="46"/>
  <c r="CK8" i="46"/>
  <c r="U4" i="46"/>
  <c r="AG8" i="46"/>
  <c r="BQ33" i="46"/>
  <c r="J60" i="46"/>
  <c r="U22" i="46"/>
  <c r="AM23" i="46"/>
  <c r="CQ22" i="46"/>
  <c r="AS36" i="46"/>
  <c r="AA37" i="46"/>
  <c r="O6" i="46"/>
  <c r="U5" i="46"/>
  <c r="AG7" i="46"/>
  <c r="CK20" i="46"/>
  <c r="CQ34" i="46"/>
  <c r="AY58" i="46"/>
  <c r="CK22" i="46"/>
  <c r="AY37" i="46"/>
  <c r="DO37" i="46"/>
  <c r="O5" i="46"/>
  <c r="AY6" i="46"/>
  <c r="CQ6" i="46"/>
  <c r="DI6" i="46"/>
  <c r="DO8" i="46"/>
  <c r="AG34" i="46"/>
  <c r="CW22" i="46"/>
  <c r="BU16" i="46"/>
  <c r="K104" i="46"/>
  <c r="BK36" i="46"/>
  <c r="DO22" i="46"/>
  <c r="CK23" i="46"/>
  <c r="DO23" i="46"/>
  <c r="T23" i="46"/>
  <c r="Z23" i="46"/>
  <c r="AF23" i="46"/>
  <c r="AL23" i="46"/>
  <c r="AR23" i="46"/>
  <c r="AX23" i="46"/>
  <c r="BD23" i="46"/>
  <c r="BJ23" i="46"/>
  <c r="BP23" i="46"/>
  <c r="BV23" i="46"/>
  <c r="H65" i="46"/>
  <c r="H66" i="46"/>
  <c r="CI16" i="46"/>
  <c r="K106" i="46"/>
  <c r="DA29" i="46"/>
  <c r="M109" i="46"/>
  <c r="O37" i="46"/>
  <c r="P37" i="46"/>
  <c r="AA23" i="46"/>
  <c r="DU23" i="46"/>
  <c r="EA23" i="46"/>
  <c r="N36" i="46"/>
  <c r="T36" i="46"/>
  <c r="Z36" i="46"/>
  <c r="AF36" i="46"/>
  <c r="AL36" i="46"/>
  <c r="AR36" i="46"/>
  <c r="AX36" i="46"/>
  <c r="BD36" i="46"/>
  <c r="BJ36" i="46"/>
  <c r="BP36" i="46"/>
  <c r="BV36" i="46"/>
  <c r="CB30" i="46"/>
  <c r="I43" i="46"/>
  <c r="O93" i="46"/>
  <c r="CA15" i="46"/>
  <c r="AM37" i="46"/>
  <c r="AY23" i="46"/>
  <c r="N19" i="46"/>
  <c r="T19" i="46"/>
  <c r="Z19" i="46"/>
  <c r="AF19" i="46"/>
  <c r="AL19" i="46"/>
  <c r="AR19" i="46"/>
  <c r="AX19" i="46"/>
  <c r="BD19" i="46"/>
  <c r="BJ19" i="46"/>
  <c r="BP19" i="46"/>
  <c r="BV19" i="46"/>
  <c r="N35" i="46"/>
  <c r="T35" i="46"/>
  <c r="Z35" i="46"/>
  <c r="AF35" i="46"/>
  <c r="AL35" i="46"/>
  <c r="AR35" i="46"/>
  <c r="AX35" i="46"/>
  <c r="BD35" i="46"/>
  <c r="BJ35" i="46"/>
  <c r="BP35" i="46"/>
  <c r="BV35" i="46"/>
  <c r="AQ29" i="46"/>
  <c r="M99" i="46"/>
  <c r="I16" i="46"/>
  <c r="C93" i="46"/>
  <c r="N60" i="46"/>
  <c r="T60" i="46"/>
  <c r="Z60" i="46"/>
  <c r="N6" i="46"/>
  <c r="T6" i="46"/>
  <c r="Z6" i="46"/>
  <c r="AF6" i="46"/>
  <c r="AL6" i="46"/>
  <c r="AR6" i="46"/>
  <c r="AX6" i="46"/>
  <c r="BD6" i="46"/>
  <c r="BJ6" i="46"/>
  <c r="BP6" i="46"/>
  <c r="BV6" i="46"/>
  <c r="CD6" i="46"/>
  <c r="CJ6" i="46"/>
  <c r="CP6" i="46"/>
  <c r="CV6" i="46"/>
  <c r="DB6" i="46"/>
  <c r="DH6" i="46"/>
  <c r="DN6" i="46"/>
  <c r="DT6" i="46"/>
  <c r="DZ6" i="46"/>
  <c r="J95" i="46"/>
  <c r="BQ5" i="46"/>
  <c r="AY19" i="46"/>
  <c r="CE7" i="46"/>
  <c r="DM28" i="46"/>
  <c r="L111" i="46"/>
  <c r="N7" i="46"/>
  <c r="T7" i="46"/>
  <c r="Z7" i="46"/>
  <c r="AF7" i="46"/>
  <c r="AL7" i="46"/>
  <c r="AR7" i="46"/>
  <c r="AX7" i="46"/>
  <c r="BD7" i="46"/>
  <c r="BJ7" i="46"/>
  <c r="BP7" i="46"/>
  <c r="BV7" i="46"/>
  <c r="N37" i="46"/>
  <c r="T37" i="46"/>
  <c r="Z37" i="46"/>
  <c r="AF37" i="46"/>
  <c r="AL37" i="46"/>
  <c r="AR37" i="46"/>
  <c r="AX37" i="46"/>
  <c r="BD37" i="46"/>
  <c r="BJ37" i="46"/>
  <c r="BP37" i="46"/>
  <c r="BV37" i="46"/>
  <c r="CI43" i="46"/>
  <c r="O106" i="46"/>
  <c r="DA16" i="46"/>
  <c r="K109" i="46"/>
  <c r="BU15" i="46"/>
  <c r="J104" i="46"/>
  <c r="M43" i="46"/>
  <c r="O94" i="46"/>
  <c r="BO43" i="46"/>
  <c r="O103" i="46"/>
  <c r="CU43" i="46"/>
  <c r="O108" i="46"/>
  <c r="CI15" i="46"/>
  <c r="J106" i="46"/>
  <c r="CQ37" i="46"/>
  <c r="CA28" i="46"/>
  <c r="DC21" i="46"/>
  <c r="CC5" i="46"/>
  <c r="EA18" i="46"/>
  <c r="CW7" i="46"/>
  <c r="EA19" i="46"/>
  <c r="BQ20" i="46"/>
  <c r="O34" i="46"/>
  <c r="J58" i="46"/>
  <c r="O59" i="46"/>
  <c r="O35" i="46"/>
  <c r="CQ35" i="46"/>
  <c r="BK22" i="46"/>
  <c r="CQ36" i="46"/>
  <c r="J23" i="46"/>
  <c r="BQ23" i="46"/>
  <c r="BW23" i="46"/>
  <c r="CQ23" i="46"/>
  <c r="CC19" i="46"/>
  <c r="AS6" i="46"/>
  <c r="DI4" i="46"/>
  <c r="EA32" i="46"/>
  <c r="BI42" i="46"/>
  <c r="N102" i="46"/>
  <c r="BE34" i="46"/>
  <c r="BE57" i="46"/>
  <c r="DC58" i="46"/>
  <c r="BK21" i="46"/>
  <c r="CW21" i="46"/>
  <c r="DC33" i="46"/>
  <c r="BU43" i="46"/>
  <c r="O104" i="46"/>
  <c r="AG57" i="46"/>
  <c r="AM59" i="46"/>
  <c r="BE8" i="46"/>
  <c r="CK57" i="46"/>
  <c r="DC59" i="46"/>
  <c r="U35" i="46"/>
  <c r="CE23" i="46"/>
  <c r="DU6" i="46"/>
  <c r="DC34" i="46"/>
  <c r="CK58" i="46"/>
  <c r="EA36" i="46"/>
  <c r="CE37" i="46"/>
  <c r="DI23" i="46"/>
  <c r="CB44" i="46"/>
  <c r="O19" i="46"/>
  <c r="AA6" i="46"/>
  <c r="N20" i="46"/>
  <c r="T20" i="46"/>
  <c r="Z20" i="46"/>
  <c r="AF20" i="46"/>
  <c r="AL20" i="46"/>
  <c r="AR20" i="46"/>
  <c r="AX20" i="46"/>
  <c r="BD20" i="46"/>
  <c r="BJ20" i="46"/>
  <c r="BP20" i="46"/>
  <c r="BV20" i="46"/>
  <c r="AG59" i="46"/>
  <c r="AY59" i="46"/>
  <c r="BQ58" i="46"/>
  <c r="CK59" i="46"/>
  <c r="CW58" i="46"/>
  <c r="AA35" i="46"/>
  <c r="DC35" i="46"/>
  <c r="DU22" i="46"/>
  <c r="BE37" i="46"/>
  <c r="CC59" i="46"/>
  <c r="CE59" i="46"/>
  <c r="DM29" i="46"/>
  <c r="M111" i="46"/>
  <c r="L65" i="46"/>
  <c r="L66" i="46"/>
  <c r="O60" i="46"/>
  <c r="P60" i="46"/>
  <c r="AK16" i="46"/>
  <c r="K98" i="46"/>
  <c r="CA29" i="46"/>
  <c r="CE20" i="46"/>
  <c r="CC20" i="46"/>
  <c r="O33" i="46"/>
  <c r="BI15" i="46"/>
  <c r="BI16" i="46"/>
  <c r="K102" i="46"/>
  <c r="CO15" i="46"/>
  <c r="J107" i="46"/>
  <c r="CO16" i="46"/>
  <c r="K107" i="46"/>
  <c r="U32" i="46"/>
  <c r="S42" i="46"/>
  <c r="N95" i="46"/>
  <c r="CE34" i="46"/>
  <c r="CC34" i="46"/>
  <c r="N18" i="46"/>
  <c r="CW32" i="46"/>
  <c r="CU42" i="46"/>
  <c r="N108" i="46"/>
  <c r="CC8" i="46"/>
  <c r="CC21" i="46"/>
  <c r="CE21" i="46"/>
  <c r="DU32" i="46"/>
  <c r="CO43" i="46"/>
  <c r="O107" i="46"/>
  <c r="CO42" i="46"/>
  <c r="N107" i="46"/>
  <c r="Y42" i="46"/>
  <c r="N96" i="46"/>
  <c r="Y43" i="46"/>
  <c r="O96" i="46"/>
  <c r="BO42" i="46"/>
  <c r="N103" i="46"/>
  <c r="N65" i="46"/>
  <c r="N66" i="46"/>
  <c r="AW29" i="46"/>
  <c r="M100" i="46"/>
  <c r="AW28" i="46"/>
  <c r="L100" i="46"/>
  <c r="AY18" i="46"/>
  <c r="BO16" i="46"/>
  <c r="K103" i="46"/>
  <c r="BQ4" i="46"/>
  <c r="O71" i="46"/>
  <c r="O72" i="46"/>
  <c r="N59" i="46"/>
  <c r="T59" i="46"/>
  <c r="Z59" i="46"/>
  <c r="AF59" i="46"/>
  <c r="AL59" i="46"/>
  <c r="AR59" i="46"/>
  <c r="AX59" i="46"/>
  <c r="BD59" i="46"/>
  <c r="BJ59" i="46"/>
  <c r="BP59" i="46"/>
  <c r="BV59" i="46"/>
  <c r="BO15" i="46"/>
  <c r="CU15" i="46"/>
  <c r="J108" i="46"/>
  <c r="CU16" i="46"/>
  <c r="K108" i="46"/>
  <c r="DS43" i="46"/>
  <c r="O112" i="46"/>
  <c r="V65" i="46"/>
  <c r="V66" i="46"/>
  <c r="Y15" i="46"/>
  <c r="J96" i="46"/>
  <c r="DA43" i="46"/>
  <c r="O109" i="46"/>
  <c r="DO33" i="46"/>
  <c r="N34" i="46"/>
  <c r="T34" i="46"/>
  <c r="Z34" i="46"/>
  <c r="AF34" i="46"/>
  <c r="AL34" i="46"/>
  <c r="AR34" i="46"/>
  <c r="AX34" i="46"/>
  <c r="BD34" i="46"/>
  <c r="BJ34" i="46"/>
  <c r="BP34" i="46"/>
  <c r="BV34" i="46"/>
  <c r="BI43" i="46"/>
  <c r="O102" i="46"/>
  <c r="M101" i="46"/>
  <c r="CE33" i="46"/>
  <c r="M42" i="46"/>
  <c r="N94" i="46"/>
  <c r="CC22" i="46"/>
  <c r="CE22" i="46"/>
  <c r="BK34" i="46"/>
  <c r="I15" i="46"/>
  <c r="N58" i="46"/>
  <c r="T58" i="46"/>
  <c r="Z58" i="46"/>
  <c r="AF58" i="46"/>
  <c r="AL58" i="46"/>
  <c r="AR58" i="46"/>
  <c r="AX58" i="46"/>
  <c r="BD58" i="46"/>
  <c r="BJ58" i="46"/>
  <c r="BP58" i="46"/>
  <c r="BV58" i="46"/>
  <c r="CD58" i="46"/>
  <c r="CJ58" i="46"/>
  <c r="CP58" i="46"/>
  <c r="CV58" i="46"/>
  <c r="DB58" i="46"/>
  <c r="DH58" i="46"/>
  <c r="E65" i="46"/>
  <c r="E66" i="46"/>
  <c r="J5" i="46"/>
  <c r="N5" i="46"/>
  <c r="T5" i="46"/>
  <c r="Z5" i="46"/>
  <c r="AF5" i="46"/>
  <c r="AL5" i="46"/>
  <c r="AR5" i="46"/>
  <c r="AX5" i="46"/>
  <c r="BD5" i="46"/>
  <c r="BJ5" i="46"/>
  <c r="BP5" i="46"/>
  <c r="BV5" i="46"/>
  <c r="DO6" i="46"/>
  <c r="W65" i="46"/>
  <c r="W66" i="46"/>
  <c r="CA16" i="46"/>
  <c r="I29" i="46"/>
  <c r="J65" i="46"/>
  <c r="J66" i="46"/>
  <c r="N22" i="46"/>
  <c r="CO28" i="46"/>
  <c r="L107" i="46"/>
  <c r="Y16" i="46"/>
  <c r="K96" i="46"/>
  <c r="BO29" i="46"/>
  <c r="M103" i="46"/>
  <c r="DG43" i="46"/>
  <c r="O110" i="46"/>
  <c r="CO29" i="46"/>
  <c r="M107" i="46"/>
  <c r="BO28" i="46"/>
  <c r="L103" i="46"/>
  <c r="AA22" i="46"/>
  <c r="J35" i="46"/>
  <c r="I28" i="46"/>
  <c r="L93" i="46"/>
  <c r="BU42" i="46"/>
  <c r="BE4" i="46"/>
  <c r="AM19" i="46"/>
  <c r="AK29" i="46"/>
  <c r="M98" i="46"/>
  <c r="AK28" i="46"/>
  <c r="L98" i="46"/>
  <c r="DS16" i="46"/>
  <c r="K112" i="46"/>
  <c r="DS15" i="46"/>
  <c r="DU5" i="46"/>
  <c r="X65" i="46"/>
  <c r="X66" i="46"/>
  <c r="AE15" i="46"/>
  <c r="AE16" i="46"/>
  <c r="K97" i="46"/>
  <c r="AG5" i="46"/>
  <c r="O97" i="46"/>
  <c r="AG32" i="46"/>
  <c r="AE42" i="46"/>
  <c r="N97" i="46"/>
  <c r="BW22" i="46"/>
  <c r="DM16" i="46"/>
  <c r="K111" i="46"/>
  <c r="DY16" i="46"/>
  <c r="K113" i="46"/>
  <c r="EA5" i="46"/>
  <c r="DY15" i="46"/>
  <c r="CE57" i="46"/>
  <c r="CC57" i="46"/>
  <c r="AA21" i="46"/>
  <c r="Y28" i="46"/>
  <c r="L96" i="46"/>
  <c r="Y29" i="46"/>
  <c r="M96" i="46"/>
  <c r="AW42" i="46"/>
  <c r="N100" i="46"/>
  <c r="AY34" i="46"/>
  <c r="AW43" i="46"/>
  <c r="O100" i="46"/>
  <c r="K100" i="46"/>
  <c r="G65" i="46"/>
  <c r="G66" i="46"/>
  <c r="U6" i="46"/>
  <c r="S16" i="46"/>
  <c r="BI29" i="46"/>
  <c r="M102" i="46"/>
  <c r="DY43" i="46"/>
  <c r="O113" i="46"/>
  <c r="DY42" i="46"/>
  <c r="N113" i="46"/>
  <c r="EA35" i="46"/>
  <c r="AA32" i="46"/>
  <c r="DY28" i="46"/>
  <c r="L113" i="46"/>
  <c r="DY29" i="46"/>
  <c r="M113" i="46"/>
  <c r="M16" i="46"/>
  <c r="K94" i="46"/>
  <c r="M15" i="46"/>
  <c r="AM32" i="46"/>
  <c r="AK42" i="46"/>
  <c r="N98" i="46"/>
  <c r="AK43" i="46"/>
  <c r="O98" i="46"/>
  <c r="AS7" i="46"/>
  <c r="AQ15" i="46"/>
  <c r="AQ16" i="46"/>
  <c r="K99" i="46"/>
  <c r="DA42" i="46"/>
  <c r="N109" i="46"/>
  <c r="DC32" i="46"/>
  <c r="DG16" i="46"/>
  <c r="K110" i="46"/>
  <c r="DG15" i="46"/>
  <c r="DO7" i="46"/>
  <c r="DM15" i="46"/>
  <c r="BC16" i="46"/>
  <c r="K101" i="46"/>
  <c r="BC15" i="46"/>
  <c r="DU36" i="46"/>
  <c r="DS42" i="46"/>
  <c r="N112" i="46"/>
  <c r="AS19" i="46"/>
  <c r="AQ28" i="46"/>
  <c r="L99" i="46"/>
  <c r="CA42" i="46"/>
  <c r="CA43" i="46"/>
  <c r="CE32" i="46"/>
  <c r="CC32" i="46"/>
  <c r="DO36" i="46"/>
  <c r="DM42" i="46"/>
  <c r="N111" i="46"/>
  <c r="U18" i="46"/>
  <c r="S28" i="46"/>
  <c r="S29" i="46"/>
  <c r="M95" i="46"/>
  <c r="AQ43" i="46"/>
  <c r="O99" i="46"/>
  <c r="CI29" i="46"/>
  <c r="M106" i="46"/>
  <c r="DG28" i="46"/>
  <c r="L110" i="46"/>
  <c r="DI22" i="46"/>
  <c r="I42" i="46"/>
  <c r="N32" i="46"/>
  <c r="J32" i="46"/>
  <c r="DS29" i="46"/>
  <c r="M112" i="46"/>
  <c r="DU21" i="46"/>
  <c r="DS28" i="46"/>
  <c r="L112" i="46"/>
  <c r="CU28" i="46"/>
  <c r="CW20" i="46"/>
  <c r="CU29" i="46"/>
  <c r="M108" i="46"/>
  <c r="AE28" i="46"/>
  <c r="L97" i="46"/>
  <c r="AG21" i="46"/>
  <c r="AE29" i="46"/>
  <c r="M97" i="46"/>
  <c r="DC8" i="46"/>
  <c r="DA15" i="46"/>
  <c r="N57" i="46"/>
  <c r="T57" i="46"/>
  <c r="Z57" i="46"/>
  <c r="AF57" i="46"/>
  <c r="AL57" i="46"/>
  <c r="AR57" i="46"/>
  <c r="AX57" i="46"/>
  <c r="BD57" i="46"/>
  <c r="BJ57" i="46"/>
  <c r="BP57" i="46"/>
  <c r="BV57" i="46"/>
  <c r="J57" i="46"/>
  <c r="DC20" i="46"/>
  <c r="DA28" i="46"/>
  <c r="L109" i="46"/>
  <c r="AK15" i="46"/>
  <c r="BE33" i="46"/>
  <c r="BC43" i="46"/>
  <c r="O101" i="46"/>
  <c r="BC42" i="46"/>
  <c r="N101" i="46"/>
  <c r="BQ36" i="46"/>
  <c r="O4" i="46"/>
  <c r="N4" i="46"/>
  <c r="DG29" i="46"/>
  <c r="M110" i="46"/>
  <c r="CI28" i="46"/>
  <c r="L106" i="46"/>
  <c r="M28" i="46"/>
  <c r="L94" i="46"/>
  <c r="M29" i="46"/>
  <c r="M94" i="46"/>
  <c r="BU28" i="46"/>
  <c r="N33" i="46"/>
  <c r="T33" i="46"/>
  <c r="Z33" i="46"/>
  <c r="AF33" i="46"/>
  <c r="AL33" i="46"/>
  <c r="AR33" i="46"/>
  <c r="AX33" i="46"/>
  <c r="BD33" i="46"/>
  <c r="BJ33" i="46"/>
  <c r="BP33" i="46"/>
  <c r="BV33" i="46"/>
  <c r="DI18" i="46"/>
  <c r="BK8" i="46"/>
  <c r="BE22" i="46"/>
  <c r="CW8" i="46"/>
  <c r="J8" i="46"/>
  <c r="AS22" i="46"/>
  <c r="DC19" i="46"/>
  <c r="BQ35" i="46"/>
  <c r="BE6" i="46"/>
  <c r="O57" i="46"/>
  <c r="AA5" i="46"/>
  <c r="J22" i="46"/>
  <c r="AA60" i="46"/>
  <c r="DO35" i="46"/>
  <c r="BW21" i="46"/>
  <c r="DI35" i="46"/>
  <c r="CQ18" i="46"/>
  <c r="CW18" i="46"/>
  <c r="BW34" i="46"/>
  <c r="CK19" i="46"/>
  <c r="DU18" i="46"/>
  <c r="DC4" i="46"/>
  <c r="CW34" i="46"/>
  <c r="AS5" i="46"/>
  <c r="EA22" i="46"/>
  <c r="U20" i="46"/>
  <c r="AS32" i="46"/>
  <c r="AM22" i="46"/>
  <c r="AY57" i="46"/>
  <c r="BK4" i="46"/>
  <c r="BQ7" i="46"/>
  <c r="U7" i="46"/>
  <c r="BW18" i="46"/>
  <c r="BE7" i="46"/>
  <c r="AM4" i="46"/>
  <c r="CW33" i="46"/>
  <c r="AS20" i="46"/>
  <c r="DC18" i="46"/>
  <c r="J59" i="46"/>
  <c r="CQ32" i="46"/>
  <c r="AY33" i="46"/>
  <c r="J19" i="46"/>
  <c r="DI20" i="46"/>
  <c r="AM36" i="46"/>
  <c r="CW5" i="46"/>
  <c r="CW59" i="46"/>
  <c r="BW7" i="46"/>
  <c r="DC5" i="46"/>
  <c r="BW35" i="46"/>
  <c r="AA7" i="46"/>
  <c r="BK6" i="46"/>
  <c r="AM33" i="46"/>
  <c r="BE59" i="46"/>
  <c r="AM35" i="46"/>
  <c r="DU20" i="46"/>
  <c r="CQ33" i="46"/>
  <c r="CQ4" i="46"/>
  <c r="O58" i="46"/>
  <c r="AY35" i="46"/>
  <c r="DO20" i="46"/>
  <c r="AY4" i="46"/>
  <c r="DC7" i="46"/>
  <c r="AS18" i="46"/>
  <c r="CW19" i="46"/>
  <c r="AY32" i="46"/>
  <c r="AM20" i="46"/>
  <c r="J6" i="46"/>
  <c r="CK6" i="46"/>
  <c r="U60" i="46"/>
  <c r="BK58" i="46"/>
  <c r="J21" i="46"/>
  <c r="EA8" i="46"/>
  <c r="AY7" i="46"/>
  <c r="CW35" i="46"/>
  <c r="BQ19" i="46"/>
  <c r="EA33" i="46"/>
  <c r="AM18" i="46"/>
  <c r="CW36" i="46"/>
  <c r="DI21" i="46"/>
  <c r="DI8" i="46"/>
  <c r="CQ20" i="46"/>
  <c r="BK33" i="46"/>
  <c r="BE19" i="46"/>
  <c r="CK5" i="46"/>
  <c r="BW4" i="46"/>
  <c r="AA4" i="46"/>
  <c r="AS35" i="46"/>
  <c r="CK7" i="46"/>
  <c r="AM7" i="46"/>
  <c r="BK5" i="46"/>
  <c r="CK4" i="46"/>
  <c r="DU7" i="46"/>
  <c r="J34" i="46"/>
  <c r="AA34" i="46"/>
  <c r="BK32" i="46"/>
  <c r="BW36" i="46"/>
  <c r="BW32" i="46"/>
  <c r="BE32" i="46"/>
  <c r="BE36" i="46"/>
  <c r="J18" i="46"/>
  <c r="DU34" i="46"/>
  <c r="U8" i="46"/>
  <c r="BQ32" i="46"/>
  <c r="BQ18" i="46"/>
  <c r="BQ34" i="46"/>
  <c r="AA8" i="46"/>
  <c r="BE18" i="46"/>
  <c r="J20" i="46"/>
  <c r="AG22" i="46"/>
  <c r="AY8" i="46"/>
  <c r="DU4" i="46"/>
  <c r="AY36" i="46"/>
  <c r="AY20" i="46"/>
  <c r="CK21" i="46"/>
  <c r="CE58" i="46"/>
  <c r="U36" i="46"/>
  <c r="AM21" i="46"/>
  <c r="BW58" i="46"/>
  <c r="BQ57" i="46"/>
  <c r="AM58" i="46"/>
  <c r="AG58" i="46"/>
  <c r="BW8" i="46"/>
  <c r="AA18" i="46"/>
  <c r="DO21" i="46"/>
  <c r="DO32" i="46"/>
  <c r="AA58" i="46"/>
  <c r="DI33" i="46"/>
  <c r="O20" i="46"/>
  <c r="CK18" i="46"/>
  <c r="BK18" i="46"/>
  <c r="DO4" i="46"/>
  <c r="AA20" i="46"/>
  <c r="AS21" i="46"/>
  <c r="BW59" i="46"/>
  <c r="AM5" i="46"/>
  <c r="DI19" i="46"/>
  <c r="O22" i="46"/>
  <c r="CK33" i="46"/>
  <c r="BK20" i="46"/>
  <c r="AG6" i="46"/>
  <c r="O32" i="46"/>
  <c r="DC22" i="46"/>
  <c r="CW57" i="46"/>
  <c r="AM8" i="46"/>
  <c r="BQ8" i="46"/>
  <c r="U19" i="46"/>
  <c r="AS8" i="46"/>
  <c r="AG35" i="46"/>
  <c r="O18" i="46"/>
  <c r="EA20" i="46"/>
  <c r="DI59" i="46"/>
  <c r="CW6" i="46"/>
  <c r="CW4" i="46"/>
  <c r="J4" i="46"/>
  <c r="DI34" i="46"/>
  <c r="AA36" i="46"/>
  <c r="DM43" i="46"/>
  <c r="O111" i="46"/>
  <c r="CI42" i="46"/>
  <c r="CK32" i="46"/>
  <c r="AS33" i="46"/>
  <c r="AQ42" i="46"/>
  <c r="N99" i="46"/>
  <c r="BU29" i="46"/>
  <c r="M104" i="46"/>
  <c r="T18" i="46"/>
  <c r="BI28" i="46"/>
  <c r="L102" i="46"/>
  <c r="DG42" i="46"/>
  <c r="N110" i="46"/>
  <c r="CC37" i="46"/>
  <c r="S43" i="46"/>
  <c r="O95" i="46"/>
  <c r="I33" i="45"/>
  <c r="F57" i="45"/>
  <c r="R69" i="45"/>
  <c r="I29" i="45"/>
  <c r="K57" i="45"/>
  <c r="AQ17" i="45"/>
  <c r="S69" i="45"/>
  <c r="W59" i="45"/>
  <c r="X30" i="45"/>
  <c r="BH30" i="45"/>
  <c r="F72" i="45"/>
  <c r="AB16" i="45"/>
  <c r="R64" i="45"/>
  <c r="Q35" i="45"/>
  <c r="T35" i="45"/>
  <c r="W35" i="45"/>
  <c r="Z35" i="45"/>
  <c r="AC35" i="45"/>
  <c r="AF35" i="45"/>
  <c r="AI35" i="45"/>
  <c r="AL35" i="45"/>
  <c r="AO35" i="45"/>
  <c r="AR35" i="45"/>
  <c r="AU35" i="45"/>
  <c r="AX35" i="45"/>
  <c r="BA35" i="45"/>
  <c r="BD35" i="45"/>
  <c r="BG35" i="45"/>
  <c r="BJ35" i="45"/>
  <c r="BM35" i="45"/>
  <c r="BP35" i="45"/>
  <c r="BS35" i="45"/>
  <c r="V61" i="45"/>
  <c r="AK29" i="45"/>
  <c r="U67" i="45"/>
  <c r="P29" i="45"/>
  <c r="U60" i="45"/>
  <c r="AO36" i="45"/>
  <c r="AR36" i="45"/>
  <c r="AU36" i="45"/>
  <c r="AX36" i="45"/>
  <c r="BA36" i="45"/>
  <c r="BD36" i="45"/>
  <c r="BG36" i="45"/>
  <c r="BJ36" i="45"/>
  <c r="BM36" i="45"/>
  <c r="BP36" i="45"/>
  <c r="BS36" i="45"/>
  <c r="AC6" i="45"/>
  <c r="AF6" i="45"/>
  <c r="AI6" i="45"/>
  <c r="AL6" i="45"/>
  <c r="AO6" i="45"/>
  <c r="AR6" i="45"/>
  <c r="AU6" i="45"/>
  <c r="AX6" i="45"/>
  <c r="BA6" i="45"/>
  <c r="BD6" i="45"/>
  <c r="BG6" i="45"/>
  <c r="BJ6" i="45"/>
  <c r="BM6" i="45"/>
  <c r="BP6" i="45"/>
  <c r="BS6" i="45"/>
  <c r="K16" i="45"/>
  <c r="H58" i="45"/>
  <c r="BK43" i="45"/>
  <c r="B58" i="45"/>
  <c r="BO17" i="45"/>
  <c r="S77" i="45"/>
  <c r="Q22" i="45"/>
  <c r="T22" i="45"/>
  <c r="W22" i="45"/>
  <c r="Z22" i="45"/>
  <c r="AC22" i="45"/>
  <c r="AF22" i="45"/>
  <c r="AI22" i="45"/>
  <c r="AL22" i="45"/>
  <c r="AO22" i="45"/>
  <c r="AR22" i="45"/>
  <c r="AU22" i="45"/>
  <c r="AX22" i="45"/>
  <c r="BA22" i="45"/>
  <c r="BD22" i="45"/>
  <c r="BG22" i="45"/>
  <c r="BJ22" i="45"/>
  <c r="BM22" i="45"/>
  <c r="BP22" i="45"/>
  <c r="BS22" i="45"/>
  <c r="N37" i="45"/>
  <c r="Q37" i="45"/>
  <c r="T37" i="45"/>
  <c r="W37" i="45"/>
  <c r="Z37" i="45"/>
  <c r="AC37" i="45"/>
  <c r="AF37" i="45"/>
  <c r="AI37" i="45"/>
  <c r="AL37" i="45"/>
  <c r="AO37" i="45"/>
  <c r="AR37" i="45"/>
  <c r="AU37" i="45"/>
  <c r="AX37" i="45"/>
  <c r="BA37" i="45"/>
  <c r="BD37" i="45"/>
  <c r="BG37" i="45"/>
  <c r="BJ37" i="45"/>
  <c r="BM37" i="45"/>
  <c r="BP37" i="45"/>
  <c r="BS37" i="45"/>
  <c r="BC28" i="45"/>
  <c r="T73" i="45"/>
  <c r="J30" i="45"/>
  <c r="B64" i="45"/>
  <c r="BH43" i="45"/>
  <c r="AE17" i="45"/>
  <c r="S65" i="45"/>
  <c r="BF16" i="45"/>
  <c r="R74" i="45"/>
  <c r="B74" i="45"/>
  <c r="R43" i="45"/>
  <c r="AC34" i="45"/>
  <c r="AF34" i="45"/>
  <c r="AI34" i="45"/>
  <c r="AL34" i="45"/>
  <c r="AO34" i="45"/>
  <c r="AR34" i="45"/>
  <c r="AU34" i="45"/>
  <c r="AX34" i="45"/>
  <c r="BA34" i="45"/>
  <c r="BD34" i="45"/>
  <c r="BG34" i="45"/>
  <c r="BJ34" i="45"/>
  <c r="BM34" i="45"/>
  <c r="BP34" i="45"/>
  <c r="BS34" i="45"/>
  <c r="N5" i="45"/>
  <c r="N17" i="45"/>
  <c r="I59" i="45"/>
  <c r="AJ43" i="45"/>
  <c r="AC8" i="45"/>
  <c r="AF8" i="45"/>
  <c r="AI8" i="45"/>
  <c r="AL8" i="45"/>
  <c r="AO8" i="45"/>
  <c r="AR8" i="45"/>
  <c r="AU8" i="45"/>
  <c r="AX8" i="45"/>
  <c r="BA8" i="45"/>
  <c r="BD8" i="45"/>
  <c r="BG8" i="45"/>
  <c r="BJ8" i="45"/>
  <c r="BM8" i="45"/>
  <c r="BP8" i="45"/>
  <c r="BS8" i="45"/>
  <c r="Y28" i="45"/>
  <c r="T63" i="45"/>
  <c r="AE28" i="45"/>
  <c r="T65" i="45"/>
  <c r="L30" i="45"/>
  <c r="W63" i="45"/>
  <c r="N21" i="45"/>
  <c r="Q21" i="45"/>
  <c r="P28" i="45"/>
  <c r="T60" i="45"/>
  <c r="Y16" i="45"/>
  <c r="AS30" i="45"/>
  <c r="B68" i="45"/>
  <c r="M28" i="45"/>
  <c r="T59" i="45"/>
  <c r="W65" i="45"/>
  <c r="BL17" i="45"/>
  <c r="S76" i="45"/>
  <c r="AH17" i="45"/>
  <c r="S66" i="45"/>
  <c r="AK16" i="45"/>
  <c r="AT29" i="45"/>
  <c r="U70" i="45"/>
  <c r="AW29" i="45"/>
  <c r="U71" i="45"/>
  <c r="BR17" i="45"/>
  <c r="S78" i="45"/>
  <c r="U30" i="45"/>
  <c r="BQ43" i="45"/>
  <c r="F75" i="45"/>
  <c r="Y29" i="45"/>
  <c r="U63" i="45"/>
  <c r="V59" i="45"/>
  <c r="N24" i="45"/>
  <c r="Q24" i="45"/>
  <c r="T24" i="45"/>
  <c r="W24" i="45"/>
  <c r="Z24" i="45"/>
  <c r="AC24" i="45"/>
  <c r="AF24" i="45"/>
  <c r="AI24" i="45"/>
  <c r="AL24" i="45"/>
  <c r="AO24" i="45"/>
  <c r="AR24" i="45"/>
  <c r="AU24" i="45"/>
  <c r="AX24" i="45"/>
  <c r="BA24" i="45"/>
  <c r="BD24" i="45"/>
  <c r="BG24" i="45"/>
  <c r="BJ24" i="45"/>
  <c r="BM24" i="45"/>
  <c r="BP24" i="45"/>
  <c r="BS24" i="45"/>
  <c r="AV30" i="45"/>
  <c r="S43" i="45"/>
  <c r="AG30" i="45"/>
  <c r="AT16" i="45"/>
  <c r="R70" i="45"/>
  <c r="BN30" i="45"/>
  <c r="AK28" i="45"/>
  <c r="T67" i="45"/>
  <c r="BL28" i="45"/>
  <c r="T76" i="45"/>
  <c r="B67" i="45"/>
  <c r="X43" i="45"/>
  <c r="S17" i="45"/>
  <c r="S61" i="45"/>
  <c r="BF28" i="45"/>
  <c r="T74" i="45"/>
  <c r="BQ30" i="45"/>
  <c r="V73" i="45"/>
  <c r="BB43" i="45"/>
  <c r="K17" i="45"/>
  <c r="I58" i="45"/>
  <c r="AB17" i="45"/>
  <c r="S64" i="45"/>
  <c r="AH16" i="45"/>
  <c r="R66" i="45"/>
  <c r="B66" i="45"/>
  <c r="AU49" i="45"/>
  <c r="AX49" i="45"/>
  <c r="BA49" i="45"/>
  <c r="BD49" i="45"/>
  <c r="BG49" i="45"/>
  <c r="BJ49" i="45"/>
  <c r="Q19" i="45"/>
  <c r="T19" i="45"/>
  <c r="N10" i="45"/>
  <c r="Q10" i="45"/>
  <c r="T10" i="45"/>
  <c r="W10" i="45"/>
  <c r="Z10" i="45"/>
  <c r="AC10" i="45"/>
  <c r="AF10" i="45"/>
  <c r="AI10" i="45"/>
  <c r="AL10" i="45"/>
  <c r="AO10" i="45"/>
  <c r="AR10" i="45"/>
  <c r="AU10" i="45"/>
  <c r="AX10" i="45"/>
  <c r="BA10" i="45"/>
  <c r="BD10" i="45"/>
  <c r="BG10" i="45"/>
  <c r="BJ10" i="45"/>
  <c r="BM10" i="45"/>
  <c r="BP10" i="45"/>
  <c r="BS10" i="45"/>
  <c r="P17" i="45"/>
  <c r="S60" i="45"/>
  <c r="AB29" i="45"/>
  <c r="U64" i="45"/>
  <c r="AE16" i="45"/>
  <c r="AE43" i="45"/>
  <c r="V66" i="45"/>
  <c r="BL29" i="45"/>
  <c r="U76" i="45"/>
  <c r="Q23" i="45"/>
  <c r="T23" i="45"/>
  <c r="W23" i="45"/>
  <c r="Z23" i="45"/>
  <c r="AC23" i="45"/>
  <c r="AF23" i="45"/>
  <c r="AI23" i="45"/>
  <c r="AL23" i="45"/>
  <c r="AO23" i="45"/>
  <c r="AR23" i="45"/>
  <c r="AU23" i="45"/>
  <c r="AX23" i="45"/>
  <c r="BA23" i="45"/>
  <c r="BD23" i="45"/>
  <c r="BG23" i="45"/>
  <c r="BJ23" i="45"/>
  <c r="BM23" i="45"/>
  <c r="BP23" i="45"/>
  <c r="BS23" i="45"/>
  <c r="V64" i="45"/>
  <c r="N25" i="45"/>
  <c r="Q25" i="45"/>
  <c r="T25" i="45"/>
  <c r="W25" i="45"/>
  <c r="Z25" i="45"/>
  <c r="AC25" i="45"/>
  <c r="AF25" i="45"/>
  <c r="AI25" i="45"/>
  <c r="AL25" i="45"/>
  <c r="AO25" i="45"/>
  <c r="AR25" i="45"/>
  <c r="AU25" i="45"/>
  <c r="AX25" i="45"/>
  <c r="BA25" i="45"/>
  <c r="BD25" i="45"/>
  <c r="BG25" i="45"/>
  <c r="BJ25" i="45"/>
  <c r="BM25" i="45"/>
  <c r="BP25" i="45"/>
  <c r="BS25" i="45"/>
  <c r="S28" i="45"/>
  <c r="T61" i="45"/>
  <c r="BI28" i="45"/>
  <c r="T75" i="45"/>
  <c r="AC4" i="45"/>
  <c r="M16" i="45"/>
  <c r="N33" i="45"/>
  <c r="Q33" i="45"/>
  <c r="T33" i="45"/>
  <c r="W33" i="45"/>
  <c r="Z33" i="45"/>
  <c r="AC33" i="45"/>
  <c r="AF33" i="45"/>
  <c r="AI33" i="45"/>
  <c r="AL33" i="45"/>
  <c r="AO33" i="45"/>
  <c r="AR33" i="45"/>
  <c r="AU33" i="45"/>
  <c r="AX33" i="45"/>
  <c r="BA33" i="45"/>
  <c r="BD33" i="45"/>
  <c r="BG33" i="45"/>
  <c r="BJ33" i="45"/>
  <c r="BM33" i="45"/>
  <c r="BP33" i="45"/>
  <c r="BS33" i="45"/>
  <c r="AK17" i="45"/>
  <c r="S67" i="45"/>
  <c r="AW28" i="45"/>
  <c r="T71" i="45"/>
  <c r="BC17" i="45"/>
  <c r="S73" i="45"/>
  <c r="BC16" i="45"/>
  <c r="Y17" i="45"/>
  <c r="S63" i="45"/>
  <c r="AH29" i="45"/>
  <c r="U66" i="45"/>
  <c r="AH28" i="45"/>
  <c r="T66" i="45"/>
  <c r="V16" i="45"/>
  <c r="V17" i="45"/>
  <c r="S62" i="45"/>
  <c r="BI17" i="45"/>
  <c r="S75" i="45"/>
  <c r="BI16" i="45"/>
  <c r="W62" i="45"/>
  <c r="V62" i="45"/>
  <c r="W77" i="45"/>
  <c r="V77" i="45"/>
  <c r="K29" i="45"/>
  <c r="K28" i="45"/>
  <c r="W76" i="45"/>
  <c r="V76" i="45"/>
  <c r="AQ29" i="45"/>
  <c r="U69" i="45"/>
  <c r="AQ28" i="45"/>
  <c r="T69" i="45"/>
  <c r="I28" i="45"/>
  <c r="J57" i="45"/>
  <c r="V28" i="45"/>
  <c r="T62" i="45"/>
  <c r="V29" i="45"/>
  <c r="U62" i="45"/>
  <c r="BL16" i="45"/>
  <c r="M17" i="45"/>
  <c r="S59" i="45"/>
  <c r="BB30" i="45"/>
  <c r="D67" i="45"/>
  <c r="AJ30" i="45"/>
  <c r="AZ17" i="45"/>
  <c r="S72" i="45"/>
  <c r="AZ16" i="45"/>
  <c r="W75" i="45"/>
  <c r="V75" i="45"/>
  <c r="BR16" i="45"/>
  <c r="AD30" i="45"/>
  <c r="AD43" i="45"/>
  <c r="F77" i="45"/>
  <c r="BN43" i="45"/>
  <c r="AN17" i="45"/>
  <c r="S68" i="45"/>
  <c r="AN16" i="45"/>
  <c r="W9" i="45"/>
  <c r="Z9" i="45"/>
  <c r="AC9" i="45"/>
  <c r="AF9" i="45"/>
  <c r="AI9" i="45"/>
  <c r="AL9" i="45"/>
  <c r="AO9" i="45"/>
  <c r="AR9" i="45"/>
  <c r="AU9" i="45"/>
  <c r="AX9" i="45"/>
  <c r="BA9" i="45"/>
  <c r="BD9" i="45"/>
  <c r="BG9" i="45"/>
  <c r="BJ9" i="45"/>
  <c r="BM9" i="45"/>
  <c r="BP9" i="45"/>
  <c r="BS9" i="45"/>
  <c r="F71" i="45"/>
  <c r="AV43" i="45"/>
  <c r="AB30" i="45"/>
  <c r="AZ29" i="45"/>
  <c r="U72" i="45"/>
  <c r="BR29" i="45"/>
  <c r="U78" i="45"/>
  <c r="BR28" i="45"/>
  <c r="T78" i="45"/>
  <c r="D61" i="45"/>
  <c r="R30" i="45"/>
  <c r="AT28" i="45"/>
  <c r="BI29" i="45"/>
  <c r="U75" i="45"/>
  <c r="W71" i="45"/>
  <c r="V71" i="45"/>
  <c r="W78" i="45"/>
  <c r="AZ28" i="45"/>
  <c r="T72" i="45"/>
  <c r="O43" i="45"/>
  <c r="W70" i="45"/>
  <c r="V70" i="45"/>
  <c r="AW17" i="45"/>
  <c r="S71" i="45"/>
  <c r="AW16" i="45"/>
  <c r="AE29" i="45"/>
  <c r="U65" i="45"/>
  <c r="Q7" i="45"/>
  <c r="T7" i="45"/>
  <c r="W7" i="45"/>
  <c r="Z7" i="45"/>
  <c r="AC7" i="45"/>
  <c r="AF7" i="45"/>
  <c r="AI7" i="45"/>
  <c r="AL7" i="45"/>
  <c r="AO7" i="45"/>
  <c r="AR7" i="45"/>
  <c r="AU7" i="45"/>
  <c r="AX7" i="45"/>
  <c r="BA7" i="45"/>
  <c r="BD7" i="45"/>
  <c r="BG7" i="45"/>
  <c r="BJ7" i="45"/>
  <c r="BM7" i="45"/>
  <c r="BP7" i="45"/>
  <c r="BS7" i="45"/>
  <c r="P16" i="45"/>
  <c r="AN28" i="45"/>
  <c r="T68" i="45"/>
  <c r="AN29" i="45"/>
  <c r="U68" i="45"/>
  <c r="AT17" i="45"/>
  <c r="S70" i="45"/>
  <c r="I12" i="45"/>
  <c r="I4" i="45"/>
  <c r="I6" i="45"/>
  <c r="I5" i="45"/>
  <c r="I9" i="45"/>
  <c r="I8" i="45"/>
  <c r="H30" i="45"/>
  <c r="B57" i="45"/>
  <c r="I10" i="45"/>
  <c r="BN30" i="6"/>
  <c r="H44" i="6"/>
  <c r="N7" i="6"/>
  <c r="Q7" i="6"/>
  <c r="T7" i="6"/>
  <c r="W7" i="6"/>
  <c r="Z7" i="6"/>
  <c r="AC7" i="6"/>
  <c r="AF7" i="6"/>
  <c r="AI7" i="6"/>
  <c r="AL7" i="6"/>
  <c r="AO7" i="6"/>
  <c r="AR7" i="6"/>
  <c r="AU7" i="6"/>
  <c r="AX7" i="6"/>
  <c r="BA7" i="6"/>
  <c r="BD7" i="6"/>
  <c r="BG7" i="6"/>
  <c r="BJ7" i="6"/>
  <c r="BM7" i="6"/>
  <c r="BS7" i="6"/>
  <c r="N32" i="6"/>
  <c r="Q32" i="6"/>
  <c r="T32" i="6"/>
  <c r="W32" i="6"/>
  <c r="Z32" i="6"/>
  <c r="AC32" i="6"/>
  <c r="I25" i="6"/>
  <c r="I26" i="6"/>
  <c r="L30" i="6"/>
  <c r="Y16" i="6"/>
  <c r="S65" i="6"/>
  <c r="AT29" i="6"/>
  <c r="U72" i="6"/>
  <c r="AT43" i="6"/>
  <c r="W72" i="6"/>
  <c r="D72" i="6"/>
  <c r="J44" i="6"/>
  <c r="AM30" i="6"/>
  <c r="N18" i="6"/>
  <c r="Q18" i="6"/>
  <c r="BC28" i="6"/>
  <c r="T75" i="6"/>
  <c r="N19" i="6"/>
  <c r="Q19" i="6"/>
  <c r="T19" i="6"/>
  <c r="W19" i="6"/>
  <c r="Z19" i="6"/>
  <c r="AC19" i="6"/>
  <c r="AF19" i="6"/>
  <c r="AI19" i="6"/>
  <c r="AL19" i="6"/>
  <c r="AO19" i="6"/>
  <c r="AR19" i="6"/>
  <c r="AU19" i="6"/>
  <c r="AX19" i="6"/>
  <c r="BA19" i="6"/>
  <c r="BD19" i="6"/>
  <c r="BG19" i="6"/>
  <c r="BJ19" i="6"/>
  <c r="BM19" i="6"/>
  <c r="BP19" i="6"/>
  <c r="BS19" i="6"/>
  <c r="AJ30" i="6"/>
  <c r="B71" i="6"/>
  <c r="AV30" i="6"/>
  <c r="P16" i="6"/>
  <c r="S62" i="6"/>
  <c r="BC29" i="6"/>
  <c r="U75" i="6"/>
  <c r="I12" i="6"/>
  <c r="I13" i="6"/>
  <c r="I11" i="6"/>
  <c r="D59" i="6"/>
  <c r="I19" i="6"/>
  <c r="I18" i="6"/>
  <c r="I20" i="6"/>
  <c r="AT16" i="6"/>
  <c r="S72" i="6"/>
  <c r="J30" i="6"/>
  <c r="AT28" i="6"/>
  <c r="T72" i="6"/>
  <c r="N21" i="6"/>
  <c r="Q21" i="6"/>
  <c r="T21" i="6"/>
  <c r="W21" i="6"/>
  <c r="Z21" i="6"/>
  <c r="AC21" i="6"/>
  <c r="AF21" i="6"/>
  <c r="AI21" i="6"/>
  <c r="AL21" i="6"/>
  <c r="AO21" i="6"/>
  <c r="AR21" i="6"/>
  <c r="AU21" i="6"/>
  <c r="AX21" i="6"/>
  <c r="BA21" i="6"/>
  <c r="BD21" i="6"/>
  <c r="BG21" i="6"/>
  <c r="BJ21" i="6"/>
  <c r="BM21" i="6"/>
  <c r="BP21" i="6"/>
  <c r="BS21" i="6"/>
  <c r="K28" i="6"/>
  <c r="J60" i="6"/>
  <c r="AG44" i="6"/>
  <c r="BC43" i="6"/>
  <c r="W75" i="6"/>
  <c r="N52" i="6"/>
  <c r="Q52" i="6"/>
  <c r="T52" i="6"/>
  <c r="W52" i="6"/>
  <c r="Z52" i="6"/>
  <c r="AC52" i="6"/>
  <c r="AF52" i="6"/>
  <c r="AI52" i="6"/>
  <c r="AL52" i="6"/>
  <c r="AO52" i="6"/>
  <c r="AR52" i="6"/>
  <c r="AU52" i="6"/>
  <c r="AX52" i="6"/>
  <c r="BA52" i="6"/>
  <c r="BD52" i="6"/>
  <c r="BG52" i="6"/>
  <c r="BJ52" i="6"/>
  <c r="I23" i="6"/>
  <c r="AQ16" i="6"/>
  <c r="S71" i="6"/>
  <c r="AW42" i="6"/>
  <c r="V73" i="6"/>
  <c r="N50" i="6"/>
  <c r="Q50" i="6"/>
  <c r="T50" i="6"/>
  <c r="AS44" i="6"/>
  <c r="I21" i="6"/>
  <c r="X30" i="6"/>
  <c r="AN15" i="6"/>
  <c r="R70" i="6"/>
  <c r="AE43" i="6"/>
  <c r="W67" i="6"/>
  <c r="BI43" i="6"/>
  <c r="W77" i="6"/>
  <c r="AY30" i="6"/>
  <c r="I22" i="6"/>
  <c r="P28" i="6"/>
  <c r="T62" i="6"/>
  <c r="AW28" i="6"/>
  <c r="T73" i="6"/>
  <c r="I52" i="6"/>
  <c r="Y15" i="6"/>
  <c r="R65" i="6"/>
  <c r="P43" i="6"/>
  <c r="W62" i="6"/>
  <c r="AZ42" i="6"/>
  <c r="V74" i="6"/>
  <c r="L44" i="6"/>
  <c r="P29" i="6"/>
  <c r="U62" i="6"/>
  <c r="AK16" i="6"/>
  <c r="S69" i="6"/>
  <c r="I33" i="6"/>
  <c r="I34" i="6"/>
  <c r="Y28" i="6"/>
  <c r="I5" i="6"/>
  <c r="I53" i="6"/>
  <c r="BI28" i="6"/>
  <c r="T77" i="6"/>
  <c r="N51" i="6"/>
  <c r="Q51" i="6"/>
  <c r="T51" i="6"/>
  <c r="W51" i="6"/>
  <c r="Z51" i="6"/>
  <c r="AC51" i="6"/>
  <c r="AF51" i="6"/>
  <c r="AI51" i="6"/>
  <c r="AL51" i="6"/>
  <c r="AO51" i="6"/>
  <c r="AR51" i="6"/>
  <c r="AU51" i="6"/>
  <c r="AX51" i="6"/>
  <c r="BA51" i="6"/>
  <c r="BD51" i="6"/>
  <c r="BG51" i="6"/>
  <c r="BJ51" i="6"/>
  <c r="BL28" i="6"/>
  <c r="T78" i="6"/>
  <c r="B79" i="6"/>
  <c r="BO15" i="6"/>
  <c r="AH43" i="6"/>
  <c r="W68" i="6"/>
  <c r="AJ44" i="6"/>
  <c r="BR15" i="6"/>
  <c r="R80" i="6"/>
  <c r="R44" i="6"/>
  <c r="N34" i="6"/>
  <c r="Q34" i="6"/>
  <c r="T34" i="6"/>
  <c r="W34" i="6"/>
  <c r="Z34" i="6"/>
  <c r="AC34" i="6"/>
  <c r="AF34" i="6"/>
  <c r="AI34" i="6"/>
  <c r="AL34" i="6"/>
  <c r="AO34" i="6"/>
  <c r="AR34" i="6"/>
  <c r="AU34" i="6"/>
  <c r="AX34" i="6"/>
  <c r="BA34" i="6"/>
  <c r="BD34" i="6"/>
  <c r="BG34" i="6"/>
  <c r="BJ34" i="6"/>
  <c r="BM34" i="6"/>
  <c r="BP34" i="6"/>
  <c r="BS34" i="6"/>
  <c r="S43" i="6"/>
  <c r="W63" i="6"/>
  <c r="BF29" i="6"/>
  <c r="U76" i="6"/>
  <c r="BR42" i="6"/>
  <c r="V80" i="6"/>
  <c r="Y42" i="6"/>
  <c r="V65" i="6"/>
  <c r="AW15" i="6"/>
  <c r="R73" i="6"/>
  <c r="N53" i="6"/>
  <c r="Q53" i="6"/>
  <c r="T53" i="6"/>
  <c r="W53" i="6"/>
  <c r="Z53" i="6"/>
  <c r="AC53" i="6"/>
  <c r="AF53" i="6"/>
  <c r="AI53" i="6"/>
  <c r="AL53" i="6"/>
  <c r="AO53" i="6"/>
  <c r="AR53" i="6"/>
  <c r="AU53" i="6"/>
  <c r="AX53" i="6"/>
  <c r="BA53" i="6"/>
  <c r="BD53" i="6"/>
  <c r="BG53" i="6"/>
  <c r="BJ53" i="6"/>
  <c r="I51" i="6"/>
  <c r="I4" i="6"/>
  <c r="I6" i="6"/>
  <c r="U44" i="6"/>
  <c r="AW43" i="6"/>
  <c r="W73" i="6"/>
  <c r="AP44" i="6"/>
  <c r="N23" i="6"/>
  <c r="Q23" i="6"/>
  <c r="T23" i="6"/>
  <c r="W23" i="6"/>
  <c r="Z23" i="6"/>
  <c r="AC23" i="6"/>
  <c r="AF23" i="6"/>
  <c r="AI23" i="6"/>
  <c r="AL23" i="6"/>
  <c r="AO23" i="6"/>
  <c r="AR23" i="6"/>
  <c r="AU23" i="6"/>
  <c r="AX23" i="6"/>
  <c r="BA23" i="6"/>
  <c r="BD23" i="6"/>
  <c r="BG23" i="6"/>
  <c r="BJ23" i="6"/>
  <c r="BM23" i="6"/>
  <c r="BP23" i="6"/>
  <c r="BS23" i="6"/>
  <c r="I36" i="6"/>
  <c r="B59" i="6"/>
  <c r="I8" i="6"/>
  <c r="R30" i="6"/>
  <c r="H30" i="6"/>
  <c r="S16" i="6"/>
  <c r="S63" i="6"/>
  <c r="AQ28" i="6"/>
  <c r="T71" i="6"/>
  <c r="I7" i="6"/>
  <c r="AH16" i="6"/>
  <c r="S68" i="6"/>
  <c r="BC16" i="6"/>
  <c r="S75" i="6"/>
  <c r="AW29" i="6"/>
  <c r="U73" i="6"/>
  <c r="V29" i="6"/>
  <c r="U64" i="6"/>
  <c r="AB15" i="6"/>
  <c r="AB16" i="6"/>
  <c r="S66" i="6"/>
  <c r="F65" i="6"/>
  <c r="X44" i="6"/>
  <c r="BK44" i="6"/>
  <c r="BK30" i="6"/>
  <c r="S29" i="6"/>
  <c r="U63" i="6"/>
  <c r="S28" i="6"/>
  <c r="T63" i="6"/>
  <c r="AB28" i="6"/>
  <c r="T66" i="6"/>
  <c r="BO29" i="6"/>
  <c r="U79" i="6"/>
  <c r="BO28" i="6"/>
  <c r="T79" i="6"/>
  <c r="BI29" i="6"/>
  <c r="U77" i="6"/>
  <c r="BR28" i="6"/>
  <c r="T80" i="6"/>
  <c r="BR29" i="6"/>
  <c r="U80" i="6"/>
  <c r="AQ15" i="6"/>
  <c r="BH30" i="6"/>
  <c r="BH44" i="6"/>
  <c r="AN28" i="6"/>
  <c r="T70" i="6"/>
  <c r="AZ29" i="6"/>
  <c r="U74" i="6"/>
  <c r="AZ28" i="6"/>
  <c r="T74" i="6"/>
  <c r="BN44" i="6"/>
  <c r="AN16" i="6"/>
  <c r="S70" i="6"/>
  <c r="BR16" i="6"/>
  <c r="S80" i="6"/>
  <c r="AY44" i="6"/>
  <c r="F70" i="6"/>
  <c r="AM44" i="6"/>
  <c r="B77" i="6"/>
  <c r="V28" i="6"/>
  <c r="T64" i="6"/>
  <c r="BL16" i="6"/>
  <c r="S78" i="6"/>
  <c r="BL15" i="6"/>
  <c r="AK29" i="6"/>
  <c r="U69" i="6"/>
  <c r="AZ15" i="6"/>
  <c r="S42" i="6"/>
  <c r="V63" i="6"/>
  <c r="AE15" i="6"/>
  <c r="AE16" i="6"/>
  <c r="S67" i="6"/>
  <c r="BL29" i="6"/>
  <c r="U78" i="6"/>
  <c r="BF43" i="6"/>
  <c r="W76" i="6"/>
  <c r="BF42" i="6"/>
  <c r="V76" i="6"/>
  <c r="V43" i="6"/>
  <c r="W64" i="6"/>
  <c r="V42" i="6"/>
  <c r="V64" i="6"/>
  <c r="AT42" i="6"/>
  <c r="V72" i="6"/>
  <c r="BC42" i="6"/>
  <c r="V75" i="6"/>
  <c r="BF28" i="6"/>
  <c r="T76" i="6"/>
  <c r="O44" i="6"/>
  <c r="O30" i="6"/>
  <c r="BI16" i="6"/>
  <c r="S77" i="6"/>
  <c r="BI15" i="6"/>
  <c r="AH42" i="6"/>
  <c r="V68" i="6"/>
  <c r="AB29" i="6"/>
  <c r="U66" i="6"/>
  <c r="D68" i="6"/>
  <c r="AG30" i="6"/>
  <c r="M16" i="6"/>
  <c r="S61" i="6"/>
  <c r="M15" i="6"/>
  <c r="N4" i="6"/>
  <c r="AH29" i="6"/>
  <c r="U68" i="6"/>
  <c r="AH28" i="6"/>
  <c r="T68" i="6"/>
  <c r="BF15" i="6"/>
  <c r="BF16" i="6"/>
  <c r="S76" i="6"/>
  <c r="AQ42" i="6"/>
  <c r="V71" i="6"/>
  <c r="N33" i="6"/>
  <c r="Q33" i="6"/>
  <c r="T33" i="6"/>
  <c r="W33" i="6"/>
  <c r="Z33" i="6"/>
  <c r="AC33" i="6"/>
  <c r="AF33" i="6"/>
  <c r="AI33" i="6"/>
  <c r="AL33" i="6"/>
  <c r="AO33" i="6"/>
  <c r="AR33" i="6"/>
  <c r="AU33" i="6"/>
  <c r="AX33" i="6"/>
  <c r="BA33" i="6"/>
  <c r="BD33" i="6"/>
  <c r="BG33" i="6"/>
  <c r="BJ33" i="6"/>
  <c r="BM33" i="6"/>
  <c r="BP33" i="6"/>
  <c r="BS33" i="6"/>
  <c r="M42" i="6"/>
  <c r="V61" i="6"/>
  <c r="P15" i="6"/>
  <c r="AN43" i="6"/>
  <c r="W70" i="6"/>
  <c r="AN42" i="6"/>
  <c r="V70" i="6"/>
  <c r="BO42" i="6"/>
  <c r="V79" i="6"/>
  <c r="B66" i="6"/>
  <c r="AA44" i="6"/>
  <c r="AA30" i="6"/>
  <c r="AQ29" i="6"/>
  <c r="U71" i="6"/>
  <c r="AT15" i="6"/>
  <c r="B67" i="6"/>
  <c r="AD30" i="6"/>
  <c r="AD44" i="6"/>
  <c r="BQ30" i="6"/>
  <c r="B80" i="6"/>
  <c r="BQ44" i="6"/>
  <c r="N5" i="6"/>
  <c r="Q5" i="6"/>
  <c r="T5" i="6"/>
  <c r="W5" i="6"/>
  <c r="Z5" i="6"/>
  <c r="AC5" i="6"/>
  <c r="AF5" i="6"/>
  <c r="AI5" i="6"/>
  <c r="AL5" i="6"/>
  <c r="AO5" i="6"/>
  <c r="AR5" i="6"/>
  <c r="AU5" i="6"/>
  <c r="AX5" i="6"/>
  <c r="BA5" i="6"/>
  <c r="BD5" i="6"/>
  <c r="BG5" i="6"/>
  <c r="BJ5" i="6"/>
  <c r="BM5" i="6"/>
  <c r="K15" i="6"/>
  <c r="K16" i="6"/>
  <c r="V15" i="6"/>
  <c r="V16" i="6"/>
  <c r="S64" i="6"/>
  <c r="AE29" i="6"/>
  <c r="U67" i="6"/>
  <c r="AE28" i="6"/>
  <c r="T67" i="6"/>
  <c r="AZ16" i="6"/>
  <c r="S74" i="6"/>
  <c r="BE44" i="6"/>
  <c r="BE30" i="6"/>
  <c r="M29" i="6"/>
  <c r="U61" i="6"/>
  <c r="M28" i="6"/>
  <c r="T61" i="6"/>
  <c r="S15" i="6"/>
  <c r="BO16" i="6"/>
  <c r="S79" i="6"/>
  <c r="AZ43" i="6"/>
  <c r="W74" i="6"/>
  <c r="BI42" i="6"/>
  <c r="V77" i="6"/>
  <c r="BR43" i="6"/>
  <c r="W80" i="6"/>
  <c r="F73" i="6"/>
  <c r="AV44" i="6"/>
  <c r="B75" i="6"/>
  <c r="BB44" i="6"/>
  <c r="K29" i="6"/>
  <c r="M43" i="6"/>
  <c r="W61" i="6"/>
  <c r="K42" i="6"/>
  <c r="V60" i="6"/>
  <c r="AQ43" i="6"/>
  <c r="W71" i="6"/>
  <c r="BL42" i="6"/>
  <c r="V78" i="6"/>
  <c r="U30" i="6"/>
  <c r="Y29" i="6"/>
  <c r="U65" i="6"/>
  <c r="AB42" i="6"/>
  <c r="V66" i="6"/>
  <c r="N36" i="6"/>
  <c r="Q36" i="6"/>
  <c r="T36" i="6"/>
  <c r="W36" i="6"/>
  <c r="Z36" i="6"/>
  <c r="AC36" i="6"/>
  <c r="AF36" i="6"/>
  <c r="AI36" i="6"/>
  <c r="AL36" i="6"/>
  <c r="AO36" i="6"/>
  <c r="AR36" i="6"/>
  <c r="AU36" i="6"/>
  <c r="AX36" i="6"/>
  <c r="BA36" i="6"/>
  <c r="BD36" i="6"/>
  <c r="BG36" i="6"/>
  <c r="BJ36" i="6"/>
  <c r="BM36" i="6"/>
  <c r="BP36" i="6"/>
  <c r="BS36" i="6"/>
  <c r="Q20" i="6"/>
  <c r="T20" i="6"/>
  <c r="W20" i="6"/>
  <c r="Z20" i="6"/>
  <c r="AC20" i="6"/>
  <c r="AF20" i="6"/>
  <c r="AI20" i="6"/>
  <c r="AL20" i="6"/>
  <c r="AO20" i="6"/>
  <c r="AR20" i="6"/>
  <c r="AU20" i="6"/>
  <c r="AX20" i="6"/>
  <c r="BA20" i="6"/>
  <c r="BD20" i="6"/>
  <c r="BG20" i="6"/>
  <c r="BJ20" i="6"/>
  <c r="BM20" i="6"/>
  <c r="BP20" i="6"/>
  <c r="BS20" i="6"/>
  <c r="BO43" i="6"/>
  <c r="W79" i="6"/>
  <c r="AH15" i="6"/>
  <c r="P42" i="6"/>
  <c r="V62" i="6"/>
  <c r="AE42" i="6"/>
  <c r="V67" i="6"/>
  <c r="Y43" i="6"/>
  <c r="W65" i="6"/>
  <c r="AK43" i="6"/>
  <c r="W69" i="6"/>
  <c r="AK42" i="6"/>
  <c r="V69" i="6"/>
  <c r="BL43" i="6"/>
  <c r="W78" i="6"/>
  <c r="AK15" i="6"/>
  <c r="I32" i="6"/>
  <c r="AN29" i="6"/>
  <c r="U70" i="6"/>
  <c r="BC15" i="6"/>
  <c r="I50" i="6"/>
  <c r="AW16" i="6"/>
  <c r="S73" i="6"/>
  <c r="AK28" i="6"/>
  <c r="T69" i="6"/>
  <c r="F59" i="6"/>
  <c r="I36" i="45"/>
  <c r="I37" i="45"/>
  <c r="K43" i="6"/>
  <c r="I32" i="45"/>
  <c r="I49" i="45"/>
  <c r="H43" i="45"/>
  <c r="BR28" i="51"/>
  <c r="BR41" i="51"/>
  <c r="AJ28" i="51"/>
  <c r="AJ41" i="51"/>
  <c r="BH41" i="51"/>
  <c r="BH28" i="51"/>
  <c r="AO51" i="51"/>
  <c r="AU58" i="51"/>
  <c r="AV58" i="51"/>
  <c r="U77" i="51"/>
  <c r="U64" i="51"/>
  <c r="BH64" i="51"/>
  <c r="BH77" i="51"/>
  <c r="BU64" i="51"/>
  <c r="BU77" i="51"/>
  <c r="AV54" i="51"/>
  <c r="AU54" i="51"/>
  <c r="AD15" i="51"/>
  <c r="AL15" i="51"/>
  <c r="AR15" i="51"/>
  <c r="Z52" i="51"/>
  <c r="Z51" i="51"/>
  <c r="K52" i="51"/>
  <c r="K51" i="51"/>
  <c r="AQ15" i="51"/>
  <c r="AK15" i="51"/>
  <c r="AU70" i="51"/>
  <c r="AV70" i="51"/>
  <c r="V77" i="51"/>
  <c r="AC28" i="51"/>
  <c r="Q28" i="51"/>
  <c r="AY51" i="51"/>
  <c r="AO52" i="51"/>
  <c r="AU60" i="51"/>
  <c r="L64" i="51"/>
  <c r="BN41" i="51"/>
  <c r="BT41" i="51"/>
  <c r="AU68" i="51"/>
  <c r="BO77" i="51"/>
  <c r="AQ51" i="51"/>
  <c r="AK52" i="51"/>
  <c r="Q64" i="51"/>
  <c r="I32" i="51"/>
  <c r="G28" i="51"/>
  <c r="H41" i="51"/>
  <c r="AG28" i="51"/>
  <c r="P64" i="51"/>
  <c r="BS41" i="51"/>
  <c r="AU72" i="51"/>
  <c r="BU41" i="51"/>
  <c r="BJ41" i="51"/>
  <c r="BO28" i="51"/>
  <c r="M28" i="51"/>
  <c r="AV66" i="51"/>
  <c r="K15" i="51"/>
  <c r="AV5" i="51"/>
  <c r="M64" i="51"/>
  <c r="I22" i="51"/>
  <c r="I31" i="51"/>
  <c r="AT51" i="51"/>
  <c r="I19" i="51"/>
  <c r="R28" i="51"/>
  <c r="AO15" i="51"/>
  <c r="BV64" i="51"/>
  <c r="AH15" i="51"/>
  <c r="Z15" i="51"/>
  <c r="AV30" i="51"/>
  <c r="AN51" i="51"/>
  <c r="BR64" i="51"/>
  <c r="AU22" i="51"/>
  <c r="I17" i="51"/>
  <c r="AU56" i="51"/>
  <c r="I33" i="51"/>
  <c r="BP77" i="51"/>
  <c r="I34" i="51"/>
  <c r="AF51" i="51"/>
  <c r="L28" i="51"/>
  <c r="AH64" i="51"/>
  <c r="AH77" i="51"/>
  <c r="I40" i="44"/>
  <c r="AY28" i="51"/>
  <c r="Q83" i="33"/>
  <c r="Q84" i="33"/>
  <c r="CC43" i="33"/>
  <c r="AA43" i="33"/>
  <c r="CK43" i="33"/>
  <c r="AB5" i="33"/>
  <c r="AH5" i="33"/>
  <c r="AN5" i="33"/>
  <c r="AT5" i="33"/>
  <c r="AZ5" i="33"/>
  <c r="AG43" i="33"/>
  <c r="AG42" i="33"/>
  <c r="AF32" i="33"/>
  <c r="BL26" i="33"/>
  <c r="BR26" i="33"/>
  <c r="BX26" i="33"/>
  <c r="CF26" i="33"/>
  <c r="CL26" i="33"/>
  <c r="CR26" i="33"/>
  <c r="CX26" i="33"/>
  <c r="DD26" i="33"/>
  <c r="DJ26" i="33"/>
  <c r="DP26" i="33"/>
  <c r="DV26" i="33"/>
  <c r="EB26" i="33"/>
  <c r="EA42" i="33"/>
  <c r="BE43" i="33"/>
  <c r="BE42" i="33"/>
  <c r="BQ43" i="33"/>
  <c r="BQ42" i="33"/>
  <c r="U43" i="33"/>
  <c r="U42" i="33"/>
  <c r="CE42" i="33"/>
  <c r="CE43" i="33"/>
  <c r="CW43" i="33"/>
  <c r="CW42" i="33"/>
  <c r="BP38" i="33"/>
  <c r="BV38" i="33"/>
  <c r="CD38" i="33"/>
  <c r="CJ38" i="33"/>
  <c r="CP38" i="33"/>
  <c r="CC42" i="33"/>
  <c r="N42" i="33"/>
  <c r="BW43" i="33"/>
  <c r="BW42" i="33"/>
  <c r="AM43" i="33"/>
  <c r="AM42" i="33"/>
  <c r="AS43" i="33"/>
  <c r="AS42" i="33"/>
  <c r="O43" i="33"/>
  <c r="O42" i="33"/>
  <c r="CD11" i="33"/>
  <c r="CJ11" i="33"/>
  <c r="CP11" i="33"/>
  <c r="CV11" i="33"/>
  <c r="DB11" i="33"/>
  <c r="DH11" i="33"/>
  <c r="DN11" i="33"/>
  <c r="DT11" i="33"/>
  <c r="DZ11" i="33"/>
  <c r="BF39" i="33"/>
  <c r="BL39" i="33"/>
  <c r="BR39" i="33"/>
  <c r="BX39" i="33"/>
  <c r="CF39" i="33"/>
  <c r="CL39" i="33"/>
  <c r="CR39" i="33"/>
  <c r="CX39" i="33"/>
  <c r="DD39" i="33"/>
  <c r="DJ39" i="33"/>
  <c r="DP39" i="33"/>
  <c r="DV39" i="33"/>
  <c r="EB39" i="33"/>
  <c r="CQ43" i="33"/>
  <c r="CQ42" i="33"/>
  <c r="J42" i="33"/>
  <c r="P40" i="33"/>
  <c r="V40" i="33"/>
  <c r="AB40" i="33"/>
  <c r="AH40" i="33"/>
  <c r="AN40" i="33"/>
  <c r="AT40" i="33"/>
  <c r="AZ40" i="33"/>
  <c r="BF40" i="33"/>
  <c r="BL40" i="33"/>
  <c r="BR40" i="33"/>
  <c r="BX40" i="33"/>
  <c r="CF40" i="33"/>
  <c r="CL40" i="33"/>
  <c r="CR40" i="33"/>
  <c r="CX40" i="33"/>
  <c r="DD40" i="33"/>
  <c r="DJ40" i="33"/>
  <c r="DP40" i="33"/>
  <c r="DV40" i="33"/>
  <c r="EB40" i="33"/>
  <c r="CK42" i="33"/>
  <c r="AA42" i="33"/>
  <c r="AY43" i="33"/>
  <c r="AY42" i="33"/>
  <c r="AT12" i="33"/>
  <c r="AZ12" i="33"/>
  <c r="BF12" i="33"/>
  <c r="BL12" i="33"/>
  <c r="BR12" i="33"/>
  <c r="BX12" i="33"/>
  <c r="CF12" i="33"/>
  <c r="CL12" i="33"/>
  <c r="CR12" i="33"/>
  <c r="CX12" i="33"/>
  <c r="DD12" i="33"/>
  <c r="DJ12" i="33"/>
  <c r="DP12" i="33"/>
  <c r="DV12" i="33"/>
  <c r="EB12" i="33"/>
  <c r="N43" i="33"/>
  <c r="T8" i="46"/>
  <c r="T22" i="46"/>
  <c r="P13" i="46"/>
  <c r="V26" i="46"/>
  <c r="AB26" i="46"/>
  <c r="AH26" i="46"/>
  <c r="AN26" i="46"/>
  <c r="AT26" i="46"/>
  <c r="AZ26" i="46"/>
  <c r="BF26" i="46"/>
  <c r="BL26" i="46"/>
  <c r="BR26" i="46"/>
  <c r="BX26" i="46"/>
  <c r="CF26" i="46"/>
  <c r="CL26" i="46"/>
  <c r="CR26" i="46"/>
  <c r="CX26" i="46"/>
  <c r="DD26" i="46"/>
  <c r="DJ26" i="46"/>
  <c r="DP26" i="46"/>
  <c r="DV26" i="46"/>
  <c r="EB26" i="46"/>
  <c r="P25" i="46"/>
  <c r="V25" i="46"/>
  <c r="AB25" i="46"/>
  <c r="AH25" i="46"/>
  <c r="AN25" i="46"/>
  <c r="AT25" i="46"/>
  <c r="AZ25" i="46"/>
  <c r="BF25" i="46"/>
  <c r="BL25" i="46"/>
  <c r="BR25" i="46"/>
  <c r="BX25" i="46"/>
  <c r="CF25" i="46"/>
  <c r="CL25" i="46"/>
  <c r="CR25" i="46"/>
  <c r="CX25" i="46"/>
  <c r="DD25" i="46"/>
  <c r="DJ25" i="46"/>
  <c r="DP25" i="46"/>
  <c r="DV25" i="46"/>
  <c r="EB25" i="46"/>
  <c r="V13" i="46"/>
  <c r="AB13" i="46"/>
  <c r="AH13" i="46"/>
  <c r="AN13" i="46"/>
  <c r="AT13" i="46"/>
  <c r="AZ13" i="46"/>
  <c r="BF13" i="46"/>
  <c r="BL13" i="46"/>
  <c r="BR13" i="46"/>
  <c r="BX13" i="46"/>
  <c r="CF13" i="46"/>
  <c r="CL13" i="46"/>
  <c r="CR13" i="46"/>
  <c r="CX13" i="46"/>
  <c r="DD13" i="46"/>
  <c r="DJ13" i="46"/>
  <c r="DP13" i="46"/>
  <c r="DV13" i="46"/>
  <c r="EB13" i="46"/>
  <c r="P39" i="46"/>
  <c r="V39" i="46"/>
  <c r="AB39" i="46"/>
  <c r="AH39" i="46"/>
  <c r="AN39" i="46"/>
  <c r="AT39" i="46"/>
  <c r="AZ39" i="46"/>
  <c r="BF39" i="46"/>
  <c r="BL39" i="46"/>
  <c r="BR39" i="46"/>
  <c r="BX39" i="46"/>
  <c r="CF39" i="46"/>
  <c r="CL39" i="46"/>
  <c r="CR39" i="46"/>
  <c r="CX39" i="46"/>
  <c r="DD39" i="46"/>
  <c r="DJ39" i="46"/>
  <c r="DP39" i="46"/>
  <c r="DV39" i="46"/>
  <c r="EB39" i="46"/>
  <c r="P12" i="46"/>
  <c r="V12" i="46"/>
  <c r="AB12" i="46"/>
  <c r="AH12" i="46"/>
  <c r="AN12" i="46"/>
  <c r="AT12" i="46"/>
  <c r="AZ12" i="46"/>
  <c r="BF12" i="46"/>
  <c r="BL12" i="46"/>
  <c r="BR12" i="46"/>
  <c r="BX12" i="46"/>
  <c r="CF12" i="46"/>
  <c r="CL12" i="46"/>
  <c r="CR12" i="46"/>
  <c r="CX12" i="46"/>
  <c r="DD12" i="46"/>
  <c r="DJ12" i="46"/>
  <c r="DP12" i="46"/>
  <c r="DV12" i="46"/>
  <c r="EB12" i="46"/>
  <c r="P40" i="46"/>
  <c r="V40" i="46"/>
  <c r="AB40" i="46"/>
  <c r="AH40" i="46"/>
  <c r="AN40" i="46"/>
  <c r="AT40" i="46"/>
  <c r="AZ40" i="46"/>
  <c r="BF40" i="46"/>
  <c r="BL40" i="46"/>
  <c r="BR40" i="46"/>
  <c r="BX40" i="46"/>
  <c r="CF40" i="46"/>
  <c r="CL40" i="46"/>
  <c r="CR40" i="46"/>
  <c r="CX40" i="46"/>
  <c r="DD40" i="46"/>
  <c r="DJ40" i="46"/>
  <c r="DP40" i="46"/>
  <c r="DV40" i="46"/>
  <c r="EB40" i="46"/>
  <c r="K43" i="45"/>
  <c r="AQ43" i="45"/>
  <c r="BO30" i="45"/>
  <c r="BS11" i="6"/>
  <c r="BP11" i="6"/>
  <c r="T8" i="6"/>
  <c r="BS13" i="6"/>
  <c r="BP13" i="6"/>
  <c r="T22" i="6"/>
  <c r="AF32" i="6"/>
  <c r="AI32" i="6"/>
  <c r="Z43" i="6"/>
  <c r="Z42" i="6"/>
  <c r="I46" i="6"/>
  <c r="I47" i="6"/>
  <c r="I48" i="6"/>
  <c r="BS12" i="6"/>
  <c r="BP12" i="6"/>
  <c r="AU27" i="51"/>
  <c r="AU39" i="51"/>
  <c r="AU76" i="51"/>
  <c r="I76" i="51"/>
  <c r="AV26" i="51"/>
  <c r="AV27" i="51"/>
  <c r="I75" i="51"/>
  <c r="AU63" i="51"/>
  <c r="AU62" i="51"/>
  <c r="AU40" i="51"/>
  <c r="AU26" i="51"/>
  <c r="AU75" i="51"/>
  <c r="AV62" i="51"/>
  <c r="AV63" i="51"/>
  <c r="I63" i="51"/>
  <c r="I62" i="51"/>
  <c r="AV39" i="51"/>
  <c r="AV40" i="51"/>
  <c r="AV76" i="51"/>
  <c r="AV75" i="51"/>
  <c r="I40" i="51"/>
  <c r="I39" i="51"/>
  <c r="I27" i="51"/>
  <c r="I26" i="51"/>
  <c r="F76" i="50"/>
  <c r="F27" i="50"/>
  <c r="L39" i="50"/>
  <c r="N28" i="45"/>
  <c r="J59" i="45"/>
  <c r="N29" i="45"/>
  <c r="K59" i="45"/>
  <c r="AY41" i="51"/>
  <c r="K28" i="51"/>
  <c r="X28" i="51"/>
  <c r="K41" i="51"/>
  <c r="AM41" i="51"/>
  <c r="AX77" i="51"/>
  <c r="AX28" i="51"/>
  <c r="AX41" i="51"/>
  <c r="X41" i="51"/>
  <c r="AL77" i="51"/>
  <c r="AK77" i="51"/>
  <c r="AL28" i="51"/>
  <c r="AR41" i="51"/>
  <c r="AV12" i="51"/>
  <c r="AV14" i="51"/>
  <c r="AT15" i="51"/>
  <c r="AV52" i="51"/>
  <c r="AR28" i="51"/>
  <c r="AO41" i="51"/>
  <c r="AQ41" i="51"/>
  <c r="AT14" i="51"/>
  <c r="AT28" i="51"/>
  <c r="AL64" i="51"/>
  <c r="I51" i="51"/>
  <c r="AF28" i="51"/>
  <c r="I15" i="51"/>
  <c r="AN14" i="51"/>
  <c r="AN28" i="51"/>
  <c r="AR77" i="51"/>
  <c r="I52" i="51"/>
  <c r="I14" i="51"/>
  <c r="AH41" i="51"/>
  <c r="AD41" i="51"/>
  <c r="Z28" i="51"/>
  <c r="X77" i="51"/>
  <c r="AH28" i="51"/>
  <c r="AR64" i="51"/>
  <c r="Z41" i="51"/>
  <c r="AU14" i="51"/>
  <c r="AD28" i="51"/>
  <c r="AK64" i="51"/>
  <c r="AF41" i="51"/>
  <c r="AD77" i="51"/>
  <c r="AO28" i="51"/>
  <c r="X64" i="51"/>
  <c r="AB64" i="51"/>
  <c r="AD64" i="51"/>
  <c r="AX64" i="51"/>
  <c r="AU51" i="51"/>
  <c r="AB77" i="51"/>
  <c r="AU52" i="51"/>
  <c r="AV51" i="51"/>
  <c r="AG43" i="46"/>
  <c r="P7" i="46"/>
  <c r="V7" i="46"/>
  <c r="AB7" i="46"/>
  <c r="AH7" i="46"/>
  <c r="AN7" i="46"/>
  <c r="AT7" i="46"/>
  <c r="AZ7" i="46"/>
  <c r="BF7" i="46"/>
  <c r="BL7" i="46"/>
  <c r="BR7" i="46"/>
  <c r="BX7" i="46"/>
  <c r="CF7" i="46"/>
  <c r="CL7" i="46"/>
  <c r="CR7" i="46"/>
  <c r="CX7" i="46"/>
  <c r="DD7" i="46"/>
  <c r="DJ7" i="46"/>
  <c r="DP7" i="46"/>
  <c r="DV7" i="46"/>
  <c r="EB7" i="46"/>
  <c r="AB11" i="46"/>
  <c r="AH11" i="46"/>
  <c r="AN11" i="46"/>
  <c r="AT11" i="46"/>
  <c r="AZ11" i="46"/>
  <c r="BF11" i="46"/>
  <c r="BL11" i="46"/>
  <c r="BR11" i="46"/>
  <c r="BX11" i="46"/>
  <c r="CF11" i="46"/>
  <c r="CL11" i="46"/>
  <c r="CR11" i="46"/>
  <c r="CX11" i="46"/>
  <c r="DD11" i="46"/>
  <c r="DJ11" i="46"/>
  <c r="DP11" i="46"/>
  <c r="DV11" i="46"/>
  <c r="EB11" i="46"/>
  <c r="I38" i="48"/>
  <c r="I37" i="48"/>
  <c r="AL39" i="48"/>
  <c r="AR39" i="48"/>
  <c r="AQ39" i="48"/>
  <c r="AO26" i="48"/>
  <c r="AK39" i="48"/>
  <c r="AY39" i="48"/>
  <c r="AT39" i="48"/>
  <c r="AQ26" i="48"/>
  <c r="AF26" i="48"/>
  <c r="AH26" i="48"/>
  <c r="AK26" i="48"/>
  <c r="AU13" i="48"/>
  <c r="AU26" i="48"/>
  <c r="AN39" i="48"/>
  <c r="AT26" i="48"/>
  <c r="AH39" i="48"/>
  <c r="AF39" i="48"/>
  <c r="AY26" i="48"/>
  <c r="AD39" i="48"/>
  <c r="I14" i="48"/>
  <c r="AX39" i="48"/>
  <c r="AU39" i="48"/>
  <c r="K39" i="48"/>
  <c r="K26" i="48"/>
  <c r="Z39" i="48"/>
  <c r="Z26" i="48"/>
  <c r="AV14" i="48"/>
  <c r="AV13" i="48"/>
  <c r="I13" i="48"/>
  <c r="Z28" i="44"/>
  <c r="AF41" i="44"/>
  <c r="AF28" i="44"/>
  <c r="X28" i="44"/>
  <c r="I27" i="44"/>
  <c r="AL41" i="44"/>
  <c r="AR28" i="44"/>
  <c r="AR41" i="44"/>
  <c r="AL28" i="44"/>
  <c r="AX28" i="44"/>
  <c r="AB41" i="44"/>
  <c r="AQ41" i="44"/>
  <c r="AQ28" i="44"/>
  <c r="AY41" i="44"/>
  <c r="I26" i="44"/>
  <c r="AU14" i="44"/>
  <c r="AU28" i="44"/>
  <c r="AH41" i="44"/>
  <c r="AH28" i="44"/>
  <c r="AN28" i="44"/>
  <c r="AX41" i="44"/>
  <c r="AN41" i="44"/>
  <c r="K28" i="44"/>
  <c r="AD28" i="44"/>
  <c r="AK28" i="44"/>
  <c r="X41" i="44"/>
  <c r="AV26" i="44"/>
  <c r="AV28" i="44"/>
  <c r="AV40" i="44"/>
  <c r="AB28" i="44"/>
  <c r="AT41" i="44"/>
  <c r="AK41" i="44"/>
  <c r="AU40" i="44"/>
  <c r="K41" i="44"/>
  <c r="Z41" i="44"/>
  <c r="AV39" i="44"/>
  <c r="AV41" i="44"/>
  <c r="AO28" i="44"/>
  <c r="AO41" i="44"/>
  <c r="AT28" i="44"/>
  <c r="AU39" i="44"/>
  <c r="AV27" i="44"/>
  <c r="DU43" i="33"/>
  <c r="DU42" i="33"/>
  <c r="DO43" i="33"/>
  <c r="DO42" i="33"/>
  <c r="I42" i="45"/>
  <c r="I41" i="45"/>
  <c r="Q29" i="45"/>
  <c r="K60" i="45"/>
  <c r="N16" i="45"/>
  <c r="Q32" i="45"/>
  <c r="N42" i="45"/>
  <c r="M59" i="45"/>
  <c r="N41" i="45"/>
  <c r="L59" i="45"/>
  <c r="DI43" i="33"/>
  <c r="DI42" i="33"/>
  <c r="DC43" i="33"/>
  <c r="DC42" i="33"/>
  <c r="BK43" i="33"/>
  <c r="BK42" i="33"/>
  <c r="BI30" i="33"/>
  <c r="AK43" i="45"/>
  <c r="Y43" i="45"/>
  <c r="V34" i="33"/>
  <c r="N28" i="33"/>
  <c r="D91" i="33"/>
  <c r="CD37" i="33"/>
  <c r="CJ37" i="33"/>
  <c r="CP37" i="33"/>
  <c r="CV37" i="33"/>
  <c r="DB37" i="33"/>
  <c r="DH37" i="33"/>
  <c r="DN37" i="33"/>
  <c r="DT37" i="33"/>
  <c r="DZ37" i="33"/>
  <c r="G93" i="46"/>
  <c r="CD25" i="33"/>
  <c r="CJ25" i="33"/>
  <c r="CP25" i="33"/>
  <c r="CV25" i="33"/>
  <c r="DB25" i="33"/>
  <c r="DH25" i="33"/>
  <c r="DN25" i="33"/>
  <c r="DT25" i="33"/>
  <c r="DZ25" i="33"/>
  <c r="CD21" i="33"/>
  <c r="CJ21" i="33"/>
  <c r="CP21" i="33"/>
  <c r="CV21" i="33"/>
  <c r="DB21" i="33"/>
  <c r="DH21" i="33"/>
  <c r="DN21" i="33"/>
  <c r="DT21" i="33"/>
  <c r="DZ21" i="33"/>
  <c r="DC16" i="33"/>
  <c r="P19" i="33"/>
  <c r="V19" i="33"/>
  <c r="P21" i="33"/>
  <c r="V21" i="33"/>
  <c r="DO28" i="33"/>
  <c r="V10" i="33"/>
  <c r="AB10" i="33"/>
  <c r="AH10" i="33"/>
  <c r="AN10" i="33"/>
  <c r="AT10" i="33"/>
  <c r="AZ10" i="33"/>
  <c r="BF10" i="33"/>
  <c r="BL10" i="33"/>
  <c r="BR10" i="33"/>
  <c r="BX10" i="33"/>
  <c r="CF10" i="33"/>
  <c r="CL10" i="33"/>
  <c r="CR10" i="33"/>
  <c r="CX10" i="33"/>
  <c r="DD10" i="33"/>
  <c r="DJ10" i="33"/>
  <c r="DP10" i="33"/>
  <c r="DV10" i="33"/>
  <c r="EB10" i="33"/>
  <c r="CA44" i="33"/>
  <c r="P9" i="33"/>
  <c r="V9" i="33"/>
  <c r="AB9" i="33"/>
  <c r="AH9" i="33"/>
  <c r="AN9" i="33"/>
  <c r="AT9" i="33"/>
  <c r="AZ9" i="33"/>
  <c r="BF9" i="33"/>
  <c r="BL9" i="33"/>
  <c r="BR9" i="33"/>
  <c r="BX9" i="33"/>
  <c r="CF9" i="33"/>
  <c r="CL9" i="33"/>
  <c r="CR9" i="33"/>
  <c r="CX9" i="33"/>
  <c r="DD9" i="33"/>
  <c r="DJ9" i="33"/>
  <c r="DP9" i="33"/>
  <c r="DV9" i="33"/>
  <c r="EB9" i="33"/>
  <c r="V37" i="46"/>
  <c r="AB37" i="46"/>
  <c r="AH37" i="46"/>
  <c r="AN37" i="46"/>
  <c r="AT37" i="46"/>
  <c r="AZ37" i="46"/>
  <c r="BF37" i="46"/>
  <c r="BL37" i="46"/>
  <c r="BR37" i="46"/>
  <c r="BX37" i="46"/>
  <c r="CF37" i="46"/>
  <c r="CL37" i="46"/>
  <c r="CR37" i="46"/>
  <c r="CX37" i="46"/>
  <c r="DD37" i="46"/>
  <c r="DJ37" i="46"/>
  <c r="DP37" i="46"/>
  <c r="DV37" i="46"/>
  <c r="EB37" i="46"/>
  <c r="P5" i="46"/>
  <c r="P21" i="46"/>
  <c r="V21" i="46"/>
  <c r="AB21" i="46"/>
  <c r="AH21" i="46"/>
  <c r="AN21" i="46"/>
  <c r="AT21" i="46"/>
  <c r="AZ21" i="46"/>
  <c r="BF21" i="46"/>
  <c r="BL21" i="46"/>
  <c r="BR21" i="46"/>
  <c r="BX21" i="46"/>
  <c r="CF21" i="46"/>
  <c r="CL21" i="46"/>
  <c r="CR21" i="46"/>
  <c r="CX21" i="46"/>
  <c r="DD21" i="46"/>
  <c r="DJ21" i="46"/>
  <c r="DP21" i="46"/>
  <c r="DV21" i="46"/>
  <c r="EB21" i="46"/>
  <c r="P36" i="46"/>
  <c r="V36" i="46"/>
  <c r="AB36" i="46"/>
  <c r="AH36" i="46"/>
  <c r="AN36" i="46"/>
  <c r="AT36" i="46"/>
  <c r="AZ36" i="46"/>
  <c r="BF36" i="46"/>
  <c r="BL36" i="46"/>
  <c r="BR36" i="46"/>
  <c r="BX36" i="46"/>
  <c r="CF36" i="46"/>
  <c r="CL36" i="46"/>
  <c r="CR36" i="46"/>
  <c r="CX36" i="46"/>
  <c r="DD36" i="46"/>
  <c r="DJ36" i="46"/>
  <c r="DP36" i="46"/>
  <c r="DV36" i="46"/>
  <c r="EB36" i="46"/>
  <c r="P58" i="46"/>
  <c r="V58" i="46"/>
  <c r="AB58" i="46"/>
  <c r="AH58" i="46"/>
  <c r="AN58" i="46"/>
  <c r="AT58" i="46"/>
  <c r="AZ58" i="46"/>
  <c r="BF58" i="46"/>
  <c r="BL58" i="46"/>
  <c r="BR58" i="46"/>
  <c r="BX58" i="46"/>
  <c r="CF58" i="46"/>
  <c r="CL58" i="46"/>
  <c r="CR58" i="46"/>
  <c r="CX58" i="46"/>
  <c r="DD58" i="46"/>
  <c r="DJ58" i="46"/>
  <c r="P6" i="46"/>
  <c r="S44" i="46"/>
  <c r="P33" i="46"/>
  <c r="V33" i="46"/>
  <c r="AB33" i="46"/>
  <c r="AH33" i="46"/>
  <c r="AN33" i="46"/>
  <c r="AT33" i="46"/>
  <c r="AZ33" i="46"/>
  <c r="BF33" i="46"/>
  <c r="BL33" i="46"/>
  <c r="BR33" i="46"/>
  <c r="BX33" i="46"/>
  <c r="CF33" i="46"/>
  <c r="CL33" i="46"/>
  <c r="CR33" i="46"/>
  <c r="CX33" i="46"/>
  <c r="DD33" i="46"/>
  <c r="DJ33" i="46"/>
  <c r="DP33" i="46"/>
  <c r="DV33" i="46"/>
  <c r="EB33" i="46"/>
  <c r="CA44" i="46"/>
  <c r="P23" i="46"/>
  <c r="V23" i="46"/>
  <c r="AB23" i="46"/>
  <c r="AH23" i="46"/>
  <c r="AN23" i="46"/>
  <c r="AT23" i="46"/>
  <c r="AZ23" i="46"/>
  <c r="BF23" i="46"/>
  <c r="BL23" i="46"/>
  <c r="BR23" i="46"/>
  <c r="BX23" i="46"/>
  <c r="CF23" i="46"/>
  <c r="CL23" i="46"/>
  <c r="CR23" i="46"/>
  <c r="CX23" i="46"/>
  <c r="DD23" i="46"/>
  <c r="DJ23" i="46"/>
  <c r="DP23" i="46"/>
  <c r="DV23" i="46"/>
  <c r="EB23" i="46"/>
  <c r="CA30" i="46"/>
  <c r="DC17" i="33"/>
  <c r="DI28" i="33"/>
  <c r="AY29" i="33"/>
  <c r="BK17" i="33"/>
  <c r="V23" i="33"/>
  <c r="AB23" i="33"/>
  <c r="AH23" i="33"/>
  <c r="AN23" i="33"/>
  <c r="AT23" i="33"/>
  <c r="AZ23" i="33"/>
  <c r="BF23" i="33"/>
  <c r="BL23" i="33"/>
  <c r="BR23" i="33"/>
  <c r="BX23" i="33"/>
  <c r="CF23" i="33"/>
  <c r="CL23" i="33"/>
  <c r="CR23" i="33"/>
  <c r="CX23" i="33"/>
  <c r="DD23" i="33"/>
  <c r="DJ23" i="33"/>
  <c r="DP23" i="33"/>
  <c r="DV23" i="33"/>
  <c r="EB23" i="33"/>
  <c r="DC28" i="33"/>
  <c r="AY28" i="33"/>
  <c r="AM28" i="33"/>
  <c r="DO29" i="33"/>
  <c r="AA28" i="33"/>
  <c r="AY17" i="33"/>
  <c r="P32" i="33"/>
  <c r="AM17" i="33"/>
  <c r="CQ29" i="33"/>
  <c r="BQ16" i="33"/>
  <c r="AG17" i="33"/>
  <c r="CK17" i="33"/>
  <c r="CK16" i="33"/>
  <c r="CK44" i="33"/>
  <c r="P6" i="33"/>
  <c r="V6" i="33"/>
  <c r="BK28" i="33"/>
  <c r="CC29" i="33"/>
  <c r="M102" i="33"/>
  <c r="BE16" i="33"/>
  <c r="AM29" i="33"/>
  <c r="BK16" i="33"/>
  <c r="BW29" i="33"/>
  <c r="P33" i="33"/>
  <c r="V33" i="33"/>
  <c r="AB33" i="33"/>
  <c r="AH33" i="33"/>
  <c r="P11" i="33"/>
  <c r="V11" i="33"/>
  <c r="AB11" i="33"/>
  <c r="AH11" i="33"/>
  <c r="AN11" i="33"/>
  <c r="AT11" i="33"/>
  <c r="AZ11" i="33"/>
  <c r="BF11" i="33"/>
  <c r="BL11" i="33"/>
  <c r="BR11" i="33"/>
  <c r="BX11" i="33"/>
  <c r="CF11" i="33"/>
  <c r="CL11" i="33"/>
  <c r="CR11" i="33"/>
  <c r="CX11" i="33"/>
  <c r="DD11" i="33"/>
  <c r="DJ11" i="33"/>
  <c r="DP11" i="33"/>
  <c r="DV11" i="33"/>
  <c r="EB11" i="33"/>
  <c r="DI16" i="33"/>
  <c r="AG16" i="33"/>
  <c r="BQ17" i="33"/>
  <c r="EA28" i="33"/>
  <c r="AA29" i="33"/>
  <c r="AY16" i="33"/>
  <c r="AM16" i="33"/>
  <c r="AG28" i="33"/>
  <c r="AG29" i="33"/>
  <c r="CA30" i="33"/>
  <c r="P4" i="33"/>
  <c r="AQ44" i="33"/>
  <c r="N96" i="33"/>
  <c r="J16" i="33"/>
  <c r="AS17" i="33"/>
  <c r="AS16" i="33"/>
  <c r="DI17" i="33"/>
  <c r="BE17" i="33"/>
  <c r="T28" i="33"/>
  <c r="D92" i="33"/>
  <c r="BW28" i="33"/>
  <c r="CQ28" i="33"/>
  <c r="BF5" i="33"/>
  <c r="BL5" i="33"/>
  <c r="BR5" i="33"/>
  <c r="BX5" i="33"/>
  <c r="CF5" i="33"/>
  <c r="CL5" i="33"/>
  <c r="CR5" i="33"/>
  <c r="CX5" i="33"/>
  <c r="DD5" i="33"/>
  <c r="DJ5" i="33"/>
  <c r="DP5" i="33"/>
  <c r="DV5" i="33"/>
  <c r="EB5" i="33"/>
  <c r="J90" i="33"/>
  <c r="B90" i="33"/>
  <c r="P25" i="33"/>
  <c r="V25" i="33"/>
  <c r="AB25" i="33"/>
  <c r="AH25" i="33"/>
  <c r="AN25" i="33"/>
  <c r="AT25" i="33"/>
  <c r="AZ25" i="33"/>
  <c r="BF25" i="33"/>
  <c r="BL25" i="33"/>
  <c r="BR25" i="33"/>
  <c r="BX25" i="33"/>
  <c r="CF25" i="33"/>
  <c r="CL25" i="33"/>
  <c r="CR25" i="33"/>
  <c r="CX25" i="33"/>
  <c r="DD25" i="33"/>
  <c r="DJ25" i="33"/>
  <c r="DP25" i="33"/>
  <c r="DV25" i="33"/>
  <c r="EB25" i="33"/>
  <c r="BC30" i="33"/>
  <c r="DC29" i="33"/>
  <c r="G71" i="33"/>
  <c r="G72" i="33"/>
  <c r="S44" i="33"/>
  <c r="J92" i="33"/>
  <c r="V37" i="33"/>
  <c r="AB37" i="33"/>
  <c r="AH37" i="33"/>
  <c r="AN37" i="33"/>
  <c r="AT37" i="33"/>
  <c r="AZ37" i="33"/>
  <c r="BF37" i="33"/>
  <c r="BL37" i="33"/>
  <c r="BR37" i="33"/>
  <c r="BX37" i="33"/>
  <c r="CF37" i="33"/>
  <c r="CL37" i="33"/>
  <c r="CR37" i="33"/>
  <c r="CX37" i="33"/>
  <c r="DD37" i="33"/>
  <c r="DJ37" i="33"/>
  <c r="DP37" i="33"/>
  <c r="DV37" i="33"/>
  <c r="EB37" i="33"/>
  <c r="P7" i="33"/>
  <c r="V7" i="33"/>
  <c r="AB7" i="33"/>
  <c r="AH7" i="33"/>
  <c r="AN7" i="33"/>
  <c r="AT7" i="33"/>
  <c r="AZ7" i="33"/>
  <c r="BF7" i="33"/>
  <c r="BL7" i="33"/>
  <c r="BR7" i="33"/>
  <c r="BX7" i="33"/>
  <c r="CF7" i="33"/>
  <c r="CL7" i="33"/>
  <c r="CR7" i="33"/>
  <c r="CX7" i="33"/>
  <c r="DD7" i="33"/>
  <c r="DJ7" i="33"/>
  <c r="DP7" i="33"/>
  <c r="DV7" i="33"/>
  <c r="EB7" i="33"/>
  <c r="CD8" i="33"/>
  <c r="CJ8" i="33"/>
  <c r="CP8" i="33"/>
  <c r="CV8" i="33"/>
  <c r="DB8" i="33"/>
  <c r="DH8" i="33"/>
  <c r="DN8" i="33"/>
  <c r="DT8" i="33"/>
  <c r="DZ8" i="33"/>
  <c r="O28" i="33"/>
  <c r="N29" i="33"/>
  <c r="E91" i="33"/>
  <c r="CW28" i="33"/>
  <c r="P8" i="33"/>
  <c r="V8" i="33"/>
  <c r="AB8" i="33"/>
  <c r="AH8" i="33"/>
  <c r="AN8" i="33"/>
  <c r="AT8" i="33"/>
  <c r="AZ8" i="33"/>
  <c r="BF8" i="33"/>
  <c r="BL8" i="33"/>
  <c r="BR8" i="33"/>
  <c r="BX8" i="33"/>
  <c r="CF8" i="33"/>
  <c r="CL8" i="33"/>
  <c r="CR8" i="33"/>
  <c r="CX8" i="33"/>
  <c r="DD8" i="33"/>
  <c r="DJ8" i="33"/>
  <c r="DP8" i="33"/>
  <c r="DV8" i="33"/>
  <c r="EB8" i="33"/>
  <c r="CW29" i="33"/>
  <c r="DO17" i="33"/>
  <c r="DO16" i="33"/>
  <c r="CD6" i="33"/>
  <c r="CJ6" i="33"/>
  <c r="CP6" i="33"/>
  <c r="CV6" i="33"/>
  <c r="DB6" i="33"/>
  <c r="DH6" i="33"/>
  <c r="DN6" i="33"/>
  <c r="DT6" i="33"/>
  <c r="DZ6" i="33"/>
  <c r="AB21" i="33"/>
  <c r="AH21" i="33"/>
  <c r="AN21" i="33"/>
  <c r="AT21" i="33"/>
  <c r="AZ21" i="33"/>
  <c r="BF21" i="33"/>
  <c r="BL21" i="33"/>
  <c r="BR21" i="33"/>
  <c r="BX21" i="33"/>
  <c r="CF21" i="33"/>
  <c r="CL21" i="33"/>
  <c r="CR21" i="33"/>
  <c r="CX21" i="33"/>
  <c r="DD21" i="33"/>
  <c r="DJ21" i="33"/>
  <c r="DP21" i="33"/>
  <c r="DV21" i="33"/>
  <c r="EB21" i="33"/>
  <c r="O29" i="33"/>
  <c r="M44" i="33"/>
  <c r="E90" i="33"/>
  <c r="DA30" i="33"/>
  <c r="DA44" i="33"/>
  <c r="J106" i="33"/>
  <c r="V22" i="33"/>
  <c r="AB22" i="33"/>
  <c r="AH22" i="33"/>
  <c r="AN22" i="33"/>
  <c r="AT22" i="33"/>
  <c r="AZ22" i="33"/>
  <c r="K90" i="33"/>
  <c r="C90" i="33"/>
  <c r="S30" i="33"/>
  <c r="L92" i="33"/>
  <c r="V38" i="33"/>
  <c r="AB38" i="33"/>
  <c r="AH38" i="33"/>
  <c r="AN38" i="33"/>
  <c r="AT38" i="33"/>
  <c r="AZ38" i="33"/>
  <c r="BF38" i="33"/>
  <c r="BL38" i="33"/>
  <c r="BR38" i="33"/>
  <c r="BX38" i="33"/>
  <c r="CF38" i="33"/>
  <c r="CL38" i="33"/>
  <c r="CR38" i="33"/>
  <c r="CX38" i="33"/>
  <c r="DD38" i="33"/>
  <c r="DJ38" i="33"/>
  <c r="J100" i="33"/>
  <c r="DI29" i="33"/>
  <c r="J17" i="33"/>
  <c r="S90" i="33"/>
  <c r="J93" i="33"/>
  <c r="Y30" i="33"/>
  <c r="BK29" i="33"/>
  <c r="V58" i="33"/>
  <c r="AB58" i="33"/>
  <c r="AH58" i="33"/>
  <c r="AN58" i="33"/>
  <c r="AT58" i="33"/>
  <c r="AZ58" i="33"/>
  <c r="BF58" i="33"/>
  <c r="BL58" i="33"/>
  <c r="BR58" i="33"/>
  <c r="BX58" i="33"/>
  <c r="CF58" i="33"/>
  <c r="CL58" i="33"/>
  <c r="CR58" i="33"/>
  <c r="CX58" i="33"/>
  <c r="DD58" i="33"/>
  <c r="DJ58" i="33"/>
  <c r="P35" i="33"/>
  <c r="V35" i="33"/>
  <c r="AB35" i="33"/>
  <c r="AH35" i="33"/>
  <c r="AN35" i="33"/>
  <c r="AT35" i="33"/>
  <c r="AZ35" i="33"/>
  <c r="BF35" i="33"/>
  <c r="BL35" i="33"/>
  <c r="BR35" i="33"/>
  <c r="BX35" i="33"/>
  <c r="CF35" i="33"/>
  <c r="CL35" i="33"/>
  <c r="CR35" i="33"/>
  <c r="CX35" i="33"/>
  <c r="DD35" i="33"/>
  <c r="DJ35" i="33"/>
  <c r="DP35" i="33"/>
  <c r="DV35" i="33"/>
  <c r="EB35" i="33"/>
  <c r="N97" i="33"/>
  <c r="AW44" i="33"/>
  <c r="L91" i="33"/>
  <c r="M30" i="33"/>
  <c r="CI30" i="33"/>
  <c r="P36" i="33"/>
  <c r="J43" i="33"/>
  <c r="W90" i="33"/>
  <c r="V90" i="33"/>
  <c r="T9" i="33"/>
  <c r="Z9" i="33"/>
  <c r="N16" i="33"/>
  <c r="N17" i="33"/>
  <c r="C91" i="33"/>
  <c r="G90" i="33"/>
  <c r="O90" i="33"/>
  <c r="AF33" i="33"/>
  <c r="AL33" i="33"/>
  <c r="AR33" i="33"/>
  <c r="AX33" i="33"/>
  <c r="BD33" i="33"/>
  <c r="BJ33" i="33"/>
  <c r="BP33" i="33"/>
  <c r="BV33" i="33"/>
  <c r="CD33" i="33"/>
  <c r="CJ33" i="33"/>
  <c r="CP33" i="33"/>
  <c r="CV33" i="33"/>
  <c r="DB33" i="33"/>
  <c r="DH33" i="33"/>
  <c r="DN33" i="33"/>
  <c r="DT33" i="33"/>
  <c r="DZ33" i="33"/>
  <c r="AB34" i="33"/>
  <c r="AH34" i="33"/>
  <c r="AN34" i="33"/>
  <c r="AT34" i="33"/>
  <c r="AZ34" i="33"/>
  <c r="BF34" i="33"/>
  <c r="BL34" i="33"/>
  <c r="BR34" i="33"/>
  <c r="BX34" i="33"/>
  <c r="CF34" i="33"/>
  <c r="CL34" i="33"/>
  <c r="CR34" i="33"/>
  <c r="CX34" i="33"/>
  <c r="DD34" i="33"/>
  <c r="DJ34" i="33"/>
  <c r="DP34" i="33"/>
  <c r="DV34" i="33"/>
  <c r="EB34" i="33"/>
  <c r="EA17" i="33"/>
  <c r="EA16" i="33"/>
  <c r="N93" i="33"/>
  <c r="Y44" i="33"/>
  <c r="P20" i="33"/>
  <c r="V20" i="33"/>
  <c r="AB20" i="33"/>
  <c r="AH20" i="33"/>
  <c r="AN20" i="33"/>
  <c r="AT20" i="33"/>
  <c r="AZ20" i="33"/>
  <c r="BF20" i="33"/>
  <c r="BL20" i="33"/>
  <c r="BR20" i="33"/>
  <c r="BX20" i="33"/>
  <c r="CF20" i="33"/>
  <c r="CL20" i="33"/>
  <c r="CR20" i="33"/>
  <c r="CX20" i="33"/>
  <c r="DD20" i="33"/>
  <c r="DJ20" i="33"/>
  <c r="DP20" i="33"/>
  <c r="DV20" i="33"/>
  <c r="EB20" i="33"/>
  <c r="J29" i="33"/>
  <c r="U90" i="33"/>
  <c r="J28" i="33"/>
  <c r="T90" i="33"/>
  <c r="DY30" i="33"/>
  <c r="J110" i="33"/>
  <c r="DY44" i="33"/>
  <c r="T36" i="33"/>
  <c r="T43" i="33"/>
  <c r="G91" i="33"/>
  <c r="F91" i="33"/>
  <c r="J104" i="33"/>
  <c r="CO30" i="33"/>
  <c r="AF20" i="33"/>
  <c r="Z28" i="33"/>
  <c r="D93" i="33"/>
  <c r="Z29" i="33"/>
  <c r="E93" i="33"/>
  <c r="U28" i="33"/>
  <c r="U29" i="33"/>
  <c r="AL4" i="33"/>
  <c r="BW17" i="33"/>
  <c r="BW16" i="33"/>
  <c r="BQ28" i="33"/>
  <c r="BQ29" i="33"/>
  <c r="V24" i="33"/>
  <c r="AB24" i="33"/>
  <c r="AH24" i="33"/>
  <c r="AN24" i="33"/>
  <c r="AT24" i="33"/>
  <c r="AZ24" i="33"/>
  <c r="BF24" i="33"/>
  <c r="BL24" i="33"/>
  <c r="BR24" i="33"/>
  <c r="BX24" i="33"/>
  <c r="CF24" i="33"/>
  <c r="CL24" i="33"/>
  <c r="CR24" i="33"/>
  <c r="CX24" i="33"/>
  <c r="DD24" i="33"/>
  <c r="DJ24" i="33"/>
  <c r="DP24" i="33"/>
  <c r="DV24" i="33"/>
  <c r="EB24" i="33"/>
  <c r="EA29" i="33"/>
  <c r="N101" i="33"/>
  <c r="BU44" i="33"/>
  <c r="DU29" i="33"/>
  <c r="DU28" i="33"/>
  <c r="N102" i="33"/>
  <c r="O102" i="33"/>
  <c r="L100" i="33"/>
  <c r="BO30" i="33"/>
  <c r="T29" i="33"/>
  <c r="E92" i="33"/>
  <c r="D90" i="33"/>
  <c r="I30" i="33"/>
  <c r="L90" i="33"/>
  <c r="BD19" i="33"/>
  <c r="CE29" i="33"/>
  <c r="CE28" i="33"/>
  <c r="CC17" i="33"/>
  <c r="K102" i="33"/>
  <c r="CC16" i="33"/>
  <c r="N90" i="33"/>
  <c r="F90" i="33"/>
  <c r="I44" i="33"/>
  <c r="CE17" i="33"/>
  <c r="CE16" i="33"/>
  <c r="CQ16" i="33"/>
  <c r="CQ17" i="33"/>
  <c r="J109" i="33"/>
  <c r="DS30" i="33"/>
  <c r="DS44" i="33"/>
  <c r="DM44" i="33"/>
  <c r="L101" i="33"/>
  <c r="BU30" i="33"/>
  <c r="BE29" i="33"/>
  <c r="BE28" i="33"/>
  <c r="L96" i="33"/>
  <c r="AQ30" i="33"/>
  <c r="AA16" i="33"/>
  <c r="AA17" i="33"/>
  <c r="CW17" i="33"/>
  <c r="CW16" i="33"/>
  <c r="CK28" i="33"/>
  <c r="CK29" i="33"/>
  <c r="DU16" i="33"/>
  <c r="DU17" i="33"/>
  <c r="AL32" i="33"/>
  <c r="AK30" i="33"/>
  <c r="J95" i="33"/>
  <c r="AK44" i="33"/>
  <c r="U16" i="33"/>
  <c r="U17" i="33"/>
  <c r="DI30" i="33"/>
  <c r="J105" i="33"/>
  <c r="CU30" i="33"/>
  <c r="CU44" i="33"/>
  <c r="R90" i="33"/>
  <c r="L107" i="33"/>
  <c r="DG30" i="33"/>
  <c r="O17" i="33"/>
  <c r="O16" i="33"/>
  <c r="CC28" i="33"/>
  <c r="L102" i="33"/>
  <c r="CD23" i="33"/>
  <c r="CJ23" i="33"/>
  <c r="CP23" i="33"/>
  <c r="CV23" i="33"/>
  <c r="DB23" i="33"/>
  <c r="DH23" i="33"/>
  <c r="DN23" i="33"/>
  <c r="DT23" i="33"/>
  <c r="DZ23" i="33"/>
  <c r="L97" i="33"/>
  <c r="AW30" i="33"/>
  <c r="AE44" i="33"/>
  <c r="J94" i="33"/>
  <c r="AE30" i="33"/>
  <c r="AS29" i="33"/>
  <c r="AS28" i="33"/>
  <c r="BC44" i="33"/>
  <c r="N98" i="33"/>
  <c r="DM30" i="33"/>
  <c r="BF22" i="33"/>
  <c r="BL22" i="33"/>
  <c r="BR22" i="33"/>
  <c r="BX22" i="33"/>
  <c r="CF22" i="33"/>
  <c r="CL22" i="33"/>
  <c r="CR22" i="33"/>
  <c r="CX22" i="33"/>
  <c r="DD22" i="33"/>
  <c r="DJ22" i="33"/>
  <c r="DP22" i="33"/>
  <c r="DV22" i="33"/>
  <c r="EB22" i="33"/>
  <c r="P35" i="46"/>
  <c r="V35" i="46"/>
  <c r="AB35" i="46"/>
  <c r="AH35" i="46"/>
  <c r="AN35" i="46"/>
  <c r="AT35" i="46"/>
  <c r="AZ35" i="46"/>
  <c r="BF35" i="46"/>
  <c r="BL35" i="46"/>
  <c r="BR35" i="46"/>
  <c r="BX35" i="46"/>
  <c r="CF35" i="46"/>
  <c r="CL35" i="46"/>
  <c r="CR35" i="46"/>
  <c r="CX35" i="46"/>
  <c r="DD35" i="46"/>
  <c r="DJ35" i="46"/>
  <c r="DP35" i="46"/>
  <c r="DV35" i="46"/>
  <c r="EB35" i="46"/>
  <c r="CD23" i="46"/>
  <c r="CJ23" i="46"/>
  <c r="CP23" i="46"/>
  <c r="CV23" i="46"/>
  <c r="DB23" i="46"/>
  <c r="DH23" i="46"/>
  <c r="DN23" i="46"/>
  <c r="DT23" i="46"/>
  <c r="DZ23" i="46"/>
  <c r="P8" i="46"/>
  <c r="V8" i="46"/>
  <c r="AB8" i="46"/>
  <c r="AH8" i="46"/>
  <c r="AN8" i="46"/>
  <c r="AT8" i="46"/>
  <c r="AZ8" i="46"/>
  <c r="BF8" i="46"/>
  <c r="BL8" i="46"/>
  <c r="BR8" i="46"/>
  <c r="BX8" i="46"/>
  <c r="CF8" i="46"/>
  <c r="CL8" i="46"/>
  <c r="CR8" i="46"/>
  <c r="CX8" i="46"/>
  <c r="DD8" i="46"/>
  <c r="DJ8" i="46"/>
  <c r="DP8" i="46"/>
  <c r="DV8" i="46"/>
  <c r="EB8" i="46"/>
  <c r="EA29" i="46"/>
  <c r="V5" i="46"/>
  <c r="AB5" i="46"/>
  <c r="AH5" i="46"/>
  <c r="AN5" i="46"/>
  <c r="AT5" i="46"/>
  <c r="AZ5" i="46"/>
  <c r="BF5" i="46"/>
  <c r="BL5" i="46"/>
  <c r="BR5" i="46"/>
  <c r="BX5" i="46"/>
  <c r="CF5" i="46"/>
  <c r="CL5" i="46"/>
  <c r="CR5" i="46"/>
  <c r="CX5" i="46"/>
  <c r="DD5" i="46"/>
  <c r="DJ5" i="46"/>
  <c r="DP5" i="46"/>
  <c r="DV5" i="46"/>
  <c r="EB5" i="46"/>
  <c r="N29" i="46"/>
  <c r="E94" i="46"/>
  <c r="K93" i="46"/>
  <c r="P19" i="46"/>
  <c r="V19" i="46"/>
  <c r="AB19" i="46"/>
  <c r="AH19" i="46"/>
  <c r="AN19" i="46"/>
  <c r="AT19" i="46"/>
  <c r="AZ19" i="46"/>
  <c r="BF19" i="46"/>
  <c r="BL19" i="46"/>
  <c r="BR19" i="46"/>
  <c r="BX19" i="46"/>
  <c r="CF19" i="46"/>
  <c r="CL19" i="46"/>
  <c r="CR19" i="46"/>
  <c r="CX19" i="46"/>
  <c r="DD19" i="46"/>
  <c r="DJ19" i="46"/>
  <c r="DP19" i="46"/>
  <c r="DV19" i="46"/>
  <c r="EB19" i="46"/>
  <c r="P20" i="46"/>
  <c r="V20" i="46"/>
  <c r="AB20" i="46"/>
  <c r="AH20" i="46"/>
  <c r="AN20" i="46"/>
  <c r="AT20" i="46"/>
  <c r="AZ20" i="46"/>
  <c r="BF20" i="46"/>
  <c r="BL20" i="46"/>
  <c r="BR20" i="46"/>
  <c r="BX20" i="46"/>
  <c r="CF20" i="46"/>
  <c r="CL20" i="46"/>
  <c r="CR20" i="46"/>
  <c r="CX20" i="46"/>
  <c r="DD20" i="46"/>
  <c r="DJ20" i="46"/>
  <c r="DP20" i="46"/>
  <c r="DV20" i="46"/>
  <c r="EB20" i="46"/>
  <c r="CD37" i="46"/>
  <c r="CJ37" i="46"/>
  <c r="CP37" i="46"/>
  <c r="CV37" i="46"/>
  <c r="DB37" i="46"/>
  <c r="DH37" i="46"/>
  <c r="DN37" i="46"/>
  <c r="DT37" i="46"/>
  <c r="DZ37" i="46"/>
  <c r="P34" i="46"/>
  <c r="V34" i="46"/>
  <c r="AB34" i="46"/>
  <c r="AH34" i="46"/>
  <c r="AN34" i="46"/>
  <c r="AT34" i="46"/>
  <c r="AZ34" i="46"/>
  <c r="BF34" i="46"/>
  <c r="BL34" i="46"/>
  <c r="BR34" i="46"/>
  <c r="BX34" i="46"/>
  <c r="CF34" i="46"/>
  <c r="CL34" i="46"/>
  <c r="CR34" i="46"/>
  <c r="CX34" i="46"/>
  <c r="DD34" i="46"/>
  <c r="DJ34" i="46"/>
  <c r="DP34" i="46"/>
  <c r="DV34" i="46"/>
  <c r="EB34" i="46"/>
  <c r="CW43" i="46"/>
  <c r="CD59" i="46"/>
  <c r="CJ59" i="46"/>
  <c r="CP59" i="46"/>
  <c r="CV59" i="46"/>
  <c r="DB59" i="46"/>
  <c r="DH59" i="46"/>
  <c r="CC29" i="46"/>
  <c r="M105" i="46"/>
  <c r="CI30" i="46"/>
  <c r="CE28" i="46"/>
  <c r="P59" i="46"/>
  <c r="V59" i="46"/>
  <c r="AB59" i="46"/>
  <c r="AH59" i="46"/>
  <c r="AN59" i="46"/>
  <c r="AT59" i="46"/>
  <c r="AZ59" i="46"/>
  <c r="BF59" i="46"/>
  <c r="BL59" i="46"/>
  <c r="BR59" i="46"/>
  <c r="BX59" i="46"/>
  <c r="CF59" i="46"/>
  <c r="CL59" i="46"/>
  <c r="CR59" i="46"/>
  <c r="CX59" i="46"/>
  <c r="DD59" i="46"/>
  <c r="DJ59" i="46"/>
  <c r="CO44" i="46"/>
  <c r="DO29" i="46"/>
  <c r="CC16" i="46"/>
  <c r="K105" i="46"/>
  <c r="CC15" i="46"/>
  <c r="J105" i="46"/>
  <c r="Y44" i="46"/>
  <c r="CO30" i="46"/>
  <c r="CE16" i="46"/>
  <c r="CE15" i="46"/>
  <c r="B93" i="46"/>
  <c r="N104" i="46"/>
  <c r="BU44" i="46"/>
  <c r="DI43" i="46"/>
  <c r="CU44" i="46"/>
  <c r="Y30" i="46"/>
  <c r="CD20" i="46"/>
  <c r="CJ20" i="46"/>
  <c r="CP20" i="46"/>
  <c r="CV20" i="46"/>
  <c r="DB20" i="46"/>
  <c r="DH20" i="46"/>
  <c r="DN20" i="46"/>
  <c r="DT20" i="46"/>
  <c r="DZ20" i="46"/>
  <c r="J103" i="46"/>
  <c r="BO30" i="46"/>
  <c r="BI30" i="46"/>
  <c r="CE29" i="46"/>
  <c r="BO44" i="46"/>
  <c r="DI15" i="46"/>
  <c r="V60" i="46"/>
  <c r="AB60" i="46"/>
  <c r="D93" i="46"/>
  <c r="AS15" i="46"/>
  <c r="CD57" i="46"/>
  <c r="CJ57" i="46"/>
  <c r="CP57" i="46"/>
  <c r="CV57" i="46"/>
  <c r="DB57" i="46"/>
  <c r="DH57" i="46"/>
  <c r="I30" i="46"/>
  <c r="V6" i="46"/>
  <c r="AB6" i="46"/>
  <c r="AH6" i="46"/>
  <c r="AN6" i="46"/>
  <c r="AT6" i="46"/>
  <c r="AZ6" i="46"/>
  <c r="BF6" i="46"/>
  <c r="BL6" i="46"/>
  <c r="BR6" i="46"/>
  <c r="BX6" i="46"/>
  <c r="CF6" i="46"/>
  <c r="CL6" i="46"/>
  <c r="CR6" i="46"/>
  <c r="CX6" i="46"/>
  <c r="DD6" i="46"/>
  <c r="DJ6" i="46"/>
  <c r="DP6" i="46"/>
  <c r="DV6" i="46"/>
  <c r="EB6" i="46"/>
  <c r="BI44" i="46"/>
  <c r="J102" i="46"/>
  <c r="DO28" i="46"/>
  <c r="E93" i="46"/>
  <c r="M93" i="46"/>
  <c r="CC28" i="46"/>
  <c r="L105" i="46"/>
  <c r="BQ15" i="46"/>
  <c r="EA28" i="46"/>
  <c r="AM29" i="46"/>
  <c r="AM28" i="46"/>
  <c r="AY43" i="46"/>
  <c r="AY42" i="46"/>
  <c r="DU29" i="46"/>
  <c r="DU28" i="46"/>
  <c r="BE16" i="46"/>
  <c r="BE15" i="46"/>
  <c r="L104" i="46"/>
  <c r="BU30" i="46"/>
  <c r="L95" i="46"/>
  <c r="S30" i="46"/>
  <c r="CD34" i="46"/>
  <c r="CJ34" i="46"/>
  <c r="CP34" i="46"/>
  <c r="CV34" i="46"/>
  <c r="DB34" i="46"/>
  <c r="DH34" i="46"/>
  <c r="DN34" i="46"/>
  <c r="DT34" i="46"/>
  <c r="DZ34" i="46"/>
  <c r="J113" i="46"/>
  <c r="DY30" i="46"/>
  <c r="DY44" i="46"/>
  <c r="AG42" i="46"/>
  <c r="DO15" i="46"/>
  <c r="DO16" i="46"/>
  <c r="EA43" i="46"/>
  <c r="EA42" i="46"/>
  <c r="BK16" i="46"/>
  <c r="BK15" i="46"/>
  <c r="CD5" i="46"/>
  <c r="CJ5" i="46"/>
  <c r="CP5" i="46"/>
  <c r="CV5" i="46"/>
  <c r="DB5" i="46"/>
  <c r="DH5" i="46"/>
  <c r="DN5" i="46"/>
  <c r="DT5" i="46"/>
  <c r="DZ5" i="46"/>
  <c r="U28" i="46"/>
  <c r="U29" i="46"/>
  <c r="DC42" i="46"/>
  <c r="DC43" i="46"/>
  <c r="M30" i="46"/>
  <c r="M44" i="46"/>
  <c r="EA16" i="46"/>
  <c r="EA15" i="46"/>
  <c r="AE30" i="46"/>
  <c r="AE44" i="46"/>
  <c r="J97" i="46"/>
  <c r="BK28" i="46"/>
  <c r="BK29" i="46"/>
  <c r="AS28" i="46"/>
  <c r="AS29" i="46"/>
  <c r="P32" i="46"/>
  <c r="J43" i="46"/>
  <c r="W93" i="46"/>
  <c r="J42" i="46"/>
  <c r="V93" i="46"/>
  <c r="O43" i="46"/>
  <c r="O42" i="46"/>
  <c r="CQ43" i="46"/>
  <c r="CQ42" i="46"/>
  <c r="CK42" i="46"/>
  <c r="CK43" i="46"/>
  <c r="U42" i="46"/>
  <c r="U43" i="46"/>
  <c r="AY16" i="46"/>
  <c r="AY15" i="46"/>
  <c r="CQ29" i="46"/>
  <c r="CQ28" i="46"/>
  <c r="T32" i="46"/>
  <c r="N43" i="46"/>
  <c r="G94" i="46"/>
  <c r="N42" i="46"/>
  <c r="F94" i="46"/>
  <c r="J101" i="46"/>
  <c r="BC44" i="46"/>
  <c r="BC30" i="46"/>
  <c r="CD35" i="46"/>
  <c r="CJ35" i="46"/>
  <c r="CP35" i="46"/>
  <c r="CV35" i="46"/>
  <c r="DB35" i="46"/>
  <c r="DH35" i="46"/>
  <c r="DN35" i="46"/>
  <c r="DT35" i="46"/>
  <c r="DZ35" i="46"/>
  <c r="DI16" i="46"/>
  <c r="BW43" i="46"/>
  <c r="BW42" i="46"/>
  <c r="BK42" i="46"/>
  <c r="BK43" i="46"/>
  <c r="DC28" i="46"/>
  <c r="DC29" i="46"/>
  <c r="J98" i="46"/>
  <c r="AK44" i="46"/>
  <c r="AK30" i="46"/>
  <c r="N93" i="46"/>
  <c r="F93" i="46"/>
  <c r="I44" i="46"/>
  <c r="CC43" i="46"/>
  <c r="O105" i="46"/>
  <c r="CC42" i="46"/>
  <c r="N105" i="46"/>
  <c r="J99" i="46"/>
  <c r="AQ30" i="46"/>
  <c r="AQ44" i="46"/>
  <c r="BQ16" i="46"/>
  <c r="CD7" i="46"/>
  <c r="CJ7" i="46"/>
  <c r="CP7" i="46"/>
  <c r="CV7" i="46"/>
  <c r="DB7" i="46"/>
  <c r="DH7" i="46"/>
  <c r="DN7" i="46"/>
  <c r="DT7" i="46"/>
  <c r="DZ7" i="46"/>
  <c r="AA15" i="46"/>
  <c r="AA16" i="46"/>
  <c r="CK28" i="46"/>
  <c r="CK29" i="46"/>
  <c r="CW29" i="46"/>
  <c r="CW28" i="46"/>
  <c r="Z18" i="46"/>
  <c r="N106" i="46"/>
  <c r="CI44" i="46"/>
  <c r="BQ29" i="46"/>
  <c r="BQ28" i="46"/>
  <c r="AS43" i="46"/>
  <c r="AS42" i="46"/>
  <c r="CE42" i="46"/>
  <c r="CE43" i="46"/>
  <c r="DM44" i="46"/>
  <c r="DM30" i="46"/>
  <c r="J111" i="46"/>
  <c r="J112" i="46"/>
  <c r="DS30" i="46"/>
  <c r="DS44" i="46"/>
  <c r="AG28" i="46"/>
  <c r="AG29" i="46"/>
  <c r="O29" i="46"/>
  <c r="O28" i="46"/>
  <c r="DO42" i="46"/>
  <c r="DO43" i="46"/>
  <c r="BQ43" i="46"/>
  <c r="BQ42" i="46"/>
  <c r="CW42" i="46"/>
  <c r="T4" i="46"/>
  <c r="N15" i="46"/>
  <c r="N16" i="46"/>
  <c r="C94" i="46"/>
  <c r="CU30" i="46"/>
  <c r="L108" i="46"/>
  <c r="J15" i="46"/>
  <c r="P4" i="46"/>
  <c r="J16" i="46"/>
  <c r="S93" i="46"/>
  <c r="CD36" i="46"/>
  <c r="CJ36" i="46"/>
  <c r="CP36" i="46"/>
  <c r="CV36" i="46"/>
  <c r="DB36" i="46"/>
  <c r="DH36" i="46"/>
  <c r="DN36" i="46"/>
  <c r="DT36" i="46"/>
  <c r="DZ36" i="46"/>
  <c r="N28" i="46"/>
  <c r="D94" i="46"/>
  <c r="CQ16" i="46"/>
  <c r="CQ15" i="46"/>
  <c r="AM15" i="46"/>
  <c r="AM16" i="46"/>
  <c r="DI28" i="46"/>
  <c r="DI29" i="46"/>
  <c r="O16" i="46"/>
  <c r="O15" i="46"/>
  <c r="P57" i="46"/>
  <c r="V57" i="46"/>
  <c r="AB57" i="46"/>
  <c r="AH57" i="46"/>
  <c r="AN57" i="46"/>
  <c r="AT57" i="46"/>
  <c r="AZ57" i="46"/>
  <c r="BF57" i="46"/>
  <c r="BL57" i="46"/>
  <c r="BR57" i="46"/>
  <c r="BX57" i="46"/>
  <c r="CF57" i="46"/>
  <c r="CL57" i="46"/>
  <c r="CR57" i="46"/>
  <c r="CX57" i="46"/>
  <c r="DD57" i="46"/>
  <c r="DJ57" i="46"/>
  <c r="DG44" i="46"/>
  <c r="DG30" i="46"/>
  <c r="J110" i="46"/>
  <c r="J100" i="46"/>
  <c r="AW44" i="46"/>
  <c r="AW30" i="46"/>
  <c r="CW15" i="46"/>
  <c r="CW16" i="46"/>
  <c r="BE28" i="46"/>
  <c r="BE29" i="46"/>
  <c r="AA28" i="46"/>
  <c r="AA29" i="46"/>
  <c r="AY29" i="46"/>
  <c r="AY28" i="46"/>
  <c r="DU43" i="46"/>
  <c r="DU42" i="46"/>
  <c r="CK16" i="46"/>
  <c r="CK15" i="46"/>
  <c r="AS16" i="46"/>
  <c r="P22" i="46"/>
  <c r="V22" i="46"/>
  <c r="AB22" i="46"/>
  <c r="AH22" i="46"/>
  <c r="AN22" i="46"/>
  <c r="AT22" i="46"/>
  <c r="AZ22" i="46"/>
  <c r="BF22" i="46"/>
  <c r="BL22" i="46"/>
  <c r="BR22" i="46"/>
  <c r="BX22" i="46"/>
  <c r="CF22" i="46"/>
  <c r="CL22" i="46"/>
  <c r="CR22" i="46"/>
  <c r="CX22" i="46"/>
  <c r="DD22" i="46"/>
  <c r="DJ22" i="46"/>
  <c r="DP22" i="46"/>
  <c r="DV22" i="46"/>
  <c r="EB22" i="46"/>
  <c r="DI42" i="46"/>
  <c r="AM42" i="46"/>
  <c r="AM43" i="46"/>
  <c r="U15" i="46"/>
  <c r="U16" i="46"/>
  <c r="CD19" i="46"/>
  <c r="CJ19" i="46"/>
  <c r="CP19" i="46"/>
  <c r="CV19" i="46"/>
  <c r="DB19" i="46"/>
  <c r="DH19" i="46"/>
  <c r="DN19" i="46"/>
  <c r="DT19" i="46"/>
  <c r="DZ19" i="46"/>
  <c r="BE42" i="46"/>
  <c r="BE43" i="46"/>
  <c r="CD21" i="46"/>
  <c r="CJ21" i="46"/>
  <c r="CP21" i="46"/>
  <c r="CV21" i="46"/>
  <c r="DB21" i="46"/>
  <c r="DH21" i="46"/>
  <c r="DN21" i="46"/>
  <c r="DT21" i="46"/>
  <c r="DZ21" i="46"/>
  <c r="P18" i="46"/>
  <c r="J29" i="46"/>
  <c r="U93" i="46"/>
  <c r="J28" i="46"/>
  <c r="T93" i="46"/>
  <c r="BW29" i="46"/>
  <c r="BW28" i="46"/>
  <c r="CD33" i="46"/>
  <c r="CJ33" i="46"/>
  <c r="CP33" i="46"/>
  <c r="CV33" i="46"/>
  <c r="DB33" i="46"/>
  <c r="DH33" i="46"/>
  <c r="DN33" i="46"/>
  <c r="DT33" i="46"/>
  <c r="DZ33" i="46"/>
  <c r="J109" i="46"/>
  <c r="DA30" i="46"/>
  <c r="DA44" i="46"/>
  <c r="BW15" i="46"/>
  <c r="BW16" i="46"/>
  <c r="DU15" i="46"/>
  <c r="DU16" i="46"/>
  <c r="DC15" i="46"/>
  <c r="DC16" i="46"/>
  <c r="AA43" i="46"/>
  <c r="AA42" i="46"/>
  <c r="AG16" i="46"/>
  <c r="AG15" i="46"/>
  <c r="Q5" i="45"/>
  <c r="Q17" i="45"/>
  <c r="I60" i="45"/>
  <c r="R67" i="45"/>
  <c r="S30" i="45"/>
  <c r="AQ30" i="45"/>
  <c r="R58" i="45"/>
  <c r="BF30" i="45"/>
  <c r="S58" i="45"/>
  <c r="Y30" i="45"/>
  <c r="R65" i="45"/>
  <c r="AK30" i="45"/>
  <c r="AB43" i="45"/>
  <c r="AE30" i="45"/>
  <c r="AH43" i="45"/>
  <c r="R63" i="45"/>
  <c r="BO43" i="45"/>
  <c r="BF43" i="45"/>
  <c r="V74" i="45"/>
  <c r="AZ30" i="45"/>
  <c r="R72" i="45"/>
  <c r="AZ43" i="45"/>
  <c r="W19" i="45"/>
  <c r="K58" i="45"/>
  <c r="U58" i="45"/>
  <c r="W58" i="45"/>
  <c r="M58" i="45"/>
  <c r="T58" i="45"/>
  <c r="J58" i="45"/>
  <c r="R60" i="45"/>
  <c r="P30" i="45"/>
  <c r="P43" i="45"/>
  <c r="Q16" i="45"/>
  <c r="AT43" i="45"/>
  <c r="R78" i="45"/>
  <c r="BR30" i="45"/>
  <c r="BR43" i="45"/>
  <c r="K30" i="45"/>
  <c r="R73" i="45"/>
  <c r="BC30" i="45"/>
  <c r="BC43" i="45"/>
  <c r="T21" i="45"/>
  <c r="W21" i="45"/>
  <c r="Z21" i="45"/>
  <c r="AC21" i="45"/>
  <c r="AF21" i="45"/>
  <c r="AI21" i="45"/>
  <c r="AL21" i="45"/>
  <c r="AO21" i="45"/>
  <c r="AR21" i="45"/>
  <c r="AU21" i="45"/>
  <c r="AX21" i="45"/>
  <c r="BA21" i="45"/>
  <c r="BD21" i="45"/>
  <c r="BG21" i="45"/>
  <c r="BJ21" i="45"/>
  <c r="BM21" i="45"/>
  <c r="BP21" i="45"/>
  <c r="BS21" i="45"/>
  <c r="Q28" i="45"/>
  <c r="J60" i="45"/>
  <c r="R62" i="45"/>
  <c r="V43" i="45"/>
  <c r="V30" i="45"/>
  <c r="R59" i="45"/>
  <c r="M30" i="45"/>
  <c r="M43" i="45"/>
  <c r="T70" i="45"/>
  <c r="AT30" i="45"/>
  <c r="AF4" i="45"/>
  <c r="AH30" i="45"/>
  <c r="AN43" i="45"/>
  <c r="AN30" i="45"/>
  <c r="R68" i="45"/>
  <c r="BL30" i="45"/>
  <c r="BL43" i="45"/>
  <c r="R76" i="45"/>
  <c r="BI30" i="45"/>
  <c r="R75" i="45"/>
  <c r="BI43" i="45"/>
  <c r="AW43" i="45"/>
  <c r="AW30" i="45"/>
  <c r="R71" i="45"/>
  <c r="V58" i="45"/>
  <c r="L58" i="45"/>
  <c r="I16" i="45"/>
  <c r="I17" i="45"/>
  <c r="I57" i="45"/>
  <c r="AW44" i="6"/>
  <c r="BO44" i="6"/>
  <c r="I42" i="6"/>
  <c r="L59" i="6"/>
  <c r="N29" i="6"/>
  <c r="K61" i="6"/>
  <c r="Y30" i="6"/>
  <c r="I28" i="6"/>
  <c r="J59" i="6"/>
  <c r="BP7" i="6"/>
  <c r="I43" i="6"/>
  <c r="K44" i="6"/>
  <c r="I16" i="6"/>
  <c r="BP6" i="6"/>
  <c r="T60" i="6"/>
  <c r="I15" i="6"/>
  <c r="I29" i="6"/>
  <c r="AW30" i="6"/>
  <c r="AN44" i="6"/>
  <c r="T65" i="6"/>
  <c r="BR44" i="6"/>
  <c r="AN30" i="6"/>
  <c r="L60" i="6"/>
  <c r="R79" i="6"/>
  <c r="Y44" i="6"/>
  <c r="N28" i="6"/>
  <c r="J61" i="6"/>
  <c r="R66" i="6"/>
  <c r="AB44" i="6"/>
  <c r="AB30" i="6"/>
  <c r="BO30" i="6"/>
  <c r="AH44" i="6"/>
  <c r="R68" i="6"/>
  <c r="AH30" i="6"/>
  <c r="N16" i="6"/>
  <c r="I61" i="6"/>
  <c r="Q4" i="6"/>
  <c r="N15" i="6"/>
  <c r="BL44" i="6"/>
  <c r="BL30" i="6"/>
  <c r="R78" i="6"/>
  <c r="V30" i="6"/>
  <c r="R64" i="6"/>
  <c r="V44" i="6"/>
  <c r="R62" i="6"/>
  <c r="P44" i="6"/>
  <c r="P30" i="6"/>
  <c r="AZ30" i="6"/>
  <c r="R74" i="6"/>
  <c r="AZ44" i="6"/>
  <c r="I60" i="6"/>
  <c r="S60" i="6"/>
  <c r="M30" i="6"/>
  <c r="R61" i="6"/>
  <c r="M44" i="6"/>
  <c r="AK44" i="6"/>
  <c r="AK30" i="6"/>
  <c r="R69" i="6"/>
  <c r="K30" i="6"/>
  <c r="H60" i="6"/>
  <c r="R60" i="6"/>
  <c r="BF30" i="6"/>
  <c r="R76" i="6"/>
  <c r="BF44" i="6"/>
  <c r="Q29" i="6"/>
  <c r="K62" i="6"/>
  <c r="Q28" i="6"/>
  <c r="J62" i="6"/>
  <c r="T18" i="6"/>
  <c r="S44" i="6"/>
  <c r="R63" i="6"/>
  <c r="S30" i="6"/>
  <c r="BS5" i="6"/>
  <c r="BP5" i="6"/>
  <c r="BC30" i="6"/>
  <c r="BC44" i="6"/>
  <c r="R75" i="6"/>
  <c r="AT30" i="6"/>
  <c r="R72" i="6"/>
  <c r="AT44" i="6"/>
  <c r="AE30" i="6"/>
  <c r="R67" i="6"/>
  <c r="AE44" i="6"/>
  <c r="R77" i="6"/>
  <c r="BI30" i="6"/>
  <c r="BI44" i="6"/>
  <c r="K60" i="6"/>
  <c r="U60" i="6"/>
  <c r="AQ30" i="6"/>
  <c r="R71" i="6"/>
  <c r="AQ44" i="6"/>
  <c r="BR30" i="6"/>
  <c r="M57" i="45"/>
  <c r="M60" i="6"/>
  <c r="W60" i="6"/>
  <c r="N43" i="6"/>
  <c r="M61" i="6"/>
  <c r="N42" i="6"/>
  <c r="AO77" i="51"/>
  <c r="AO64" i="51"/>
  <c r="AQ28" i="51"/>
  <c r="AN64" i="51"/>
  <c r="AN77" i="51"/>
  <c r="AB28" i="51"/>
  <c r="AB41" i="51"/>
  <c r="AQ77" i="51"/>
  <c r="AQ64" i="51"/>
  <c r="K77" i="51"/>
  <c r="K64" i="51"/>
  <c r="AU15" i="51"/>
  <c r="AF64" i="51"/>
  <c r="AF77" i="51"/>
  <c r="AY77" i="51"/>
  <c r="AY64" i="51"/>
  <c r="Z64" i="51"/>
  <c r="Z77" i="51"/>
  <c r="AT64" i="51"/>
  <c r="AT77" i="51"/>
  <c r="AK28" i="51"/>
  <c r="AK41" i="51"/>
  <c r="AL41" i="51"/>
  <c r="AY30" i="33"/>
  <c r="T42" i="33"/>
  <c r="F92" i="33"/>
  <c r="V32" i="33"/>
  <c r="P43" i="33"/>
  <c r="P42" i="33"/>
  <c r="Z8" i="46"/>
  <c r="Z22" i="46"/>
  <c r="N30" i="45"/>
  <c r="AL32" i="6"/>
  <c r="AI42" i="6"/>
  <c r="W8" i="6"/>
  <c r="W22" i="6"/>
  <c r="H59" i="45"/>
  <c r="AV15" i="51"/>
  <c r="AN41" i="51"/>
  <c r="AU64" i="51"/>
  <c r="AU77" i="51"/>
  <c r="AT41" i="51"/>
  <c r="AV41" i="51"/>
  <c r="AU41" i="51"/>
  <c r="AU28" i="51"/>
  <c r="AV77" i="51"/>
  <c r="AV64" i="51"/>
  <c r="AV39" i="48"/>
  <c r="AV26" i="48"/>
  <c r="AU41" i="44"/>
  <c r="Q42" i="45"/>
  <c r="M60" i="45"/>
  <c r="Q41" i="45"/>
  <c r="L60" i="45"/>
  <c r="T32" i="45"/>
  <c r="DP38" i="33"/>
  <c r="DC44" i="33"/>
  <c r="CV38" i="33"/>
  <c r="DC30" i="33"/>
  <c r="DO30" i="33"/>
  <c r="DI44" i="33"/>
  <c r="AM44" i="33"/>
  <c r="BK44" i="33"/>
  <c r="BQ30" i="33"/>
  <c r="BE44" i="33"/>
  <c r="BK30" i="33"/>
  <c r="P28" i="33"/>
  <c r="T91" i="33"/>
  <c r="BQ44" i="33"/>
  <c r="AS30" i="46"/>
  <c r="AS44" i="46"/>
  <c r="CK30" i="33"/>
  <c r="BE30" i="33"/>
  <c r="AS30" i="33"/>
  <c r="AY44" i="33"/>
  <c r="J44" i="33"/>
  <c r="J30" i="33"/>
  <c r="AM30" i="33"/>
  <c r="AG30" i="33"/>
  <c r="AG44" i="33"/>
  <c r="DO44" i="33"/>
  <c r="AS44" i="33"/>
  <c r="V4" i="33"/>
  <c r="AB4" i="33"/>
  <c r="AH4" i="33"/>
  <c r="AN4" i="33"/>
  <c r="AT4" i="33"/>
  <c r="P16" i="33"/>
  <c r="R91" i="33"/>
  <c r="P17" i="33"/>
  <c r="S91" i="33"/>
  <c r="U44" i="33"/>
  <c r="U30" i="33"/>
  <c r="AN33" i="33"/>
  <c r="V36" i="33"/>
  <c r="W91" i="33"/>
  <c r="O44" i="33"/>
  <c r="O30" i="33"/>
  <c r="N44" i="33"/>
  <c r="N30" i="33"/>
  <c r="B91" i="33"/>
  <c r="AB6" i="33"/>
  <c r="BW44" i="33"/>
  <c r="BW30" i="33"/>
  <c r="CE30" i="33"/>
  <c r="CE44" i="33"/>
  <c r="AL20" i="33"/>
  <c r="AF28" i="33"/>
  <c r="D94" i="33"/>
  <c r="AF29" i="33"/>
  <c r="E94" i="33"/>
  <c r="P29" i="33"/>
  <c r="U91" i="33"/>
  <c r="CQ44" i="33"/>
  <c r="CQ30" i="33"/>
  <c r="AR32" i="33"/>
  <c r="CW30" i="33"/>
  <c r="CW44" i="33"/>
  <c r="BJ19" i="33"/>
  <c r="AB19" i="33"/>
  <c r="V28" i="33"/>
  <c r="T92" i="33"/>
  <c r="V29" i="33"/>
  <c r="U92" i="33"/>
  <c r="DU30" i="33"/>
  <c r="DU44" i="33"/>
  <c r="J102" i="33"/>
  <c r="CC30" i="33"/>
  <c r="CC44" i="33"/>
  <c r="Q62" i="33"/>
  <c r="Q63" i="33"/>
  <c r="AR4" i="33"/>
  <c r="EA30" i="33"/>
  <c r="EA44" i="33"/>
  <c r="T17" i="33"/>
  <c r="C92" i="33"/>
  <c r="Z36" i="33"/>
  <c r="G92" i="33"/>
  <c r="AA44" i="33"/>
  <c r="AA30" i="33"/>
  <c r="AF9" i="33"/>
  <c r="Z16" i="33"/>
  <c r="Z17" i="33"/>
  <c r="C93" i="33"/>
  <c r="T16" i="33"/>
  <c r="CC30" i="46"/>
  <c r="CE44" i="46"/>
  <c r="DI30" i="46"/>
  <c r="BQ30" i="46"/>
  <c r="BQ44" i="46"/>
  <c r="CE30" i="46"/>
  <c r="DI44" i="46"/>
  <c r="T29" i="46"/>
  <c r="E95" i="46"/>
  <c r="T28" i="46"/>
  <c r="D95" i="46"/>
  <c r="BW44" i="46"/>
  <c r="BW30" i="46"/>
  <c r="N44" i="46"/>
  <c r="N30" i="46"/>
  <c r="B94" i="46"/>
  <c r="BE30" i="46"/>
  <c r="BE44" i="46"/>
  <c r="DC44" i="46"/>
  <c r="DC30" i="46"/>
  <c r="O30" i="46"/>
  <c r="O44" i="46"/>
  <c r="CW30" i="46"/>
  <c r="CW44" i="46"/>
  <c r="V4" i="46"/>
  <c r="P15" i="46"/>
  <c r="P16" i="46"/>
  <c r="S94" i="46"/>
  <c r="AA44" i="46"/>
  <c r="AA30" i="46"/>
  <c r="Z32" i="46"/>
  <c r="T43" i="46"/>
  <c r="G95" i="46"/>
  <c r="T42" i="46"/>
  <c r="F95" i="46"/>
  <c r="BK30" i="46"/>
  <c r="BK44" i="46"/>
  <c r="CK30" i="46"/>
  <c r="CK44" i="46"/>
  <c r="J30" i="46"/>
  <c r="J44" i="46"/>
  <c r="R93" i="46"/>
  <c r="AM30" i="46"/>
  <c r="AM44" i="46"/>
  <c r="CQ44" i="46"/>
  <c r="CQ30" i="46"/>
  <c r="EA44" i="46"/>
  <c r="EA30" i="46"/>
  <c r="Z4" i="46"/>
  <c r="T15" i="46"/>
  <c r="T16" i="46"/>
  <c r="C95" i="46"/>
  <c r="AG44" i="46"/>
  <c r="AG30" i="46"/>
  <c r="CC44" i="46"/>
  <c r="U44" i="46"/>
  <c r="U30" i="46"/>
  <c r="DU30" i="46"/>
  <c r="DU44" i="46"/>
  <c r="AY30" i="46"/>
  <c r="AY44" i="46"/>
  <c r="V32" i="46"/>
  <c r="P43" i="46"/>
  <c r="W94" i="46"/>
  <c r="P42" i="46"/>
  <c r="V94" i="46"/>
  <c r="P28" i="46"/>
  <c r="T94" i="46"/>
  <c r="V18" i="46"/>
  <c r="P29" i="46"/>
  <c r="U94" i="46"/>
  <c r="AF18" i="46"/>
  <c r="Z29" i="46"/>
  <c r="E96" i="46"/>
  <c r="Z28" i="46"/>
  <c r="D96" i="46"/>
  <c r="DO30" i="46"/>
  <c r="DO44" i="46"/>
  <c r="T5" i="45"/>
  <c r="T16" i="45"/>
  <c r="N43" i="45"/>
  <c r="Q43" i="45"/>
  <c r="H60" i="45"/>
  <c r="Q30" i="45"/>
  <c r="AI4" i="45"/>
  <c r="T29" i="45"/>
  <c r="K61" i="45"/>
  <c r="W28" i="45"/>
  <c r="J62" i="45"/>
  <c r="Z19" i="45"/>
  <c r="W29" i="45"/>
  <c r="K62" i="45"/>
  <c r="T28" i="45"/>
  <c r="J61" i="45"/>
  <c r="H57" i="45"/>
  <c r="I30" i="45"/>
  <c r="I30" i="6"/>
  <c r="H59" i="6"/>
  <c r="I44" i="6"/>
  <c r="T4" i="6"/>
  <c r="Q15" i="6"/>
  <c r="Q16" i="6"/>
  <c r="I62" i="6"/>
  <c r="W18" i="6"/>
  <c r="T28" i="6"/>
  <c r="J63" i="6"/>
  <c r="T29" i="6"/>
  <c r="K63" i="6"/>
  <c r="N30" i="6"/>
  <c r="H61" i="6"/>
  <c r="I43" i="45"/>
  <c r="L57" i="45"/>
  <c r="L61" i="6"/>
  <c r="N44" i="6"/>
  <c r="Q43" i="6"/>
  <c r="M62" i="6"/>
  <c r="Q42" i="6"/>
  <c r="AV28" i="51"/>
  <c r="Z43" i="33"/>
  <c r="Z42" i="33"/>
  <c r="AB32" i="33"/>
  <c r="V43" i="33"/>
  <c r="V42" i="33"/>
  <c r="V92" i="33"/>
  <c r="AF22" i="46"/>
  <c r="AF8" i="46"/>
  <c r="Z8" i="6"/>
  <c r="Z22" i="6"/>
  <c r="AO32" i="6"/>
  <c r="AR32" i="6"/>
  <c r="AU32" i="6"/>
  <c r="AX32" i="6"/>
  <c r="BA32" i="6"/>
  <c r="BD32" i="6"/>
  <c r="BG32" i="6"/>
  <c r="BJ32" i="6"/>
  <c r="BM32" i="6"/>
  <c r="BP32" i="6"/>
  <c r="BS32" i="6"/>
  <c r="AL42" i="6"/>
  <c r="T42" i="45"/>
  <c r="M61" i="45"/>
  <c r="T41" i="45"/>
  <c r="L61" i="45"/>
  <c r="W32" i="45"/>
  <c r="DV38" i="33"/>
  <c r="DB38" i="33"/>
  <c r="P30" i="33"/>
  <c r="V17" i="33"/>
  <c r="S92" i="33"/>
  <c r="V16" i="33"/>
  <c r="V30" i="33"/>
  <c r="AR20" i="33"/>
  <c r="AL29" i="33"/>
  <c r="E95" i="33"/>
  <c r="AL28" i="33"/>
  <c r="D95" i="33"/>
  <c r="AH19" i="33"/>
  <c r="AB28" i="33"/>
  <c r="T93" i="33"/>
  <c r="AB29" i="33"/>
  <c r="U93" i="33"/>
  <c r="AF36" i="33"/>
  <c r="G93" i="33"/>
  <c r="F93" i="33"/>
  <c r="BP19" i="33"/>
  <c r="V91" i="33"/>
  <c r="P44" i="33"/>
  <c r="AB36" i="33"/>
  <c r="W92" i="33"/>
  <c r="B92" i="33"/>
  <c r="T44" i="33"/>
  <c r="T30" i="33"/>
  <c r="AX32" i="33"/>
  <c r="B93" i="33"/>
  <c r="Z30" i="33"/>
  <c r="AX4" i="33"/>
  <c r="AH6" i="33"/>
  <c r="AB16" i="33"/>
  <c r="AB17" i="33"/>
  <c r="S93" i="33"/>
  <c r="AZ4" i="33"/>
  <c r="AL9" i="33"/>
  <c r="AF17" i="33"/>
  <c r="C94" i="33"/>
  <c r="AF16" i="33"/>
  <c r="AT33" i="33"/>
  <c r="AB4" i="46"/>
  <c r="V15" i="46"/>
  <c r="V16" i="46"/>
  <c r="S95" i="46"/>
  <c r="AB32" i="46"/>
  <c r="V42" i="46"/>
  <c r="V95" i="46"/>
  <c r="V43" i="46"/>
  <c r="W95" i="46"/>
  <c r="AF4" i="46"/>
  <c r="Z15" i="46"/>
  <c r="Z16" i="46"/>
  <c r="C96" i="46"/>
  <c r="P44" i="46"/>
  <c r="P30" i="46"/>
  <c r="R94" i="46"/>
  <c r="T30" i="46"/>
  <c r="T44" i="46"/>
  <c r="B95" i="46"/>
  <c r="AL18" i="46"/>
  <c r="AF28" i="46"/>
  <c r="D97" i="46"/>
  <c r="AF29" i="46"/>
  <c r="E97" i="46"/>
  <c r="AF32" i="46"/>
  <c r="AF43" i="46"/>
  <c r="Z42" i="46"/>
  <c r="F96" i="46"/>
  <c r="Z43" i="46"/>
  <c r="G96" i="46"/>
  <c r="AB18" i="46"/>
  <c r="V29" i="46"/>
  <c r="U95" i="46"/>
  <c r="V28" i="46"/>
  <c r="T95" i="46"/>
  <c r="T17" i="45"/>
  <c r="I61" i="45"/>
  <c r="W5" i="45"/>
  <c r="W16" i="45"/>
  <c r="Z29" i="45"/>
  <c r="K63" i="45"/>
  <c r="Z28" i="45"/>
  <c r="J63" i="45"/>
  <c r="AC19" i="45"/>
  <c r="AL4" i="45"/>
  <c r="H61" i="45"/>
  <c r="T30" i="45"/>
  <c r="Z5" i="45"/>
  <c r="W17" i="45"/>
  <c r="I62" i="45"/>
  <c r="Z18" i="6"/>
  <c r="W28" i="6"/>
  <c r="J64" i="6"/>
  <c r="W29" i="6"/>
  <c r="K64" i="6"/>
  <c r="Q30" i="6"/>
  <c r="H62" i="6"/>
  <c r="T16" i="6"/>
  <c r="I63" i="6"/>
  <c r="W4" i="6"/>
  <c r="T15" i="6"/>
  <c r="L62" i="6"/>
  <c r="Q44" i="6"/>
  <c r="T42" i="6"/>
  <c r="T43" i="6"/>
  <c r="M63" i="6"/>
  <c r="AF42" i="33"/>
  <c r="AF43" i="33"/>
  <c r="AH32" i="33"/>
  <c r="AB43" i="33"/>
  <c r="AB42" i="33"/>
  <c r="AL8" i="46"/>
  <c r="AL22" i="46"/>
  <c r="AL29" i="46"/>
  <c r="E98" i="46"/>
  <c r="AC22" i="6"/>
  <c r="Z29" i="6"/>
  <c r="K65" i="6"/>
  <c r="Z28" i="6"/>
  <c r="J65" i="6"/>
  <c r="AC8" i="6"/>
  <c r="T43" i="45"/>
  <c r="W42" i="45"/>
  <c r="M62" i="45"/>
  <c r="W41" i="45"/>
  <c r="L62" i="45"/>
  <c r="Z32" i="45"/>
  <c r="EB38" i="33"/>
  <c r="DH38" i="33"/>
  <c r="V44" i="33"/>
  <c r="R92" i="33"/>
  <c r="BV19" i="33"/>
  <c r="AF30" i="33"/>
  <c r="B94" i="33"/>
  <c r="AN19" i="33"/>
  <c r="AH28" i="33"/>
  <c r="T94" i="33"/>
  <c r="AH29" i="33"/>
  <c r="U94" i="33"/>
  <c r="AZ33" i="33"/>
  <c r="R93" i="33"/>
  <c r="AB30" i="33"/>
  <c r="AR9" i="33"/>
  <c r="AL17" i="33"/>
  <c r="C95" i="33"/>
  <c r="AL16" i="33"/>
  <c r="AH36" i="33"/>
  <c r="W93" i="33"/>
  <c r="V93" i="33"/>
  <c r="BD32" i="33"/>
  <c r="AL36" i="33"/>
  <c r="G94" i="33"/>
  <c r="F94" i="33"/>
  <c r="AN6" i="33"/>
  <c r="AH16" i="33"/>
  <c r="AH17" i="33"/>
  <c r="S94" i="33"/>
  <c r="BF4" i="33"/>
  <c r="BD4" i="33"/>
  <c r="Z44" i="33"/>
  <c r="AX20" i="33"/>
  <c r="AR29" i="33"/>
  <c r="E96" i="33"/>
  <c r="AR28" i="33"/>
  <c r="D96" i="33"/>
  <c r="AL4" i="46"/>
  <c r="AF15" i="46"/>
  <c r="AF16" i="46"/>
  <c r="C97" i="46"/>
  <c r="AR18" i="46"/>
  <c r="Z44" i="46"/>
  <c r="Z30" i="46"/>
  <c r="B96" i="46"/>
  <c r="AF42" i="46"/>
  <c r="F97" i="46"/>
  <c r="AL32" i="46"/>
  <c r="G97" i="46"/>
  <c r="AH32" i="46"/>
  <c r="AH43" i="46"/>
  <c r="AB42" i="46"/>
  <c r="V96" i="46"/>
  <c r="AB43" i="46"/>
  <c r="W96" i="46"/>
  <c r="V30" i="46"/>
  <c r="R95" i="46"/>
  <c r="V44" i="46"/>
  <c r="AH18" i="46"/>
  <c r="AB28" i="46"/>
  <c r="T96" i="46"/>
  <c r="AB29" i="46"/>
  <c r="U96" i="46"/>
  <c r="AH4" i="46"/>
  <c r="AB16" i="46"/>
  <c r="S96" i="46"/>
  <c r="AB15" i="46"/>
  <c r="AC5" i="45"/>
  <c r="Z17" i="45"/>
  <c r="I63" i="45"/>
  <c r="Z16" i="45"/>
  <c r="W30" i="45"/>
  <c r="H62" i="45"/>
  <c r="AO4" i="45"/>
  <c r="AC29" i="45"/>
  <c r="K64" i="45"/>
  <c r="AC28" i="45"/>
  <c r="J64" i="45"/>
  <c r="AF19" i="45"/>
  <c r="T30" i="6"/>
  <c r="H63" i="6"/>
  <c r="W16" i="6"/>
  <c r="I64" i="6"/>
  <c r="W15" i="6"/>
  <c r="Z4" i="6"/>
  <c r="AC18" i="6"/>
  <c r="L63" i="6"/>
  <c r="T44" i="6"/>
  <c r="W43" i="6"/>
  <c r="M64" i="6"/>
  <c r="W42" i="6"/>
  <c r="AL43" i="33"/>
  <c r="AL42" i="33"/>
  <c r="F95" i="33"/>
  <c r="AN32" i="33"/>
  <c r="AH43" i="33"/>
  <c r="AH42" i="33"/>
  <c r="AL28" i="46"/>
  <c r="D98" i="46"/>
  <c r="AR22" i="46"/>
  <c r="AR28" i="46"/>
  <c r="D99" i="46"/>
  <c r="AR8" i="46"/>
  <c r="Z16" i="6"/>
  <c r="I65" i="6"/>
  <c r="Z15" i="6"/>
  <c r="AF8" i="6"/>
  <c r="AF22" i="6"/>
  <c r="W43" i="45"/>
  <c r="Z42" i="45"/>
  <c r="M63" i="45"/>
  <c r="Z41" i="45"/>
  <c r="L63" i="45"/>
  <c r="AC32" i="45"/>
  <c r="DN38" i="33"/>
  <c r="AN36" i="33"/>
  <c r="W94" i="33"/>
  <c r="V94" i="33"/>
  <c r="AL30" i="33"/>
  <c r="B95" i="33"/>
  <c r="R94" i="33"/>
  <c r="AH30" i="33"/>
  <c r="AR36" i="33"/>
  <c r="G95" i="33"/>
  <c r="AB44" i="33"/>
  <c r="BL4" i="33"/>
  <c r="AT6" i="33"/>
  <c r="AN17" i="33"/>
  <c r="S95" i="33"/>
  <c r="AN16" i="33"/>
  <c r="AT19" i="33"/>
  <c r="AN28" i="33"/>
  <c r="T95" i="33"/>
  <c r="AN29" i="33"/>
  <c r="U95" i="33"/>
  <c r="AF44" i="33"/>
  <c r="BD20" i="33"/>
  <c r="AX28" i="33"/>
  <c r="D97" i="33"/>
  <c r="AX29" i="33"/>
  <c r="E97" i="33"/>
  <c r="AX9" i="33"/>
  <c r="AR16" i="33"/>
  <c r="AR17" i="33"/>
  <c r="C96" i="33"/>
  <c r="BJ4" i="33"/>
  <c r="BJ32" i="33"/>
  <c r="BF33" i="33"/>
  <c r="CD19" i="33"/>
  <c r="AN18" i="46"/>
  <c r="AH29" i="46"/>
  <c r="U97" i="46"/>
  <c r="AH28" i="46"/>
  <c r="T97" i="46"/>
  <c r="AX18" i="46"/>
  <c r="AR29" i="46"/>
  <c r="E99" i="46"/>
  <c r="AN32" i="46"/>
  <c r="AH42" i="46"/>
  <c r="V97" i="46"/>
  <c r="W97" i="46"/>
  <c r="AB44" i="46"/>
  <c r="R96" i="46"/>
  <c r="AB30" i="46"/>
  <c r="AF30" i="46"/>
  <c r="B97" i="46"/>
  <c r="AF44" i="46"/>
  <c r="AH15" i="46"/>
  <c r="AN4" i="46"/>
  <c r="AH16" i="46"/>
  <c r="S97" i="46"/>
  <c r="AR32" i="46"/>
  <c r="AL42" i="46"/>
  <c r="F98" i="46"/>
  <c r="AL43" i="46"/>
  <c r="G98" i="46"/>
  <c r="AL15" i="46"/>
  <c r="AR4" i="46"/>
  <c r="AL16" i="46"/>
  <c r="C98" i="46"/>
  <c r="AI19" i="45"/>
  <c r="AF28" i="45"/>
  <c r="J65" i="45"/>
  <c r="AF29" i="45"/>
  <c r="K65" i="45"/>
  <c r="AR4" i="45"/>
  <c r="Z30" i="45"/>
  <c r="H63" i="45"/>
  <c r="Z43" i="45"/>
  <c r="AF5" i="45"/>
  <c r="AC17" i="45"/>
  <c r="I64" i="45"/>
  <c r="AC16" i="45"/>
  <c r="AC4" i="6"/>
  <c r="AF18" i="6"/>
  <c r="AC29" i="6"/>
  <c r="K66" i="6"/>
  <c r="AC28" i="6"/>
  <c r="J66" i="6"/>
  <c r="H64" i="6"/>
  <c r="W30" i="6"/>
  <c r="W44" i="6"/>
  <c r="L64" i="6"/>
  <c r="M65" i="6"/>
  <c r="AR43" i="33"/>
  <c r="AR42" i="33"/>
  <c r="F96" i="33"/>
  <c r="AT32" i="33"/>
  <c r="AN43" i="33"/>
  <c r="AN42" i="33"/>
  <c r="AX8" i="46"/>
  <c r="AX22" i="46"/>
  <c r="AI8" i="6"/>
  <c r="AI22" i="6"/>
  <c r="AC42" i="45"/>
  <c r="M64" i="45"/>
  <c r="AC41" i="45"/>
  <c r="L64" i="45"/>
  <c r="AF32" i="45"/>
  <c r="DT38" i="33"/>
  <c r="BP32" i="33"/>
  <c r="AX36" i="33"/>
  <c r="G96" i="33"/>
  <c r="AT29" i="33"/>
  <c r="U96" i="33"/>
  <c r="AT28" i="33"/>
  <c r="T96" i="33"/>
  <c r="AZ19" i="33"/>
  <c r="AH44" i="33"/>
  <c r="BL33" i="33"/>
  <c r="R95" i="33"/>
  <c r="AN30" i="33"/>
  <c r="BP4" i="33"/>
  <c r="AL44" i="33"/>
  <c r="BD9" i="33"/>
  <c r="AX16" i="33"/>
  <c r="AX17" i="33"/>
  <c r="C97" i="33"/>
  <c r="BJ20" i="33"/>
  <c r="BD29" i="33"/>
  <c r="E98" i="33"/>
  <c r="BD28" i="33"/>
  <c r="D98" i="33"/>
  <c r="AZ6" i="33"/>
  <c r="AT17" i="33"/>
  <c r="S96" i="33"/>
  <c r="AT16" i="33"/>
  <c r="B96" i="33"/>
  <c r="AR30" i="33"/>
  <c r="BR4" i="33"/>
  <c r="CJ19" i="33"/>
  <c r="AT36" i="33"/>
  <c r="V95" i="33"/>
  <c r="W95" i="33"/>
  <c r="AT18" i="46"/>
  <c r="AN29" i="46"/>
  <c r="U98" i="46"/>
  <c r="AN28" i="46"/>
  <c r="T98" i="46"/>
  <c r="AR43" i="46"/>
  <c r="G99" i="46"/>
  <c r="AX32" i="46"/>
  <c r="AR42" i="46"/>
  <c r="F99" i="46"/>
  <c r="AT32" i="46"/>
  <c r="AN43" i="46"/>
  <c r="W98" i="46"/>
  <c r="AN42" i="46"/>
  <c r="V98" i="46"/>
  <c r="AT4" i="46"/>
  <c r="AN15" i="46"/>
  <c r="AN16" i="46"/>
  <c r="S98" i="46"/>
  <c r="AX4" i="46"/>
  <c r="AR15" i="46"/>
  <c r="AR16" i="46"/>
  <c r="C99" i="46"/>
  <c r="AL44" i="46"/>
  <c r="AL30" i="46"/>
  <c r="B98" i="46"/>
  <c r="AH44" i="46"/>
  <c r="AH30" i="46"/>
  <c r="R97" i="46"/>
  <c r="BD18" i="46"/>
  <c r="AU4" i="45"/>
  <c r="AC30" i="45"/>
  <c r="H64" i="45"/>
  <c r="AI5" i="45"/>
  <c r="AF16" i="45"/>
  <c r="AF17" i="45"/>
  <c r="I65" i="45"/>
  <c r="AL19" i="45"/>
  <c r="AI28" i="45"/>
  <c r="J66" i="45"/>
  <c r="AI29" i="45"/>
  <c r="K66" i="45"/>
  <c r="AI18" i="6"/>
  <c r="AF28" i="6"/>
  <c r="J67" i="6"/>
  <c r="AF29" i="6"/>
  <c r="K67" i="6"/>
  <c r="AC15" i="6"/>
  <c r="AC16" i="6"/>
  <c r="I66" i="6"/>
  <c r="AF4" i="6"/>
  <c r="H65" i="6"/>
  <c r="Z30" i="6"/>
  <c r="AC43" i="6"/>
  <c r="M66" i="6"/>
  <c r="AC42" i="6"/>
  <c r="L65" i="6"/>
  <c r="Z44" i="6"/>
  <c r="AR44" i="33"/>
  <c r="AX43" i="33"/>
  <c r="G97" i="33"/>
  <c r="AX42" i="33"/>
  <c r="AZ32" i="33"/>
  <c r="AT43" i="33"/>
  <c r="AT42" i="33"/>
  <c r="V96" i="33"/>
  <c r="BD22" i="46"/>
  <c r="AX29" i="46"/>
  <c r="E100" i="46"/>
  <c r="AX28" i="46"/>
  <c r="D100" i="46"/>
  <c r="BD8" i="46"/>
  <c r="AL22" i="6"/>
  <c r="AL8" i="6"/>
  <c r="AC43" i="45"/>
  <c r="AF42" i="45"/>
  <c r="M65" i="45"/>
  <c r="AF41" i="45"/>
  <c r="L65" i="45"/>
  <c r="AI32" i="45"/>
  <c r="DZ38" i="33"/>
  <c r="BJ9" i="33"/>
  <c r="BD16" i="33"/>
  <c r="BD17" i="33"/>
  <c r="C98" i="33"/>
  <c r="AZ29" i="33"/>
  <c r="U97" i="33"/>
  <c r="AZ28" i="33"/>
  <c r="T97" i="33"/>
  <c r="BF19" i="33"/>
  <c r="BD36" i="33"/>
  <c r="F97" i="33"/>
  <c r="BV32" i="33"/>
  <c r="CP19" i="33"/>
  <c r="BP20" i="33"/>
  <c r="BJ29" i="33"/>
  <c r="E99" i="33"/>
  <c r="BJ28" i="33"/>
  <c r="D99" i="33"/>
  <c r="BX4" i="33"/>
  <c r="BR33" i="33"/>
  <c r="BV4" i="33"/>
  <c r="R96" i="33"/>
  <c r="AT30" i="33"/>
  <c r="AZ36" i="33"/>
  <c r="W96" i="33"/>
  <c r="BF6" i="33"/>
  <c r="AZ16" i="33"/>
  <c r="AZ17" i="33"/>
  <c r="S97" i="33"/>
  <c r="B97" i="33"/>
  <c r="AX30" i="33"/>
  <c r="AN44" i="33"/>
  <c r="AN30" i="46"/>
  <c r="AN44" i="46"/>
  <c r="R98" i="46"/>
  <c r="AZ32" i="46"/>
  <c r="AT42" i="46"/>
  <c r="V99" i="46"/>
  <c r="AT43" i="46"/>
  <c r="W99" i="46"/>
  <c r="AR30" i="46"/>
  <c r="AR44" i="46"/>
  <c r="B99" i="46"/>
  <c r="AX43" i="46"/>
  <c r="G100" i="46"/>
  <c r="BD32" i="46"/>
  <c r="AX42" i="46"/>
  <c r="F100" i="46"/>
  <c r="AZ4" i="46"/>
  <c r="AT15" i="46"/>
  <c r="AT16" i="46"/>
  <c r="S99" i="46"/>
  <c r="BD29" i="46"/>
  <c r="E101" i="46"/>
  <c r="BJ18" i="46"/>
  <c r="BD28" i="46"/>
  <c r="D101" i="46"/>
  <c r="AX15" i="46"/>
  <c r="BD4" i="46"/>
  <c r="AX16" i="46"/>
  <c r="C100" i="46"/>
  <c r="AT29" i="46"/>
  <c r="U99" i="46"/>
  <c r="AZ18" i="46"/>
  <c r="AT28" i="46"/>
  <c r="T99" i="46"/>
  <c r="AL5" i="45"/>
  <c r="AI17" i="45"/>
  <c r="I66" i="45"/>
  <c r="AI16" i="45"/>
  <c r="AX4" i="45"/>
  <c r="H65" i="45"/>
  <c r="AF30" i="45"/>
  <c r="AO19" i="45"/>
  <c r="AL29" i="45"/>
  <c r="K67" i="45"/>
  <c r="AL28" i="45"/>
  <c r="J67" i="45"/>
  <c r="AI4" i="6"/>
  <c r="AF16" i="6"/>
  <c r="I67" i="6"/>
  <c r="AF15" i="6"/>
  <c r="H66" i="6"/>
  <c r="AC30" i="6"/>
  <c r="AI28" i="6"/>
  <c r="J68" i="6"/>
  <c r="AI29" i="6"/>
  <c r="K68" i="6"/>
  <c r="AL18" i="6"/>
  <c r="L66" i="6"/>
  <c r="AC44" i="6"/>
  <c r="AF42" i="6"/>
  <c r="AF43" i="6"/>
  <c r="M67" i="6"/>
  <c r="BD43" i="33"/>
  <c r="G98" i="33"/>
  <c r="BD42" i="33"/>
  <c r="F98" i="33"/>
  <c r="BF32" i="33"/>
  <c r="AZ43" i="33"/>
  <c r="AZ42" i="33"/>
  <c r="V97" i="33"/>
  <c r="BJ8" i="46"/>
  <c r="BJ22" i="46"/>
  <c r="AO8" i="6"/>
  <c r="AO22" i="6"/>
  <c r="AF43" i="45"/>
  <c r="AI42" i="45"/>
  <c r="M66" i="45"/>
  <c r="AI41" i="45"/>
  <c r="L66" i="45"/>
  <c r="AL32" i="45"/>
  <c r="R97" i="33"/>
  <c r="AZ30" i="33"/>
  <c r="CV19" i="33"/>
  <c r="CF4" i="33"/>
  <c r="BJ36" i="33"/>
  <c r="CD4" i="33"/>
  <c r="BL6" i="33"/>
  <c r="BF17" i="33"/>
  <c r="S98" i="33"/>
  <c r="BF16" i="33"/>
  <c r="BP9" i="33"/>
  <c r="BJ17" i="33"/>
  <c r="C99" i="33"/>
  <c r="BJ16" i="33"/>
  <c r="BF36" i="33"/>
  <c r="W97" i="33"/>
  <c r="BL19" i="33"/>
  <c r="BF29" i="33"/>
  <c r="U98" i="33"/>
  <c r="BF28" i="33"/>
  <c r="T98" i="33"/>
  <c r="BV20" i="33"/>
  <c r="BP29" i="33"/>
  <c r="E100" i="33"/>
  <c r="BP28" i="33"/>
  <c r="D100" i="33"/>
  <c r="B98" i="33"/>
  <c r="BD30" i="33"/>
  <c r="BX33" i="33"/>
  <c r="CD32" i="33"/>
  <c r="AX44" i="33"/>
  <c r="AT44" i="33"/>
  <c r="BJ4" i="46"/>
  <c r="BD15" i="46"/>
  <c r="BD16" i="46"/>
  <c r="C101" i="46"/>
  <c r="BD43" i="46"/>
  <c r="G101" i="46"/>
  <c r="BD42" i="46"/>
  <c r="F101" i="46"/>
  <c r="BJ32" i="46"/>
  <c r="BP18" i="46"/>
  <c r="AT44" i="46"/>
  <c r="R99" i="46"/>
  <c r="AT30" i="46"/>
  <c r="BF32" i="46"/>
  <c r="AZ42" i="46"/>
  <c r="V100" i="46"/>
  <c r="AZ43" i="46"/>
  <c r="W100" i="46"/>
  <c r="BF4" i="46"/>
  <c r="AZ16" i="46"/>
  <c r="S100" i="46"/>
  <c r="AZ15" i="46"/>
  <c r="AX30" i="46"/>
  <c r="B100" i="46"/>
  <c r="AX44" i="46"/>
  <c r="AZ28" i="46"/>
  <c r="T100" i="46"/>
  <c r="AZ29" i="46"/>
  <c r="U100" i="46"/>
  <c r="BF18" i="46"/>
  <c r="AR19" i="45"/>
  <c r="AO28" i="45"/>
  <c r="J68" i="45"/>
  <c r="AO29" i="45"/>
  <c r="K68" i="45"/>
  <c r="BA4" i="45"/>
  <c r="AI30" i="45"/>
  <c r="H66" i="45"/>
  <c r="AO5" i="45"/>
  <c r="AL17" i="45"/>
  <c r="I67" i="45"/>
  <c r="AL16" i="45"/>
  <c r="AL28" i="6"/>
  <c r="J69" i="6"/>
  <c r="AL29" i="6"/>
  <c r="K69" i="6"/>
  <c r="AO18" i="6"/>
  <c r="H67" i="6"/>
  <c r="AF30" i="6"/>
  <c r="AL4" i="6"/>
  <c r="AI15" i="6"/>
  <c r="AI16" i="6"/>
  <c r="I68" i="6"/>
  <c r="AI43" i="6"/>
  <c r="M68" i="6"/>
  <c r="AF44" i="6"/>
  <c r="L67" i="6"/>
  <c r="BJ43" i="33"/>
  <c r="BJ42" i="33"/>
  <c r="BL32" i="33"/>
  <c r="BF43" i="33"/>
  <c r="BF42" i="33"/>
  <c r="V98" i="33"/>
  <c r="BP22" i="46"/>
  <c r="BP28" i="46"/>
  <c r="D103" i="46"/>
  <c r="BJ29" i="46"/>
  <c r="E102" i="46"/>
  <c r="BJ28" i="46"/>
  <c r="D102" i="46"/>
  <c r="BP8" i="46"/>
  <c r="AR22" i="6"/>
  <c r="AR8" i="6"/>
  <c r="AI43" i="45"/>
  <c r="AL41" i="45"/>
  <c r="L67" i="45"/>
  <c r="AL42" i="45"/>
  <c r="M67" i="45"/>
  <c r="AO32" i="45"/>
  <c r="BP36" i="33"/>
  <c r="F99" i="33"/>
  <c r="G99" i="33"/>
  <c r="CL4" i="33"/>
  <c r="BV9" i="33"/>
  <c r="BP16" i="33"/>
  <c r="BP17" i="33"/>
  <c r="C100" i="33"/>
  <c r="CF33" i="33"/>
  <c r="B99" i="33"/>
  <c r="BJ30" i="33"/>
  <c r="BD44" i="33"/>
  <c r="R98" i="33"/>
  <c r="BF30" i="33"/>
  <c r="BL36" i="33"/>
  <c r="W98" i="33"/>
  <c r="DB19" i="33"/>
  <c r="CD20" i="33"/>
  <c r="BV29" i="33"/>
  <c r="E101" i="33"/>
  <c r="BV28" i="33"/>
  <c r="D101" i="33"/>
  <c r="BR6" i="33"/>
  <c r="BL16" i="33"/>
  <c r="BL17" i="33"/>
  <c r="S99" i="33"/>
  <c r="CJ32" i="33"/>
  <c r="CJ4" i="33"/>
  <c r="AZ44" i="33"/>
  <c r="BR19" i="33"/>
  <c r="BL28" i="33"/>
  <c r="T99" i="33"/>
  <c r="BL29" i="33"/>
  <c r="U99" i="33"/>
  <c r="R100" i="46"/>
  <c r="AZ30" i="46"/>
  <c r="AZ44" i="46"/>
  <c r="BV18" i="46"/>
  <c r="BP29" i="46"/>
  <c r="E103" i="46"/>
  <c r="BL32" i="46"/>
  <c r="BF43" i="46"/>
  <c r="W101" i="46"/>
  <c r="BF42" i="46"/>
  <c r="V101" i="46"/>
  <c r="BP32" i="46"/>
  <c r="BJ43" i="46"/>
  <c r="G102" i="46"/>
  <c r="BJ42" i="46"/>
  <c r="F102" i="46"/>
  <c r="BL4" i="46"/>
  <c r="BF16" i="46"/>
  <c r="S101" i="46"/>
  <c r="BF15" i="46"/>
  <c r="BL18" i="46"/>
  <c r="BF28" i="46"/>
  <c r="T101" i="46"/>
  <c r="BF29" i="46"/>
  <c r="U101" i="46"/>
  <c r="BD30" i="46"/>
  <c r="BD44" i="46"/>
  <c r="B101" i="46"/>
  <c r="BP4" i="46"/>
  <c r="BJ15" i="46"/>
  <c r="BJ16" i="46"/>
  <c r="C102" i="46"/>
  <c r="BD4" i="45"/>
  <c r="H67" i="45"/>
  <c r="AL30" i="45"/>
  <c r="AU19" i="45"/>
  <c r="AR29" i="45"/>
  <c r="K69" i="45"/>
  <c r="AR28" i="45"/>
  <c r="J69" i="45"/>
  <c r="AR5" i="45"/>
  <c r="AO16" i="45"/>
  <c r="AO17" i="45"/>
  <c r="I68" i="45"/>
  <c r="AI30" i="6"/>
  <c r="H68" i="6"/>
  <c r="AO4" i="6"/>
  <c r="AL16" i="6"/>
  <c r="I69" i="6"/>
  <c r="AL15" i="6"/>
  <c r="AO28" i="6"/>
  <c r="J70" i="6"/>
  <c r="AO29" i="6"/>
  <c r="K70" i="6"/>
  <c r="AR18" i="6"/>
  <c r="AI44" i="6"/>
  <c r="L68" i="6"/>
  <c r="AL43" i="6"/>
  <c r="M69" i="6"/>
  <c r="BP42" i="33"/>
  <c r="BP43" i="33"/>
  <c r="BL42" i="33"/>
  <c r="BL43" i="33"/>
  <c r="BR32" i="33"/>
  <c r="BV8" i="46"/>
  <c r="BV22" i="46"/>
  <c r="AL43" i="45"/>
  <c r="AU8" i="6"/>
  <c r="AU22" i="6"/>
  <c r="AO42" i="45"/>
  <c r="M68" i="45"/>
  <c r="AO41" i="45"/>
  <c r="L68" i="45"/>
  <c r="AR32" i="45"/>
  <c r="CD9" i="33"/>
  <c r="BV16" i="33"/>
  <c r="BV17" i="33"/>
  <c r="C101" i="33"/>
  <c r="BX19" i="33"/>
  <c r="BR29" i="33"/>
  <c r="U100" i="33"/>
  <c r="BR28" i="33"/>
  <c r="T100" i="33"/>
  <c r="CP32" i="33"/>
  <c r="CL33" i="33"/>
  <c r="BL30" i="33"/>
  <c r="R99" i="33"/>
  <c r="BX6" i="33"/>
  <c r="BR17" i="33"/>
  <c r="S100" i="33"/>
  <c r="BR16" i="33"/>
  <c r="BR36" i="33"/>
  <c r="W99" i="33"/>
  <c r="V99" i="33"/>
  <c r="B100" i="33"/>
  <c r="BP30" i="33"/>
  <c r="BF44" i="33"/>
  <c r="CJ20" i="33"/>
  <c r="CD29" i="33"/>
  <c r="E102" i="33"/>
  <c r="CD28" i="33"/>
  <c r="D102" i="33"/>
  <c r="CP4" i="33"/>
  <c r="CR4" i="33"/>
  <c r="DH19" i="33"/>
  <c r="BJ44" i="33"/>
  <c r="BV36" i="33"/>
  <c r="F100" i="33"/>
  <c r="G100" i="33"/>
  <c r="R101" i="46"/>
  <c r="BF44" i="46"/>
  <c r="BF30" i="46"/>
  <c r="BJ30" i="46"/>
  <c r="BJ44" i="46"/>
  <c r="B102" i="46"/>
  <c r="BV4" i="46"/>
  <c r="BP16" i="46"/>
  <c r="C103" i="46"/>
  <c r="BP15" i="46"/>
  <c r="BP42" i="46"/>
  <c r="F103" i="46"/>
  <c r="BP43" i="46"/>
  <c r="G103" i="46"/>
  <c r="BV32" i="46"/>
  <c r="BR32" i="46"/>
  <c r="BL42" i="46"/>
  <c r="V102" i="46"/>
  <c r="BL43" i="46"/>
  <c r="W102" i="46"/>
  <c r="BL29" i="46"/>
  <c r="U102" i="46"/>
  <c r="BR18" i="46"/>
  <c r="BL28" i="46"/>
  <c r="T102" i="46"/>
  <c r="CD18" i="46"/>
  <c r="BV28" i="46"/>
  <c r="D104" i="46"/>
  <c r="BL16" i="46"/>
  <c r="S102" i="46"/>
  <c r="BL15" i="46"/>
  <c r="BR4" i="46"/>
  <c r="AU5" i="45"/>
  <c r="AR17" i="45"/>
  <c r="I69" i="45"/>
  <c r="AR16" i="45"/>
  <c r="H68" i="45"/>
  <c r="AO30" i="45"/>
  <c r="AX19" i="45"/>
  <c r="AU29" i="45"/>
  <c r="K70" i="45"/>
  <c r="AU28" i="45"/>
  <c r="J70" i="45"/>
  <c r="BG4" i="45"/>
  <c r="H69" i="6"/>
  <c r="AL30" i="6"/>
  <c r="AR4" i="6"/>
  <c r="AO15" i="6"/>
  <c r="AO16" i="6"/>
  <c r="I70" i="6"/>
  <c r="AR28" i="6"/>
  <c r="J71" i="6"/>
  <c r="AR29" i="6"/>
  <c r="K71" i="6"/>
  <c r="AU18" i="6"/>
  <c r="AL44" i="6"/>
  <c r="L69" i="6"/>
  <c r="AO42" i="6"/>
  <c r="AO43" i="6"/>
  <c r="M70" i="6"/>
  <c r="BV43" i="33"/>
  <c r="G101" i="33"/>
  <c r="BV42" i="33"/>
  <c r="F101" i="33"/>
  <c r="BR43" i="33"/>
  <c r="BR42" i="33"/>
  <c r="BX32" i="33"/>
  <c r="CD22" i="46"/>
  <c r="CJ22" i="46"/>
  <c r="BV29" i="46"/>
  <c r="E104" i="46"/>
  <c r="CD8" i="46"/>
  <c r="CJ8" i="46"/>
  <c r="AO43" i="45"/>
  <c r="AX22" i="6"/>
  <c r="AX8" i="6"/>
  <c r="AR42" i="45"/>
  <c r="M69" i="45"/>
  <c r="AR41" i="45"/>
  <c r="L69" i="45"/>
  <c r="AU32" i="45"/>
  <c r="BX36" i="33"/>
  <c r="V100" i="33"/>
  <c r="W100" i="33"/>
  <c r="CF19" i="33"/>
  <c r="BX28" i="33"/>
  <c r="T101" i="33"/>
  <c r="BX29" i="33"/>
  <c r="U101" i="33"/>
  <c r="CV32" i="33"/>
  <c r="CD36" i="33"/>
  <c r="BL44" i="33"/>
  <c r="CP20" i="33"/>
  <c r="CJ29" i="33"/>
  <c r="E103" i="33"/>
  <c r="CJ28" i="33"/>
  <c r="D103" i="33"/>
  <c r="B101" i="33"/>
  <c r="BV30" i="33"/>
  <c r="BR44" i="33"/>
  <c r="R100" i="33"/>
  <c r="BR30" i="33"/>
  <c r="CV4" i="33"/>
  <c r="CF6" i="33"/>
  <c r="BX16" i="33"/>
  <c r="BX17" i="33"/>
  <c r="S101" i="33"/>
  <c r="DN19" i="33"/>
  <c r="CX4" i="33"/>
  <c r="BP44" i="33"/>
  <c r="CR33" i="33"/>
  <c r="CJ9" i="33"/>
  <c r="CD16" i="33"/>
  <c r="CD17" i="33"/>
  <c r="C102" i="33"/>
  <c r="CD29" i="46"/>
  <c r="E105" i="46"/>
  <c r="CJ18" i="46"/>
  <c r="BR28" i="46"/>
  <c r="T103" i="46"/>
  <c r="BX18" i="46"/>
  <c r="BR29" i="46"/>
  <c r="U103" i="46"/>
  <c r="BL44" i="46"/>
  <c r="R102" i="46"/>
  <c r="BL30" i="46"/>
  <c r="BX32" i="46"/>
  <c r="BR42" i="46"/>
  <c r="V103" i="46"/>
  <c r="BR43" i="46"/>
  <c r="W103" i="46"/>
  <c r="B103" i="46"/>
  <c r="BP30" i="46"/>
  <c r="BP44" i="46"/>
  <c r="CD4" i="46"/>
  <c r="BV16" i="46"/>
  <c r="C104" i="46"/>
  <c r="BV15" i="46"/>
  <c r="BR15" i="46"/>
  <c r="BX4" i="46"/>
  <c r="BR16" i="46"/>
  <c r="S103" i="46"/>
  <c r="CD32" i="46"/>
  <c r="BV42" i="46"/>
  <c r="F104" i="46"/>
  <c r="BV43" i="46"/>
  <c r="G104" i="46"/>
  <c r="BA19" i="45"/>
  <c r="AX29" i="45"/>
  <c r="K71" i="45"/>
  <c r="AX28" i="45"/>
  <c r="J71" i="45"/>
  <c r="H69" i="45"/>
  <c r="AR30" i="45"/>
  <c r="AR43" i="45"/>
  <c r="BJ4" i="45"/>
  <c r="AX5" i="45"/>
  <c r="AU17" i="45"/>
  <c r="I70" i="45"/>
  <c r="AU16" i="45"/>
  <c r="AX18" i="6"/>
  <c r="AU28" i="6"/>
  <c r="J72" i="6"/>
  <c r="AU29" i="6"/>
  <c r="K72" i="6"/>
  <c r="AR15" i="6"/>
  <c r="AR16" i="6"/>
  <c r="I71" i="6"/>
  <c r="AU4" i="6"/>
  <c r="H70" i="6"/>
  <c r="AO30" i="6"/>
  <c r="L70" i="6"/>
  <c r="AO44" i="6"/>
  <c r="AR42" i="6"/>
  <c r="AR43" i="6"/>
  <c r="M71" i="6"/>
  <c r="CD28" i="46"/>
  <c r="D105" i="46"/>
  <c r="BX43" i="33"/>
  <c r="BX42" i="33"/>
  <c r="V101" i="33"/>
  <c r="CF32" i="33"/>
  <c r="CD42" i="33"/>
  <c r="CD43" i="33"/>
  <c r="CP8" i="46"/>
  <c r="CP22" i="46"/>
  <c r="BA8" i="6"/>
  <c r="BA22" i="6"/>
  <c r="AU42" i="45"/>
  <c r="M70" i="45"/>
  <c r="AU41" i="45"/>
  <c r="L70" i="45"/>
  <c r="AX32" i="45"/>
  <c r="DD4" i="33"/>
  <c r="DT19" i="33"/>
  <c r="CL6" i="33"/>
  <c r="CF17" i="33"/>
  <c r="S102" i="33"/>
  <c r="CF16" i="33"/>
  <c r="B102" i="33"/>
  <c r="CD30" i="33"/>
  <c r="R101" i="33"/>
  <c r="BX30" i="33"/>
  <c r="CL19" i="33"/>
  <c r="CF28" i="33"/>
  <c r="T102" i="33"/>
  <c r="CF29" i="33"/>
  <c r="U102" i="33"/>
  <c r="CJ36" i="33"/>
  <c r="G102" i="33"/>
  <c r="F102" i="33"/>
  <c r="DB32" i="33"/>
  <c r="CP9" i="33"/>
  <c r="CJ16" i="33"/>
  <c r="CJ17" i="33"/>
  <c r="C103" i="33"/>
  <c r="CX33" i="33"/>
  <c r="BV44" i="33"/>
  <c r="DB4" i="33"/>
  <c r="CV20" i="33"/>
  <c r="CP28" i="33"/>
  <c r="D104" i="33"/>
  <c r="CP29" i="33"/>
  <c r="E104" i="33"/>
  <c r="CF36" i="33"/>
  <c r="W101" i="33"/>
  <c r="BX29" i="46"/>
  <c r="U104" i="46"/>
  <c r="BX28" i="46"/>
  <c r="T104" i="46"/>
  <c r="CF18" i="46"/>
  <c r="B104" i="46"/>
  <c r="BV44" i="46"/>
  <c r="BV30" i="46"/>
  <c r="CJ4" i="46"/>
  <c r="CP4" i="46"/>
  <c r="CD15" i="46"/>
  <c r="CD16" i="46"/>
  <c r="C105" i="46"/>
  <c r="CD43" i="46"/>
  <c r="G105" i="46"/>
  <c r="CJ32" i="46"/>
  <c r="CD42" i="46"/>
  <c r="F105" i="46"/>
  <c r="CF4" i="46"/>
  <c r="BX16" i="46"/>
  <c r="S104" i="46"/>
  <c r="BX15" i="46"/>
  <c r="CJ29" i="46"/>
  <c r="E106" i="46"/>
  <c r="CJ28" i="46"/>
  <c r="D106" i="46"/>
  <c r="CP18" i="46"/>
  <c r="BR44" i="46"/>
  <c r="R103" i="46"/>
  <c r="BR30" i="46"/>
  <c r="CF32" i="46"/>
  <c r="BX43" i="46"/>
  <c r="W104" i="46"/>
  <c r="BX42" i="46"/>
  <c r="V104" i="46"/>
  <c r="BM4" i="45"/>
  <c r="AU30" i="45"/>
  <c r="H70" i="45"/>
  <c r="BA5" i="45"/>
  <c r="AX17" i="45"/>
  <c r="I71" i="45"/>
  <c r="AX16" i="45"/>
  <c r="BD19" i="45"/>
  <c r="BA29" i="45"/>
  <c r="K72" i="45"/>
  <c r="BA28" i="45"/>
  <c r="J72" i="45"/>
  <c r="AU15" i="6"/>
  <c r="AX4" i="6"/>
  <c r="AU16" i="6"/>
  <c r="I72" i="6"/>
  <c r="H71" i="6"/>
  <c r="AR30" i="6"/>
  <c r="BA18" i="6"/>
  <c r="AX28" i="6"/>
  <c r="J73" i="6"/>
  <c r="AX29" i="6"/>
  <c r="K73" i="6"/>
  <c r="L71" i="6"/>
  <c r="AR44" i="6"/>
  <c r="AU43" i="6"/>
  <c r="M72" i="6"/>
  <c r="AU42" i="6"/>
  <c r="CP16" i="46"/>
  <c r="CP15" i="46"/>
  <c r="CP28" i="46"/>
  <c r="CP29" i="46"/>
  <c r="CJ43" i="33"/>
  <c r="CJ42" i="33"/>
  <c r="F103" i="33"/>
  <c r="CF42" i="33"/>
  <c r="CF43" i="33"/>
  <c r="CL32" i="33"/>
  <c r="CV22" i="46"/>
  <c r="CV8" i="46"/>
  <c r="AU43" i="45"/>
  <c r="BD22" i="6"/>
  <c r="BD8" i="6"/>
  <c r="AX42" i="45"/>
  <c r="M71" i="45"/>
  <c r="AX41" i="45"/>
  <c r="L71" i="45"/>
  <c r="BA32" i="45"/>
  <c r="CD44" i="33"/>
  <c r="DH4" i="33"/>
  <c r="R102" i="33"/>
  <c r="CF30" i="33"/>
  <c r="DJ4" i="33"/>
  <c r="CP36" i="33"/>
  <c r="G103" i="33"/>
  <c r="CV9" i="33"/>
  <c r="CP17" i="33"/>
  <c r="C104" i="33"/>
  <c r="CP16" i="33"/>
  <c r="DD33" i="33"/>
  <c r="CR19" i="33"/>
  <c r="CL28" i="33"/>
  <c r="T103" i="33"/>
  <c r="CL29" i="33"/>
  <c r="U103" i="33"/>
  <c r="DZ19" i="33"/>
  <c r="DH32" i="33"/>
  <c r="CR6" i="33"/>
  <c r="CL17" i="33"/>
  <c r="S103" i="33"/>
  <c r="CL16" i="33"/>
  <c r="CL36" i="33"/>
  <c r="W102" i="33"/>
  <c r="V102" i="33"/>
  <c r="DB20" i="33"/>
  <c r="CV28" i="33"/>
  <c r="D105" i="33"/>
  <c r="CV29" i="33"/>
  <c r="E105" i="33"/>
  <c r="CJ30" i="33"/>
  <c r="B103" i="33"/>
  <c r="BX44" i="33"/>
  <c r="CV18" i="46"/>
  <c r="D107" i="46"/>
  <c r="E107" i="46"/>
  <c r="CD30" i="46"/>
  <c r="B105" i="46"/>
  <c r="CD44" i="46"/>
  <c r="CJ16" i="46"/>
  <c r="C106" i="46"/>
  <c r="CJ15" i="46"/>
  <c r="CF43" i="46"/>
  <c r="W105" i="46"/>
  <c r="CL32" i="46"/>
  <c r="CF42" i="46"/>
  <c r="V105" i="46"/>
  <c r="CJ43" i="46"/>
  <c r="G106" i="46"/>
  <c r="CJ42" i="46"/>
  <c r="F106" i="46"/>
  <c r="CP32" i="46"/>
  <c r="CF28" i="46"/>
  <c r="T105" i="46"/>
  <c r="CL18" i="46"/>
  <c r="CF29" i="46"/>
  <c r="U105" i="46"/>
  <c r="R104" i="46"/>
  <c r="BX30" i="46"/>
  <c r="BX44" i="46"/>
  <c r="CL4" i="46"/>
  <c r="CF16" i="46"/>
  <c r="S105" i="46"/>
  <c r="CF15" i="46"/>
  <c r="AX30" i="45"/>
  <c r="H71" i="45"/>
  <c r="BD5" i="45"/>
  <c r="BA17" i="45"/>
  <c r="I72" i="45"/>
  <c r="BA16" i="45"/>
  <c r="BP4" i="45"/>
  <c r="BD29" i="45"/>
  <c r="K73" i="45"/>
  <c r="BD28" i="45"/>
  <c r="J73" i="45"/>
  <c r="BG19" i="45"/>
  <c r="BA29" i="6"/>
  <c r="K74" i="6"/>
  <c r="BD18" i="6"/>
  <c r="BA28" i="6"/>
  <c r="J74" i="6"/>
  <c r="BA4" i="6"/>
  <c r="AX16" i="6"/>
  <c r="I73" i="6"/>
  <c r="AX15" i="6"/>
  <c r="H72" i="6"/>
  <c r="AU30" i="6"/>
  <c r="AU44" i="6"/>
  <c r="L72" i="6"/>
  <c r="AX42" i="6"/>
  <c r="AX43" i="6"/>
  <c r="M73" i="6"/>
  <c r="CP43" i="46"/>
  <c r="CP42" i="46"/>
  <c r="CL43" i="33"/>
  <c r="CL42" i="33"/>
  <c r="CR32" i="33"/>
  <c r="CP43" i="33"/>
  <c r="CP42" i="33"/>
  <c r="DB8" i="46"/>
  <c r="DB22" i="46"/>
  <c r="BG8" i="6"/>
  <c r="BG22" i="6"/>
  <c r="AX43" i="45"/>
  <c r="BA42" i="45"/>
  <c r="M72" i="45"/>
  <c r="BA41" i="45"/>
  <c r="L72" i="45"/>
  <c r="BD32" i="45"/>
  <c r="DH20" i="33"/>
  <c r="DB28" i="33"/>
  <c r="D106" i="33"/>
  <c r="DB29" i="33"/>
  <c r="E106" i="33"/>
  <c r="CX19" i="33"/>
  <c r="CR29" i="33"/>
  <c r="U104" i="33"/>
  <c r="CR28" i="33"/>
  <c r="T104" i="33"/>
  <c r="CX6" i="33"/>
  <c r="CR17" i="33"/>
  <c r="S104" i="33"/>
  <c r="CR16" i="33"/>
  <c r="CF44" i="33"/>
  <c r="DJ33" i="33"/>
  <c r="CR36" i="33"/>
  <c r="V103" i="33"/>
  <c r="W103" i="33"/>
  <c r="R103" i="33"/>
  <c r="CL30" i="33"/>
  <c r="CJ44" i="33"/>
  <c r="DN32" i="33"/>
  <c r="B104" i="33"/>
  <c r="CP30" i="33"/>
  <c r="CV36" i="33"/>
  <c r="F104" i="33"/>
  <c r="G104" i="33"/>
  <c r="DP4" i="33"/>
  <c r="DB9" i="33"/>
  <c r="CV16" i="33"/>
  <c r="CV17" i="33"/>
  <c r="C105" i="33"/>
  <c r="DN4" i="33"/>
  <c r="B106" i="46"/>
  <c r="CJ30" i="46"/>
  <c r="CJ44" i="46"/>
  <c r="CR18" i="46"/>
  <c r="CL29" i="46"/>
  <c r="U106" i="46"/>
  <c r="CL28" i="46"/>
  <c r="T106" i="46"/>
  <c r="R105" i="46"/>
  <c r="CF44" i="46"/>
  <c r="CF30" i="46"/>
  <c r="CL43" i="46"/>
  <c r="W106" i="46"/>
  <c r="CL42" i="46"/>
  <c r="V106" i="46"/>
  <c r="CR32" i="46"/>
  <c r="CV4" i="46"/>
  <c r="C107" i="46"/>
  <c r="G107" i="46"/>
  <c r="F107" i="46"/>
  <c r="CV32" i="46"/>
  <c r="CL16" i="46"/>
  <c r="S106" i="46"/>
  <c r="CL15" i="46"/>
  <c r="CR4" i="46"/>
  <c r="DB18" i="46"/>
  <c r="CV29" i="46"/>
  <c r="E108" i="46"/>
  <c r="CV28" i="46"/>
  <c r="D108" i="46"/>
  <c r="BS4" i="45"/>
  <c r="BA30" i="45"/>
  <c r="H72" i="45"/>
  <c r="BG5" i="45"/>
  <c r="BD17" i="45"/>
  <c r="I73" i="45"/>
  <c r="BD16" i="45"/>
  <c r="BG28" i="45"/>
  <c r="J74" i="45"/>
  <c r="BJ19" i="45"/>
  <c r="BG29" i="45"/>
  <c r="K74" i="45"/>
  <c r="AX30" i="6"/>
  <c r="H73" i="6"/>
  <c r="BD4" i="6"/>
  <c r="BA15" i="6"/>
  <c r="BA16" i="6"/>
  <c r="I74" i="6"/>
  <c r="BD28" i="6"/>
  <c r="J75" i="6"/>
  <c r="BD29" i="6"/>
  <c r="K75" i="6"/>
  <c r="BG18" i="6"/>
  <c r="BA43" i="6"/>
  <c r="M74" i="6"/>
  <c r="BA42" i="6"/>
  <c r="L73" i="6"/>
  <c r="AX44" i="6"/>
  <c r="CV43" i="33"/>
  <c r="CV42" i="33"/>
  <c r="CR43" i="33"/>
  <c r="CR42" i="33"/>
  <c r="CX32" i="33"/>
  <c r="DH22" i="46"/>
  <c r="DH8" i="46"/>
  <c r="BJ22" i="6"/>
  <c r="BJ8" i="6"/>
  <c r="BA43" i="45"/>
  <c r="BD42" i="45"/>
  <c r="M73" i="45"/>
  <c r="BD41" i="45"/>
  <c r="L73" i="45"/>
  <c r="BG32" i="45"/>
  <c r="CL44" i="33"/>
  <c r="CP44" i="33"/>
  <c r="R104" i="33"/>
  <c r="CR30" i="33"/>
  <c r="DD19" i="33"/>
  <c r="CX29" i="33"/>
  <c r="U105" i="33"/>
  <c r="CX28" i="33"/>
  <c r="T105" i="33"/>
  <c r="DV4" i="33"/>
  <c r="DD6" i="33"/>
  <c r="CX17" i="33"/>
  <c r="S105" i="33"/>
  <c r="CX16" i="33"/>
  <c r="DB36" i="33"/>
  <c r="G105" i="33"/>
  <c r="F105" i="33"/>
  <c r="CX36" i="33"/>
  <c r="V104" i="33"/>
  <c r="W104" i="33"/>
  <c r="B105" i="33"/>
  <c r="CV44" i="33"/>
  <c r="CV30" i="33"/>
  <c r="DH9" i="33"/>
  <c r="DB17" i="33"/>
  <c r="C106" i="33"/>
  <c r="DB16" i="33"/>
  <c r="DT4" i="33"/>
  <c r="DT32" i="33"/>
  <c r="DP33" i="33"/>
  <c r="DN20" i="33"/>
  <c r="DH28" i="33"/>
  <c r="D107" i="33"/>
  <c r="DH29" i="33"/>
  <c r="E107" i="33"/>
  <c r="DH18" i="46"/>
  <c r="DB28" i="46"/>
  <c r="D109" i="46"/>
  <c r="DB29" i="46"/>
  <c r="E109" i="46"/>
  <c r="CR43" i="46"/>
  <c r="W107" i="46"/>
  <c r="CR42" i="46"/>
  <c r="V107" i="46"/>
  <c r="CX32" i="46"/>
  <c r="CX4" i="46"/>
  <c r="CR15" i="46"/>
  <c r="CR16" i="46"/>
  <c r="S107" i="46"/>
  <c r="DB32" i="46"/>
  <c r="CV42" i="46"/>
  <c r="F108" i="46"/>
  <c r="CV43" i="46"/>
  <c r="G108" i="46"/>
  <c r="DB4" i="46"/>
  <c r="CV15" i="46"/>
  <c r="CV16" i="46"/>
  <c r="C108" i="46"/>
  <c r="CL30" i="46"/>
  <c r="R106" i="46"/>
  <c r="CL44" i="46"/>
  <c r="CX18" i="46"/>
  <c r="CR28" i="46"/>
  <c r="T107" i="46"/>
  <c r="CR29" i="46"/>
  <c r="U107" i="46"/>
  <c r="CP44" i="46"/>
  <c r="B107" i="46"/>
  <c r="CP30" i="46"/>
  <c r="BJ28" i="45"/>
  <c r="J75" i="45"/>
  <c r="BM19" i="45"/>
  <c r="BJ29" i="45"/>
  <c r="K75" i="45"/>
  <c r="BJ5" i="45"/>
  <c r="BG17" i="45"/>
  <c r="I74" i="45"/>
  <c r="BG16" i="45"/>
  <c r="H73" i="45"/>
  <c r="BD30" i="45"/>
  <c r="BD43" i="45"/>
  <c r="BJ18" i="6"/>
  <c r="BG29" i="6"/>
  <c r="K76" i="6"/>
  <c r="BG28" i="6"/>
  <c r="J76" i="6"/>
  <c r="BA30" i="6"/>
  <c r="H74" i="6"/>
  <c r="BD16" i="6"/>
  <c r="I75" i="6"/>
  <c r="BD15" i="6"/>
  <c r="BG4" i="6"/>
  <c r="BA44" i="6"/>
  <c r="L74" i="6"/>
  <c r="BD43" i="6"/>
  <c r="M75" i="6"/>
  <c r="BD42" i="6"/>
  <c r="DB43" i="33"/>
  <c r="DB42" i="33"/>
  <c r="CX43" i="33"/>
  <c r="CX42" i="33"/>
  <c r="DD32" i="33"/>
  <c r="DN8" i="46"/>
  <c r="DN22" i="46"/>
  <c r="BM8" i="6"/>
  <c r="BM22" i="6"/>
  <c r="BG42" i="45"/>
  <c r="M74" i="45"/>
  <c r="BG41" i="45"/>
  <c r="L74" i="45"/>
  <c r="BJ32" i="45"/>
  <c r="DJ6" i="33"/>
  <c r="DD17" i="33"/>
  <c r="S106" i="33"/>
  <c r="DD16" i="33"/>
  <c r="B106" i="33"/>
  <c r="DB30" i="33"/>
  <c r="DT20" i="33"/>
  <c r="DN28" i="33"/>
  <c r="D108" i="33"/>
  <c r="DN29" i="33"/>
  <c r="E108" i="33"/>
  <c r="DZ32" i="33"/>
  <c r="DD36" i="33"/>
  <c r="W105" i="33"/>
  <c r="V105" i="33"/>
  <c r="DJ19" i="33"/>
  <c r="DD29" i="33"/>
  <c r="U106" i="33"/>
  <c r="DD28" i="33"/>
  <c r="T106" i="33"/>
  <c r="CX30" i="33"/>
  <c r="R105" i="33"/>
  <c r="EB4" i="33"/>
  <c r="DV33" i="33"/>
  <c r="DZ4" i="33"/>
  <c r="DN9" i="33"/>
  <c r="DH17" i="33"/>
  <c r="C107" i="33"/>
  <c r="DH16" i="33"/>
  <c r="DH36" i="33"/>
  <c r="G106" i="33"/>
  <c r="F106" i="33"/>
  <c r="CR44" i="33"/>
  <c r="CX28" i="46"/>
  <c r="T108" i="46"/>
  <c r="DD18" i="46"/>
  <c r="CX29" i="46"/>
  <c r="U108" i="46"/>
  <c r="B108" i="46"/>
  <c r="CV44" i="46"/>
  <c r="CV30" i="46"/>
  <c r="DH4" i="46"/>
  <c r="DB15" i="46"/>
  <c r="DB16" i="46"/>
  <c r="C109" i="46"/>
  <c r="DB43" i="46"/>
  <c r="G109" i="46"/>
  <c r="DB42" i="46"/>
  <c r="F109" i="46"/>
  <c r="DH32" i="46"/>
  <c r="CR44" i="46"/>
  <c r="R107" i="46"/>
  <c r="CR30" i="46"/>
  <c r="DD4" i="46"/>
  <c r="CX15" i="46"/>
  <c r="CX16" i="46"/>
  <c r="S108" i="46"/>
  <c r="CX42" i="46"/>
  <c r="V108" i="46"/>
  <c r="DD32" i="46"/>
  <c r="CX43" i="46"/>
  <c r="W108" i="46"/>
  <c r="DH29" i="46"/>
  <c r="E110" i="46"/>
  <c r="DN18" i="46"/>
  <c r="DH28" i="46"/>
  <c r="D110" i="46"/>
  <c r="BM5" i="45"/>
  <c r="BJ16" i="45"/>
  <c r="BJ17" i="45"/>
  <c r="I75" i="45"/>
  <c r="BM29" i="45"/>
  <c r="K76" i="45"/>
  <c r="BP19" i="45"/>
  <c r="BM28" i="45"/>
  <c r="J76" i="45"/>
  <c r="BG30" i="45"/>
  <c r="H74" i="45"/>
  <c r="BG15" i="6"/>
  <c r="BJ4" i="6"/>
  <c r="BG16" i="6"/>
  <c r="I76" i="6"/>
  <c r="H75" i="6"/>
  <c r="BD30" i="6"/>
  <c r="BJ28" i="6"/>
  <c r="J77" i="6"/>
  <c r="BJ29" i="6"/>
  <c r="K77" i="6"/>
  <c r="BM18" i="6"/>
  <c r="BD44" i="6"/>
  <c r="L75" i="6"/>
  <c r="BG43" i="6"/>
  <c r="M76" i="6"/>
  <c r="BG42" i="6"/>
  <c r="DD43" i="33"/>
  <c r="W106" i="33"/>
  <c r="DD42" i="33"/>
  <c r="DJ32" i="33"/>
  <c r="DH43" i="33"/>
  <c r="DH42" i="33"/>
  <c r="F107" i="33"/>
  <c r="DT22" i="46"/>
  <c r="DT8" i="46"/>
  <c r="BG43" i="45"/>
  <c r="BP22" i="6"/>
  <c r="BS8" i="6"/>
  <c r="BP8" i="6"/>
  <c r="BJ42" i="45"/>
  <c r="M75" i="45"/>
  <c r="BJ41" i="45"/>
  <c r="L75" i="45"/>
  <c r="BM32" i="45"/>
  <c r="CX44" i="33"/>
  <c r="DT9" i="33"/>
  <c r="DN16" i="33"/>
  <c r="DN17" i="33"/>
  <c r="C108" i="33"/>
  <c r="DZ20" i="33"/>
  <c r="DT29" i="33"/>
  <c r="E109" i="33"/>
  <c r="DT28" i="33"/>
  <c r="D109" i="33"/>
  <c r="DN36" i="33"/>
  <c r="G107" i="33"/>
  <c r="DJ36" i="33"/>
  <c r="V106" i="33"/>
  <c r="DB44" i="33"/>
  <c r="EB33" i="33"/>
  <c r="DP19" i="33"/>
  <c r="DJ28" i="33"/>
  <c r="T107" i="33"/>
  <c r="DJ29" i="33"/>
  <c r="U107" i="33"/>
  <c r="R106" i="33"/>
  <c r="DD30" i="33"/>
  <c r="DP6" i="33"/>
  <c r="DJ16" i="33"/>
  <c r="DJ17" i="33"/>
  <c r="S107" i="33"/>
  <c r="DH30" i="33"/>
  <c r="B107" i="33"/>
  <c r="DN4" i="46"/>
  <c r="DH15" i="46"/>
  <c r="DH16" i="46"/>
  <c r="C110" i="46"/>
  <c r="DD43" i="46"/>
  <c r="W109" i="46"/>
  <c r="DD42" i="46"/>
  <c r="V109" i="46"/>
  <c r="DJ32" i="46"/>
  <c r="DB44" i="46"/>
  <c r="B109" i="46"/>
  <c r="DB30" i="46"/>
  <c r="CX30" i="46"/>
  <c r="R108" i="46"/>
  <c r="CX44" i="46"/>
  <c r="DD15" i="46"/>
  <c r="DJ4" i="46"/>
  <c r="DD16" i="46"/>
  <c r="S109" i="46"/>
  <c r="DT18" i="46"/>
  <c r="DN28" i="46"/>
  <c r="D111" i="46"/>
  <c r="DN29" i="46"/>
  <c r="E111" i="46"/>
  <c r="DH43" i="46"/>
  <c r="G110" i="46"/>
  <c r="DH42" i="46"/>
  <c r="F110" i="46"/>
  <c r="DN32" i="46"/>
  <c r="DD29" i="46"/>
  <c r="U109" i="46"/>
  <c r="DD28" i="46"/>
  <c r="T109" i="46"/>
  <c r="DJ18" i="46"/>
  <c r="BS19" i="45"/>
  <c r="BP28" i="45"/>
  <c r="J77" i="45"/>
  <c r="BP29" i="45"/>
  <c r="K77" i="45"/>
  <c r="H75" i="45"/>
  <c r="BJ43" i="45"/>
  <c r="BJ30" i="45"/>
  <c r="BP5" i="45"/>
  <c r="BM16" i="45"/>
  <c r="BM17" i="45"/>
  <c r="BP18" i="6"/>
  <c r="BM28" i="6"/>
  <c r="J78" i="6"/>
  <c r="BM29" i="6"/>
  <c r="K78" i="6"/>
  <c r="BJ15" i="6"/>
  <c r="BM4" i="6"/>
  <c r="BJ16" i="6"/>
  <c r="I77" i="6"/>
  <c r="BG30" i="6"/>
  <c r="H76" i="6"/>
  <c r="L76" i="6"/>
  <c r="BG44" i="6"/>
  <c r="BJ43" i="6"/>
  <c r="M77" i="6"/>
  <c r="BJ42" i="6"/>
  <c r="DN42" i="33"/>
  <c r="DN43" i="33"/>
  <c r="DJ43" i="33"/>
  <c r="DJ42" i="33"/>
  <c r="DP32" i="33"/>
  <c r="DZ8" i="46"/>
  <c r="DZ22" i="46"/>
  <c r="BS22" i="6"/>
  <c r="BM42" i="45"/>
  <c r="M76" i="45"/>
  <c r="BM41" i="45"/>
  <c r="L76" i="45"/>
  <c r="BP32" i="45"/>
  <c r="DD44" i="33"/>
  <c r="DZ29" i="33"/>
  <c r="E110" i="33"/>
  <c r="DZ28" i="33"/>
  <c r="D110" i="33"/>
  <c r="DT36" i="33"/>
  <c r="F108" i="33"/>
  <c r="G108" i="33"/>
  <c r="DV6" i="33"/>
  <c r="DP16" i="33"/>
  <c r="DP17" i="33"/>
  <c r="S108" i="33"/>
  <c r="DN30" i="33"/>
  <c r="DN44" i="33"/>
  <c r="B108" i="33"/>
  <c r="R107" i="33"/>
  <c r="DJ30" i="33"/>
  <c r="DZ9" i="33"/>
  <c r="DT17" i="33"/>
  <c r="C109" i="33"/>
  <c r="DT16" i="33"/>
  <c r="DP29" i="33"/>
  <c r="U108" i="33"/>
  <c r="DP28" i="33"/>
  <c r="T108" i="33"/>
  <c r="DV19" i="33"/>
  <c r="DH44" i="33"/>
  <c r="DP36" i="33"/>
  <c r="W107" i="33"/>
  <c r="DN42" i="46"/>
  <c r="F111" i="46"/>
  <c r="DN43" i="46"/>
  <c r="G111" i="46"/>
  <c r="DT32" i="46"/>
  <c r="DJ43" i="46"/>
  <c r="W110" i="46"/>
  <c r="DJ42" i="46"/>
  <c r="V110" i="46"/>
  <c r="DP32" i="46"/>
  <c r="DZ18" i="46"/>
  <c r="DT29" i="46"/>
  <c r="E112" i="46"/>
  <c r="DT28" i="46"/>
  <c r="D112" i="46"/>
  <c r="DJ15" i="46"/>
  <c r="DJ16" i="46"/>
  <c r="S110" i="46"/>
  <c r="DP4" i="46"/>
  <c r="DH44" i="46"/>
  <c r="B110" i="46"/>
  <c r="DH30" i="46"/>
  <c r="DP18" i="46"/>
  <c r="DJ28" i="46"/>
  <c r="T110" i="46"/>
  <c r="DJ29" i="46"/>
  <c r="U110" i="46"/>
  <c r="DD30" i="46"/>
  <c r="R109" i="46"/>
  <c r="DD44" i="46"/>
  <c r="DN16" i="46"/>
  <c r="C111" i="46"/>
  <c r="DT4" i="46"/>
  <c r="DN15" i="46"/>
  <c r="H76" i="45"/>
  <c r="BM30" i="45"/>
  <c r="C77" i="45"/>
  <c r="I76" i="45"/>
  <c r="BS5" i="45"/>
  <c r="BP16" i="45"/>
  <c r="BP17" i="45"/>
  <c r="I77" i="45"/>
  <c r="BS29" i="45"/>
  <c r="K78" i="45"/>
  <c r="BS28" i="45"/>
  <c r="J78" i="45"/>
  <c r="H77" i="6"/>
  <c r="BJ30" i="6"/>
  <c r="BM16" i="6"/>
  <c r="BP4" i="6"/>
  <c r="BS4" i="6"/>
  <c r="BM15" i="6"/>
  <c r="BS18" i="6"/>
  <c r="BP28" i="6"/>
  <c r="J79" i="6"/>
  <c r="BP29" i="6"/>
  <c r="K79" i="6"/>
  <c r="BJ44" i="6"/>
  <c r="L77" i="6"/>
  <c r="BM42" i="6"/>
  <c r="BM43" i="6"/>
  <c r="M78" i="6"/>
  <c r="DT43" i="33"/>
  <c r="DT42" i="33"/>
  <c r="DP43" i="33"/>
  <c r="W108" i="33"/>
  <c r="DP42" i="33"/>
  <c r="DV32" i="33"/>
  <c r="BM43" i="45"/>
  <c r="BP42" i="45"/>
  <c r="M77" i="45"/>
  <c r="BP41" i="45"/>
  <c r="L77" i="45"/>
  <c r="BS32" i="45"/>
  <c r="BS42" i="45"/>
  <c r="V107" i="33"/>
  <c r="DJ44" i="33"/>
  <c r="EB6" i="33"/>
  <c r="DV17" i="33"/>
  <c r="S109" i="33"/>
  <c r="DV16" i="33"/>
  <c r="DV36" i="33"/>
  <c r="V108" i="33"/>
  <c r="R108" i="33"/>
  <c r="DP30" i="33"/>
  <c r="DZ36" i="33"/>
  <c r="F109" i="33"/>
  <c r="G109" i="33"/>
  <c r="DZ17" i="33"/>
  <c r="C110" i="33"/>
  <c r="DZ16" i="33"/>
  <c r="DV29" i="33"/>
  <c r="U109" i="33"/>
  <c r="EB19" i="33"/>
  <c r="DV28" i="33"/>
  <c r="T109" i="33"/>
  <c r="B109" i="33"/>
  <c r="DT30" i="33"/>
  <c r="DJ44" i="46"/>
  <c r="R110" i="46"/>
  <c r="DJ30" i="46"/>
  <c r="DP43" i="46"/>
  <c r="W111" i="46"/>
  <c r="DV32" i="46"/>
  <c r="DP42" i="46"/>
  <c r="V111" i="46"/>
  <c r="DN30" i="46"/>
  <c r="DN44" i="46"/>
  <c r="B111" i="46"/>
  <c r="DT43" i="46"/>
  <c r="G112" i="46"/>
  <c r="DT42" i="46"/>
  <c r="F112" i="46"/>
  <c r="DZ32" i="46"/>
  <c r="DZ28" i="46"/>
  <c r="D113" i="46"/>
  <c r="DZ29" i="46"/>
  <c r="E113" i="46"/>
  <c r="DP29" i="46"/>
  <c r="U111" i="46"/>
  <c r="DV18" i="46"/>
  <c r="DP28" i="46"/>
  <c r="T111" i="46"/>
  <c r="DT15" i="46"/>
  <c r="DT16" i="46"/>
  <c r="C112" i="46"/>
  <c r="DZ4" i="46"/>
  <c r="DP16" i="46"/>
  <c r="S111" i="46"/>
  <c r="DV4" i="46"/>
  <c r="DP15" i="46"/>
  <c r="H77" i="45"/>
  <c r="BP43" i="45"/>
  <c r="BP30" i="45"/>
  <c r="BS17" i="45"/>
  <c r="I78" i="45"/>
  <c r="BS16" i="45"/>
  <c r="BS29" i="6"/>
  <c r="K80" i="6"/>
  <c r="BS28" i="6"/>
  <c r="J80" i="6"/>
  <c r="BS16" i="6"/>
  <c r="I80" i="6"/>
  <c r="BS15" i="6"/>
  <c r="BM30" i="6"/>
  <c r="H78" i="6"/>
  <c r="BP15" i="6"/>
  <c r="BP16" i="6"/>
  <c r="I79" i="6"/>
  <c r="I78" i="6"/>
  <c r="C79" i="6"/>
  <c r="L78" i="6"/>
  <c r="BM44" i="6"/>
  <c r="BP43" i="6"/>
  <c r="M79" i="6"/>
  <c r="BP42" i="6"/>
  <c r="DZ42" i="33"/>
  <c r="DZ43" i="33"/>
  <c r="DV43" i="33"/>
  <c r="W109" i="33"/>
  <c r="DV42" i="33"/>
  <c r="V109" i="33"/>
  <c r="EB32" i="33"/>
  <c r="M78" i="45"/>
  <c r="BS41" i="45"/>
  <c r="L78" i="45"/>
  <c r="DT44" i="33"/>
  <c r="EB28" i="33"/>
  <c r="T110" i="33"/>
  <c r="EB29" i="33"/>
  <c r="U110" i="33"/>
  <c r="EB36" i="33"/>
  <c r="DP44" i="33"/>
  <c r="R109" i="33"/>
  <c r="DV30" i="33"/>
  <c r="F110" i="33"/>
  <c r="G110" i="33"/>
  <c r="B110" i="33"/>
  <c r="DZ30" i="33"/>
  <c r="EB16" i="33"/>
  <c r="EB17" i="33"/>
  <c r="S110" i="33"/>
  <c r="DV28" i="46"/>
  <c r="T112" i="46"/>
  <c r="EB18" i="46"/>
  <c r="DV29" i="46"/>
  <c r="U112" i="46"/>
  <c r="DV43" i="46"/>
  <c r="W112" i="46"/>
  <c r="EB32" i="46"/>
  <c r="DV42" i="46"/>
  <c r="V112" i="46"/>
  <c r="B112" i="46"/>
  <c r="DT30" i="46"/>
  <c r="DT44" i="46"/>
  <c r="DP44" i="46"/>
  <c r="DP30" i="46"/>
  <c r="R111" i="46"/>
  <c r="DZ42" i="46"/>
  <c r="F113" i="46"/>
  <c r="DZ43" i="46"/>
  <c r="G113" i="46"/>
  <c r="DZ16" i="46"/>
  <c r="C113" i="46"/>
  <c r="DZ15" i="46"/>
  <c r="EB4" i="46"/>
  <c r="DV16" i="46"/>
  <c r="S112" i="46"/>
  <c r="DV15" i="46"/>
  <c r="BS30" i="45"/>
  <c r="H78" i="45"/>
  <c r="BS43" i="45"/>
  <c r="H79" i="6"/>
  <c r="BP30" i="6"/>
  <c r="H80" i="6"/>
  <c r="BS30" i="6"/>
  <c r="BP44" i="6"/>
  <c r="L79" i="6"/>
  <c r="BS43" i="6"/>
  <c r="M80" i="6"/>
  <c r="BS42" i="6"/>
  <c r="DV44" i="33"/>
  <c r="EB43" i="33"/>
  <c r="EB42" i="33"/>
  <c r="V110" i="33"/>
  <c r="R110" i="33"/>
  <c r="EB30" i="33"/>
  <c r="W110" i="33"/>
  <c r="DZ44" i="33"/>
  <c r="EB43" i="46"/>
  <c r="W113" i="46"/>
  <c r="EB42" i="46"/>
  <c r="B113" i="46"/>
  <c r="DZ30" i="46"/>
  <c r="DZ44" i="46"/>
  <c r="DV30" i="46"/>
  <c r="R112" i="46"/>
  <c r="DV44" i="46"/>
  <c r="EB16" i="46"/>
  <c r="S113" i="46"/>
  <c r="EB15" i="46"/>
  <c r="EB28" i="46"/>
  <c r="T113" i="46"/>
  <c r="EB29" i="46"/>
  <c r="U113" i="46"/>
  <c r="L80" i="6"/>
  <c r="BS44" i="6"/>
  <c r="EB44" i="33"/>
  <c r="EB30" i="46"/>
  <c r="R113" i="46"/>
  <c r="EB44" i="46"/>
  <c r="V113" i="46"/>
  <c r="O104" i="33"/>
  <c r="CO44" i="33"/>
  <c r="N104" i="33"/>
  <c r="O107" i="33"/>
  <c r="N107" i="33"/>
  <c r="DG44" i="33"/>
</calcChain>
</file>

<file path=xl/sharedStrings.xml><?xml version="1.0" encoding="utf-8"?>
<sst xmlns="http://schemas.openxmlformats.org/spreadsheetml/2006/main" count="3544" uniqueCount="782">
  <si>
    <t>Experiment:</t>
  </si>
  <si>
    <t>m</t>
  </si>
  <si>
    <t>Nature:</t>
  </si>
  <si>
    <t>Effect of patterned feeding on neurogenesis and memory function (male LoxTB-GHSR null mice and WT littermates)</t>
  </si>
  <si>
    <t>PPL Protocol</t>
  </si>
  <si>
    <t>Code 07</t>
  </si>
  <si>
    <t>Batch 1</t>
  </si>
  <si>
    <t>Body Weight (g) @ BrdU i.p. injections 50mg/kg</t>
  </si>
  <si>
    <t>(1ul/1g)</t>
  </si>
  <si>
    <t>* Unsure of efficacy of injection</t>
  </si>
  <si>
    <t>Mating</t>
  </si>
  <si>
    <t>DOB</t>
  </si>
  <si>
    <t>Mouse Code</t>
  </si>
  <si>
    <t>Ear Code</t>
  </si>
  <si>
    <t>Strain</t>
  </si>
  <si>
    <t xml:space="preserve"> (1) 30/07/20</t>
  </si>
  <si>
    <t>BrdU (µl)</t>
  </si>
  <si>
    <t>(2) 31/07/20</t>
  </si>
  <si>
    <t>(3) 01/08/20</t>
  </si>
  <si>
    <t>20x30</t>
  </si>
  <si>
    <t>060148 (58)</t>
  </si>
  <si>
    <t>L1</t>
  </si>
  <si>
    <t>LoxTB-GHSR</t>
  </si>
  <si>
    <t>20*</t>
  </si>
  <si>
    <t>060149 (59)</t>
  </si>
  <si>
    <t>L1R1</t>
  </si>
  <si>
    <t>C57BL/6</t>
  </si>
  <si>
    <t>42x34</t>
  </si>
  <si>
    <t>060165 (65)</t>
  </si>
  <si>
    <t>060166 (66)</t>
  </si>
  <si>
    <t>R1</t>
  </si>
  <si>
    <t>060167 (67)</t>
  </si>
  <si>
    <t>060168 (68)</t>
  </si>
  <si>
    <t>L2</t>
  </si>
  <si>
    <t>37x22</t>
  </si>
  <si>
    <t>060188 (87)</t>
  </si>
  <si>
    <t>R2</t>
  </si>
  <si>
    <t>060187 (85)</t>
  </si>
  <si>
    <t>27x47</t>
  </si>
  <si>
    <t>060195 (93)</t>
  </si>
  <si>
    <t>060196 (94)</t>
  </si>
  <si>
    <t>Mean</t>
  </si>
  <si>
    <t>(1) 08/10/20</t>
  </si>
  <si>
    <t>(2) 09/10/20</t>
  </si>
  <si>
    <t>(3) 10/10/20</t>
  </si>
  <si>
    <t>±SEM</t>
  </si>
  <si>
    <t>27x60</t>
  </si>
  <si>
    <t>067143 (143)</t>
  </si>
  <si>
    <t>L0R1</t>
  </si>
  <si>
    <t>19*</t>
  </si>
  <si>
    <t>067144 (144)</t>
  </si>
  <si>
    <t>42x120</t>
  </si>
  <si>
    <t>067213 (150)</t>
  </si>
  <si>
    <t>067216 (151)</t>
  </si>
  <si>
    <t>102x91</t>
  </si>
  <si>
    <t>067266 (163)</t>
  </si>
  <si>
    <t>L1R0</t>
  </si>
  <si>
    <t>067227 (164)</t>
  </si>
  <si>
    <t>14*</t>
  </si>
  <si>
    <t>067230 (167)</t>
  </si>
  <si>
    <t>L0R2</t>
  </si>
  <si>
    <t>86x90</t>
  </si>
  <si>
    <t>067239 (171)</t>
  </si>
  <si>
    <t>067242 (174)</t>
  </si>
  <si>
    <t>L2R0</t>
  </si>
  <si>
    <t>(1) 26/11/20</t>
  </si>
  <si>
    <t>(2) 27/11/20</t>
  </si>
  <si>
    <t>(3) 28/11/20</t>
  </si>
  <si>
    <t>73x56</t>
  </si>
  <si>
    <t>27/10/2020</t>
  </si>
  <si>
    <t>702683 (218)</t>
  </si>
  <si>
    <t>* i.p. Reflux</t>
  </si>
  <si>
    <t>072686 (221)</t>
  </si>
  <si>
    <t>072687 (222)</t>
  </si>
  <si>
    <t>L2R1</t>
  </si>
  <si>
    <t>072688 (223)</t>
  </si>
  <si>
    <t>L1R2</t>
  </si>
  <si>
    <t>072689 (224)</t>
  </si>
  <si>
    <t>L2R2</t>
  </si>
  <si>
    <t>102x105</t>
  </si>
  <si>
    <t>29/10/2020</t>
  </si>
  <si>
    <t>072699 (235)</t>
  </si>
  <si>
    <t>072700 (236)</t>
  </si>
  <si>
    <t>072702 (238)</t>
  </si>
  <si>
    <t>(1) 21/01/21</t>
  </si>
  <si>
    <t>(2) 22/01/21</t>
  </si>
  <si>
    <t>(3) 23/01/21</t>
  </si>
  <si>
    <t>078673 (243)</t>
  </si>
  <si>
    <t>15*</t>
  </si>
  <si>
    <t>078674 (244)</t>
  </si>
  <si>
    <t>078661 (250)</t>
  </si>
  <si>
    <t>12*</t>
  </si>
  <si>
    <t>Staring coat/poor gait</t>
  </si>
  <si>
    <t>078662 (251)</t>
  </si>
  <si>
    <t>Mouse found dead morning 26/01/2021</t>
  </si>
  <si>
    <t>078649 (286)</t>
  </si>
  <si>
    <t>078650 (287)</t>
  </si>
  <si>
    <t>078651 (288)</t>
  </si>
  <si>
    <t>078727 (292)</t>
  </si>
  <si>
    <t>10*</t>
  </si>
  <si>
    <t>V thin - poor condition</t>
  </si>
  <si>
    <t>078728 (293)</t>
  </si>
  <si>
    <t>10* tried twice</t>
  </si>
  <si>
    <t>078729 (294)</t>
  </si>
  <si>
    <t>??</t>
  </si>
  <si>
    <t>(1) 19/04/21</t>
  </si>
  <si>
    <t>(2) 20/04/21</t>
  </si>
  <si>
    <t>(3) 21/04/21</t>
  </si>
  <si>
    <t>259 x 283</t>
  </si>
  <si>
    <t>330</t>
  </si>
  <si>
    <t>332</t>
  </si>
  <si>
    <t>13*</t>
  </si>
  <si>
    <t>278 x 263</t>
  </si>
  <si>
    <t>337</t>
  </si>
  <si>
    <t>338</t>
  </si>
  <si>
    <t>266 x 303</t>
  </si>
  <si>
    <t>31/04/2021</t>
  </si>
  <si>
    <t>348</t>
  </si>
  <si>
    <t>16*</t>
  </si>
  <si>
    <t>(1) 30/09/21</t>
  </si>
  <si>
    <t>(2) 01/10/21</t>
  </si>
  <si>
    <t>(3) 02/10/21</t>
  </si>
  <si>
    <t>107142</t>
  </si>
  <si>
    <t>107140</t>
  </si>
  <si>
    <t>107144</t>
  </si>
  <si>
    <t>31/09/2021</t>
  </si>
  <si>
    <t>107341</t>
  </si>
  <si>
    <t>107338</t>
  </si>
  <si>
    <t>107340</t>
  </si>
  <si>
    <t>(1) 04/11/21</t>
  </si>
  <si>
    <t>(2) 05/11/21</t>
  </si>
  <si>
    <t>(3) 06/11/21</t>
  </si>
  <si>
    <t>415</t>
  </si>
  <si>
    <t>416</t>
  </si>
  <si>
    <t>P-Value</t>
  </si>
  <si>
    <t>=TTEST(R5:R20),(R67:R72),1,2</t>
  </si>
  <si>
    <t>421</t>
  </si>
  <si>
    <t>(1) 06/01/22</t>
  </si>
  <si>
    <t>(2) 07/01/22</t>
  </si>
  <si>
    <t>(3) 08/01/22</t>
  </si>
  <si>
    <t>116780 (448)</t>
  </si>
  <si>
    <t>116800 (460)</t>
  </si>
  <si>
    <t>116801 (461)</t>
  </si>
  <si>
    <t>116802 (462)</t>
  </si>
  <si>
    <t>116808 (468)</t>
  </si>
  <si>
    <t>116809 (469)</t>
  </si>
  <si>
    <t>(1) 10/03/22</t>
  </si>
  <si>
    <t>(2) 11/03/22</t>
  </si>
  <si>
    <t>(3) 12/03/22</t>
  </si>
  <si>
    <t>124688 (483)</t>
  </si>
  <si>
    <t>124689 (484)</t>
  </si>
  <si>
    <t>124690 (485)</t>
  </si>
  <si>
    <t>Het</t>
  </si>
  <si>
    <t>124702 (489)</t>
  </si>
  <si>
    <t>(1) 07/04/22</t>
  </si>
  <si>
    <t>(2) 08/04/22</t>
  </si>
  <si>
    <t>(3) 09/04/22</t>
  </si>
  <si>
    <t>126791</t>
  </si>
  <si>
    <t>126792</t>
  </si>
  <si>
    <t>126794</t>
  </si>
  <si>
    <t>126796</t>
  </si>
  <si>
    <t>(1) 30/06/22</t>
  </si>
  <si>
    <t>(2) 01/07/22</t>
  </si>
  <si>
    <t>(3) 02/07/22</t>
  </si>
  <si>
    <t>135539</t>
  </si>
  <si>
    <t>135540</t>
  </si>
  <si>
    <t>135541</t>
  </si>
  <si>
    <t>(1) 27/10/22</t>
  </si>
  <si>
    <t>(2) 28/10/22</t>
  </si>
  <si>
    <t>(3) 29/10/22</t>
  </si>
  <si>
    <t>148658</t>
  </si>
  <si>
    <t>148659</t>
  </si>
  <si>
    <t>(1) 28/09/23</t>
  </si>
  <si>
    <t>(2) 29/09/23</t>
  </si>
  <si>
    <t>(3) 30/09/23</t>
  </si>
  <si>
    <t>175599</t>
  </si>
  <si>
    <t>RT1</t>
  </si>
  <si>
    <t>175608</t>
  </si>
  <si>
    <t>LT1 LB1</t>
  </si>
  <si>
    <t>175612</t>
  </si>
  <si>
    <t>LT1</t>
  </si>
  <si>
    <t>175613</t>
  </si>
  <si>
    <t>LB1</t>
  </si>
  <si>
    <t>175615</t>
  </si>
  <si>
    <t>RB1</t>
  </si>
  <si>
    <t>175635</t>
  </si>
  <si>
    <t>175655</t>
  </si>
  <si>
    <t>175656</t>
  </si>
  <si>
    <t>175663</t>
  </si>
  <si>
    <t>175664</t>
  </si>
  <si>
    <t>175666</t>
  </si>
  <si>
    <t>Animal #</t>
  </si>
  <si>
    <t>Treatment</t>
  </si>
  <si>
    <t>Date</t>
  </si>
  <si>
    <t>Comments</t>
  </si>
  <si>
    <t>Start Weight</t>
  </si>
  <si>
    <t>±Start Weight</t>
  </si>
  <si>
    <t>BW1</t>
  </si>
  <si>
    <t>∆BW1</t>
  </si>
  <si>
    <t>BW2</t>
  </si>
  <si>
    <t>∆BW (D2)</t>
  </si>
  <si>
    <t>∆BW2</t>
  </si>
  <si>
    <t>BW3</t>
  </si>
  <si>
    <t>∆BW (D3)</t>
  </si>
  <si>
    <t>∆BW3</t>
  </si>
  <si>
    <t>BW4</t>
  </si>
  <si>
    <t>∆BW (D4)</t>
  </si>
  <si>
    <t>∆BW4</t>
  </si>
  <si>
    <t>BW5</t>
  </si>
  <si>
    <t>∆BW (D5)</t>
  </si>
  <si>
    <t>∆BW5</t>
  </si>
  <si>
    <t>BW6</t>
  </si>
  <si>
    <t>∆BW (D6)</t>
  </si>
  <si>
    <t>∆BW6</t>
  </si>
  <si>
    <t>BW7</t>
  </si>
  <si>
    <t>∆BW (D7)</t>
  </si>
  <si>
    <t>∆BW7</t>
  </si>
  <si>
    <t>BW8</t>
  </si>
  <si>
    <t>∆BW (D8)</t>
  </si>
  <si>
    <t>∆BW8</t>
  </si>
  <si>
    <t>BW9</t>
  </si>
  <si>
    <t>∆BW (D9)</t>
  </si>
  <si>
    <t>∆BW9</t>
  </si>
  <si>
    <t>BW10</t>
  </si>
  <si>
    <t>∆BW (D10)</t>
  </si>
  <si>
    <t>∆BW10</t>
  </si>
  <si>
    <t>BW11</t>
  </si>
  <si>
    <t>∆BW (D11)</t>
  </si>
  <si>
    <t>∆BW11</t>
  </si>
  <si>
    <t>BW12</t>
  </si>
  <si>
    <t>∆BW (D12)</t>
  </si>
  <si>
    <t>∆BW12</t>
  </si>
  <si>
    <t>BW13</t>
  </si>
  <si>
    <t>∆BW (D13)</t>
  </si>
  <si>
    <t>∆BW13</t>
  </si>
  <si>
    <t>BW14</t>
  </si>
  <si>
    <t>∆BW (D14)</t>
  </si>
  <si>
    <t>∆BW14</t>
  </si>
  <si>
    <t>BW15</t>
  </si>
  <si>
    <t>∆BW (D15)</t>
  </si>
  <si>
    <t>∆BW15</t>
  </si>
  <si>
    <t>BW16</t>
  </si>
  <si>
    <t>∆BW (D16)</t>
  </si>
  <si>
    <t>∆BW16</t>
  </si>
  <si>
    <t>BW17</t>
  </si>
  <si>
    <t>∆BW (D17)</t>
  </si>
  <si>
    <t>∆BW17</t>
  </si>
  <si>
    <t>BW18</t>
  </si>
  <si>
    <t>∆BW (D18)</t>
  </si>
  <si>
    <t>∆BW18</t>
  </si>
  <si>
    <t>BW19</t>
  </si>
  <si>
    <t>∆BW (D19)</t>
  </si>
  <si>
    <t>∆BW19</t>
  </si>
  <si>
    <t>BW20</t>
  </si>
  <si>
    <t>∆BW (D20)</t>
  </si>
  <si>
    <t>∆BW20</t>
  </si>
  <si>
    <t>BW21</t>
  </si>
  <si>
    <t>∆BW (D21)</t>
  </si>
  <si>
    <t>∆BW21</t>
  </si>
  <si>
    <t>Start Wt</t>
  </si>
  <si>
    <t>m1</t>
  </si>
  <si>
    <t>L1R1 060149 (59)</t>
  </si>
  <si>
    <t>Ad-Libitum</t>
  </si>
  <si>
    <t>Protocol 7</t>
  </si>
  <si>
    <t>WT</t>
  </si>
  <si>
    <t>m2</t>
  </si>
  <si>
    <t>L0R2 060188 (87)</t>
  </si>
  <si>
    <t>m3</t>
  </si>
  <si>
    <t>L0R1 060196 (94)</t>
  </si>
  <si>
    <t>m11</t>
  </si>
  <si>
    <t>L0R1 067143 (143)</t>
  </si>
  <si>
    <t>15/10/2020</t>
  </si>
  <si>
    <t>m18</t>
  </si>
  <si>
    <t>L1R1 0727700</t>
  </si>
  <si>
    <t>m45</t>
  </si>
  <si>
    <t>175613, LB1</t>
  </si>
  <si>
    <t>Protocol 3</t>
  </si>
  <si>
    <t>m46</t>
  </si>
  <si>
    <t>175664, RT1</t>
  </si>
  <si>
    <t>m47</t>
  </si>
  <si>
    <t>175608, LT1 LB1</t>
  </si>
  <si>
    <t>MEAN</t>
  </si>
  <si>
    <t>m7</t>
  </si>
  <si>
    <t>L1R1 060167 (67)</t>
  </si>
  <si>
    <t>Grazing</t>
  </si>
  <si>
    <t>m16</t>
  </si>
  <si>
    <t>L2R0 067242 (174)</t>
  </si>
  <si>
    <t>m19</t>
  </si>
  <si>
    <t>L0R2 072686</t>
  </si>
  <si>
    <t>m35</t>
  </si>
  <si>
    <t>L1R0 116780 (448)</t>
  </si>
  <si>
    <t>13/01/2022</t>
  </si>
  <si>
    <t>m38</t>
  </si>
  <si>
    <t>L1R0 126791</t>
  </si>
  <si>
    <t>m42</t>
  </si>
  <si>
    <t>L2R0 135541</t>
  </si>
  <si>
    <t>m48</t>
  </si>
  <si>
    <t>175635, RB1</t>
  </si>
  <si>
    <t>m49</t>
  </si>
  <si>
    <t>175663, LB1</t>
  </si>
  <si>
    <t>%-Control</t>
  </si>
  <si>
    <t>m17</t>
  </si>
  <si>
    <t>L0R2 067230 (167)</t>
  </si>
  <si>
    <t>Meal-Fed</t>
  </si>
  <si>
    <t>m20</t>
  </si>
  <si>
    <t>L0R2 072702</t>
  </si>
  <si>
    <t>m26</t>
  </si>
  <si>
    <t>L2R0 (288)</t>
  </si>
  <si>
    <t>19/12/2020</t>
  </si>
  <si>
    <t>28/01/2021</t>
  </si>
  <si>
    <t>m36</t>
  </si>
  <si>
    <t>L0R1 116809 (469)</t>
  </si>
  <si>
    <t>m39</t>
  </si>
  <si>
    <t>L0R1 126792</t>
  </si>
  <si>
    <t>m43</t>
  </si>
  <si>
    <t>L1R1 135540</t>
  </si>
  <si>
    <t>COUNT</t>
  </si>
  <si>
    <t>m50</t>
  </si>
  <si>
    <t>175599, RT1</t>
  </si>
  <si>
    <t>loxTB-GHSR</t>
  </si>
  <si>
    <t>m51</t>
  </si>
  <si>
    <t>175655, RT1</t>
  </si>
  <si>
    <t>1-way ANOVA &amp; Bonferroni PHT</t>
  </si>
  <si>
    <t>ALvGR</t>
  </si>
  <si>
    <t>&gt;0.9999</t>
  </si>
  <si>
    <t>Excluding Exp l values</t>
  </si>
  <si>
    <t>ALvMF</t>
  </si>
  <si>
    <t>&lt;0.0001</t>
  </si>
  <si>
    <t>MFvGR</t>
  </si>
  <si>
    <t>m33</t>
  </si>
  <si>
    <t>L0R1 (330)</t>
  </si>
  <si>
    <t>Terminated due to poor acclimatisation to meal-feeding</t>
  </si>
  <si>
    <t>Air pump failure - experiment terminated</t>
  </si>
  <si>
    <t>m30</t>
  </si>
  <si>
    <t>L1R1 (348)</t>
  </si>
  <si>
    <t>m31</t>
  </si>
  <si>
    <t>L1RO (337)</t>
  </si>
  <si>
    <t>m32</t>
  </si>
  <si>
    <t>L0R1 (338)</t>
  </si>
  <si>
    <t>Failure to eat - experiment terminated</t>
  </si>
  <si>
    <t>BODY WEIGHT</t>
  </si>
  <si>
    <t>∆BW</t>
  </si>
  <si>
    <t>Ad Libitum</t>
  </si>
  <si>
    <t>±Ad Libitum</t>
  </si>
  <si>
    <t>±Grazing</t>
  </si>
  <si>
    <t>Meal-fed</t>
  </si>
  <si>
    <t>±Meal-fed</t>
  </si>
  <si>
    <t>Day</t>
  </si>
  <si>
    <t>Ad libitum</t>
  </si>
  <si>
    <t>± Ad libitum</t>
  </si>
  <si>
    <t xml:space="preserve">Daily ΔBW </t>
  </si>
  <si>
    <r>
      <t xml:space="preserve">Daily </t>
    </r>
    <r>
      <rPr>
        <sz val="10"/>
        <rFont val="PortagoITC TT"/>
      </rPr>
      <t>Δ</t>
    </r>
    <r>
      <rPr>
        <sz val="10"/>
        <rFont val="Arial"/>
        <family val="2"/>
      </rPr>
      <t xml:space="preserve">BW </t>
    </r>
  </si>
  <si>
    <r>
      <t xml:space="preserve">Daily </t>
    </r>
    <r>
      <rPr>
        <sz val="9"/>
        <rFont val="PortagoITC TT"/>
      </rPr>
      <t>Δ</t>
    </r>
    <r>
      <rPr>
        <sz val="12"/>
        <color theme="1"/>
        <rFont val="Calibri"/>
        <family val="2"/>
        <scheme val="minor"/>
      </rPr>
      <t xml:space="preserve">BW </t>
    </r>
  </si>
  <si>
    <t>With Exp l</t>
  </si>
  <si>
    <t>Without Exp l</t>
  </si>
  <si>
    <t>m4</t>
  </si>
  <si>
    <t>L1R0 060165 (65)</t>
  </si>
  <si>
    <t>m5</t>
  </si>
  <si>
    <t>L2R0 060168 (68)</t>
  </si>
  <si>
    <t>m6</t>
  </si>
  <si>
    <t>L1R0 060195 (93)</t>
  </si>
  <si>
    <t>m12</t>
  </si>
  <si>
    <t>L1R0 067226 (163)</t>
  </si>
  <si>
    <t>m13</t>
  </si>
  <si>
    <t>L0R1 067227 (164)</t>
  </si>
  <si>
    <t>m21</t>
  </si>
  <si>
    <t>L1R2 072688</t>
  </si>
  <si>
    <t>m22</t>
  </si>
  <si>
    <t>L2R2 072689</t>
  </si>
  <si>
    <t>m23</t>
  </si>
  <si>
    <t>L0R1 072683</t>
  </si>
  <si>
    <t>m52</t>
  </si>
  <si>
    <t>175666, LT1 LB1</t>
  </si>
  <si>
    <t>m8</t>
  </si>
  <si>
    <t>L1R1 060187 (85)</t>
  </si>
  <si>
    <t>m14</t>
  </si>
  <si>
    <t>L1R1 067144 (144)</t>
  </si>
  <si>
    <t>m15</t>
  </si>
  <si>
    <t>L1R0 067239 (171)</t>
  </si>
  <si>
    <t>m24</t>
  </si>
  <si>
    <t>L2R1 072687</t>
  </si>
  <si>
    <t>m27</t>
  </si>
  <si>
    <t>L0R1 (286)</t>
  </si>
  <si>
    <t>m40</t>
  </si>
  <si>
    <t>L1R1 126796</t>
  </si>
  <si>
    <t>m44</t>
  </si>
  <si>
    <t>L0R1 135539</t>
  </si>
  <si>
    <t>m53</t>
  </si>
  <si>
    <t>175656, RB1</t>
  </si>
  <si>
    <t>m9</t>
  </si>
  <si>
    <t>L1R0 060148 (58)</t>
  </si>
  <si>
    <t>m10</t>
  </si>
  <si>
    <t>L0R1 060166 (66)</t>
  </si>
  <si>
    <t>m25</t>
  </si>
  <si>
    <t>L0R1 072699</t>
  </si>
  <si>
    <t>m29</t>
  </si>
  <si>
    <t>L1R1 (293)</t>
  </si>
  <si>
    <t>20/12/2020</t>
  </si>
  <si>
    <t>m37</t>
  </si>
  <si>
    <t>L1R0 116808 (468)</t>
  </si>
  <si>
    <t>m41</t>
  </si>
  <si>
    <t>L1R0 126794</t>
  </si>
  <si>
    <t>m54</t>
  </si>
  <si>
    <t>175612, LT1</t>
  </si>
  <si>
    <t>m55</t>
  </si>
  <si>
    <t>175615, RB1</t>
  </si>
  <si>
    <t>Lost 13% original body weight. Given 1hr meal.</t>
  </si>
  <si>
    <t>m34</t>
  </si>
  <si>
    <t>L2R0 (332)</t>
  </si>
  <si>
    <t>m28</t>
  </si>
  <si>
    <t>L1R1 (287)</t>
  </si>
  <si>
    <t>Meal-fed Mice</t>
  </si>
  <si>
    <t>Mouse #</t>
  </si>
  <si>
    <t>Genotype</t>
  </si>
  <si>
    <t>Day of return to original BW</t>
  </si>
  <si>
    <r>
      <t>Daily Δ</t>
    </r>
    <r>
      <rPr>
        <sz val="12"/>
        <color theme="1"/>
        <rFont val="Arial"/>
        <family val="2"/>
      </rPr>
      <t xml:space="preserve">BW </t>
    </r>
  </si>
  <si>
    <t>Diet:</t>
  </si>
  <si>
    <t>SDS 801066 RM3 (E)</t>
  </si>
  <si>
    <t>Caloric value:</t>
  </si>
  <si>
    <t>15.21Mj/kg</t>
  </si>
  <si>
    <t>1MJ:kcal</t>
  </si>
  <si>
    <t>kcal/g</t>
  </si>
  <si>
    <t>HOPPER WEIGHTS</t>
  </si>
  <si>
    <t>HW1</t>
  </si>
  <si>
    <t>∆HW1</t>
  </si>
  <si>
    <t>C/I 1</t>
  </si>
  <si>
    <t>Start Weight 2</t>
  </si>
  <si>
    <t>HW2</t>
  </si>
  <si>
    <t>∆HW2</t>
  </si>
  <si>
    <t>Cum F/I 2</t>
  </si>
  <si>
    <t>C/I 2</t>
  </si>
  <si>
    <t>Cum C/I 2</t>
  </si>
  <si>
    <t>Start Weight 3</t>
  </si>
  <si>
    <t>HW3</t>
  </si>
  <si>
    <t>∆HW3</t>
  </si>
  <si>
    <t>Cum F/I 3</t>
  </si>
  <si>
    <t>C/I 3</t>
  </si>
  <si>
    <t>Cum C/I 3</t>
  </si>
  <si>
    <t>Start Weight 4</t>
  </si>
  <si>
    <t>HW4</t>
  </si>
  <si>
    <t>∆HW4</t>
  </si>
  <si>
    <t>Cum F/I 4</t>
  </si>
  <si>
    <t>C/I 4</t>
  </si>
  <si>
    <t>Cum C/I 4</t>
  </si>
  <si>
    <t>Start Weight 5</t>
  </si>
  <si>
    <t>HW5</t>
  </si>
  <si>
    <t>∆HW5</t>
  </si>
  <si>
    <t>Cum F/I 5</t>
  </si>
  <si>
    <t>C/I 5</t>
  </si>
  <si>
    <t>Cum C/I 5</t>
  </si>
  <si>
    <t>Start Weight 6</t>
  </si>
  <si>
    <t>HW6</t>
  </si>
  <si>
    <t>∆HW6</t>
  </si>
  <si>
    <t>Cum F/I 6</t>
  </si>
  <si>
    <t>C/I 6</t>
  </si>
  <si>
    <t>Cum C/I 6</t>
  </si>
  <si>
    <t>Start Weight 7</t>
  </si>
  <si>
    <t>HW7</t>
  </si>
  <si>
    <t>∆HW7</t>
  </si>
  <si>
    <t>Cum F/I 7</t>
  </si>
  <si>
    <t>C/I 7</t>
  </si>
  <si>
    <t>Cum C/I 7</t>
  </si>
  <si>
    <t>Start Weight 8</t>
  </si>
  <si>
    <t>HW8</t>
  </si>
  <si>
    <t>∆HW8</t>
  </si>
  <si>
    <t>Cum F/I 8</t>
  </si>
  <si>
    <t>C/I 8</t>
  </si>
  <si>
    <t>Cum C/I 8</t>
  </si>
  <si>
    <t>Start Weight 9</t>
  </si>
  <si>
    <t>HW9</t>
  </si>
  <si>
    <t>∆HW9</t>
  </si>
  <si>
    <t>Cum F/I 9</t>
  </si>
  <si>
    <t>C/I 9</t>
  </si>
  <si>
    <t>Cum C/I 9</t>
  </si>
  <si>
    <t>Start Weight 10</t>
  </si>
  <si>
    <t>HW10</t>
  </si>
  <si>
    <t>∆HW10</t>
  </si>
  <si>
    <t>Cum F/I 10</t>
  </si>
  <si>
    <t>C/I 10</t>
  </si>
  <si>
    <t>Cum C/I 10</t>
  </si>
  <si>
    <t>Start Weight 11</t>
  </si>
  <si>
    <t>HW11</t>
  </si>
  <si>
    <t>∆HW11</t>
  </si>
  <si>
    <t>Cum F/I 11</t>
  </si>
  <si>
    <t>C/I 11</t>
  </si>
  <si>
    <t>Cum C/I 11</t>
  </si>
  <si>
    <t>Start Weight 12</t>
  </si>
  <si>
    <t>HW12</t>
  </si>
  <si>
    <t>∆HW12</t>
  </si>
  <si>
    <t>Cum F/I 12</t>
  </si>
  <si>
    <t>C/I 12</t>
  </si>
  <si>
    <t>Cum C/I 12</t>
  </si>
  <si>
    <t>Start Weight 13</t>
  </si>
  <si>
    <t>HW13</t>
  </si>
  <si>
    <t>∆HW13</t>
  </si>
  <si>
    <t>F/I (Food Choice)</t>
  </si>
  <si>
    <t>Total F/I D13</t>
  </si>
  <si>
    <t>Cum F/I 13</t>
  </si>
  <si>
    <t>C/I 13 + Food Choice</t>
  </si>
  <si>
    <t>Cum C/I 13</t>
  </si>
  <si>
    <t>Start Weight 14</t>
  </si>
  <si>
    <t>HW14</t>
  </si>
  <si>
    <t>∆HW14</t>
  </si>
  <si>
    <t>Cum F/I 14</t>
  </si>
  <si>
    <t>C/I 14</t>
  </si>
  <si>
    <t>Cum C/I 14</t>
  </si>
  <si>
    <t>Start Weight 15</t>
  </si>
  <si>
    <t>HW15</t>
  </si>
  <si>
    <t>∆HW15</t>
  </si>
  <si>
    <t>Cum F/I 15</t>
  </si>
  <si>
    <t>C/I 15</t>
  </si>
  <si>
    <t>Cum C/I 15</t>
  </si>
  <si>
    <t>Start Weight 16</t>
  </si>
  <si>
    <t>HW16</t>
  </si>
  <si>
    <t>∆HW16</t>
  </si>
  <si>
    <t>Cum F/I 16</t>
  </si>
  <si>
    <t>C/I 16</t>
  </si>
  <si>
    <t>Cum C/I 16</t>
  </si>
  <si>
    <t>Start Weight 17</t>
  </si>
  <si>
    <t>HW17</t>
  </si>
  <si>
    <t>∆HW17</t>
  </si>
  <si>
    <t>Cum F/I 17</t>
  </si>
  <si>
    <t>C/I 17</t>
  </si>
  <si>
    <t>Cum C/I 17</t>
  </si>
  <si>
    <t>Start Weight 18</t>
  </si>
  <si>
    <t>HW18</t>
  </si>
  <si>
    <t>∆HW18</t>
  </si>
  <si>
    <t>Cum F/I 18</t>
  </si>
  <si>
    <t>C/I 18</t>
  </si>
  <si>
    <t>Cum C/I 18</t>
  </si>
  <si>
    <t>Start Weight 19</t>
  </si>
  <si>
    <t>HW19</t>
  </si>
  <si>
    <t>∆HW19</t>
  </si>
  <si>
    <t>Cum F/I 19</t>
  </si>
  <si>
    <t>C/I 19</t>
  </si>
  <si>
    <t>Cum C/I 19</t>
  </si>
  <si>
    <t>Start Weight 20</t>
  </si>
  <si>
    <t>HW20</t>
  </si>
  <si>
    <t>∆HW20</t>
  </si>
  <si>
    <t>Cum F/I 20</t>
  </si>
  <si>
    <t>C/I 20</t>
  </si>
  <si>
    <t>Cum C/I 20</t>
  </si>
  <si>
    <t>HW21</t>
  </si>
  <si>
    <t>∆HW21</t>
  </si>
  <si>
    <t>Cum F/I 21</t>
  </si>
  <si>
    <t>C/I 21</t>
  </si>
  <si>
    <t>Cum C/I 21</t>
  </si>
  <si>
    <t>Notes:</t>
  </si>
  <si>
    <t>Hopper came apart - diet carefully collected and weighed</t>
  </si>
  <si>
    <t>Large urinations in diet</t>
  </si>
  <si>
    <t>8.15g diet under floor - 1 6th (1.36) deducted from previous 6 days</t>
  </si>
  <si>
    <t>Food recovered from under floor and added</t>
  </si>
  <si>
    <t>Diet spilt in cage</t>
  </si>
  <si>
    <t>Switched to pelleted diet</t>
  </si>
  <si>
    <t>3.75g of diet under floor of cage - deducted 1/5th (0.5g) from each of last 5 days</t>
  </si>
  <si>
    <t>Spilt diet recovered from beneath floor</t>
  </si>
  <si>
    <t>Large Under-floor spill - added to hopper weight</t>
  </si>
  <si>
    <t>4.39g diet under floor - 1 3rd (1.463) deducted from previous 3 days</t>
  </si>
  <si>
    <t>Diet collected from under cage floor</t>
  </si>
  <si>
    <t>1.55g under floor - deducted from D16+D17</t>
  </si>
  <si>
    <t>Food pellet consumed</t>
  </si>
  <si>
    <t>7.31g diet under floor - 1 6th (1.22) deducted from previous 6 days</t>
  </si>
  <si>
    <t>4.44g of diet under floor of cage - deducted 2.44g from D7 and 1.0g from D6 and D5</t>
  </si>
  <si>
    <t>Wedged lid open with bottle</t>
  </si>
  <si>
    <t>Food recovered from under floor - 3.81/4 = 0.9525 subtracted from 4 days</t>
  </si>
  <si>
    <t>Recalculated as mean of D12 and D14</t>
  </si>
  <si>
    <t>1.51g diet under cage floor - deducted from D9-12, 14</t>
  </si>
  <si>
    <t>Air pump failed O/N - given 2h AL feeding</t>
  </si>
  <si>
    <t>4.54g diet under floor of cage - 2.50g D6, 2.04g D7</t>
  </si>
  <si>
    <t>2.44g diet under floor - 2.44/2=1.22 from D13+D14</t>
  </si>
  <si>
    <t>Food recovered from under floor and added 7.11g. 7.11/4=1.77 from D17-20</t>
  </si>
  <si>
    <t>12.28g of diet under floor of cage - deducted 11.42 g D7, 0.43g D5, 0.43g D6</t>
  </si>
  <si>
    <t>0.91g under floor - 0.9/2=0.455 from D13+D14</t>
  </si>
  <si>
    <t>Food recovered from under floor and added 4.47g. 4.47/4=1.12 from D17-20</t>
  </si>
  <si>
    <t>2.96g under floor - deducted from D13+D14</t>
  </si>
  <si>
    <t>Food recovered from under floor and added 1.07. 1.07/4=0.535 from D19-20</t>
  </si>
  <si>
    <t>3.89g under floor - 0.9/2=0.455 from D13+D14</t>
  </si>
  <si>
    <t>Food recovered from under floor and added 5.18. 5.18/2=2.59 from D19-20</t>
  </si>
  <si>
    <t>2.52g diet under cage floor - deducted from D9-12, 14</t>
  </si>
  <si>
    <t>GRAZING FOOD ALLOWANCE</t>
  </si>
  <si>
    <t>AD LIBITUM-FED FOOD INTAKE</t>
  </si>
  <si>
    <t>Assumed for D1</t>
  </si>
  <si>
    <t>D1 for D2</t>
  </si>
  <si>
    <t>D2 for D3/4</t>
  </si>
  <si>
    <t>D3 for D4</t>
  </si>
  <si>
    <t>D4 for D5</t>
  </si>
  <si>
    <t>D5 for D6</t>
  </si>
  <si>
    <t>D6 for D7</t>
  </si>
  <si>
    <t>D7 for D8</t>
  </si>
  <si>
    <t>D8 for D9</t>
  </si>
  <si>
    <t>D9 for D10</t>
  </si>
  <si>
    <t>D10 for D11</t>
  </si>
  <si>
    <t>D11 for D12</t>
  </si>
  <si>
    <t>D12 for D13</t>
  </si>
  <si>
    <t>D13 for D14</t>
  </si>
  <si>
    <t>D14 for D15</t>
  </si>
  <si>
    <t>D15 for D16</t>
  </si>
  <si>
    <t>D16 for D17</t>
  </si>
  <si>
    <t>D17 for D18</t>
  </si>
  <si>
    <t>D18 for D19</t>
  </si>
  <si>
    <t>D19 for D20</t>
  </si>
  <si>
    <t>D20 for D21</t>
  </si>
  <si>
    <t xml:space="preserve"> </t>
  </si>
  <si>
    <t>Run 1</t>
  </si>
  <si>
    <t>Average F/I (ad libitum)</t>
  </si>
  <si>
    <t>30 min F/I Grazing)</t>
  </si>
  <si>
    <t>Feed Limit Used</t>
  </si>
  <si>
    <t>Run 2</t>
  </si>
  <si>
    <t>Run 3</t>
  </si>
  <si>
    <t>Run 5</t>
  </si>
  <si>
    <t>Run 6</t>
  </si>
  <si>
    <t>Run 7</t>
  </si>
  <si>
    <t>Run 8</t>
  </si>
  <si>
    <t>Run 9</t>
  </si>
  <si>
    <t>Cumulative F/I</t>
  </si>
  <si>
    <t>Daily F/I</t>
  </si>
  <si>
    <t>Cumulative C/I</t>
  </si>
  <si>
    <t>Ad-libitum</t>
  </si>
  <si>
    <t>±Ad-libitum</t>
  </si>
  <si>
    <t>Ad Libitum Daily Food Intake</t>
  </si>
  <si>
    <t>± A-L dF/I</t>
  </si>
  <si>
    <t>Grazing Daily Food Intake</t>
  </si>
  <si>
    <t>± Grazing dF/I</t>
  </si>
  <si>
    <t>Meal-fed Daily Food Intake</t>
  </si>
  <si>
    <t>± Meal-fed dF/I</t>
  </si>
  <si>
    <t>Rapid "hoarding" behaviour when diet returned</t>
  </si>
  <si>
    <t>Lost 13% original BW &amp; eaten much less than other HOMs. Given 1hr meal (12.30-13.30).</t>
  </si>
  <si>
    <t>1.54g of diet under floor of cage - deducted 1/7th (0.22g) from each of last 7 days</t>
  </si>
  <si>
    <t>9.38g of diet under cage - 1 7th (1.34g) deducted from previous 7 days</t>
  </si>
  <si>
    <t>Oxymax (Feeding events) value - v little spill</t>
  </si>
  <si>
    <t>3.82g under floor - deducted from D16+D17</t>
  </si>
  <si>
    <t>8.81g of diet under cage - 1 7th (1.26g) deducted from previous 6 days</t>
  </si>
  <si>
    <t>Mouse had food hoarded underneath hood.</t>
  </si>
  <si>
    <t>4.76g of diet under floor of cage - deducted from the last 6 days</t>
  </si>
  <si>
    <t>0.74g of diet under floor of cage - deducted 0.74g from D7</t>
  </si>
  <si>
    <t>3.06g of diet under cage - 1 6th (0.51g) deducted from previous 6 days</t>
  </si>
  <si>
    <t>3.42g of diet under cage - 1 6th (0.57g) deducted from previous 6 days</t>
  </si>
  <si>
    <t>HW</t>
  </si>
  <si>
    <r>
      <rPr>
        <sz val="10"/>
        <rFont val="Calibri"/>
        <family val="2"/>
      </rPr>
      <t>Δ</t>
    </r>
    <r>
      <rPr>
        <sz val="10"/>
        <rFont val="Arial"/>
        <family val="2"/>
      </rPr>
      <t>HW</t>
    </r>
  </si>
  <si>
    <t>1.78g of diet under floor of cage - deducted from the last 6 days</t>
  </si>
  <si>
    <t>4.67g of diet under floor of cage - deducted 1.17g D4-D7</t>
  </si>
  <si>
    <t>3.41g recovered from under floor - divided between D8-D11 (0.85)</t>
  </si>
  <si>
    <t>Food recovered from under floor - divided between D12 and D11</t>
  </si>
  <si>
    <t>4.45g of diet under cage - 1 6th (0.74g) deducted from previous 6 days</t>
  </si>
  <si>
    <t>3.91g of diet under cage - 1 6th (0.78g) deducted from first 5 days</t>
  </si>
  <si>
    <t>2.59g of diet under floor of cage - deducted 1/6th (0.43g) from each of last 6 days</t>
  </si>
  <si>
    <t>See D14 notes</t>
  </si>
  <si>
    <t>0.57g diet under cage floor - deducted from D14/12</t>
  </si>
  <si>
    <t>Food recovered from under floor and added 2.65g. 2.65/4=0.66 fr4om d17-20</t>
  </si>
  <si>
    <t>Food recovered from under floor - divided between D9 to D12 1.85/4=0.4625</t>
  </si>
  <si>
    <t>3.27g under floor - 3.27/2=1.635 D13/14</t>
  </si>
  <si>
    <t>Food recovered from under floor and added 3.76g. 3.76/4= 0.94 from d17-20</t>
  </si>
  <si>
    <t>Food recovered from under floor - divided between D9 to D12 3.65/4=0.9125</t>
  </si>
  <si>
    <t>1.56g under floor - 1.56/2=0.78 form D13/14</t>
  </si>
  <si>
    <t>Food recovered from under floor and added 5.43g. 5.43/2=2.715 from D19-20</t>
  </si>
  <si>
    <t>Large urination in diet</t>
  </si>
  <si>
    <t>6.90g under floor - deducted from D13+D14</t>
  </si>
  <si>
    <t>D2 for D3</t>
  </si>
  <si>
    <t>0,24</t>
  </si>
  <si>
    <t>Run 4</t>
  </si>
  <si>
    <t>Average F/I (ad libitum Runs 1-3)</t>
  </si>
  <si>
    <t>Experiment: l</t>
  </si>
  <si>
    <t>mg/kcal</t>
  </si>
  <si>
    <t>New Neurones (BrdU+/NeuN+)</t>
  </si>
  <si>
    <t>Behaviour</t>
  </si>
  <si>
    <t>Other new cells (BrdU+/NeuN-)</t>
  </si>
  <si>
    <t>Kill Time</t>
  </si>
  <si>
    <t>Final BW</t>
  </si>
  <si>
    <t>Final ∆BW</t>
  </si>
  <si>
    <t>cum F/I</t>
  </si>
  <si>
    <t>cum C/I</t>
  </si>
  <si>
    <t>N-A Length</t>
  </si>
  <si>
    <t>Femoral Length</t>
  </si>
  <si>
    <t>Tibial Length</t>
  </si>
  <si>
    <t>Tibial EPW</t>
  </si>
  <si>
    <t>GZ</t>
  </si>
  <si>
    <t>PZ</t>
  </si>
  <si>
    <t>HZ</t>
  </si>
  <si>
    <t>p[IGF-1]</t>
  </si>
  <si>
    <t>p[Ghrelin(T)]</t>
  </si>
  <si>
    <t>Pituitary Weight</t>
  </si>
  <si>
    <t>Pit Wt (%-BW)</t>
  </si>
  <si>
    <t>Liver Weight</t>
  </si>
  <si>
    <t>Liv Wt (%BW)</t>
  </si>
  <si>
    <t>Kidney Weight</t>
  </si>
  <si>
    <t>Kid Wt (%BW)</t>
  </si>
  <si>
    <t>Adrenal Weight</t>
  </si>
  <si>
    <t>Adr Wt (%BW)</t>
  </si>
  <si>
    <t>Sem Ves Weight</t>
  </si>
  <si>
    <t>SV Wt (%BW)</t>
  </si>
  <si>
    <t>Testicular Weight</t>
  </si>
  <si>
    <t>Test'lr Wt (%BW)</t>
  </si>
  <si>
    <t>Spermatozoa</t>
  </si>
  <si>
    <t>Inguinal Weight</t>
  </si>
  <si>
    <t>Ing Wt (%BW)</t>
  </si>
  <si>
    <t>Ing Wt/cCI</t>
  </si>
  <si>
    <t>Epididymal Weight</t>
  </si>
  <si>
    <t>Epi Wt (%BW)</t>
  </si>
  <si>
    <t>Epi Wt/cCI</t>
  </si>
  <si>
    <t>Retroperitoneal Weight</t>
  </si>
  <si>
    <t>Rp Wt (%BW)</t>
  </si>
  <si>
    <t>Rp Wt/cCI</t>
  </si>
  <si>
    <t>RP Adipocyte size</t>
  </si>
  <si>
    <t>Abdominal Adiposity</t>
  </si>
  <si>
    <t>Ab Adiposity (%BW)</t>
  </si>
  <si>
    <t>Ab Adiposity/cCI</t>
  </si>
  <si>
    <t>IS BAT Weight</t>
  </si>
  <si>
    <t>ISB Wt (%BW)</t>
  </si>
  <si>
    <t>ISB Wt/cCI</t>
  </si>
  <si>
    <t>Mrw adiposity</t>
  </si>
  <si>
    <t>Adipocyte #</t>
  </si>
  <si>
    <t>Adipocyte size</t>
  </si>
  <si>
    <t>Max Force (N)</t>
  </si>
  <si>
    <t>Yield Load (N)</t>
  </si>
  <si>
    <t>Whole DG</t>
  </si>
  <si>
    <t>Upper Rostral</t>
  </si>
  <si>
    <t>Lower Rostral</t>
  </si>
  <si>
    <t>Upper Caudal</t>
  </si>
  <si>
    <t>Lower Caudal</t>
  </si>
  <si>
    <t>OIP Discrimination Ratio</t>
  </si>
  <si>
    <t>Inner Zone (%-duration)</t>
  </si>
  <si>
    <t>Entry Frequency</t>
  </si>
  <si>
    <t>Inner Zome Movement (%-duration)</t>
  </si>
  <si>
    <t>14/04/2022</t>
  </si>
  <si>
    <t>28/07/2022</t>
  </si>
  <si>
    <t>Brain hemispere briefly in PFA</t>
  </si>
  <si>
    <t>17/11/2021</t>
  </si>
  <si>
    <t>AL vs GR</t>
  </si>
  <si>
    <t>AL vs MF</t>
  </si>
  <si>
    <t>GR vs MF</t>
  </si>
  <si>
    <t>2x Data</t>
  </si>
  <si>
    <t>Other Cells (BrdU+/NeuN-)</t>
  </si>
  <si>
    <t>Unpper Rostral</t>
  </si>
  <si>
    <t>OIP Discrimination</t>
  </si>
  <si>
    <t>m40 - sheared plate</t>
  </si>
  <si>
    <t>Missing Sample</t>
  </si>
  <si>
    <t>p[IGF-1] pg/ml</t>
  </si>
  <si>
    <t>Start BWs</t>
  </si>
  <si>
    <t>Ttest</t>
  </si>
  <si>
    <t>1-ay ANOVA + Bonferroni</t>
  </si>
  <si>
    <t>P-values</t>
  </si>
  <si>
    <t>Without Exp l samples</t>
  </si>
  <si>
    <t>AL vs loxAL</t>
  </si>
  <si>
    <t>GR vs loxGR</t>
  </si>
  <si>
    <t>MF vs loxMF</t>
  </si>
  <si>
    <t>Novel OIP</t>
  </si>
  <si>
    <t>Open Field</t>
  </si>
  <si>
    <t>Alt Whole DG</t>
  </si>
  <si>
    <t>IZ Entry Frequency</t>
  </si>
  <si>
    <t>IZ Movement (%-duration)</t>
  </si>
  <si>
    <t>OZ Movement (%-duration)</t>
  </si>
  <si>
    <t>IZ Mean Speed (cm/s)</t>
  </si>
  <si>
    <t>OZ Mean Speed (cm/s)</t>
  </si>
  <si>
    <t>IZ High Speed (%-duration)</t>
  </si>
  <si>
    <t>OZ High Speed (%-duration)</t>
  </si>
  <si>
    <t>Head to IZ (%-Duration)</t>
  </si>
  <si>
    <t>Total SAP (%-Duration)</t>
  </si>
  <si>
    <t>IZ SAP (%-Duration)</t>
  </si>
  <si>
    <t>OZ SAP (%-Duration)</t>
  </si>
  <si>
    <t>∆ Body weight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</si>
  <si>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</si>
  <si>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</si>
  <si>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</si>
  <si>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</si>
  <si>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</si>
  <si>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</si>
  <si>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</si>
  <si>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</si>
  <si>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</si>
  <si>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</si>
  <si>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</si>
  <si>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</si>
  <si>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</si>
  <si>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</si>
  <si>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</si>
  <si>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</si>
  <si>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</si>
  <si>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</si>
  <si>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</si>
  <si>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</si>
  <si>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</si>
  <si>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1-way ANOVA + Bonferroni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</si>
</sst>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"/>
    <numFmt numFmtId="166" formatCode="0.0000"/>
    <numFmt numFmtId="167" formatCode="0.00000"/>
    <numFmt numFmtId="168" formatCode="0.000"/>
  </numFmts>
  <fonts count="3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sz val="10"/>
      <name val="PortagoITC TT"/>
    </font>
    <font>
      <sz val="9"/>
      <name val="PortagoITC TT"/>
    </font>
    <font>
      <sz val="9"/>
      <name val="Geneva"/>
      <family val="2"/>
    </font>
    <font>
      <sz val="10"/>
      <color indexed="8"/>
      <name val="Arial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9"/>
      <color rgb="FFFF0000"/>
      <name val="Geneva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9C0006"/>
      <name val="Arial"/>
      <family val="2"/>
    </font>
    <font>
      <i/>
      <sz val="12"/>
      <color theme="1"/>
      <name val="Calibri"/>
      <family val="2"/>
      <scheme val="minor"/>
    </font>
    <font>
      <sz val="10"/>
      <name val="Arial"/>
    </font>
  </fonts>
  <fills count="5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7DCDC"/>
        <bgColor indexed="64"/>
      </patternFill>
    </fill>
    <fill>
      <patternFill patternType="solid">
        <fgColor rgb="FFB0E1F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6E1B7"/>
        <bgColor indexed="64"/>
      </patternFill>
    </fill>
    <fill>
      <patternFill patternType="solid">
        <fgColor rgb="FFA9E16C"/>
        <bgColor indexed="64"/>
      </patternFill>
    </fill>
    <fill>
      <patternFill patternType="solid">
        <fgColor rgb="FFE3D271"/>
        <bgColor indexed="64"/>
      </patternFill>
    </fill>
    <fill>
      <patternFill patternType="solid">
        <fgColor rgb="FFFD7BE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8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FF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F7D9"/>
        <bgColor indexed="64"/>
      </patternFill>
    </fill>
    <fill>
      <patternFill patternType="solid">
        <fgColor rgb="FF00FF1A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16" fillId="6" borderId="0" applyNumberFormat="0" applyBorder="0" applyAlignment="0" applyProtection="0"/>
  </cellStyleXfs>
  <cellXfs count="424">
    <xf numFmtId="0" fontId="0" fillId="0" borderId="0" xfId="0"/>
    <xf numFmtId="0" fontId="2" fillId="2" borderId="0" xfId="2" applyFont="1" applyFill="1"/>
    <xf numFmtId="0" fontId="3" fillId="2" borderId="0" xfId="2" applyFont="1" applyFill="1"/>
    <xf numFmtId="0" fontId="2" fillId="0" borderId="0" xfId="2" applyFont="1"/>
    <xf numFmtId="0" fontId="2" fillId="3" borderId="1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2" fillId="3" borderId="4" xfId="2" applyFont="1" applyFill="1" applyBorder="1"/>
    <xf numFmtId="0" fontId="2" fillId="3" borderId="2" xfId="0" applyFont="1" applyFill="1" applyBorder="1"/>
    <xf numFmtId="0" fontId="4" fillId="0" borderId="5" xfId="2" applyFont="1" applyBorder="1" applyAlignment="1">
      <alignment horizontal="center"/>
    </xf>
    <xf numFmtId="0" fontId="4" fillId="0" borderId="0" xfId="0" applyFont="1"/>
    <xf numFmtId="14" fontId="4" fillId="0" borderId="0" xfId="2" applyNumberFormat="1" applyFont="1" applyAlignment="1">
      <alignment horizontal="right"/>
    </xf>
    <xf numFmtId="0" fontId="4" fillId="0" borderId="0" xfId="2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5" xfId="2" applyFont="1" applyBorder="1" applyAlignment="1">
      <alignment horizontal="center"/>
    </xf>
    <xf numFmtId="0" fontId="2" fillId="0" borderId="0" xfId="2" applyFont="1" applyAlignment="1">
      <alignment horizontal="right"/>
    </xf>
    <xf numFmtId="0" fontId="2" fillId="0" borderId="5" xfId="2" applyFont="1" applyBorder="1"/>
    <xf numFmtId="0" fontId="2" fillId="0" borderId="6" xfId="2" applyFont="1" applyBorder="1"/>
    <xf numFmtId="0" fontId="2" fillId="0" borderId="7" xfId="2" applyFont="1" applyBorder="1"/>
    <xf numFmtId="0" fontId="4" fillId="3" borderId="5" xfId="2" applyFont="1" applyFill="1" applyBorder="1" applyAlignment="1">
      <alignment horizontal="center"/>
    </xf>
    <xf numFmtId="0" fontId="4" fillId="3" borderId="0" xfId="0" applyFont="1" applyFill="1"/>
    <xf numFmtId="0" fontId="2" fillId="3" borderId="0" xfId="2" applyFont="1" applyFill="1" applyAlignment="1">
      <alignment horizontal="right"/>
    </xf>
    <xf numFmtId="0" fontId="4" fillId="3" borderId="0" xfId="2" applyFont="1" applyFill="1"/>
    <xf numFmtId="0" fontId="4" fillId="3" borderId="0" xfId="2" applyFont="1" applyFill="1" applyAlignment="1">
      <alignment horizontal="right"/>
    </xf>
    <xf numFmtId="0" fontId="4" fillId="3" borderId="5" xfId="2" applyFont="1" applyFill="1" applyBorder="1"/>
    <xf numFmtId="0" fontId="4" fillId="3" borderId="6" xfId="2" applyFont="1" applyFill="1" applyBorder="1"/>
    <xf numFmtId="0" fontId="4" fillId="3" borderId="6" xfId="0" applyFont="1" applyFill="1" applyBorder="1"/>
    <xf numFmtId="0" fontId="4" fillId="3" borderId="7" xfId="2" applyFont="1" applyFill="1" applyBorder="1"/>
    <xf numFmtId="0" fontId="4" fillId="3" borderId="5" xfId="0" applyFont="1" applyFill="1" applyBorder="1"/>
    <xf numFmtId="0" fontId="4" fillId="0" borderId="0" xfId="2" applyFont="1" applyAlignment="1">
      <alignment horizontal="right"/>
    </xf>
    <xf numFmtId="0" fontId="4" fillId="3" borderId="7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9" xfId="2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2" applyFont="1" applyBorder="1"/>
    <xf numFmtId="0" fontId="2" fillId="0" borderId="13" xfId="2" applyFont="1" applyBorder="1"/>
    <xf numFmtId="0" fontId="4" fillId="0" borderId="13" xfId="2" applyFont="1" applyBorder="1"/>
    <xf numFmtId="0" fontId="4" fillId="0" borderId="14" xfId="2" applyFont="1" applyBorder="1"/>
    <xf numFmtId="0" fontId="4" fillId="0" borderId="15" xfId="2" applyFont="1" applyBorder="1"/>
    <xf numFmtId="0" fontId="4" fillId="0" borderId="16" xfId="2" applyFont="1" applyBorder="1"/>
    <xf numFmtId="0" fontId="4" fillId="0" borderId="3" xfId="2" applyFont="1" applyBorder="1"/>
    <xf numFmtId="0" fontId="4" fillId="0" borderId="1" xfId="2" applyFont="1" applyBorder="1"/>
    <xf numFmtId="0" fontId="4" fillId="0" borderId="2" xfId="2" applyFont="1" applyBorder="1"/>
    <xf numFmtId="0" fontId="4" fillId="0" borderId="11" xfId="2" applyFont="1" applyBorder="1"/>
    <xf numFmtId="0" fontId="2" fillId="0" borderId="17" xfId="2" applyFont="1" applyBorder="1"/>
    <xf numFmtId="0" fontId="4" fillId="0" borderId="18" xfId="2" applyFont="1" applyBorder="1"/>
    <xf numFmtId="0" fontId="4" fillId="0" borderId="6" xfId="2" applyFont="1" applyBorder="1"/>
    <xf numFmtId="0" fontId="4" fillId="0" borderId="5" xfId="2" applyFont="1" applyBorder="1"/>
    <xf numFmtId="0" fontId="4" fillId="0" borderId="10" xfId="2" applyFont="1" applyBorder="1"/>
    <xf numFmtId="0" fontId="2" fillId="3" borderId="3" xfId="0" applyFont="1" applyFill="1" applyBorder="1"/>
    <xf numFmtId="0" fontId="4" fillId="0" borderId="8" xfId="2" applyFont="1" applyBorder="1"/>
    <xf numFmtId="0" fontId="2" fillId="0" borderId="0" xfId="0" applyFont="1"/>
    <xf numFmtId="0" fontId="4" fillId="0" borderId="7" xfId="2" applyFont="1" applyBorder="1"/>
    <xf numFmtId="0" fontId="2" fillId="3" borderId="0" xfId="2" applyFont="1" applyFill="1"/>
    <xf numFmtId="0" fontId="2" fillId="0" borderId="7" xfId="0" applyFont="1" applyBorder="1"/>
    <xf numFmtId="0" fontId="2" fillId="0" borderId="5" xfId="0" applyFont="1" applyBorder="1"/>
    <xf numFmtId="0" fontId="7" fillId="0" borderId="0" xfId="1"/>
    <xf numFmtId="14" fontId="7" fillId="0" borderId="0" xfId="1" applyNumberFormat="1"/>
    <xf numFmtId="0" fontId="4" fillId="0" borderId="0" xfId="1" applyFont="1"/>
    <xf numFmtId="0" fontId="4" fillId="0" borderId="5" xfId="1" applyFont="1" applyBorder="1"/>
    <xf numFmtId="0" fontId="4" fillId="0" borderId="6" xfId="1" applyFont="1" applyBorder="1"/>
    <xf numFmtId="0" fontId="4" fillId="3" borderId="0" xfId="1" applyFont="1" applyFill="1"/>
    <xf numFmtId="0" fontId="4" fillId="3" borderId="6" xfId="1" applyFont="1" applyFill="1" applyBorder="1"/>
    <xf numFmtId="0" fontId="4" fillId="3" borderId="5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4" fillId="0" borderId="10" xfId="1" applyFont="1" applyBorder="1"/>
    <xf numFmtId="0" fontId="7" fillId="0" borderId="19" xfId="1" applyBorder="1"/>
    <xf numFmtId="0" fontId="7" fillId="0" borderId="11" xfId="1" applyBorder="1"/>
    <xf numFmtId="0" fontId="7" fillId="0" borderId="10" xfId="1" applyBorder="1"/>
    <xf numFmtId="0" fontId="7" fillId="0" borderId="7" xfId="1" applyBorder="1"/>
    <xf numFmtId="0" fontId="7" fillId="0" borderId="6" xfId="1" applyBorder="1"/>
    <xf numFmtId="0" fontId="4" fillId="0" borderId="18" xfId="1" applyFont="1" applyBorder="1"/>
    <xf numFmtId="0" fontId="8" fillId="0" borderId="0" xfId="0" applyFont="1"/>
    <xf numFmtId="14" fontId="8" fillId="0" borderId="0" xfId="0" applyNumberFormat="1" applyFont="1"/>
    <xf numFmtId="0" fontId="2" fillId="0" borderId="2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4" fillId="0" borderId="17" xfId="2" applyFont="1" applyBorder="1"/>
    <xf numFmtId="0" fontId="8" fillId="0" borderId="7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10" xfId="0" applyFont="1" applyBorder="1"/>
    <xf numFmtId="0" fontId="2" fillId="0" borderId="6" xfId="0" applyFont="1" applyBorder="1"/>
    <xf numFmtId="14" fontId="4" fillId="0" borderId="0" xfId="0" applyNumberFormat="1" applyFont="1" applyAlignment="1">
      <alignment horizontal="right"/>
    </xf>
    <xf numFmtId="0" fontId="7" fillId="0" borderId="14" xfId="1" applyBorder="1"/>
    <xf numFmtId="0" fontId="7" fillId="0" borderId="20" xfId="1" applyBorder="1"/>
    <xf numFmtId="0" fontId="7" fillId="0" borderId="5" xfId="1" applyBorder="1"/>
    <xf numFmtId="0" fontId="7" fillId="0" borderId="8" xfId="1" applyBorder="1"/>
    <xf numFmtId="0" fontId="8" fillId="0" borderId="9" xfId="0" applyFont="1" applyBorder="1"/>
    <xf numFmtId="0" fontId="2" fillId="0" borderId="15" xfId="2" applyFont="1" applyBorder="1"/>
    <xf numFmtId="0" fontId="2" fillId="0" borderId="11" xfId="2" applyFont="1" applyBorder="1"/>
    <xf numFmtId="0" fontId="4" fillId="0" borderId="19" xfId="2" applyFont="1" applyBorder="1"/>
    <xf numFmtId="0" fontId="2" fillId="0" borderId="13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19" xfId="0" applyFont="1" applyBorder="1"/>
    <xf numFmtId="0" fontId="4" fillId="0" borderId="1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3" borderId="24" xfId="2" applyFont="1" applyFill="1" applyBorder="1"/>
    <xf numFmtId="0" fontId="4" fillId="3" borderId="25" xfId="2" applyFont="1" applyFill="1" applyBorder="1"/>
    <xf numFmtId="0" fontId="4" fillId="3" borderId="11" xfId="2" applyFont="1" applyFill="1" applyBorder="1"/>
    <xf numFmtId="0" fontId="4" fillId="3" borderId="9" xfId="2" applyFont="1" applyFill="1" applyBorder="1"/>
    <xf numFmtId="0" fontId="4" fillId="3" borderId="26" xfId="2" applyFont="1" applyFill="1" applyBorder="1"/>
    <xf numFmtId="0" fontId="4" fillId="3" borderId="27" xfId="2" applyFont="1" applyFill="1" applyBorder="1"/>
    <xf numFmtId="0" fontId="4" fillId="3" borderId="11" xfId="0" applyFont="1" applyFill="1" applyBorder="1"/>
    <xf numFmtId="2" fontId="4" fillId="0" borderId="9" xfId="2" applyNumberFormat="1" applyFont="1" applyBorder="1"/>
    <xf numFmtId="0" fontId="4" fillId="0" borderId="4" xfId="0" applyFont="1" applyBorder="1"/>
    <xf numFmtId="0" fontId="11" fillId="0" borderId="0" xfId="0" applyFont="1"/>
    <xf numFmtId="0" fontId="12" fillId="4" borderId="2" xfId="0" applyFont="1" applyFill="1" applyBorder="1"/>
    <xf numFmtId="49" fontId="11" fillId="0" borderId="0" xfId="0" applyNumberFormat="1" applyFont="1"/>
    <xf numFmtId="49" fontId="12" fillId="4" borderId="2" xfId="0" applyNumberFormat="1" applyFont="1" applyFill="1" applyBorder="1"/>
    <xf numFmtId="49" fontId="4" fillId="0" borderId="0" xfId="1" applyNumberFormat="1" applyFont="1"/>
    <xf numFmtId="0" fontId="4" fillId="0" borderId="0" xfId="2" applyFont="1" applyAlignment="1">
      <alignment horizontal="center"/>
    </xf>
    <xf numFmtId="0" fontId="13" fillId="0" borderId="0" xfId="2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7" xfId="2" applyFont="1" applyBorder="1" applyAlignment="1">
      <alignment horizontal="center"/>
    </xf>
    <xf numFmtId="0" fontId="4" fillId="3" borderId="7" xfId="1" applyFont="1" applyFill="1" applyBorder="1"/>
    <xf numFmtId="0" fontId="4" fillId="3" borderId="7" xfId="2" applyFont="1" applyFill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14" fillId="0" borderId="0" xfId="0" applyFont="1"/>
    <xf numFmtId="0" fontId="4" fillId="0" borderId="14" xfId="1" applyFont="1" applyBorder="1"/>
    <xf numFmtId="0" fontId="4" fillId="0" borderId="20" xfId="2" applyFont="1" applyBorder="1" applyAlignment="1">
      <alignment horizontal="center"/>
    </xf>
    <xf numFmtId="2" fontId="4" fillId="0" borderId="0" xfId="1" applyNumberFormat="1" applyFont="1"/>
    <xf numFmtId="0" fontId="4" fillId="0" borderId="5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14" xfId="0" applyFont="1" applyBorder="1"/>
    <xf numFmtId="0" fontId="15" fillId="0" borderId="0" xfId="0" applyFont="1"/>
    <xf numFmtId="0" fontId="11" fillId="4" borderId="0" xfId="0" applyFont="1" applyFill="1"/>
    <xf numFmtId="14" fontId="4" fillId="0" borderId="0" xfId="1" applyNumberFormat="1" applyFont="1"/>
    <xf numFmtId="2" fontId="2" fillId="2" borderId="0" xfId="2" applyNumberFormat="1" applyFont="1" applyFill="1"/>
    <xf numFmtId="2" fontId="11" fillId="0" borderId="0" xfId="0" applyNumberFormat="1" applyFont="1"/>
    <xf numFmtId="2" fontId="2" fillId="0" borderId="0" xfId="2" applyNumberFormat="1" applyFont="1"/>
    <xf numFmtId="14" fontId="11" fillId="0" borderId="0" xfId="0" applyNumberFormat="1" applyFont="1"/>
    <xf numFmtId="2" fontId="12" fillId="4" borderId="9" xfId="0" applyNumberFormat="1" applyFont="1" applyFill="1" applyBorder="1"/>
    <xf numFmtId="0" fontId="12" fillId="0" borderId="0" xfId="0" applyFont="1"/>
    <xf numFmtId="0" fontId="2" fillId="2" borderId="0" xfId="2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0" fontId="4" fillId="7" borderId="0" xfId="0" applyFont="1" applyFill="1"/>
    <xf numFmtId="0" fontId="4" fillId="8" borderId="7" xfId="0" applyFont="1" applyFill="1" applyBorder="1"/>
    <xf numFmtId="0" fontId="4" fillId="8" borderId="0" xfId="0" applyFont="1" applyFill="1"/>
    <xf numFmtId="0" fontId="16" fillId="6" borderId="0" xfId="3" applyBorder="1"/>
    <xf numFmtId="0" fontId="16" fillId="6" borderId="0" xfId="3"/>
    <xf numFmtId="0" fontId="4" fillId="10" borderId="0" xfId="0" applyFont="1" applyFill="1"/>
    <xf numFmtId="0" fontId="15" fillId="10" borderId="0" xfId="0" applyFont="1" applyFill="1"/>
    <xf numFmtId="0" fontId="4" fillId="9" borderId="5" xfId="0" applyFont="1" applyFill="1" applyBorder="1"/>
    <xf numFmtId="0" fontId="4" fillId="8" borderId="28" xfId="0" applyFont="1" applyFill="1" applyBorder="1"/>
    <xf numFmtId="0" fontId="15" fillId="8" borderId="0" xfId="0" applyFont="1" applyFill="1"/>
    <xf numFmtId="0" fontId="15" fillId="11" borderId="0" xfId="0" applyFont="1" applyFill="1"/>
    <xf numFmtId="0" fontId="15" fillId="7" borderId="0" xfId="0" applyFont="1" applyFill="1"/>
    <xf numFmtId="0" fontId="4" fillId="11" borderId="0" xfId="0" applyFont="1" applyFill="1"/>
    <xf numFmtId="0" fontId="4" fillId="7" borderId="5" xfId="0" applyFont="1" applyFill="1" applyBorder="1"/>
    <xf numFmtId="20" fontId="4" fillId="0" borderId="0" xfId="0" applyNumberFormat="1" applyFont="1"/>
    <xf numFmtId="0" fontId="4" fillId="12" borderId="0" xfId="0" applyFont="1" applyFill="1"/>
    <xf numFmtId="2" fontId="8" fillId="0" borderId="0" xfId="0" applyNumberFormat="1" applyFont="1"/>
    <xf numFmtId="2" fontId="2" fillId="3" borderId="2" xfId="0" applyNumberFormat="1" applyFont="1" applyFill="1" applyBorder="1"/>
    <xf numFmtId="2" fontId="4" fillId="0" borderId="0" xfId="0" applyNumberFormat="1" applyFont="1"/>
    <xf numFmtId="2" fontId="2" fillId="0" borderId="6" xfId="2" applyNumberFormat="1" applyFont="1" applyBorder="1"/>
    <xf numFmtId="2" fontId="4" fillId="3" borderId="0" xfId="0" applyNumberFormat="1" applyFont="1" applyFill="1"/>
    <xf numFmtId="2" fontId="8" fillId="0" borderId="10" xfId="0" applyNumberFormat="1" applyFont="1" applyBorder="1"/>
    <xf numFmtId="0" fontId="4" fillId="13" borderId="0" xfId="0" applyFont="1" applyFill="1"/>
    <xf numFmtId="0" fontId="2" fillId="13" borderId="0" xfId="2" applyFont="1" applyFill="1"/>
    <xf numFmtId="0" fontId="2" fillId="13" borderId="0" xfId="0" applyFont="1" applyFill="1"/>
    <xf numFmtId="0" fontId="4" fillId="13" borderId="9" xfId="0" applyFont="1" applyFill="1" applyBorder="1"/>
    <xf numFmtId="0" fontId="2" fillId="4" borderId="2" xfId="2" applyFont="1" applyFill="1" applyBorder="1"/>
    <xf numFmtId="0" fontId="4" fillId="4" borderId="0" xfId="0" applyFont="1" applyFill="1"/>
    <xf numFmtId="2" fontId="2" fillId="3" borderId="3" xfId="0" applyNumberFormat="1" applyFont="1" applyFill="1" applyBorder="1"/>
    <xf numFmtId="2" fontId="4" fillId="0" borderId="6" xfId="0" applyNumberFormat="1" applyFont="1" applyBorder="1"/>
    <xf numFmtId="2" fontId="4" fillId="3" borderId="6" xfId="0" applyNumberFormat="1" applyFont="1" applyFill="1" applyBorder="1"/>
    <xf numFmtId="0" fontId="11" fillId="13" borderId="0" xfId="0" applyFont="1" applyFill="1" applyAlignment="1">
      <alignment horizontal="center"/>
    </xf>
    <xf numFmtId="0" fontId="18" fillId="0" borderId="0" xfId="0" applyFont="1"/>
    <xf numFmtId="14" fontId="18" fillId="0" borderId="0" xfId="0" applyNumberFormat="1" applyFont="1"/>
    <xf numFmtId="14" fontId="4" fillId="0" borderId="0" xfId="0" applyNumberFormat="1" applyFont="1"/>
    <xf numFmtId="0" fontId="4" fillId="0" borderId="19" xfId="0" applyFont="1" applyBorder="1" applyAlignment="1">
      <alignment horizontal="center"/>
    </xf>
    <xf numFmtId="0" fontId="18" fillId="0" borderId="6" xfId="0" applyFont="1" applyBorder="1"/>
    <xf numFmtId="14" fontId="2" fillId="0" borderId="7" xfId="2" applyNumberFormat="1" applyFont="1" applyBorder="1"/>
    <xf numFmtId="14" fontId="2" fillId="0" borderId="7" xfId="0" applyNumberFormat="1" applyFont="1" applyBorder="1"/>
    <xf numFmtId="0" fontId="4" fillId="10" borderId="5" xfId="0" applyFont="1" applyFill="1" applyBorder="1"/>
    <xf numFmtId="0" fontId="4" fillId="9" borderId="0" xfId="0" applyFont="1" applyFill="1"/>
    <xf numFmtId="0" fontId="19" fillId="0" borderId="19" xfId="1" applyFont="1" applyBorder="1"/>
    <xf numFmtId="0" fontId="19" fillId="0" borderId="20" xfId="1" applyFont="1" applyBorder="1"/>
    <xf numFmtId="0" fontId="19" fillId="0" borderId="14" xfId="1" applyFont="1" applyBorder="1"/>
    <xf numFmtId="0" fontId="19" fillId="0" borderId="11" xfId="1" applyFont="1" applyBorder="1"/>
    <xf numFmtId="0" fontId="19" fillId="0" borderId="8" xfId="1" applyFont="1" applyBorder="1"/>
    <xf numFmtId="0" fontId="19" fillId="0" borderId="10" xfId="1" applyFont="1" applyBorder="1"/>
    <xf numFmtId="0" fontId="19" fillId="0" borderId="7" xfId="1" applyFont="1" applyBorder="1"/>
    <xf numFmtId="0" fontId="19" fillId="0" borderId="5" xfId="1" applyFont="1" applyBorder="1"/>
    <xf numFmtId="0" fontId="19" fillId="0" borderId="6" xfId="1" applyFont="1" applyBorder="1"/>
    <xf numFmtId="0" fontId="4" fillId="14" borderId="0" xfId="0" applyFont="1" applyFill="1"/>
    <xf numFmtId="0" fontId="4" fillId="15" borderId="0" xfId="0" applyFont="1" applyFill="1"/>
    <xf numFmtId="0" fontId="4" fillId="0" borderId="29" xfId="0" applyFont="1" applyBorder="1"/>
    <xf numFmtId="0" fontId="4" fillId="0" borderId="30" xfId="2" applyFont="1" applyBorder="1"/>
    <xf numFmtId="0" fontId="15" fillId="16" borderId="0" xfId="0" applyFont="1" applyFill="1"/>
    <xf numFmtId="0" fontId="11" fillId="16" borderId="0" xfId="0" applyFont="1" applyFill="1"/>
    <xf numFmtId="0" fontId="4" fillId="0" borderId="31" xfId="0" applyFont="1" applyBorder="1"/>
    <xf numFmtId="0" fontId="2" fillId="0" borderId="30" xfId="2" applyFont="1" applyBorder="1"/>
    <xf numFmtId="0" fontId="4" fillId="0" borderId="32" xfId="1" applyFont="1" applyBorder="1"/>
    <xf numFmtId="0" fontId="2" fillId="0" borderId="28" xfId="2" applyFont="1" applyBorder="1"/>
    <xf numFmtId="0" fontId="4" fillId="0" borderId="33" xfId="1" applyFont="1" applyBorder="1"/>
    <xf numFmtId="0" fontId="4" fillId="17" borderId="0" xfId="0" applyFont="1" applyFill="1"/>
    <xf numFmtId="0" fontId="15" fillId="17" borderId="0" xfId="0" applyFont="1" applyFill="1"/>
    <xf numFmtId="0" fontId="11" fillId="8" borderId="0" xfId="0" applyFont="1" applyFill="1" applyAlignment="1">
      <alignment horizontal="center"/>
    </xf>
    <xf numFmtId="0" fontId="4" fillId="0" borderId="30" xfId="1" applyFont="1" applyBorder="1"/>
    <xf numFmtId="0" fontId="21" fillId="0" borderId="0" xfId="1" applyFont="1"/>
    <xf numFmtId="0" fontId="4" fillId="0" borderId="30" xfId="0" applyFont="1" applyBorder="1"/>
    <xf numFmtId="14" fontId="4" fillId="0" borderId="30" xfId="2" applyNumberFormat="1" applyFont="1" applyBorder="1" applyAlignment="1">
      <alignment horizontal="right"/>
    </xf>
    <xf numFmtId="0" fontId="16" fillId="0" borderId="0" xfId="3" applyFill="1" applyBorder="1"/>
    <xf numFmtId="0" fontId="4" fillId="12" borderId="5" xfId="0" applyFont="1" applyFill="1" applyBorder="1"/>
    <xf numFmtId="0" fontId="15" fillId="12" borderId="0" xfId="0" applyFont="1" applyFill="1"/>
    <xf numFmtId="0" fontId="11" fillId="12" borderId="0" xfId="0" applyFont="1" applyFill="1"/>
    <xf numFmtId="0" fontId="4" fillId="18" borderId="0" xfId="0" applyFont="1" applyFill="1"/>
    <xf numFmtId="0" fontId="15" fillId="18" borderId="0" xfId="0" applyFont="1" applyFill="1"/>
    <xf numFmtId="0" fontId="4" fillId="0" borderId="28" xfId="1" applyFont="1" applyBorder="1"/>
    <xf numFmtId="2" fontId="2" fillId="3" borderId="13" xfId="0" applyNumberFormat="1" applyFont="1" applyFill="1" applyBorder="1"/>
    <xf numFmtId="2" fontId="4" fillId="0" borderId="34" xfId="0" applyNumberFormat="1" applyFont="1" applyBorder="1"/>
    <xf numFmtId="49" fontId="11" fillId="0" borderId="28" xfId="0" applyNumberFormat="1" applyFont="1" applyBorder="1"/>
    <xf numFmtId="0" fontId="11" fillId="0" borderId="19" xfId="0" applyFont="1" applyBorder="1"/>
    <xf numFmtId="0" fontId="4" fillId="0" borderId="20" xfId="0" applyFont="1" applyBorder="1"/>
    <xf numFmtId="0" fontId="4" fillId="0" borderId="28" xfId="0" applyFont="1" applyBorder="1"/>
    <xf numFmtId="0" fontId="11" fillId="0" borderId="28" xfId="0" applyFont="1" applyBorder="1"/>
    <xf numFmtId="0" fontId="4" fillId="7" borderId="6" xfId="0" applyFont="1" applyFill="1" applyBorder="1"/>
    <xf numFmtId="0" fontId="4" fillId="7" borderId="0" xfId="1" applyFont="1" applyFill="1"/>
    <xf numFmtId="0" fontId="11" fillId="19" borderId="0" xfId="0" applyFont="1" applyFill="1" applyAlignment="1">
      <alignment horizontal="center"/>
    </xf>
    <xf numFmtId="49" fontId="11" fillId="20" borderId="0" xfId="0" applyNumberFormat="1" applyFont="1" applyFill="1"/>
    <xf numFmtId="0" fontId="11" fillId="20" borderId="0" xfId="0" applyFont="1" applyFill="1"/>
    <xf numFmtId="0" fontId="4" fillId="20" borderId="0" xfId="2" applyFont="1" applyFill="1"/>
    <xf numFmtId="2" fontId="11" fillId="20" borderId="0" xfId="0" applyNumberFormat="1" applyFont="1" applyFill="1"/>
    <xf numFmtId="0" fontId="11" fillId="20" borderId="0" xfId="0" applyFont="1" applyFill="1" applyAlignment="1">
      <alignment horizontal="center"/>
    </xf>
    <xf numFmtId="0" fontId="4" fillId="0" borderId="37" xfId="1" applyFont="1" applyBorder="1"/>
    <xf numFmtId="0" fontId="4" fillId="0" borderId="38" xfId="1" applyFont="1" applyBorder="1"/>
    <xf numFmtId="0" fontId="4" fillId="0" borderId="39" xfId="1" applyFont="1" applyBorder="1"/>
    <xf numFmtId="0" fontId="4" fillId="0" borderId="40" xfId="2" applyFont="1" applyBorder="1" applyAlignment="1">
      <alignment horizontal="center"/>
    </xf>
    <xf numFmtId="0" fontId="4" fillId="0" borderId="34" xfId="2" applyFont="1" applyBorder="1"/>
    <xf numFmtId="0" fontId="4" fillId="0" borderId="28" xfId="2" applyFont="1" applyBorder="1"/>
    <xf numFmtId="0" fontId="4" fillId="0" borderId="35" xfId="2" applyFont="1" applyBorder="1"/>
    <xf numFmtId="0" fontId="7" fillId="0" borderId="30" xfId="1" applyBorder="1"/>
    <xf numFmtId="0" fontId="22" fillId="0" borderId="41" xfId="2" applyFont="1" applyBorder="1" applyAlignment="1">
      <alignment horizontal="center"/>
    </xf>
    <xf numFmtId="0" fontId="22" fillId="0" borderId="31" xfId="2" applyFont="1" applyBorder="1"/>
    <xf numFmtId="0" fontId="22" fillId="0" borderId="36" xfId="2" applyFont="1" applyBorder="1"/>
    <xf numFmtId="0" fontId="2" fillId="0" borderId="19" xfId="0" applyFont="1" applyBorder="1"/>
    <xf numFmtId="0" fontId="2" fillId="3" borderId="7" xfId="2" applyFont="1" applyFill="1" applyBorder="1"/>
    <xf numFmtId="0" fontId="2" fillId="0" borderId="19" xfId="2" applyFont="1" applyBorder="1"/>
    <xf numFmtId="0" fontId="2" fillId="3" borderId="11" xfId="2" applyFont="1" applyFill="1" applyBorder="1"/>
    <xf numFmtId="0" fontId="4" fillId="21" borderId="0" xfId="0" applyFont="1" applyFill="1"/>
    <xf numFmtId="0" fontId="4" fillId="0" borderId="42" xfId="2" applyFont="1" applyBorder="1" applyAlignment="1">
      <alignment horizontal="center"/>
    </xf>
    <xf numFmtId="0" fontId="11" fillId="18" borderId="0" xfId="0" applyFont="1" applyFill="1" applyAlignment="1">
      <alignment horizontal="center"/>
    </xf>
    <xf numFmtId="0" fontId="8" fillId="0" borderId="30" xfId="0" applyFont="1" applyBorder="1"/>
    <xf numFmtId="0" fontId="15" fillId="22" borderId="0" xfId="0" applyFont="1" applyFill="1"/>
    <xf numFmtId="0" fontId="15" fillId="23" borderId="0" xfId="0" applyFont="1" applyFill="1"/>
    <xf numFmtId="0" fontId="15" fillId="20" borderId="0" xfId="0" applyFont="1" applyFill="1"/>
    <xf numFmtId="0" fontId="23" fillId="0" borderId="5" xfId="2" applyFont="1" applyBorder="1" applyAlignment="1">
      <alignment horizontal="center"/>
    </xf>
    <xf numFmtId="0" fontId="23" fillId="0" borderId="0" xfId="1" applyFont="1"/>
    <xf numFmtId="14" fontId="23" fillId="0" borderId="0" xfId="2" applyNumberFormat="1" applyFont="1" applyAlignment="1">
      <alignment horizontal="right"/>
    </xf>
    <xf numFmtId="0" fontId="23" fillId="0" borderId="0" xfId="2" applyFont="1"/>
    <xf numFmtId="0" fontId="23" fillId="0" borderId="0" xfId="0" applyFont="1"/>
    <xf numFmtId="0" fontId="23" fillId="0" borderId="5" xfId="1" applyFont="1" applyBorder="1"/>
    <xf numFmtId="0" fontId="23" fillId="0" borderId="6" xfId="1" applyFont="1" applyBorder="1"/>
    <xf numFmtId="0" fontId="24" fillId="0" borderId="0" xfId="0" applyFont="1"/>
    <xf numFmtId="0" fontId="25" fillId="0" borderId="0" xfId="1" applyFont="1"/>
    <xf numFmtId="0" fontId="26" fillId="0" borderId="0" xfId="0" applyFont="1"/>
    <xf numFmtId="0" fontId="27" fillId="0" borderId="0" xfId="1" applyFont="1"/>
    <xf numFmtId="0" fontId="2" fillId="3" borderId="43" xfId="0" applyFont="1" applyFill="1" applyBorder="1"/>
    <xf numFmtId="0" fontId="2" fillId="0" borderId="28" xfId="0" applyFont="1" applyBorder="1"/>
    <xf numFmtId="0" fontId="4" fillId="3" borderId="28" xfId="0" applyFont="1" applyFill="1" applyBorder="1"/>
    <xf numFmtId="14" fontId="12" fillId="0" borderId="0" xfId="0" applyNumberFormat="1" applyFont="1"/>
    <xf numFmtId="0" fontId="4" fillId="3" borderId="30" xfId="1" applyFont="1" applyFill="1" applyBorder="1"/>
    <xf numFmtId="2" fontId="4" fillId="0" borderId="30" xfId="1" applyNumberFormat="1" applyFont="1" applyBorder="1"/>
    <xf numFmtId="0" fontId="11" fillId="25" borderId="0" xfId="0" applyFont="1" applyFill="1"/>
    <xf numFmtId="0" fontId="11" fillId="26" borderId="0" xfId="0" applyFont="1" applyFill="1"/>
    <xf numFmtId="164" fontId="2" fillId="0" borderId="0" xfId="0" applyNumberFormat="1" applyFont="1"/>
    <xf numFmtId="0" fontId="11" fillId="27" borderId="0" xfId="0" applyFont="1" applyFill="1"/>
    <xf numFmtId="0" fontId="11" fillId="28" borderId="0" xfId="0" applyFont="1" applyFill="1"/>
    <xf numFmtId="0" fontId="23" fillId="0" borderId="5" xfId="1" applyFont="1" applyBorder="1" applyAlignment="1">
      <alignment horizontal="center"/>
    </xf>
    <xf numFmtId="14" fontId="23" fillId="0" borderId="0" xfId="0" applyNumberFormat="1" applyFont="1"/>
    <xf numFmtId="0" fontId="23" fillId="0" borderId="5" xfId="0" applyFont="1" applyBorder="1"/>
    <xf numFmtId="2" fontId="12" fillId="0" borderId="0" xfId="0" applyNumberFormat="1" applyFont="1"/>
    <xf numFmtId="0" fontId="29" fillId="0" borderId="0" xfId="0" applyFont="1"/>
    <xf numFmtId="0" fontId="11" fillId="7" borderId="0" xfId="0" applyFont="1" applyFill="1" applyAlignment="1">
      <alignment horizontal="center"/>
    </xf>
    <xf numFmtId="14" fontId="23" fillId="0" borderId="30" xfId="2" applyNumberFormat="1" applyFont="1" applyBorder="1" applyAlignment="1">
      <alignment horizontal="right"/>
    </xf>
    <xf numFmtId="0" fontId="23" fillId="0" borderId="6" xfId="0" applyFont="1" applyBorder="1"/>
    <xf numFmtId="2" fontId="23" fillId="0" borderId="0" xfId="0" applyNumberFormat="1" applyFont="1"/>
    <xf numFmtId="0" fontId="23" fillId="0" borderId="7" xfId="0" applyFont="1" applyBorder="1"/>
    <xf numFmtId="0" fontId="23" fillId="13" borderId="0" xfId="0" applyFont="1" applyFill="1"/>
    <xf numFmtId="0" fontId="23" fillId="10" borderId="0" xfId="0" applyFont="1" applyFill="1"/>
    <xf numFmtId="0" fontId="23" fillId="20" borderId="0" xfId="0" applyFont="1" applyFill="1"/>
    <xf numFmtId="0" fontId="23" fillId="23" borderId="0" xfId="0" applyFont="1" applyFill="1"/>
    <xf numFmtId="0" fontId="23" fillId="22" borderId="0" xfId="0" applyFont="1" applyFill="1"/>
    <xf numFmtId="0" fontId="23" fillId="12" borderId="0" xfId="0" applyFont="1" applyFill="1"/>
    <xf numFmtId="0" fontId="23" fillId="23" borderId="5" xfId="0" applyFont="1" applyFill="1" applyBorder="1"/>
    <xf numFmtId="0" fontId="23" fillId="24" borderId="0" xfId="0" applyFont="1" applyFill="1"/>
    <xf numFmtId="0" fontId="23" fillId="9" borderId="0" xfId="0" applyFont="1" applyFill="1"/>
    <xf numFmtId="2" fontId="23" fillId="0" borderId="6" xfId="0" applyNumberFormat="1" applyFont="1" applyBorder="1"/>
    <xf numFmtId="0" fontId="4" fillId="3" borderId="5" xfId="1" applyFont="1" applyFill="1" applyBorder="1" applyAlignment="1">
      <alignment horizontal="center"/>
    </xf>
    <xf numFmtId="14" fontId="4" fillId="0" borderId="0" xfId="2" applyNumberFormat="1" applyFont="1"/>
    <xf numFmtId="2" fontId="4" fillId="0" borderId="30" xfId="0" applyNumberFormat="1" applyFont="1" applyBorder="1"/>
    <xf numFmtId="0" fontId="8" fillId="0" borderId="42" xfId="0" applyFont="1" applyBorder="1"/>
    <xf numFmtId="0" fontId="23" fillId="0" borderId="30" xfId="2" applyFont="1" applyBorder="1"/>
    <xf numFmtId="0" fontId="15" fillId="29" borderId="0" xfId="0" applyFont="1" applyFill="1"/>
    <xf numFmtId="0" fontId="4" fillId="29" borderId="0" xfId="0" applyFont="1" applyFill="1"/>
    <xf numFmtId="0" fontId="8" fillId="10" borderId="0" xfId="0" applyFont="1" applyFill="1"/>
    <xf numFmtId="0" fontId="8" fillId="12" borderId="0" xfId="0" applyFont="1" applyFill="1"/>
    <xf numFmtId="0" fontId="4" fillId="0" borderId="5" xfId="0" applyFont="1" applyBorder="1" applyAlignment="1">
      <alignment horizontal="center"/>
    </xf>
    <xf numFmtId="0" fontId="0" fillId="0" borderId="6" xfId="0" applyBorder="1"/>
    <xf numFmtId="0" fontId="8" fillId="24" borderId="0" xfId="0" applyFont="1" applyFill="1"/>
    <xf numFmtId="0" fontId="4" fillId="24" borderId="0" xfId="0" applyFont="1" applyFill="1"/>
    <xf numFmtId="0" fontId="4" fillId="3" borderId="1" xfId="1" applyFont="1" applyFill="1" applyBorder="1"/>
    <xf numFmtId="0" fontId="4" fillId="3" borderId="1" xfId="2" applyFont="1" applyFill="1" applyBorder="1"/>
    <xf numFmtId="0" fontId="4" fillId="3" borderId="2" xfId="1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1" applyFont="1" applyFill="1" applyBorder="1"/>
    <xf numFmtId="0" fontId="0" fillId="0" borderId="7" xfId="0" applyBorder="1"/>
    <xf numFmtId="0" fontId="4" fillId="0" borderId="7" xfId="1" applyFont="1" applyBorder="1"/>
    <xf numFmtId="0" fontId="4" fillId="0" borderId="11" xfId="1" applyFont="1" applyBorder="1"/>
    <xf numFmtId="0" fontId="4" fillId="3" borderId="4" xfId="0" applyFont="1" applyFill="1" applyBorder="1"/>
    <xf numFmtId="0" fontId="2" fillId="3" borderId="44" xfId="2" applyFont="1" applyFill="1" applyBorder="1"/>
    <xf numFmtId="0" fontId="2" fillId="0" borderId="29" xfId="2" applyFont="1" applyBorder="1"/>
    <xf numFmtId="0" fontId="4" fillId="3" borderId="29" xfId="2" applyFont="1" applyFill="1" applyBorder="1"/>
    <xf numFmtId="0" fontId="4" fillId="0" borderId="45" xfId="0" applyFont="1" applyBorder="1"/>
    <xf numFmtId="20" fontId="2" fillId="0" borderId="6" xfId="2" applyNumberFormat="1" applyFont="1" applyBorder="1"/>
    <xf numFmtId="20" fontId="2" fillId="0" borderId="6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20" fontId="4" fillId="0" borderId="30" xfId="0" applyNumberFormat="1" applyFont="1" applyBorder="1"/>
    <xf numFmtId="2" fontId="11" fillId="30" borderId="0" xfId="0" applyNumberFormat="1" applyFont="1" applyFill="1"/>
    <xf numFmtId="0" fontId="11" fillId="30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32" borderId="0" xfId="0" applyFont="1" applyFill="1" applyAlignment="1">
      <alignment horizontal="center"/>
    </xf>
    <xf numFmtId="0" fontId="30" fillId="6" borderId="0" xfId="3" applyFont="1"/>
    <xf numFmtId="2" fontId="4" fillId="0" borderId="0" xfId="2" applyNumberFormat="1" applyFont="1"/>
    <xf numFmtId="0" fontId="11" fillId="33" borderId="0" xfId="0" applyFont="1" applyFill="1"/>
    <xf numFmtId="0" fontId="15" fillId="33" borderId="0" xfId="0" applyFont="1" applyFill="1"/>
    <xf numFmtId="0" fontId="4" fillId="33" borderId="0" xfId="0" applyFont="1" applyFill="1"/>
    <xf numFmtId="0" fontId="15" fillId="34" borderId="0" xfId="0" applyFont="1" applyFill="1"/>
    <xf numFmtId="0" fontId="15" fillId="32" borderId="0" xfId="0" applyFont="1" applyFill="1"/>
    <xf numFmtId="0" fontId="4" fillId="31" borderId="0" xfId="0" applyFont="1" applyFill="1"/>
    <xf numFmtId="0" fontId="15" fillId="31" borderId="0" xfId="0" applyFont="1" applyFill="1"/>
    <xf numFmtId="0" fontId="4" fillId="28" borderId="0" xfId="2" applyFont="1" applyFill="1"/>
    <xf numFmtId="166" fontId="22" fillId="0" borderId="0" xfId="1" applyNumberFormat="1" applyFont="1"/>
    <xf numFmtId="166" fontId="22" fillId="0" borderId="5" xfId="1" applyNumberFormat="1" applyFont="1" applyBorder="1"/>
    <xf numFmtId="166" fontId="22" fillId="0" borderId="0" xfId="2" applyNumberFormat="1" applyFont="1"/>
    <xf numFmtId="166" fontId="31" fillId="0" borderId="0" xfId="0" applyNumberFormat="1" applyFont="1"/>
    <xf numFmtId="166" fontId="22" fillId="27" borderId="5" xfId="1" applyNumberFormat="1" applyFont="1" applyFill="1" applyBorder="1"/>
    <xf numFmtId="167" fontId="4" fillId="0" borderId="0" xfId="0" applyNumberFormat="1" applyFont="1"/>
    <xf numFmtId="0" fontId="11" fillId="35" borderId="0" xfId="0" applyFont="1" applyFill="1" applyAlignment="1">
      <alignment horizontal="center"/>
    </xf>
    <xf numFmtId="14" fontId="4" fillId="0" borderId="6" xfId="2" applyNumberFormat="1" applyFont="1" applyBorder="1"/>
    <xf numFmtId="0" fontId="15" fillId="36" borderId="0" xfId="0" applyFont="1" applyFill="1"/>
    <xf numFmtId="0" fontId="4" fillId="36" borderId="0" xfId="0" applyFont="1" applyFill="1"/>
    <xf numFmtId="0" fontId="4" fillId="36" borderId="5" xfId="0" applyFont="1" applyFill="1" applyBorder="1"/>
    <xf numFmtId="0" fontId="15" fillId="37" borderId="0" xfId="0" applyFont="1" applyFill="1"/>
    <xf numFmtId="0" fontId="15" fillId="38" borderId="0" xfId="0" applyFont="1" applyFill="1"/>
    <xf numFmtId="0" fontId="15" fillId="39" borderId="0" xfId="0" applyFont="1" applyFill="1"/>
    <xf numFmtId="0" fontId="11" fillId="37" borderId="0" xfId="0" applyFont="1" applyFill="1"/>
    <xf numFmtId="0" fontId="4" fillId="37" borderId="0" xfId="0" applyFont="1" applyFill="1"/>
    <xf numFmtId="0" fontId="11" fillId="38" borderId="0" xfId="0" applyFont="1" applyFill="1"/>
    <xf numFmtId="0" fontId="4" fillId="38" borderId="0" xfId="0" applyFont="1" applyFill="1"/>
    <xf numFmtId="2" fontId="4" fillId="13" borderId="0" xfId="0" applyNumberFormat="1" applyFont="1" applyFill="1"/>
    <xf numFmtId="2" fontId="2" fillId="13" borderId="0" xfId="2" applyNumberFormat="1" applyFont="1" applyFill="1"/>
    <xf numFmtId="2" fontId="23" fillId="13" borderId="0" xfId="0" applyNumberFormat="1" applyFont="1" applyFill="1"/>
    <xf numFmtId="0" fontId="4" fillId="39" borderId="0" xfId="0" applyFont="1" applyFill="1"/>
    <xf numFmtId="0" fontId="15" fillId="40" borderId="0" xfId="0" applyFont="1" applyFill="1"/>
    <xf numFmtId="0" fontId="4" fillId="40" borderId="0" xfId="0" applyFont="1" applyFill="1"/>
    <xf numFmtId="0" fontId="11" fillId="41" borderId="0" xfId="0" applyFont="1" applyFill="1" applyAlignment="1">
      <alignment horizontal="center"/>
    </xf>
    <xf numFmtId="0" fontId="4" fillId="0" borderId="42" xfId="0" applyFont="1" applyBorder="1"/>
    <xf numFmtId="14" fontId="4" fillId="0" borderId="6" xfId="0" applyNumberFormat="1" applyFont="1" applyBorder="1" applyAlignment="1">
      <alignment horizontal="right"/>
    </xf>
    <xf numFmtId="0" fontId="4" fillId="42" borderId="0" xfId="0" applyFont="1" applyFill="1"/>
    <xf numFmtId="0" fontId="11" fillId="43" borderId="0" xfId="0" applyFont="1" applyFill="1"/>
    <xf numFmtId="0" fontId="4" fillId="43" borderId="0" xfId="0" applyFont="1" applyFill="1"/>
    <xf numFmtId="0" fontId="4" fillId="27" borderId="0" xfId="1" applyFont="1" applyFill="1"/>
    <xf numFmtId="0" fontId="4" fillId="28" borderId="0" xfId="1" applyFont="1" applyFill="1"/>
    <xf numFmtId="0" fontId="4" fillId="28" borderId="0" xfId="0" applyFont="1" applyFill="1"/>
    <xf numFmtId="0" fontId="4" fillId="27" borderId="0" xfId="0" applyFont="1" applyFill="1"/>
    <xf numFmtId="0" fontId="8" fillId="44" borderId="0" xfId="0" applyFont="1" applyFill="1"/>
    <xf numFmtId="0" fontId="4" fillId="45" borderId="7" xfId="0" applyFont="1" applyFill="1" applyBorder="1"/>
    <xf numFmtId="0" fontId="4" fillId="43" borderId="7" xfId="0" applyFont="1" applyFill="1" applyBorder="1"/>
    <xf numFmtId="0" fontId="11" fillId="34" borderId="0" xfId="0" applyFont="1" applyFill="1"/>
    <xf numFmtId="0" fontId="4" fillId="34" borderId="0" xfId="0" applyFont="1" applyFill="1"/>
    <xf numFmtId="0" fontId="11" fillId="32" borderId="0" xfId="0" applyFont="1" applyFill="1"/>
    <xf numFmtId="0" fontId="4" fillId="32" borderId="0" xfId="0" applyFont="1" applyFill="1"/>
    <xf numFmtId="49" fontId="11" fillId="46" borderId="0" xfId="0" applyNumberFormat="1" applyFont="1" applyFill="1"/>
    <xf numFmtId="0" fontId="11" fillId="46" borderId="0" xfId="0" applyFont="1" applyFill="1"/>
    <xf numFmtId="49" fontId="11" fillId="47" borderId="0" xfId="0" applyNumberFormat="1" applyFont="1" applyFill="1"/>
    <xf numFmtId="0" fontId="11" fillId="47" borderId="0" xfId="0" applyFont="1" applyFill="1"/>
    <xf numFmtId="0" fontId="11" fillId="48" borderId="0" xfId="0" applyFont="1" applyFill="1" applyAlignment="1">
      <alignment horizontal="center"/>
    </xf>
    <xf numFmtId="0" fontId="0" fillId="0" borderId="5" xfId="0" applyBorder="1"/>
    <xf numFmtId="0" fontId="4" fillId="49" borderId="0" xfId="0" applyFont="1" applyFill="1"/>
    <xf numFmtId="0" fontId="4" fillId="31" borderId="7" xfId="0" applyFont="1" applyFill="1" applyBorder="1"/>
    <xf numFmtId="20" fontId="4" fillId="0" borderId="0" xfId="2" applyNumberFormat="1" applyFont="1"/>
    <xf numFmtId="168" fontId="4" fillId="0" borderId="6" xfId="0" applyNumberFormat="1" applyFont="1" applyBorder="1"/>
    <xf numFmtId="2" fontId="2" fillId="3" borderId="46" xfId="0" applyNumberFormat="1" applyFont="1" applyFill="1" applyBorder="1"/>
    <xf numFmtId="0" fontId="4" fillId="3" borderId="30" xfId="0" applyFont="1" applyFill="1" applyBorder="1"/>
    <xf numFmtId="2" fontId="23" fillId="0" borderId="30" xfId="0" applyNumberFormat="1" applyFont="1" applyBorder="1"/>
    <xf numFmtId="2" fontId="11" fillId="0" borderId="30" xfId="0" applyNumberFormat="1" applyFont="1" applyBorder="1"/>
    <xf numFmtId="0" fontId="4" fillId="0" borderId="32" xfId="0" applyFont="1" applyBorder="1"/>
    <xf numFmtId="0" fontId="4" fillId="0" borderId="47" xfId="1" applyFont="1" applyBorder="1"/>
    <xf numFmtId="0" fontId="4" fillId="0" borderId="31" xfId="1" applyFont="1" applyBorder="1"/>
    <xf numFmtId="0" fontId="22" fillId="0" borderId="0" xfId="2" applyFont="1"/>
    <xf numFmtId="166" fontId="22" fillId="0" borderId="19" xfId="1" applyNumberFormat="1" applyFont="1" applyBorder="1"/>
    <xf numFmtId="166" fontId="22" fillId="0" borderId="7" xfId="1" applyNumberFormat="1" applyFont="1" applyBorder="1"/>
    <xf numFmtId="166" fontId="29" fillId="0" borderId="0" xfId="0" applyNumberFormat="1" applyFont="1"/>
    <xf numFmtId="167" fontId="4" fillId="28" borderId="0" xfId="0" applyNumberFormat="1" applyFont="1" applyFill="1"/>
    <xf numFmtId="167" fontId="4" fillId="27" borderId="0" xfId="0" applyNumberFormat="1" applyFont="1" applyFill="1"/>
    <xf numFmtId="0" fontId="32" fillId="0" borderId="0" xfId="0" applyFont="1"/>
    <xf numFmtId="0" fontId="32" fillId="28" borderId="0" xfId="0" applyFont="1" applyFill="1"/>
    <xf numFmtId="0" fontId="32" fillId="27" borderId="0" xfId="0" applyFont="1" applyFill="1"/>
    <xf numFmtId="0" fontId="32" fillId="50" borderId="0" xfId="0" applyFont="1" applyFill="1"/>
    <xf numFmtId="0" fontId="4" fillId="30" borderId="5" xfId="0" applyFont="1" applyFill="1" applyBorder="1"/>
    <xf numFmtId="2" fontId="0" fillId="0" borderId="0" xfId="0" applyNumberFormat="1"/>
    <xf numFmtId="0" fontId="2" fillId="4" borderId="0" xfId="2" applyFont="1" applyFill="1" applyAlignment="1">
      <alignment horizontal="center" vertical="center"/>
    </xf>
    <xf numFmtId="0" fontId="4" fillId="0" borderId="13" xfId="2" applyFont="1" applyBorder="1" applyAlignment="1">
      <alignment horizontal="center"/>
    </xf>
    <xf numFmtId="0" fontId="28" fillId="0" borderId="0" xfId="0" applyFont="1" applyAlignment="1">
      <alignment horizontal="center"/>
    </xf>
  </cellXfs>
  <cellStyles count="4">
    <cellStyle name="Bad" xfId="3" builtinId="27"/>
    <cellStyle name="Normal" xfId="0" builtinId="0"/>
    <cellStyle name="Normal 2" xfId="1" xr:uid="{00000000-0005-0000-0000-000001000000}"/>
    <cellStyle name="Normal_EXP Alpha Spreadsheet.xls" xfId="2" xr:uid="{00000000-0005-0000-0000-000002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0000"/>
      <color rgb="FF39C841"/>
      <color rgb="FF64AAFF"/>
      <color rgb="FFE8115C"/>
      <color rgb="FF36C941"/>
      <color rgb="FFC5DBF1"/>
      <color rgb="FFFCF7D9"/>
      <color rgb="FFFBFFD5"/>
      <color rgb="FF58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A  Growth Chart</a:t>
            </a:r>
          </a:p>
        </c:rich>
      </c:tx>
      <c:layout>
        <c:manualLayout>
          <c:xMode val="edge"/>
          <c:yMode val="edge"/>
          <c:x val="9.3984962406015032E-3"/>
          <c:y val="4.3749999999999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74649113281"/>
          <c:y val="0.18056119595003828"/>
          <c:w val="0.76944780564814796"/>
          <c:h val="0.63613098265475021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Chart'!$C$59:$C$80</c:f>
                <c:numCache>
                  <c:formatCode>General</c:formatCode>
                  <c:ptCount val="22"/>
                  <c:pt idx="0">
                    <c:v>0.40543517184801381</c:v>
                  </c:pt>
                  <c:pt idx="1">
                    <c:v>0.45865851559583143</c:v>
                  </c:pt>
                  <c:pt idx="2">
                    <c:v>0.45989905724750357</c:v>
                  </c:pt>
                  <c:pt idx="3">
                    <c:v>0.40238102722597213</c:v>
                  </c:pt>
                  <c:pt idx="4">
                    <c:v>0.39152603224890592</c:v>
                  </c:pt>
                  <c:pt idx="5">
                    <c:v>0.37465907121389341</c:v>
                  </c:pt>
                  <c:pt idx="6">
                    <c:v>0.40830551411552485</c:v>
                  </c:pt>
                  <c:pt idx="7">
                    <c:v>0.44827048594730029</c:v>
                  </c:pt>
                  <c:pt idx="8">
                    <c:v>0.49956767023383036</c:v>
                  </c:pt>
                  <c:pt idx="9">
                    <c:v>0.51696228102251329</c:v>
                  </c:pt>
                  <c:pt idx="10">
                    <c:v>0.57442809291378794</c:v>
                  </c:pt>
                  <c:pt idx="11">
                    <c:v>0.55495475201651734</c:v>
                  </c:pt>
                  <c:pt idx="12">
                    <c:v>0.59460502346395572</c:v>
                  </c:pt>
                  <c:pt idx="13">
                    <c:v>0.61442463649219958</c:v>
                  </c:pt>
                  <c:pt idx="14">
                    <c:v>0.60619937196555096</c:v>
                  </c:pt>
                  <c:pt idx="15">
                    <c:v>0.61497804112946053</c:v>
                  </c:pt>
                  <c:pt idx="16">
                    <c:v>0.66314708964150648</c:v>
                  </c:pt>
                  <c:pt idx="17">
                    <c:v>0.62764280532117034</c:v>
                  </c:pt>
                  <c:pt idx="18">
                    <c:v>0.63991349861859115</c:v>
                  </c:pt>
                  <c:pt idx="19">
                    <c:v>0.66372326419116201</c:v>
                  </c:pt>
                  <c:pt idx="20">
                    <c:v>0.36034581604738691</c:v>
                  </c:pt>
                  <c:pt idx="21">
                    <c:v>0.67649157290707296</c:v>
                  </c:pt>
                </c:numCache>
              </c:numRef>
            </c:plus>
            <c:minus>
              <c:numRef>
                <c:f>'(WT) Growth Chart'!$C$59:$C$80</c:f>
                <c:numCache>
                  <c:formatCode>General</c:formatCode>
                  <c:ptCount val="22"/>
                  <c:pt idx="0">
                    <c:v>0.40543517184801381</c:v>
                  </c:pt>
                  <c:pt idx="1">
                    <c:v>0.45865851559583143</c:v>
                  </c:pt>
                  <c:pt idx="2">
                    <c:v>0.45989905724750357</c:v>
                  </c:pt>
                  <c:pt idx="3">
                    <c:v>0.40238102722597213</c:v>
                  </c:pt>
                  <c:pt idx="4">
                    <c:v>0.39152603224890592</c:v>
                  </c:pt>
                  <c:pt idx="5">
                    <c:v>0.37465907121389341</c:v>
                  </c:pt>
                  <c:pt idx="6">
                    <c:v>0.40830551411552485</c:v>
                  </c:pt>
                  <c:pt idx="7">
                    <c:v>0.44827048594730029</c:v>
                  </c:pt>
                  <c:pt idx="8">
                    <c:v>0.49956767023383036</c:v>
                  </c:pt>
                  <c:pt idx="9">
                    <c:v>0.51696228102251329</c:v>
                  </c:pt>
                  <c:pt idx="10">
                    <c:v>0.57442809291378794</c:v>
                  </c:pt>
                  <c:pt idx="11">
                    <c:v>0.55495475201651734</c:v>
                  </c:pt>
                  <c:pt idx="12">
                    <c:v>0.59460502346395572</c:v>
                  </c:pt>
                  <c:pt idx="13">
                    <c:v>0.61442463649219958</c:v>
                  </c:pt>
                  <c:pt idx="14">
                    <c:v>0.60619937196555096</c:v>
                  </c:pt>
                  <c:pt idx="15">
                    <c:v>0.61497804112946053</c:v>
                  </c:pt>
                  <c:pt idx="16">
                    <c:v>0.66314708964150648</c:v>
                  </c:pt>
                  <c:pt idx="17">
                    <c:v>0.62764280532117034</c:v>
                  </c:pt>
                  <c:pt idx="18">
                    <c:v>0.63991349861859115</c:v>
                  </c:pt>
                  <c:pt idx="19">
                    <c:v>0.66372326419116201</c:v>
                  </c:pt>
                  <c:pt idx="20">
                    <c:v>0.36034581604738691</c:v>
                  </c:pt>
                  <c:pt idx="21">
                    <c:v>0.67649157290707296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Chart'!$B$59:$B$80</c:f>
              <c:numCache>
                <c:formatCode>General</c:formatCode>
                <c:ptCount val="22"/>
                <c:pt idx="0">
                  <c:v>19.257499999999997</c:v>
                </c:pt>
                <c:pt idx="1">
                  <c:v>19.423749999999998</c:v>
                </c:pt>
                <c:pt idx="2">
                  <c:v>19.835000000000001</c:v>
                </c:pt>
                <c:pt idx="3">
                  <c:v>19.893750000000004</c:v>
                </c:pt>
                <c:pt idx="4">
                  <c:v>20.083750000000002</c:v>
                </c:pt>
                <c:pt idx="5">
                  <c:v>20.168749999999999</c:v>
                </c:pt>
                <c:pt idx="6">
                  <c:v>20.407499999999999</c:v>
                </c:pt>
                <c:pt idx="7">
                  <c:v>20.784999999999997</c:v>
                </c:pt>
                <c:pt idx="8">
                  <c:v>21.06</c:v>
                </c:pt>
                <c:pt idx="9">
                  <c:v>21.39</c:v>
                </c:pt>
                <c:pt idx="10">
                  <c:v>21.626249999999999</c:v>
                </c:pt>
                <c:pt idx="11">
                  <c:v>21.643750000000001</c:v>
                </c:pt>
                <c:pt idx="12">
                  <c:v>21.971249999999998</c:v>
                </c:pt>
                <c:pt idx="13">
                  <c:v>22.013750000000002</c:v>
                </c:pt>
                <c:pt idx="14">
                  <c:v>22.037500000000001</c:v>
                </c:pt>
                <c:pt idx="15">
                  <c:v>22.278750000000002</c:v>
                </c:pt>
                <c:pt idx="16">
                  <c:v>22.466249999999999</c:v>
                </c:pt>
                <c:pt idx="17">
                  <c:v>22.403749999999999</c:v>
                </c:pt>
                <c:pt idx="18">
                  <c:v>22.625</c:v>
                </c:pt>
                <c:pt idx="19">
                  <c:v>22.795000000000002</c:v>
                </c:pt>
                <c:pt idx="20">
                  <c:v>22.988750000000003</c:v>
                </c:pt>
                <c:pt idx="21">
                  <c:v>23.081250000000001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0-C540-879A-2A8D93A4EB99}"/>
            </c:ext>
          </c:extLst>
        </c:ser>
        <c:ser>
          <c:idx val="3"/>
          <c:order val="1"/>
          <c:tx>
            <c:strRef>
              <c:f>'(WT) Growth Chart'!$D$58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Chart'!$E$59:$E$80</c:f>
                <c:numCache>
                  <c:formatCode>General</c:formatCode>
                  <c:ptCount val="22"/>
                  <c:pt idx="0">
                    <c:v>0.45447944122919354</c:v>
                  </c:pt>
                  <c:pt idx="1">
                    <c:v>0.46183228828222905</c:v>
                  </c:pt>
                  <c:pt idx="2">
                    <c:v>0.5752218128066523</c:v>
                  </c:pt>
                  <c:pt idx="3">
                    <c:v>0.55496138861829158</c:v>
                  </c:pt>
                  <c:pt idx="4">
                    <c:v>0.60830542581126834</c:v>
                  </c:pt>
                  <c:pt idx="5">
                    <c:v>0.57687098551458749</c:v>
                  </c:pt>
                  <c:pt idx="6">
                    <c:v>0.62335497797918393</c:v>
                  </c:pt>
                  <c:pt idx="7">
                    <c:v>0.57388945550764148</c:v>
                  </c:pt>
                  <c:pt idx="8">
                    <c:v>0.60200242494765488</c:v>
                  </c:pt>
                  <c:pt idx="9">
                    <c:v>0.60769470718680518</c:v>
                  </c:pt>
                  <c:pt idx="10">
                    <c:v>0.62977302458901818</c:v>
                  </c:pt>
                  <c:pt idx="11">
                    <c:v>0.65097728729305793</c:v>
                  </c:pt>
                  <c:pt idx="12">
                    <c:v>0.58047990459864951</c:v>
                  </c:pt>
                  <c:pt idx="13">
                    <c:v>0.69178841082887688</c:v>
                  </c:pt>
                  <c:pt idx="14">
                    <c:v>0.66912522851000866</c:v>
                  </c:pt>
                  <c:pt idx="15">
                    <c:v>0.70628160485541658</c:v>
                  </c:pt>
                  <c:pt idx="16">
                    <c:v>0.68387143084688873</c:v>
                  </c:pt>
                  <c:pt idx="17">
                    <c:v>0.6835829973644123</c:v>
                  </c:pt>
                  <c:pt idx="18">
                    <c:v>0.67735304152055198</c:v>
                  </c:pt>
                  <c:pt idx="19">
                    <c:v>0.67799007051304649</c:v>
                  </c:pt>
                  <c:pt idx="20">
                    <c:v>0.76218846094650394</c:v>
                  </c:pt>
                  <c:pt idx="21">
                    <c:v>0.82250434215093549</c:v>
                  </c:pt>
                </c:numCache>
              </c:numRef>
            </c:plus>
            <c:minus>
              <c:numRef>
                <c:f>'(WT) Growth Chart'!$E$59:$E$80</c:f>
                <c:numCache>
                  <c:formatCode>General</c:formatCode>
                  <c:ptCount val="22"/>
                  <c:pt idx="0">
                    <c:v>0.45447944122919354</c:v>
                  </c:pt>
                  <c:pt idx="1">
                    <c:v>0.46183228828222905</c:v>
                  </c:pt>
                  <c:pt idx="2">
                    <c:v>0.5752218128066523</c:v>
                  </c:pt>
                  <c:pt idx="3">
                    <c:v>0.55496138861829158</c:v>
                  </c:pt>
                  <c:pt idx="4">
                    <c:v>0.60830542581126834</c:v>
                  </c:pt>
                  <c:pt idx="5">
                    <c:v>0.57687098551458749</c:v>
                  </c:pt>
                  <c:pt idx="6">
                    <c:v>0.62335497797918393</c:v>
                  </c:pt>
                  <c:pt idx="7">
                    <c:v>0.57388945550764148</c:v>
                  </c:pt>
                  <c:pt idx="8">
                    <c:v>0.60200242494765488</c:v>
                  </c:pt>
                  <c:pt idx="9">
                    <c:v>0.60769470718680518</c:v>
                  </c:pt>
                  <c:pt idx="10">
                    <c:v>0.62977302458901818</c:v>
                  </c:pt>
                  <c:pt idx="11">
                    <c:v>0.65097728729305793</c:v>
                  </c:pt>
                  <c:pt idx="12">
                    <c:v>0.58047990459864951</c:v>
                  </c:pt>
                  <c:pt idx="13">
                    <c:v>0.69178841082887688</c:v>
                  </c:pt>
                  <c:pt idx="14">
                    <c:v>0.66912522851000866</c:v>
                  </c:pt>
                  <c:pt idx="15">
                    <c:v>0.70628160485541658</c:v>
                  </c:pt>
                  <c:pt idx="16">
                    <c:v>0.68387143084688873</c:v>
                  </c:pt>
                  <c:pt idx="17">
                    <c:v>0.6835829973644123</c:v>
                  </c:pt>
                  <c:pt idx="18">
                    <c:v>0.67735304152055198</c:v>
                  </c:pt>
                  <c:pt idx="19">
                    <c:v>0.67799007051304649</c:v>
                  </c:pt>
                  <c:pt idx="20">
                    <c:v>0.76218846094650394</c:v>
                  </c:pt>
                  <c:pt idx="21">
                    <c:v>0.82250434215093549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Chart'!$D$59:$D$80</c:f>
              <c:numCache>
                <c:formatCode>General</c:formatCode>
                <c:ptCount val="22"/>
                <c:pt idx="0">
                  <c:v>19.408750000000001</c:v>
                </c:pt>
                <c:pt idx="1">
                  <c:v>19.253750000000004</c:v>
                </c:pt>
                <c:pt idx="2">
                  <c:v>19.901249999999997</c:v>
                </c:pt>
                <c:pt idx="3">
                  <c:v>20.024999999999999</c:v>
                </c:pt>
                <c:pt idx="4">
                  <c:v>20.22625</c:v>
                </c:pt>
                <c:pt idx="5">
                  <c:v>20.37875</c:v>
                </c:pt>
                <c:pt idx="6">
                  <c:v>20.6</c:v>
                </c:pt>
                <c:pt idx="7">
                  <c:v>20.847500000000004</c:v>
                </c:pt>
                <c:pt idx="8">
                  <c:v>20.83625</c:v>
                </c:pt>
                <c:pt idx="9">
                  <c:v>21.07</c:v>
                </c:pt>
                <c:pt idx="10">
                  <c:v>21.186249999999998</c:v>
                </c:pt>
                <c:pt idx="11">
                  <c:v>21.339999999999996</c:v>
                </c:pt>
                <c:pt idx="12">
                  <c:v>21.493749999999999</c:v>
                </c:pt>
                <c:pt idx="13">
                  <c:v>21.573749999999997</c:v>
                </c:pt>
                <c:pt idx="14">
                  <c:v>21.695</c:v>
                </c:pt>
                <c:pt idx="15">
                  <c:v>21.87125</c:v>
                </c:pt>
                <c:pt idx="16">
                  <c:v>22.061250000000001</c:v>
                </c:pt>
                <c:pt idx="17">
                  <c:v>22.159999999999997</c:v>
                </c:pt>
                <c:pt idx="18">
                  <c:v>22.315000000000001</c:v>
                </c:pt>
                <c:pt idx="19">
                  <c:v>22.397499999999997</c:v>
                </c:pt>
                <c:pt idx="20">
                  <c:v>22.602499999999999</c:v>
                </c:pt>
                <c:pt idx="21" formatCode="0.00">
                  <c:v>22.862499999999997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0-C540-879A-2A8D93A4EB99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Chart'!$G$59:$G$80</c:f>
                <c:numCache>
                  <c:formatCode>General</c:formatCode>
                  <c:ptCount val="22"/>
                  <c:pt idx="0">
                    <c:v>1.0377534113926745</c:v>
                  </c:pt>
                  <c:pt idx="1">
                    <c:v>1.1117662106499042</c:v>
                  </c:pt>
                  <c:pt idx="2">
                    <c:v>1.0407696971472651</c:v>
                  </c:pt>
                  <c:pt idx="3">
                    <c:v>1.0375830431481512</c:v>
                  </c:pt>
                  <c:pt idx="4">
                    <c:v>0.97235894588514216</c:v>
                  </c:pt>
                  <c:pt idx="5">
                    <c:v>0.84685855940815136</c:v>
                  </c:pt>
                  <c:pt idx="6">
                    <c:v>0.85945775575566896</c:v>
                  </c:pt>
                  <c:pt idx="7">
                    <c:v>0.84653442677441193</c:v>
                  </c:pt>
                  <c:pt idx="8">
                    <c:v>0.71995644089466559</c:v>
                  </c:pt>
                  <c:pt idx="9">
                    <c:v>0.6749126927663629</c:v>
                  </c:pt>
                  <c:pt idx="10">
                    <c:v>0.64426712932491859</c:v>
                  </c:pt>
                  <c:pt idx="11">
                    <c:v>0.53117940707448363</c:v>
                  </c:pt>
                  <c:pt idx="12">
                    <c:v>0.50762665555363751</c:v>
                  </c:pt>
                  <c:pt idx="13">
                    <c:v>0.60044328862694663</c:v>
                  </c:pt>
                  <c:pt idx="14">
                    <c:v>0.48678037545547298</c:v>
                  </c:pt>
                  <c:pt idx="15">
                    <c:v>0.47812879316889395</c:v>
                  </c:pt>
                  <c:pt idx="16">
                    <c:v>0.44687581168757445</c:v>
                  </c:pt>
                  <c:pt idx="17">
                    <c:v>0.41713708563766633</c:v>
                  </c:pt>
                  <c:pt idx="18">
                    <c:v>0.38708589624452683</c:v>
                  </c:pt>
                  <c:pt idx="19">
                    <c:v>0.37848116343013494</c:v>
                  </c:pt>
                  <c:pt idx="20">
                    <c:v>0.31404617494884385</c:v>
                  </c:pt>
                  <c:pt idx="21">
                    <c:v>0.33584082911403146</c:v>
                  </c:pt>
                </c:numCache>
              </c:numRef>
            </c:plus>
            <c:minus>
              <c:numRef>
                <c:f>'(WT) Growth Chart'!$G$59:$G$80</c:f>
                <c:numCache>
                  <c:formatCode>General</c:formatCode>
                  <c:ptCount val="22"/>
                  <c:pt idx="0">
                    <c:v>1.0377534113926745</c:v>
                  </c:pt>
                  <c:pt idx="1">
                    <c:v>1.1117662106499042</c:v>
                  </c:pt>
                  <c:pt idx="2">
                    <c:v>1.0407696971472651</c:v>
                  </c:pt>
                  <c:pt idx="3">
                    <c:v>1.0375830431481512</c:v>
                  </c:pt>
                  <c:pt idx="4">
                    <c:v>0.97235894588514216</c:v>
                  </c:pt>
                  <c:pt idx="5">
                    <c:v>0.84685855940815136</c:v>
                  </c:pt>
                  <c:pt idx="6">
                    <c:v>0.85945775575566896</c:v>
                  </c:pt>
                  <c:pt idx="7">
                    <c:v>0.84653442677441193</c:v>
                  </c:pt>
                  <c:pt idx="8">
                    <c:v>0.71995644089466559</c:v>
                  </c:pt>
                  <c:pt idx="9">
                    <c:v>0.6749126927663629</c:v>
                  </c:pt>
                  <c:pt idx="10">
                    <c:v>0.64426712932491859</c:v>
                  </c:pt>
                  <c:pt idx="11">
                    <c:v>0.53117940707448363</c:v>
                  </c:pt>
                  <c:pt idx="12">
                    <c:v>0.50762665555363751</c:v>
                  </c:pt>
                  <c:pt idx="13">
                    <c:v>0.60044328862694663</c:v>
                  </c:pt>
                  <c:pt idx="14">
                    <c:v>0.48678037545547298</c:v>
                  </c:pt>
                  <c:pt idx="15">
                    <c:v>0.47812879316889395</c:v>
                  </c:pt>
                  <c:pt idx="16">
                    <c:v>0.44687581168757445</c:v>
                  </c:pt>
                  <c:pt idx="17">
                    <c:v>0.41713708563766633</c:v>
                  </c:pt>
                  <c:pt idx="18">
                    <c:v>0.38708589624452683</c:v>
                  </c:pt>
                  <c:pt idx="19">
                    <c:v>0.37848116343013494</c:v>
                  </c:pt>
                  <c:pt idx="20">
                    <c:v>0.31404617494884385</c:v>
                  </c:pt>
                  <c:pt idx="21">
                    <c:v>0.33584082911403146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Chart'!$F$59:$F$80</c:f>
              <c:numCache>
                <c:formatCode>General</c:formatCode>
                <c:ptCount val="22"/>
                <c:pt idx="0">
                  <c:v>19.07</c:v>
                </c:pt>
                <c:pt idx="1">
                  <c:v>17.822500000000002</c:v>
                </c:pt>
                <c:pt idx="2">
                  <c:v>18.368749999999999</c:v>
                </c:pt>
                <c:pt idx="3">
                  <c:v>18.864999999999998</c:v>
                </c:pt>
                <c:pt idx="4">
                  <c:v>19.18375</c:v>
                </c:pt>
                <c:pt idx="5">
                  <c:v>19.548750000000002</c:v>
                </c:pt>
                <c:pt idx="6">
                  <c:v>20.126249999999999</c:v>
                </c:pt>
                <c:pt idx="7">
                  <c:v>20.477499999999999</c:v>
                </c:pt>
                <c:pt idx="8">
                  <c:v>20.69125</c:v>
                </c:pt>
                <c:pt idx="9">
                  <c:v>20.824999999999999</c:v>
                </c:pt>
                <c:pt idx="10">
                  <c:v>21.078749999999999</c:v>
                </c:pt>
                <c:pt idx="11">
                  <c:v>21.138749999999998</c:v>
                </c:pt>
                <c:pt idx="12">
                  <c:v>21.347500000000004</c:v>
                </c:pt>
                <c:pt idx="13">
                  <c:v>21.245000000000001</c:v>
                </c:pt>
                <c:pt idx="14">
                  <c:v>21.518749999999997</c:v>
                </c:pt>
                <c:pt idx="15">
                  <c:v>21.715</c:v>
                </c:pt>
                <c:pt idx="16">
                  <c:v>22.10125</c:v>
                </c:pt>
                <c:pt idx="17">
                  <c:v>22.053750000000001</c:v>
                </c:pt>
                <c:pt idx="18">
                  <c:v>22.136250000000004</c:v>
                </c:pt>
                <c:pt idx="19">
                  <c:v>22.168750000000003</c:v>
                </c:pt>
                <c:pt idx="20">
                  <c:v>22.3</c:v>
                </c:pt>
                <c:pt idx="21" formatCode="0.00">
                  <c:v>22.616250000000001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0-C540-879A-2A8D93A4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08927"/>
        <c:axId val="1"/>
      </c:scatterChart>
      <c:valAx>
        <c:axId val="1832608927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1371183865174749"/>
              <c:y val="0.87457545931758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At val="-1"/>
        <c:crossBetween val="midCat"/>
        <c:majorUnit val="1"/>
      </c:val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Body weight (g)</a:t>
                </a:r>
              </a:p>
            </c:rich>
          </c:tx>
          <c:layout>
            <c:manualLayout>
              <c:xMode val="edge"/>
              <c:yMode val="edge"/>
              <c:x val="3.0732934698952104E-2"/>
              <c:y val="0.28135564304461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608927"/>
        <c:crossesAt val="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103191048487359"/>
          <c:y val="6.1116579177602798E-2"/>
          <c:w val="0.23058374282162097"/>
          <c:h val="0.158338363954505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B  Weight gain</a:t>
            </a:r>
          </a:p>
        </c:rich>
      </c:tx>
      <c:layout>
        <c:manualLayout>
          <c:xMode val="edge"/>
          <c:yMode val="edge"/>
          <c:x val="9.3984962406015032E-3"/>
          <c:y val="3.9583333333333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74649113281"/>
          <c:y val="0.17778333139696076"/>
          <c:w val="0.7619287717167329"/>
          <c:h val="0.6416867117609053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plus>
            <c:min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Chart'!$H$57:$H$78</c:f>
              <c:numCache>
                <c:formatCode>General</c:formatCode>
                <c:ptCount val="22"/>
                <c:pt idx="0">
                  <c:v>1.1842378929335002E-15</c:v>
                </c:pt>
                <c:pt idx="1">
                  <c:v>0.17333333333333437</c:v>
                </c:pt>
                <c:pt idx="2">
                  <c:v>0.46333333333333393</c:v>
                </c:pt>
                <c:pt idx="3">
                  <c:v>0.5777777777777785</c:v>
                </c:pt>
                <c:pt idx="4">
                  <c:v>0.71444444444444521</c:v>
                </c:pt>
                <c:pt idx="5">
                  <c:v>1.0000000000000004</c:v>
                </c:pt>
                <c:pt idx="6">
                  <c:v>1.0111111111111117</c:v>
                </c:pt>
                <c:pt idx="7">
                  <c:v>0.98444444444444479</c:v>
                </c:pt>
                <c:pt idx="8">
                  <c:v>1.2844444444444452</c:v>
                </c:pt>
                <c:pt idx="9">
                  <c:v>1.5622222222222228</c:v>
                </c:pt>
                <c:pt idx="10">
                  <c:v>1.7588888888888892</c:v>
                </c:pt>
                <c:pt idx="11">
                  <c:v>1.8944444444444448</c:v>
                </c:pt>
                <c:pt idx="12">
                  <c:v>1.953333333333334</c:v>
                </c:pt>
                <c:pt idx="13">
                  <c:v>2.1277777777777782</c:v>
                </c:pt>
                <c:pt idx="14">
                  <c:v>2.1822222222222227</c:v>
                </c:pt>
                <c:pt idx="15">
                  <c:v>2.476666666666667</c:v>
                </c:pt>
                <c:pt idx="16">
                  <c:v>2.6611111111111114</c:v>
                </c:pt>
                <c:pt idx="17">
                  <c:v>2.6400000000000006</c:v>
                </c:pt>
                <c:pt idx="18">
                  <c:v>2.8900000000000006</c:v>
                </c:pt>
                <c:pt idx="19">
                  <c:v>2.8911111111111119</c:v>
                </c:pt>
                <c:pt idx="20">
                  <c:v>3.1211111111111114</c:v>
                </c:pt>
                <c:pt idx="21">
                  <c:v>3.2744444444444447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2-4DD9-8D61-6D2296CC1C0E}"/>
            </c:ext>
          </c:extLst>
        </c:ser>
        <c:ser>
          <c:idx val="3"/>
          <c:order val="1"/>
          <c:tx>
            <c:strRef>
              <c:f>'(HOM) Growth Chart'!$D$56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12-4DD9-8D61-6D2296CC1C0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plus>
            <c:min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Chart'!$J$57:$J$78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0.35374999999999845</c:v>
                </c:pt>
                <c:pt idx="2">
                  <c:v>0.83999999999999986</c:v>
                </c:pt>
                <c:pt idx="3">
                  <c:v>1.4112499999999994</c:v>
                </c:pt>
                <c:pt idx="4">
                  <c:v>1.4462499999999996</c:v>
                </c:pt>
                <c:pt idx="5">
                  <c:v>1.7512499999999998</c:v>
                </c:pt>
                <c:pt idx="6">
                  <c:v>1.8062499999999995</c:v>
                </c:pt>
                <c:pt idx="7">
                  <c:v>1.9862499999999996</c:v>
                </c:pt>
                <c:pt idx="8">
                  <c:v>2.1087499999999997</c:v>
                </c:pt>
                <c:pt idx="9">
                  <c:v>2.3412499999999992</c:v>
                </c:pt>
                <c:pt idx="10">
                  <c:v>2.5274999999999994</c:v>
                </c:pt>
                <c:pt idx="11">
                  <c:v>2.5462500000000001</c:v>
                </c:pt>
                <c:pt idx="12">
                  <c:v>2.69</c:v>
                </c:pt>
                <c:pt idx="13">
                  <c:v>2.7462499999999994</c:v>
                </c:pt>
                <c:pt idx="14">
                  <c:v>2.6987499999999995</c:v>
                </c:pt>
                <c:pt idx="15">
                  <c:v>3.0087499999999996</c:v>
                </c:pt>
                <c:pt idx="16">
                  <c:v>3.2224999999999993</c:v>
                </c:pt>
                <c:pt idx="17">
                  <c:v>3.2487499999999998</c:v>
                </c:pt>
                <c:pt idx="18">
                  <c:v>3.3837499999999991</c:v>
                </c:pt>
                <c:pt idx="19">
                  <c:v>3.274999999999999</c:v>
                </c:pt>
                <c:pt idx="20">
                  <c:v>3.4549999999999996</c:v>
                </c:pt>
                <c:pt idx="21">
                  <c:v>3.4512499999999986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2-4DD9-8D61-6D2296CC1C0E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plus>
            <c:min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Chart'!$L$57:$L$78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-1.26125</c:v>
                </c:pt>
                <c:pt idx="2">
                  <c:v>-1.0362500000000006</c:v>
                </c:pt>
                <c:pt idx="3">
                  <c:v>-0.27625000000000033</c:v>
                </c:pt>
                <c:pt idx="4">
                  <c:v>0.2099999999999993</c:v>
                </c:pt>
                <c:pt idx="5">
                  <c:v>0.86375000000000002</c:v>
                </c:pt>
                <c:pt idx="6">
                  <c:v>0.98999999999999977</c:v>
                </c:pt>
                <c:pt idx="7">
                  <c:v>1.2024999999999997</c:v>
                </c:pt>
                <c:pt idx="8">
                  <c:v>1.3362500000000002</c:v>
                </c:pt>
                <c:pt idx="9">
                  <c:v>1.5387499999999998</c:v>
                </c:pt>
                <c:pt idx="10">
                  <c:v>1.4324999999999997</c:v>
                </c:pt>
                <c:pt idx="11">
                  <c:v>1.6637499999999998</c:v>
                </c:pt>
                <c:pt idx="12">
                  <c:v>1.8399999999999994</c:v>
                </c:pt>
                <c:pt idx="13">
                  <c:v>1.9837500000000006</c:v>
                </c:pt>
                <c:pt idx="14">
                  <c:v>2.1887500000000002</c:v>
                </c:pt>
                <c:pt idx="15">
                  <c:v>2.5425</c:v>
                </c:pt>
                <c:pt idx="16">
                  <c:v>2.7162500000000001</c:v>
                </c:pt>
                <c:pt idx="17">
                  <c:v>2.87</c:v>
                </c:pt>
                <c:pt idx="18">
                  <c:v>3.1512499999999997</c:v>
                </c:pt>
                <c:pt idx="19">
                  <c:v>3.1950000000000003</c:v>
                </c:pt>
                <c:pt idx="20">
                  <c:v>3.4012500000000006</c:v>
                </c:pt>
                <c:pt idx="21">
                  <c:v>3.6012499999999998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2-4DD9-8D61-6D2296CC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0980344562192883"/>
              <c:y val="0.87837839020122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</c:valAx>
      <c:valAx>
        <c:axId val="1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1764647840072622E-2"/>
              <c:y val="0.2398648293963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555791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546800071043751"/>
          <c:y val="0.17778324584426947"/>
          <c:w val="0.23058374282162097"/>
          <c:h val="0.155560367454068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Growth Rate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531544752578"/>
          <c:y val="0.20764348013544365"/>
          <c:w val="0.6224712931331911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Summary'!$Q$14</c:f>
                <c:numCache>
                  <c:formatCode>General</c:formatCode>
                  <c:ptCount val="1"/>
                  <c:pt idx="0">
                    <c:v>1.3087525867532539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Summary'!$Q$13</c:f>
              <c:numCache>
                <c:formatCode>General</c:formatCode>
                <c:ptCount val="1"/>
                <c:pt idx="0">
                  <c:v>83.723333333333343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874F-AA98-301C17EFBBD7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Summary'!$Q$25</c:f>
                <c:numCache>
                  <c:formatCode>General</c:formatCode>
                  <c:ptCount val="1"/>
                  <c:pt idx="0">
                    <c:v>3.2424452364089538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Summary'!$Q$24</c:f>
              <c:numCache>
                <c:formatCode>General</c:formatCode>
                <c:ptCount val="1"/>
                <c:pt idx="0">
                  <c:v>88.046666666666667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9-874F-AA98-301C17EFBBD7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Summary'!$Q$38</c:f>
                <c:numCache>
                  <c:formatCode>General</c:formatCode>
                  <c:ptCount val="1"/>
                  <c:pt idx="0">
                    <c:v>3.0294317816453398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Summary'!$Q$37</c:f>
              <c:numCache>
                <c:formatCode>General</c:formatCode>
                <c:ptCount val="1"/>
                <c:pt idx="0">
                  <c:v>87.436250000000001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9-874F-AA98-301C17EF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epiphyseal plate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width (µm)</a:t>
                </a:r>
              </a:p>
            </c:rich>
          </c:tx>
          <c:layout>
            <c:manualLayout>
              <c:xMode val="edge"/>
              <c:yMode val="edge"/>
              <c:x val="1.7858270930622439E-3"/>
              <c:y val="0.270113385826771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Interscapular BAT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4634739687389822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Summary'!$AX$14</c:f>
                <c:numCache>
                  <c:formatCode>General</c:formatCode>
                  <c:ptCount val="1"/>
                  <c:pt idx="0">
                    <c:v>1.896803354472501E-2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Summary'!$AX$13</c:f>
              <c:numCache>
                <c:formatCode>General</c:formatCode>
                <c:ptCount val="1"/>
                <c:pt idx="0">
                  <c:v>0.43058441654055168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4-C640-90E6-7343113D898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Summary'!$AX$25</c:f>
                <c:numCache>
                  <c:formatCode>General</c:formatCode>
                  <c:ptCount val="1"/>
                  <c:pt idx="0">
                    <c:v>3.7670169602731243E-2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Summary'!$AX$24</c:f>
              <c:numCache>
                <c:formatCode>General</c:formatCode>
                <c:ptCount val="1"/>
                <c:pt idx="0">
                  <c:v>0.42629870966087891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4-C640-90E6-7343113D898A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Summary'!$AX$38</c:f>
                <c:numCache>
                  <c:formatCode>General</c:formatCode>
                  <c:ptCount val="1"/>
                  <c:pt idx="0">
                    <c:v>1.9221710341340102E-2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Summary'!$AX$37</c:f>
              <c:numCache>
                <c:formatCode>General</c:formatCode>
                <c:ptCount val="1"/>
                <c:pt idx="0">
                  <c:v>0.42499807695003544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4-C640-90E6-7343113D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Interscapular BAT weight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1.7855603870411722E-3"/>
              <c:y val="0.214113460567658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Abdominal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8117336880476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Summary'!$AU$14</c:f>
                <c:numCache>
                  <c:formatCode>General</c:formatCode>
                  <c:ptCount val="1"/>
                  <c:pt idx="0">
                    <c:v>5.8934383106487152E-2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Summary'!$AU$13</c:f>
              <c:numCache>
                <c:formatCode>General</c:formatCode>
                <c:ptCount val="1"/>
                <c:pt idx="0">
                  <c:v>0.94166120846281887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254A-A6F3-0C9DA565F804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Summary'!$AU$25</c:f>
                <c:numCache>
                  <c:formatCode>General</c:formatCode>
                  <c:ptCount val="1"/>
                  <c:pt idx="0">
                    <c:v>7.3156400566944557E-2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Summary'!$AU$24</c:f>
              <c:numCache>
                <c:formatCode>General</c:formatCode>
                <c:ptCount val="1"/>
                <c:pt idx="0">
                  <c:v>0.89873175345969003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6-254A-A6F3-0C9DA565F804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Summary'!$AU$38</c:f>
                <c:numCache>
                  <c:formatCode>General</c:formatCode>
                  <c:ptCount val="1"/>
                  <c:pt idx="0">
                    <c:v>4.8060882206292198E-2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Summary'!$AU$37</c:f>
              <c:numCache>
                <c:formatCode>General</c:formatCode>
                <c:ptCount val="1"/>
                <c:pt idx="0">
                  <c:v>0.95582355177112488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6-254A-A6F3-0C9DA565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Abdominal WAT weight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1.7856380690977501E-3"/>
              <c:y val="0.274672472702349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AUCT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849-0B46-9D5F-409B35590213}"/>
            </c:ext>
          </c:extLst>
        </c:ser>
        <c:ser>
          <c:idx val="1"/>
          <c:order val="1"/>
          <c:tx>
            <c:v>AUCT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849-0B46-9D5F-409B35590213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849-0B46-9D5F-409B35590213}"/>
            </c:ext>
          </c:extLst>
        </c:ser>
        <c:ser>
          <c:idx val="3"/>
          <c:order val="3"/>
          <c:tx>
            <c:v>AUCD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849-0B46-9D5F-409B35590213}"/>
            </c:ext>
          </c:extLst>
        </c:ser>
        <c:ser>
          <c:idx val="4"/>
          <c:order val="4"/>
          <c:tx>
            <c:v>AUCD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849-0B46-9D5F-409B35590213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849-0B46-9D5F-409B35590213}"/>
            </c:ext>
          </c:extLst>
        </c:ser>
        <c:ser>
          <c:idx val="6"/>
          <c:order val="6"/>
          <c:tx>
            <c:v>AUCN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849-0B46-9D5F-409B35590213}"/>
            </c:ext>
          </c:extLst>
        </c:ser>
        <c:ser>
          <c:idx val="7"/>
          <c:order val="7"/>
          <c:tx>
            <c:v>AUCN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849-0B46-9D5F-409B3559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6399"/>
        <c:axId val="1"/>
      </c:barChart>
      <c:catAx>
        <c:axId val="201105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05639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OC5T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(Both)'!$BC$15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'Data Summary (Both)'!$BC$14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5-CC49-8C0A-B04EF28B0104}"/>
            </c:ext>
          </c:extLst>
        </c:ser>
        <c:ser>
          <c:idx val="1"/>
          <c:order val="1"/>
          <c:tx>
            <c:v>OC5T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41C5-CC49-8C0A-B04EF28B0104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1C5-CC49-8C0A-B04EF28B0104}"/>
            </c:ext>
          </c:extLst>
        </c:ser>
        <c:ser>
          <c:idx val="3"/>
          <c:order val="3"/>
          <c:tx>
            <c:v>OC5D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1C5-CC49-8C0A-B04EF28B0104}"/>
            </c:ext>
          </c:extLst>
        </c:ser>
        <c:ser>
          <c:idx val="4"/>
          <c:order val="4"/>
          <c:tx>
            <c:v>OC5D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1C5-CC49-8C0A-B04EF28B0104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1C5-CC49-8C0A-B04EF28B0104}"/>
            </c:ext>
          </c:extLst>
        </c:ser>
        <c:ser>
          <c:idx val="6"/>
          <c:order val="6"/>
          <c:tx>
            <c:v>OC5N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41C5-CC49-8C0A-B04EF28B0104}"/>
            </c:ext>
          </c:extLst>
        </c:ser>
        <c:ser>
          <c:idx val="7"/>
          <c:order val="7"/>
          <c:tx>
            <c:v>OC5N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41C5-CC49-8C0A-B04EF28B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10655"/>
        <c:axId val="1"/>
      </c:barChart>
      <c:catAx>
        <c:axId val="201111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Baseline (OC</a:t>
                </a:r>
                <a:r>
                  <a:rPr lang="en-US" sz="300" b="1" i="0" u="none" strike="noStrike" baseline="-2500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5</a:t>
                </a:r>
                <a:r>
                  <a:rPr lang="en-US" sz="325" b="1" i="0" u="none" strike="noStrike" baseline="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) (ng/ml)</a:t>
                </a:r>
                <a:endParaRPr lang="en-US" sz="325" b="1" i="0" u="none" strike="noStrike" baseline="0">
                  <a:solidFill>
                    <a:srgbClr val="000000"/>
                  </a:solidFill>
                  <a:latin typeface="Helv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11065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ECA-5941-AA9B-062CD777A962}"/>
            </c:ext>
          </c:extLst>
        </c:ser>
        <c:ser>
          <c:idx val="1"/>
          <c:order val="1"/>
          <c:tx>
            <c:v>PeakT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ECA-5941-AA9B-062CD777A962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ECA-5941-AA9B-062CD777A962}"/>
            </c:ext>
          </c:extLst>
        </c:ser>
        <c:ser>
          <c:idx val="3"/>
          <c:order val="3"/>
          <c:tx>
            <c:v>PeakD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ECA-5941-AA9B-062CD777A962}"/>
            </c:ext>
          </c:extLst>
        </c:ser>
        <c:ser>
          <c:idx val="4"/>
          <c:order val="4"/>
          <c:tx>
            <c:v>PeakD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ECA-5941-AA9B-062CD777A962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ECA-5941-AA9B-062CD777A962}"/>
            </c:ext>
          </c:extLst>
        </c:ser>
        <c:ser>
          <c:idx val="6"/>
          <c:order val="6"/>
          <c:tx>
            <c:v>PeakN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ECA-5941-AA9B-062CD777A962}"/>
            </c:ext>
          </c:extLst>
        </c:ser>
        <c:ser>
          <c:idx val="7"/>
          <c:order val="7"/>
          <c:tx>
            <c:v>PeakN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8ECA-5941-AA9B-062CD777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73471"/>
        <c:axId val="1"/>
      </c:barChart>
      <c:catAx>
        <c:axId val="191947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4734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E  Tibial EPW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(Both)'!$P$15</c:f>
                <c:numCache>
                  <c:formatCode>General</c:formatCode>
                  <c:ptCount val="1"/>
                  <c:pt idx="0">
                    <c:v>6.075240662487618E-2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'Data Summary (Both)'!$P$14</c:f>
              <c:numCache>
                <c:formatCode>General</c:formatCode>
                <c:ptCount val="1"/>
                <c:pt idx="0">
                  <c:v>17.106375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B-5A4A-B786-AB69C6DB67C7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A9B-5A4A-B786-AB69C6DB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5999"/>
        <c:axId val="1"/>
      </c:barChart>
      <c:catAx>
        <c:axId val="19198859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30"/>
          <c:min val="43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Tibial epiphyseal plate width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8599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F  Pituitary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C93-4943-80D5-67B08D6A8D27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C93-4943-80D5-67B08D6A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12159"/>
        <c:axId val="1"/>
      </c:barChart>
      <c:catAx>
        <c:axId val="191991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912159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G  Liver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(Both)'!$Y$15</c:f>
                <c:numCache>
                  <c:formatCode>General</c:formatCode>
                  <c:ptCount val="1"/>
                  <c:pt idx="0">
                    <c:v>4.6666237986977124E-2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'Data Summary (Both)'!$Y$14</c:f>
              <c:numCache>
                <c:formatCode>General</c:formatCode>
                <c:ptCount val="1"/>
                <c:pt idx="0">
                  <c:v>1.1161249999999998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5-BE40-8EAB-4E7995136707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1B5-BE40-8EAB-4E799513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34319"/>
        <c:axId val="1"/>
      </c:barChart>
      <c:catAx>
        <c:axId val="191983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liver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34319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H  Kidney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(Both)'!$AA$15</c:f>
                <c:numCache>
                  <c:formatCode>General</c:formatCode>
                  <c:ptCount val="1"/>
                  <c:pt idx="0">
                    <c:v>4.9241183946251458E-3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'Data Summary (Both)'!$AA$14</c:f>
              <c:numCache>
                <c:formatCode>General</c:formatCode>
                <c:ptCount val="1"/>
                <c:pt idx="0">
                  <c:v>0.14478750000000001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0-D847-8EF0-42F39DF3E0B8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620-D847-8EF0-42F39DF3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00223"/>
        <c:axId val="1"/>
      </c:barChart>
      <c:catAx>
        <c:axId val="191970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kidney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00223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Weight Gain (GHSR-null)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7878030409778"/>
          <c:y val="0.17248721150045204"/>
          <c:w val="0.7716824703826628"/>
          <c:h val="0.69955674879638841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64AAFE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plus>
            <c:min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Chart'!$H$57:$H$78</c:f>
              <c:numCache>
                <c:formatCode>General</c:formatCode>
                <c:ptCount val="22"/>
                <c:pt idx="0">
                  <c:v>1.1842378929335002E-15</c:v>
                </c:pt>
                <c:pt idx="1">
                  <c:v>0.17333333333333437</c:v>
                </c:pt>
                <c:pt idx="2">
                  <c:v>0.46333333333333393</c:v>
                </c:pt>
                <c:pt idx="3">
                  <c:v>0.5777777777777785</c:v>
                </c:pt>
                <c:pt idx="4">
                  <c:v>0.71444444444444521</c:v>
                </c:pt>
                <c:pt idx="5">
                  <c:v>1.0000000000000004</c:v>
                </c:pt>
                <c:pt idx="6">
                  <c:v>1.0111111111111117</c:v>
                </c:pt>
                <c:pt idx="7">
                  <c:v>0.98444444444444479</c:v>
                </c:pt>
                <c:pt idx="8">
                  <c:v>1.2844444444444452</c:v>
                </c:pt>
                <c:pt idx="9">
                  <c:v>1.5622222222222228</c:v>
                </c:pt>
                <c:pt idx="10">
                  <c:v>1.7588888888888892</c:v>
                </c:pt>
                <c:pt idx="11">
                  <c:v>1.8944444444444448</c:v>
                </c:pt>
                <c:pt idx="12">
                  <c:v>1.953333333333334</c:v>
                </c:pt>
                <c:pt idx="13">
                  <c:v>2.1277777777777782</c:v>
                </c:pt>
                <c:pt idx="14">
                  <c:v>2.1822222222222227</c:v>
                </c:pt>
                <c:pt idx="15">
                  <c:v>2.476666666666667</c:v>
                </c:pt>
                <c:pt idx="16">
                  <c:v>2.6611111111111114</c:v>
                </c:pt>
                <c:pt idx="17">
                  <c:v>2.6400000000000006</c:v>
                </c:pt>
                <c:pt idx="18">
                  <c:v>2.8900000000000006</c:v>
                </c:pt>
                <c:pt idx="19">
                  <c:v>2.8911111111111119</c:v>
                </c:pt>
                <c:pt idx="20">
                  <c:v>3.1211111111111114</c:v>
                </c:pt>
                <c:pt idx="21">
                  <c:v>3.2744444444444447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3-C54B-9891-3F40A3C622AC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plus>
            <c:min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Chart'!$J$57:$J$78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0.35374999999999845</c:v>
                </c:pt>
                <c:pt idx="2">
                  <c:v>0.83999999999999986</c:v>
                </c:pt>
                <c:pt idx="3">
                  <c:v>1.4112499999999994</c:v>
                </c:pt>
                <c:pt idx="4">
                  <c:v>1.4462499999999996</c:v>
                </c:pt>
                <c:pt idx="5">
                  <c:v>1.7512499999999998</c:v>
                </c:pt>
                <c:pt idx="6">
                  <c:v>1.8062499999999995</c:v>
                </c:pt>
                <c:pt idx="7">
                  <c:v>1.9862499999999996</c:v>
                </c:pt>
                <c:pt idx="8">
                  <c:v>2.1087499999999997</c:v>
                </c:pt>
                <c:pt idx="9">
                  <c:v>2.3412499999999992</c:v>
                </c:pt>
                <c:pt idx="10">
                  <c:v>2.5274999999999994</c:v>
                </c:pt>
                <c:pt idx="11">
                  <c:v>2.5462500000000001</c:v>
                </c:pt>
                <c:pt idx="12">
                  <c:v>2.69</c:v>
                </c:pt>
                <c:pt idx="13">
                  <c:v>2.7462499999999994</c:v>
                </c:pt>
                <c:pt idx="14">
                  <c:v>2.6987499999999995</c:v>
                </c:pt>
                <c:pt idx="15">
                  <c:v>3.0087499999999996</c:v>
                </c:pt>
                <c:pt idx="16">
                  <c:v>3.2224999999999993</c:v>
                </c:pt>
                <c:pt idx="17">
                  <c:v>3.2487499999999998</c:v>
                </c:pt>
                <c:pt idx="18">
                  <c:v>3.3837499999999991</c:v>
                </c:pt>
                <c:pt idx="19">
                  <c:v>3.274999999999999</c:v>
                </c:pt>
                <c:pt idx="20">
                  <c:v>3.4549999999999996</c:v>
                </c:pt>
                <c:pt idx="21">
                  <c:v>3.4512499999999986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3-C54B-9891-3F40A3C622AC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8C84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plus>
            <c:min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Chart'!$L$57:$L$78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-1.26125</c:v>
                </c:pt>
                <c:pt idx="2">
                  <c:v>-1.0362500000000006</c:v>
                </c:pt>
                <c:pt idx="3">
                  <c:v>-0.27625000000000033</c:v>
                </c:pt>
                <c:pt idx="4">
                  <c:v>0.2099999999999993</c:v>
                </c:pt>
                <c:pt idx="5">
                  <c:v>0.86375000000000002</c:v>
                </c:pt>
                <c:pt idx="6">
                  <c:v>0.98999999999999977</c:v>
                </c:pt>
                <c:pt idx="7">
                  <c:v>1.2024999999999997</c:v>
                </c:pt>
                <c:pt idx="8">
                  <c:v>1.3362500000000002</c:v>
                </c:pt>
                <c:pt idx="9">
                  <c:v>1.5387499999999998</c:v>
                </c:pt>
                <c:pt idx="10">
                  <c:v>1.4324999999999997</c:v>
                </c:pt>
                <c:pt idx="11">
                  <c:v>1.6637499999999998</c:v>
                </c:pt>
                <c:pt idx="12">
                  <c:v>1.8399999999999994</c:v>
                </c:pt>
                <c:pt idx="13">
                  <c:v>1.9837500000000006</c:v>
                </c:pt>
                <c:pt idx="14">
                  <c:v>2.1887500000000002</c:v>
                </c:pt>
                <c:pt idx="15">
                  <c:v>2.5425</c:v>
                </c:pt>
                <c:pt idx="16">
                  <c:v>2.7162500000000001</c:v>
                </c:pt>
                <c:pt idx="17">
                  <c:v>2.87</c:v>
                </c:pt>
                <c:pt idx="18">
                  <c:v>3.1512499999999997</c:v>
                </c:pt>
                <c:pt idx="19">
                  <c:v>3.1950000000000003</c:v>
                </c:pt>
                <c:pt idx="20">
                  <c:v>3.4012500000000006</c:v>
                </c:pt>
                <c:pt idx="21">
                  <c:v>3.6012499999999998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3-C54B-9891-3F40A3C6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3565414264"/>
              <c:y val="0.89906425906785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7414872037411017E-2"/>
              <c:y val="0.28764311808909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66004239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124242497958649"/>
          <c:y val="0.17538273073725422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chemeClr val="bg1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I  Inguinal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(Both)'!$AJ$15</c:f>
                <c:numCache>
                  <c:formatCode>General</c:formatCode>
                  <c:ptCount val="1"/>
                  <c:pt idx="0">
                    <c:v>4.330701753592737E-3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'Data Summary (Both)'!$AJ$14</c:f>
              <c:numCache>
                <c:formatCode>General</c:formatCode>
                <c:ptCount val="1"/>
                <c:pt idx="0">
                  <c:v>7.8362500000000002E-2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C-E546-B773-479B061D5E31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80C-E546-B773-479B061D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1135"/>
        <c:axId val="1"/>
      </c:barChart>
      <c:catAx>
        <c:axId val="191973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ing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31135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J  Epididymal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(Both)'!$AM$15</c:f>
                <c:numCache>
                  <c:formatCode>General</c:formatCode>
                  <c:ptCount val="1"/>
                  <c:pt idx="0">
                    <c:v>8.8265313827119891E-3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'Data Summary (Both)'!$AM$14</c:f>
              <c:numCache>
                <c:formatCode>General</c:formatCode>
                <c:ptCount val="1"/>
                <c:pt idx="0">
                  <c:v>0.1138125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8-374F-87D2-4A390685F052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5C8-374F-87D2-4A390685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62159"/>
        <c:axId val="1"/>
      </c:barChart>
      <c:catAx>
        <c:axId val="191976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epidid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62159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Body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28631747118561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(Both)'!$N$15</c:f>
                <c:numCache>
                  <c:formatCode>General</c:formatCode>
                  <c:ptCount val="1"/>
                  <c:pt idx="0">
                    <c:v>8.6602540378443893E-2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(Both)'!$N$14</c:f>
              <c:numCache>
                <c:formatCode>General</c:formatCode>
                <c:ptCount val="1"/>
                <c:pt idx="0">
                  <c:v>9.0499999999999989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4-B040-8DAA-9EECA616CBA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(Both)'!$N$27</c:f>
                <c:numCache>
                  <c:formatCode>General</c:formatCode>
                  <c:ptCount val="1"/>
                  <c:pt idx="0">
                    <c:v>7.5445107765277117E-2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(Both)'!$N$26</c:f>
              <c:numCache>
                <c:formatCode>General</c:formatCode>
                <c:ptCount val="1"/>
                <c:pt idx="0">
                  <c:v>8.9625000000000004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4-B040-8DAA-9EECA616CBA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(Both)'!$N$40</c:f>
                <c:numCache>
                  <c:formatCode>General</c:formatCode>
                  <c:ptCount val="1"/>
                  <c:pt idx="0">
                    <c:v>0.10680004681646922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(Both)'!$N$39</c:f>
              <c:numCache>
                <c:formatCode>General</c:formatCode>
                <c:ptCount val="1"/>
                <c:pt idx="0">
                  <c:v>8.7624999999999993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4-B040-8DAA-9EECA616CBA0}"/>
            </c:ext>
          </c:extLst>
        </c:ser>
        <c:ser>
          <c:idx val="3"/>
          <c:order val="3"/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6284-B040-8DAA-9EECA616CBA0}"/>
            </c:ext>
          </c:extLst>
        </c:ser>
        <c:ser>
          <c:idx val="4"/>
          <c:order val="4"/>
          <c:invertIfNegative val="0"/>
          <c:val>
            <c:numRef>
              <c:f>'Data Summary (Both)'!$N$51</c:f>
              <c:numCache>
                <c:formatCode>General</c:formatCode>
                <c:ptCount val="1"/>
                <c:pt idx="0">
                  <c:v>8.7666666666666675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84-B040-8DAA-9EECA616CBA0}"/>
            </c:ext>
          </c:extLst>
        </c:ser>
        <c:ser>
          <c:idx val="5"/>
          <c:order val="5"/>
          <c:invertIfNegative val="0"/>
          <c:val>
            <c:numRef>
              <c:f>'Data Summary (Both)'!$N$62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84-B040-8DAA-9EECA616CBA0}"/>
            </c:ext>
          </c:extLst>
        </c:ser>
        <c:ser>
          <c:idx val="6"/>
          <c:order val="6"/>
          <c:invertIfNegative val="0"/>
          <c:val>
            <c:numRef>
              <c:f>'Data Summary (Both)'!$N$75</c:f>
              <c:numCache>
                <c:formatCode>General</c:formatCode>
                <c:ptCount val="1"/>
                <c:pt idx="0">
                  <c:v>8.7444444444444454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84-B040-8DAA-9EECA61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Nose-anus length (cm)</a:t>
                </a:r>
              </a:p>
            </c:rich>
          </c:tx>
          <c:layout>
            <c:manualLayout>
              <c:xMode val="edge"/>
              <c:yMode val="edge"/>
              <c:x val="3.832862355620182E-2"/>
              <c:y val="0.246113523192778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438-D34A-8B5D-CF313B140A79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(Both)'!$BH$15</c:f>
                <c:numCache>
                  <c:formatCode>General</c:formatCode>
                  <c:ptCount val="1"/>
                  <c:pt idx="0">
                    <c:v>2.6586083487840435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(Both)'!$BH$14</c:f>
              <c:numCache>
                <c:formatCode>General</c:formatCode>
                <c:ptCount val="1"/>
                <c:pt idx="0">
                  <c:v>21.947526487528346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8-D34A-8B5D-CF313B140A79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(Both)'!$BH$27</c:f>
                <c:numCache>
                  <c:formatCode>General</c:formatCode>
                  <c:ptCount val="1"/>
                  <c:pt idx="0">
                    <c:v>4.5196407217168879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(Both)'!$BH$26</c:f>
              <c:numCache>
                <c:formatCode>0.0000000</c:formatCode>
                <c:ptCount val="1"/>
                <c:pt idx="0">
                  <c:v>29.261905000000002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8-D34A-8B5D-CF313B140A79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(Both)'!$BH$40</c:f>
                <c:numCache>
                  <c:formatCode>0.0000000</c:formatCode>
                  <c:ptCount val="1"/>
                  <c:pt idx="0">
                    <c:v>2.574742623714652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(Both)'!$BH$39</c:f>
              <c:numCache>
                <c:formatCode>General</c:formatCode>
                <c:ptCount val="1"/>
                <c:pt idx="0">
                  <c:v>25.775416666666668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8-D34A-8B5D-CF313B140A79}"/>
            </c:ext>
          </c:extLst>
        </c:ser>
        <c:ser>
          <c:idx val="3"/>
          <c:order val="3"/>
          <c:invertIfNegative val="0"/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5438-D34A-8B5D-CF313B140A79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Summary'!$BH$14</c:f>
                <c:numCache>
                  <c:formatCode>General</c:formatCode>
                  <c:ptCount val="1"/>
                  <c:pt idx="0">
                    <c:v>2.9473843967918922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Summary'!$BH$13</c:f>
              <c:numCache>
                <c:formatCode>General</c:formatCode>
                <c:ptCount val="1"/>
                <c:pt idx="0">
                  <c:v>17.061224085714287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38-D34A-8B5D-CF313B140A79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Summary'!$BH$25</c:f>
                <c:numCache>
                  <c:formatCode>General</c:formatCode>
                  <c:ptCount val="1"/>
                  <c:pt idx="0">
                    <c:v>3.0067616130913972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Summary'!$BH$24</c:f>
              <c:numCache>
                <c:formatCode>General</c:formatCode>
                <c:ptCount val="1"/>
                <c:pt idx="0">
                  <c:v>19.328570000000003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38-D34A-8B5D-CF313B140A79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Summary'!$BH$38</c:f>
                <c:numCache>
                  <c:formatCode>General</c:formatCode>
                  <c:ptCount val="1"/>
                  <c:pt idx="0">
                    <c:v>2.0510402238864045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Summary'!$BH$37</c:f>
              <c:numCache>
                <c:formatCode>General</c:formatCode>
                <c:ptCount val="1"/>
                <c:pt idx="0">
                  <c:v>20.106000000000002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38-D34A-8B5D-CF313B14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B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(upper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8E6-EE40-A43E-216FBFFA2A80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(Both)'!$BI$15</c:f>
                <c:numCache>
                  <c:formatCode>General</c:formatCode>
                  <c:ptCount val="1"/>
                  <c:pt idx="0">
                    <c:v>3.29304565104463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(Both)'!$BI$14</c:f>
              <c:numCache>
                <c:formatCode>General</c:formatCode>
                <c:ptCount val="1"/>
                <c:pt idx="0">
                  <c:v>16.771428571428569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6-EE40-A43E-216FBFFA2A80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(Both)'!$BI$27</c:f>
                <c:numCache>
                  <c:formatCode>General</c:formatCode>
                  <c:ptCount val="1"/>
                  <c:pt idx="0">
                    <c:v>2.9965251193545472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(Both)'!$BI$26</c:f>
              <c:numCache>
                <c:formatCode>0.0000000</c:formatCode>
                <c:ptCount val="1"/>
                <c:pt idx="0">
                  <c:v>19.652082916666668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6-EE40-A43E-216FBFFA2A80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(Both)'!$BI$40</c:f>
                <c:numCache>
                  <c:formatCode>General</c:formatCode>
                  <c:ptCount val="1"/>
                  <c:pt idx="0">
                    <c:v>1.4873835071764832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(Both)'!$BI$39</c:f>
              <c:numCache>
                <c:formatCode>General</c:formatCode>
                <c:ptCount val="1"/>
                <c:pt idx="0">
                  <c:v>16.996250000000003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6-EE40-A43E-216FBFFA2A80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8E6-EE40-A43E-216FBFFA2A80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Summary'!$BI$14</c:f>
                <c:numCache>
                  <c:formatCode>General</c:formatCode>
                  <c:ptCount val="1"/>
                  <c:pt idx="0">
                    <c:v>2.3372464757563294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Summary'!$BI$13</c:f>
              <c:numCache>
                <c:formatCode>General</c:formatCode>
                <c:ptCount val="1"/>
                <c:pt idx="0">
                  <c:v>13.77142857142857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6-EE40-A43E-216FBFFA2A80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Summary'!$BI$25</c:f>
                <c:numCache>
                  <c:formatCode>General</c:formatCode>
                  <c:ptCount val="1"/>
                  <c:pt idx="0">
                    <c:v>2.3439641706591883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Summary'!$BI$24</c:f>
              <c:numCache>
                <c:formatCode>General</c:formatCode>
                <c:ptCount val="1"/>
                <c:pt idx="0">
                  <c:v>15.116667999999999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E6-EE40-A43E-216FBFFA2A80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Summary'!$BI$38</c:f>
                <c:numCache>
                  <c:formatCode>General</c:formatCode>
                  <c:ptCount val="1"/>
                  <c:pt idx="0">
                    <c:v>2.175599687442523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Summary'!$BI$37</c:f>
              <c:numCache>
                <c:formatCode>General</c:formatCode>
                <c:ptCount val="1"/>
                <c:pt idx="0">
                  <c:v>17.818000000000001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E6-EE40-A43E-216FBFFA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(lower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D40-784A-9DEB-10AD0D28298B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(Both)'!$BJ$15</c:f>
                <c:numCache>
                  <c:formatCode>General</c:formatCode>
                  <c:ptCount val="1"/>
                  <c:pt idx="0">
                    <c:v>1.3409645562217831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(Both)'!$BJ$14</c:f>
              <c:numCache>
                <c:formatCode>General</c:formatCode>
                <c:ptCount val="1"/>
                <c:pt idx="0">
                  <c:v>8.3904761904761909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0-784A-9DEB-10AD0D28298B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(Both)'!$BJ$27</c:f>
                <c:numCache>
                  <c:formatCode>General</c:formatCode>
                  <c:ptCount val="1"/>
                  <c:pt idx="0">
                    <c:v>1.3728401145649589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(Both)'!$BJ$26</c:f>
              <c:numCache>
                <c:formatCode>0.0000000</c:formatCode>
                <c:ptCount val="1"/>
                <c:pt idx="0">
                  <c:v>11.9625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0-784A-9DEB-10AD0D28298B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(Both)'!$BJ$40</c:f>
                <c:numCache>
                  <c:formatCode>General</c:formatCode>
                  <c:ptCount val="1"/>
                  <c:pt idx="0">
                    <c:v>1.1676825326969376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(Both)'!$BJ$39</c:f>
              <c:numCache>
                <c:formatCode>General</c:formatCode>
                <c:ptCount val="1"/>
                <c:pt idx="0">
                  <c:v>10.575595238095238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0-784A-9DEB-10AD0D28298B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D40-784A-9DEB-10AD0D28298B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Summary'!$BJ$14</c:f>
                <c:numCache>
                  <c:formatCode>General</c:formatCode>
                  <c:ptCount val="1"/>
                  <c:pt idx="0">
                    <c:v>1.3963265703826107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Summary'!$BJ$13</c:f>
              <c:numCache>
                <c:formatCode>General</c:formatCode>
                <c:ptCount val="1"/>
                <c:pt idx="0">
                  <c:v>7.2857142857142856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40-784A-9DEB-10AD0D28298B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Summary'!$BJ$25</c:f>
                <c:numCache>
                  <c:formatCode>General</c:formatCode>
                  <c:ptCount val="1"/>
                  <c:pt idx="0">
                    <c:v>1.4374978260853111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Summary'!$BJ$24</c:f>
              <c:numCache>
                <c:formatCode>General</c:formatCode>
                <c:ptCount val="1"/>
                <c:pt idx="0">
                  <c:v>7.5200000000000005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0-784A-9DEB-10AD0D28298B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Summary'!$BJ$38</c:f>
                <c:numCache>
                  <c:formatCode>General</c:formatCode>
                  <c:ptCount val="1"/>
                  <c:pt idx="0">
                    <c:v>1.4919450392021822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Summary'!$BJ$37</c:f>
              <c:numCache>
                <c:formatCode>General</c:formatCode>
                <c:ptCount val="1"/>
                <c:pt idx="0">
                  <c:v>8.4700000000000006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40-784A-9DEB-10AD0D28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(upper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12A-3C49-82BF-26CAB4054FF6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(Both)'!$BK$15</c:f>
                <c:numCache>
                  <c:formatCode>General</c:formatCode>
                  <c:ptCount val="1"/>
                  <c:pt idx="0">
                    <c:v>1.403963184070014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(Both)'!$BK$14</c:f>
              <c:numCache>
                <c:formatCode>General</c:formatCode>
                <c:ptCount val="1"/>
                <c:pt idx="0">
                  <c:v>12.066667999999998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A-3C49-82BF-26CAB4054FF6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(Both)'!$BK$27</c:f>
                <c:numCache>
                  <c:formatCode>General</c:formatCode>
                  <c:ptCount val="1"/>
                  <c:pt idx="0">
                    <c:v>2.62702025726868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(Both)'!$BK$26</c:f>
              <c:numCache>
                <c:formatCode>0.0000000</c:formatCode>
                <c:ptCount val="1"/>
                <c:pt idx="0">
                  <c:v>11.22222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A-3C49-82BF-26CAB4054FF6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(Both)'!$BK$40</c:f>
                <c:numCache>
                  <c:formatCode>0.0000000</c:formatCode>
                  <c:ptCount val="1"/>
                  <c:pt idx="0">
                    <c:v>5.8290117325133073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(Both)'!$BK$39</c:f>
              <c:numCache>
                <c:formatCode>General</c:formatCode>
                <c:ptCount val="1"/>
                <c:pt idx="0">
                  <c:v>19.803333333333331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A-3C49-82BF-26CAB4054FF6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12A-3C49-82BF-26CAB4054FF6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Summary'!$BL$14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Summary'!$BK$13</c:f>
              <c:numCache>
                <c:formatCode>General</c:formatCode>
                <c:ptCount val="1"/>
                <c:pt idx="0">
                  <c:v>9.0952385714285704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A-3C49-82BF-26CAB4054FF6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Summary'!$BK$25</c:f>
                <c:numCache>
                  <c:formatCode>General</c:formatCode>
                  <c:ptCount val="1"/>
                  <c:pt idx="0">
                    <c:v>2.3247453385026944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Summary'!$BK$24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A-3C49-82BF-26CAB4054FF6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Summary'!$BK$38</c:f>
                <c:numCache>
                  <c:formatCode>General</c:formatCode>
                  <c:ptCount val="1"/>
                  <c:pt idx="0">
                    <c:v>1.2489995996796805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Summary'!$BK$37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A-3C49-82BF-26CAB405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(lower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71B-3F4C-A2F8-B8C28FBCC1A5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(Both)'!$BL$15</c:f>
                <c:numCache>
                  <c:formatCode>General</c:formatCode>
                  <c:ptCount val="1"/>
                  <c:pt idx="0">
                    <c:v>1.0022198472510908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(Both)'!$BL$14</c:f>
              <c:numCache>
                <c:formatCode>General</c:formatCode>
                <c:ptCount val="1"/>
                <c:pt idx="0">
                  <c:v>5.0666679999999999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B-3F4C-A2F8-B8C28FBCC1A5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(Both)'!$BL$27</c:f>
                <c:numCache>
                  <c:formatCode>General</c:formatCode>
                  <c:ptCount val="1"/>
                  <c:pt idx="0">
                    <c:v>1.7320508075688765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(Both)'!$BL$26</c:f>
              <c:numCache>
                <c:formatCode>0.0000000</c:formatCode>
                <c:ptCount val="1"/>
                <c:pt idx="0">
                  <c:v>5.6666699999999999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B-3F4C-A2F8-B8C28FBCC1A5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(Both)'!$BL$40</c:f>
                <c:numCache>
                  <c:formatCode>General</c:formatCode>
                  <c:ptCount val="1"/>
                  <c:pt idx="0">
                    <c:v>2.057206844242935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(Both)'!$BL$39</c:f>
              <c:numCache>
                <c:formatCode>General</c:formatCode>
                <c:ptCount val="1"/>
                <c:pt idx="0">
                  <c:v>10.780000000000001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B-3F4C-A2F8-B8C28FBCC1A5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71B-3F4C-A2F8-B8C28FBCC1A5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Summary'!$BL$14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Summary'!$BL$13</c:f>
              <c:numCache>
                <c:formatCode>General</c:formatCode>
                <c:ptCount val="1"/>
                <c:pt idx="0">
                  <c:v>4.8095228571428574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1B-3F4C-A2F8-B8C28FBCC1A5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Summary'!$BL$25</c:f>
                <c:numCache>
                  <c:formatCode>General</c:formatCode>
                  <c:ptCount val="1"/>
                  <c:pt idx="0">
                    <c:v>1.5405620835701495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Summary'!$BL$24</c:f>
              <c:numCache>
                <c:formatCode>General</c:formatCode>
                <c:ptCount val="1"/>
                <c:pt idx="0">
                  <c:v>6.1333320000000002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1B-3F4C-A2F8-B8C28FBCC1A5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Summary'!$BL$38</c:f>
                <c:numCache>
                  <c:formatCode>General</c:formatCode>
                  <c:ptCount val="1"/>
                  <c:pt idx="0">
                    <c:v>0.96464812237416486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Summary'!$BL$37</c:f>
              <c:numCache>
                <c:formatCode>General</c:formatCode>
                <c:ptCount val="1"/>
                <c:pt idx="0">
                  <c:v>4.9659999999999993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1B-3F4C-A2F8-B8C28FBC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  OIP discrimination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71F-B948-A6AC-E4D17CA95FA4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(Both)'!$BM$15</c:f>
                <c:numCache>
                  <c:formatCode>General</c:formatCode>
                  <c:ptCount val="1"/>
                  <c:pt idx="0">
                    <c:v>0.10685024711549325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(Both)'!$BM$14</c:f>
              <c:numCache>
                <c:formatCode>General</c:formatCode>
                <c:ptCount val="1"/>
                <c:pt idx="0">
                  <c:v>0.17444444444444446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F-B948-A6AC-E4D17CA95FA4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(Both)'!$BM$27</c:f>
                <c:numCache>
                  <c:formatCode>General</c:formatCode>
                  <c:ptCount val="1"/>
                  <c:pt idx="0">
                    <c:v>7.3855067141169101E-2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(Both)'!$BM$26</c:f>
              <c:numCache>
                <c:formatCode>0.0000000</c:formatCode>
                <c:ptCount val="1"/>
                <c:pt idx="0">
                  <c:v>0.14714180686025974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F-B948-A6AC-E4D17CA95FA4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(Both)'!$BM$40</c:f>
                <c:numCache>
                  <c:formatCode>0.0000000</c:formatCode>
                  <c:ptCount val="1"/>
                  <c:pt idx="0">
                    <c:v>5.0189962225965501E-2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(Both)'!$BM$39</c:f>
              <c:numCache>
                <c:formatCode>General</c:formatCode>
                <c:ptCount val="1"/>
                <c:pt idx="0">
                  <c:v>0.32293032473356637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F-B948-A6AC-E4D17CA95FA4}"/>
            </c:ext>
          </c:extLst>
        </c:ser>
        <c:ser>
          <c:idx val="3"/>
          <c:order val="3"/>
          <c:invertIfNegative val="0"/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1F-B948-A6AC-E4D17CA95FA4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Summary'!$BM$14</c:f>
                <c:numCache>
                  <c:formatCode>General</c:formatCode>
                  <c:ptCount val="1"/>
                  <c:pt idx="0">
                    <c:v>4.7582165776685698E-2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Summary'!$BM$13</c:f>
              <c:numCache>
                <c:formatCode>General</c:formatCode>
                <c:ptCount val="1"/>
                <c:pt idx="0">
                  <c:v>0.10375000000000001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F-B948-A6AC-E4D17CA95FA4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Summary'!$BM$25</c:f>
                <c:numCache>
                  <c:formatCode>General</c:formatCode>
                  <c:ptCount val="1"/>
                  <c:pt idx="0">
                    <c:v>9.5634721728041855E-2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Summary'!$BM$24</c:f>
              <c:numCache>
                <c:formatCode>General</c:formatCode>
                <c:ptCount val="1"/>
                <c:pt idx="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F-B948-A6AC-E4D17CA95FA4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Summary'!$BM$38</c:f>
                <c:numCache>
                  <c:formatCode>General</c:formatCode>
                  <c:ptCount val="1"/>
                  <c:pt idx="0">
                    <c:v>6.8731361109758346E-2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Summary'!$BM$37</c:f>
              <c:numCache>
                <c:formatCode>General</c:formatCode>
                <c:ptCount val="1"/>
                <c:pt idx="0">
                  <c:v>5.7999999999999996E-2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F-B948-A6AC-E4D17CA95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Discrimination ratio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(repositioned:unmoved)</a:t>
                </a:r>
              </a:p>
            </c:rich>
          </c:tx>
          <c:layout>
            <c:manualLayout>
              <c:xMode val="edge"/>
              <c:yMode val="edge"/>
              <c:x val="7.3814667807811207E-4"/>
              <c:y val="0.231597590251998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B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duration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98-F04D-8DE8-461F3F203F3D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(Both)'!$BN$15</c:f>
                <c:numCache>
                  <c:formatCode>General</c:formatCode>
                  <c:ptCount val="1"/>
                  <c:pt idx="0">
                    <c:v>2.1633980242780089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(Both)'!$BN$14</c:f>
              <c:numCache>
                <c:formatCode>General</c:formatCode>
                <c:ptCount val="1"/>
                <c:pt idx="0">
                  <c:v>13.010406771467169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8-F04D-8DE8-461F3F203F3D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(Both)'!$BN$27</c:f>
                <c:numCache>
                  <c:formatCode>General</c:formatCode>
                  <c:ptCount val="1"/>
                  <c:pt idx="0">
                    <c:v>2.5926614282301301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(Both)'!$BN$26</c:f>
              <c:numCache>
                <c:formatCode>0.0000000</c:formatCode>
                <c:ptCount val="1"/>
                <c:pt idx="0">
                  <c:v>14.856942628333334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8-F04D-8DE8-461F3F203F3D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(Both)'!$BN$40</c:f>
                <c:numCache>
                  <c:formatCode>General</c:formatCode>
                  <c:ptCount val="1"/>
                  <c:pt idx="0">
                    <c:v>2.1060309358140681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(Both)'!$BN$39</c:f>
              <c:numCache>
                <c:formatCode>General</c:formatCode>
                <c:ptCount val="1"/>
                <c:pt idx="0">
                  <c:v>16.824900943333333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8-F04D-8DE8-461F3F203F3D}"/>
            </c:ext>
          </c:extLst>
        </c:ser>
        <c:ser>
          <c:idx val="3"/>
          <c:order val="3"/>
          <c:invertIfNegative val="0"/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3898-F04D-8DE8-461F3F203F3D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Summary'!$BN$14</c:f>
                <c:numCache>
                  <c:formatCode>General</c:formatCode>
                  <c:ptCount val="1"/>
                  <c:pt idx="0">
                    <c:v>1.0389478574205642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Summary'!$BN$13</c:f>
              <c:numCache>
                <c:formatCode>General</c:formatCode>
                <c:ptCount val="1"/>
                <c:pt idx="0">
                  <c:v>13.032405146256659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8-F04D-8DE8-461F3F203F3D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Summary'!$BN$25</c:f>
                <c:numCache>
                  <c:formatCode>General</c:formatCode>
                  <c:ptCount val="1"/>
                  <c:pt idx="0">
                    <c:v>1.1301389997319606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Summary'!$BN$24</c:f>
              <c:numCache>
                <c:formatCode>General</c:formatCode>
                <c:ptCount val="1"/>
                <c:pt idx="0">
                  <c:v>10.821350337206733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98-F04D-8DE8-461F3F203F3D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Summary'!$BN$38</c:f>
                <c:numCache>
                  <c:formatCode>General</c:formatCode>
                  <c:ptCount val="1"/>
                  <c:pt idx="0">
                    <c:v>0.91605885608535109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Summary'!$BN$37</c:f>
              <c:numCache>
                <c:formatCode>General</c:formatCode>
                <c:ptCount val="1"/>
                <c:pt idx="0">
                  <c:v>8.4124201245978174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98-F04D-8DE8-461F3F20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Duration in inner zone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(%-total)</a:t>
                </a:r>
              </a:p>
            </c:rich>
          </c:tx>
          <c:layout>
            <c:manualLayout>
              <c:xMode val="edge"/>
              <c:yMode val="edge"/>
              <c:x val="1.5195982224375595E-2"/>
              <c:y val="0.24001864567547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D  Weight gain (loxTB-GHSR)</a:t>
            </a:r>
          </a:p>
        </c:rich>
      </c:tx>
      <c:layout>
        <c:manualLayout>
          <c:xMode val="edge"/>
          <c:yMode val="edge"/>
          <c:x val="9.3984962406015032E-3"/>
          <c:y val="3.9583333333333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74649113281"/>
          <c:y val="0.17778333139696076"/>
          <c:w val="0.7619287717167329"/>
          <c:h val="0.6416867117609053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C5DBF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plus>
            <c:min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Chart'!$H$57:$H$78</c:f>
              <c:numCache>
                <c:formatCode>General</c:formatCode>
                <c:ptCount val="22"/>
                <c:pt idx="0">
                  <c:v>1.1842378929335002E-15</c:v>
                </c:pt>
                <c:pt idx="1">
                  <c:v>0.17333333333333437</c:v>
                </c:pt>
                <c:pt idx="2">
                  <c:v>0.46333333333333393</c:v>
                </c:pt>
                <c:pt idx="3">
                  <c:v>0.5777777777777785</c:v>
                </c:pt>
                <c:pt idx="4">
                  <c:v>0.71444444444444521</c:v>
                </c:pt>
                <c:pt idx="5">
                  <c:v>1.0000000000000004</c:v>
                </c:pt>
                <c:pt idx="6">
                  <c:v>1.0111111111111117</c:v>
                </c:pt>
                <c:pt idx="7">
                  <c:v>0.98444444444444479</c:v>
                </c:pt>
                <c:pt idx="8">
                  <c:v>1.2844444444444452</c:v>
                </c:pt>
                <c:pt idx="9">
                  <c:v>1.5622222222222228</c:v>
                </c:pt>
                <c:pt idx="10">
                  <c:v>1.7588888888888892</c:v>
                </c:pt>
                <c:pt idx="11">
                  <c:v>1.8944444444444448</c:v>
                </c:pt>
                <c:pt idx="12">
                  <c:v>1.953333333333334</c:v>
                </c:pt>
                <c:pt idx="13">
                  <c:v>2.1277777777777782</c:v>
                </c:pt>
                <c:pt idx="14">
                  <c:v>2.1822222222222227</c:v>
                </c:pt>
                <c:pt idx="15">
                  <c:v>2.476666666666667</c:v>
                </c:pt>
                <c:pt idx="16">
                  <c:v>2.6611111111111114</c:v>
                </c:pt>
                <c:pt idx="17">
                  <c:v>2.6400000000000006</c:v>
                </c:pt>
                <c:pt idx="18">
                  <c:v>2.8900000000000006</c:v>
                </c:pt>
                <c:pt idx="19">
                  <c:v>2.8911111111111119</c:v>
                </c:pt>
                <c:pt idx="20">
                  <c:v>3.1211111111111114</c:v>
                </c:pt>
                <c:pt idx="21">
                  <c:v>3.2744444444444447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AD41-83D1-E0B8377A97DE}"/>
            </c:ext>
          </c:extLst>
        </c:ser>
        <c:ser>
          <c:idx val="3"/>
          <c:order val="1"/>
          <c:tx>
            <c:strRef>
              <c:f>'(HOM) Growth Chart'!$D$56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6C94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marker>
              <c:spPr>
                <a:solidFill>
                  <a:srgbClr val="36C94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62-AD41-83D1-E0B8377A97D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plus>
            <c:min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Chart'!$J$57:$J$78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0.35374999999999845</c:v>
                </c:pt>
                <c:pt idx="2">
                  <c:v>0.83999999999999986</c:v>
                </c:pt>
                <c:pt idx="3">
                  <c:v>1.4112499999999994</c:v>
                </c:pt>
                <c:pt idx="4">
                  <c:v>1.4462499999999996</c:v>
                </c:pt>
                <c:pt idx="5">
                  <c:v>1.7512499999999998</c:v>
                </c:pt>
                <c:pt idx="6">
                  <c:v>1.8062499999999995</c:v>
                </c:pt>
                <c:pt idx="7">
                  <c:v>1.9862499999999996</c:v>
                </c:pt>
                <c:pt idx="8">
                  <c:v>2.1087499999999997</c:v>
                </c:pt>
                <c:pt idx="9">
                  <c:v>2.3412499999999992</c:v>
                </c:pt>
                <c:pt idx="10">
                  <c:v>2.5274999999999994</c:v>
                </c:pt>
                <c:pt idx="11">
                  <c:v>2.5462500000000001</c:v>
                </c:pt>
                <c:pt idx="12">
                  <c:v>2.69</c:v>
                </c:pt>
                <c:pt idx="13">
                  <c:v>2.7462499999999994</c:v>
                </c:pt>
                <c:pt idx="14">
                  <c:v>2.6987499999999995</c:v>
                </c:pt>
                <c:pt idx="15">
                  <c:v>3.0087499999999996</c:v>
                </c:pt>
                <c:pt idx="16">
                  <c:v>3.2224999999999993</c:v>
                </c:pt>
                <c:pt idx="17">
                  <c:v>3.2487499999999998</c:v>
                </c:pt>
                <c:pt idx="18">
                  <c:v>3.3837499999999991</c:v>
                </c:pt>
                <c:pt idx="19">
                  <c:v>3.274999999999999</c:v>
                </c:pt>
                <c:pt idx="20">
                  <c:v>3.4549999999999996</c:v>
                </c:pt>
                <c:pt idx="21">
                  <c:v>3.4512499999999986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AD41-83D1-E0B8377A97DE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E8115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plus>
            <c:min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Chart'!$L$57:$L$78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-1.26125</c:v>
                </c:pt>
                <c:pt idx="2">
                  <c:v>-1.0362500000000006</c:v>
                </c:pt>
                <c:pt idx="3">
                  <c:v>-0.27625000000000033</c:v>
                </c:pt>
                <c:pt idx="4">
                  <c:v>0.2099999999999993</c:v>
                </c:pt>
                <c:pt idx="5">
                  <c:v>0.86375000000000002</c:v>
                </c:pt>
                <c:pt idx="6">
                  <c:v>0.98999999999999977</c:v>
                </c:pt>
                <c:pt idx="7">
                  <c:v>1.2024999999999997</c:v>
                </c:pt>
                <c:pt idx="8">
                  <c:v>1.3362500000000002</c:v>
                </c:pt>
                <c:pt idx="9">
                  <c:v>1.5387499999999998</c:v>
                </c:pt>
                <c:pt idx="10">
                  <c:v>1.4324999999999997</c:v>
                </c:pt>
                <c:pt idx="11">
                  <c:v>1.6637499999999998</c:v>
                </c:pt>
                <c:pt idx="12">
                  <c:v>1.8399999999999994</c:v>
                </c:pt>
                <c:pt idx="13">
                  <c:v>1.9837500000000006</c:v>
                </c:pt>
                <c:pt idx="14">
                  <c:v>2.1887500000000002</c:v>
                </c:pt>
                <c:pt idx="15">
                  <c:v>2.5425</c:v>
                </c:pt>
                <c:pt idx="16">
                  <c:v>2.7162500000000001</c:v>
                </c:pt>
                <c:pt idx="17">
                  <c:v>2.87</c:v>
                </c:pt>
                <c:pt idx="18">
                  <c:v>3.1512499999999997</c:v>
                </c:pt>
                <c:pt idx="19">
                  <c:v>3.1950000000000003</c:v>
                </c:pt>
                <c:pt idx="20">
                  <c:v>3.4012500000000006</c:v>
                </c:pt>
                <c:pt idx="21">
                  <c:v>3.6012499999999998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2-AD41-83D1-E0B8377A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0477195067597682"/>
              <c:y val="0.7709037388341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</c:valAx>
      <c:valAx>
        <c:axId val="1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1764647840072622E-2"/>
              <c:y val="0.2398648293963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555791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546800071043751"/>
          <c:y val="0.17778324584426947"/>
          <c:w val="0.23058374282162097"/>
          <c:h val="0.155560367454068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entries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3B-024D-B5A1-6FB74F125FBE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(Both)'!$BO$15</c:f>
                <c:numCache>
                  <c:formatCode>General</c:formatCode>
                  <c:ptCount val="1"/>
                  <c:pt idx="0">
                    <c:v>5.6515484603779171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(Both)'!$BO$14</c:f>
              <c:numCache>
                <c:formatCode>General</c:formatCode>
                <c:ptCount val="1"/>
                <c:pt idx="0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B-024D-B5A1-6FB74F125FBE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(Both)'!$BO$27</c:f>
                <c:numCache>
                  <c:formatCode>General</c:formatCode>
                  <c:ptCount val="1"/>
                  <c:pt idx="0">
                    <c:v>7.6666666666666705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(Both)'!$BO$26</c:f>
              <c:numCache>
                <c:formatCode>0.0000000</c:formatCode>
                <c:ptCount val="1"/>
                <c:pt idx="0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B-024D-B5A1-6FB74F125FBE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(Both)'!$BO$40</c:f>
                <c:numCache>
                  <c:formatCode>General</c:formatCode>
                  <c:ptCount val="1"/>
                  <c:pt idx="0">
                    <c:v>7.9372539331937721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(Both)'!$BO$39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B-024D-B5A1-6FB74F125FBE}"/>
            </c:ext>
          </c:extLst>
        </c:ser>
        <c:ser>
          <c:idx val="3"/>
          <c:order val="3"/>
          <c:invertIfNegative val="0"/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03B-024D-B5A1-6FB74F125FBE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Summary'!$BO$14</c:f>
                <c:numCache>
                  <c:formatCode>General</c:formatCode>
                  <c:ptCount val="1"/>
                  <c:pt idx="0">
                    <c:v>2.598076211353316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Summary'!$BO$13</c:f>
              <c:numCache>
                <c:formatCode>General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B-024D-B5A1-6FB74F125FBE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Summary'!$BO$25</c:f>
                <c:numCache>
                  <c:formatCode>General</c:formatCode>
                  <c:ptCount val="1"/>
                  <c:pt idx="0">
                    <c:v>5.9782940710540498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Summary'!$BO$24</c:f>
              <c:numCache>
                <c:formatCode>General</c:formatCode>
                <c:ptCount val="1"/>
                <c:pt idx="0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B-024D-B5A1-6FB74F125FBE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Summary'!$BO$38</c:f>
                <c:numCache>
                  <c:formatCode>General</c:formatCode>
                  <c:ptCount val="1"/>
                  <c:pt idx="0">
                    <c:v>1.0770329614269007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Summary'!$BO$37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B-024D-B5A1-6FB74F12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entry frequency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(events/session)</a:t>
                </a:r>
              </a:p>
            </c:rich>
          </c:tx>
          <c:layout>
            <c:manualLayout>
              <c:xMode val="edge"/>
              <c:yMode val="edge"/>
              <c:x val="1.5195982224375595E-2"/>
              <c:y val="0.183536571417014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movement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817109971990502"/>
          <c:y val="0.21213798993385494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90B-4442-A0E9-F0FB71BBC9BD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(Both)'!$BP$15</c:f>
                <c:numCache>
                  <c:formatCode>General</c:formatCode>
                  <c:ptCount val="1"/>
                  <c:pt idx="0">
                    <c:v>0.24912695177567284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(Both)'!$BP$14</c:f>
              <c:numCache>
                <c:formatCode>General</c:formatCode>
                <c:ptCount val="1"/>
                <c:pt idx="0">
                  <c:v>3.9586712000000004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442-A0E9-F0FB71BBC9BD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(Both)'!$BP$27</c:f>
                <c:numCache>
                  <c:formatCode>General</c:formatCode>
                  <c:ptCount val="1"/>
                  <c:pt idx="0">
                    <c:v>1.6294860036254104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(Both)'!$BP$26</c:f>
              <c:numCache>
                <c:formatCode>0.0000000</c:formatCode>
                <c:ptCount val="1"/>
                <c:pt idx="0">
                  <c:v>5.3277633333333334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442-A0E9-F0FB71BBC9BD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(Both)'!$BP$40</c:f>
                <c:numCache>
                  <c:formatCode>0.0000000</c:formatCode>
                  <c:ptCount val="1"/>
                  <c:pt idx="0">
                    <c:v>0.53731457378460723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(Both)'!$BP$39</c:f>
              <c:numCache>
                <c:formatCode>General</c:formatCode>
                <c:ptCount val="1"/>
                <c:pt idx="0">
                  <c:v>3.4274079999999998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442-A0E9-F0FB71BBC9BD}"/>
            </c:ext>
          </c:extLst>
        </c:ser>
        <c:ser>
          <c:idx val="3"/>
          <c:order val="3"/>
          <c:invertIfNegative val="0"/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790B-4442-A0E9-F0FB71BBC9BD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Summary'!$BP$14</c:f>
                <c:numCache>
                  <c:formatCode>General</c:formatCode>
                  <c:ptCount val="1"/>
                  <c:pt idx="0">
                    <c:v>0.39441736735042837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Summary'!$BP$13</c:f>
              <c:numCache>
                <c:formatCode>General</c:formatCode>
                <c:ptCount val="1"/>
                <c:pt idx="0">
                  <c:v>3.1417929999999998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442-A0E9-F0FB71BBC9BD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Summary'!$BP$25</c:f>
                <c:numCache>
                  <c:formatCode>General</c:formatCode>
                  <c:ptCount val="1"/>
                  <c:pt idx="0">
                    <c:v>1.8210867373263693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Summary'!$BP$24</c:f>
              <c:numCache>
                <c:formatCode>General</c:formatCode>
                <c:ptCount val="1"/>
                <c:pt idx="0">
                  <c:v>6.226604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442-A0E9-F0FB71BBC9BD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Summary'!$BP$38</c:f>
                <c:numCache>
                  <c:formatCode>General</c:formatCode>
                  <c:ptCount val="1"/>
                  <c:pt idx="0">
                    <c:v>1.6482258502067169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Summary'!$BP$37</c:f>
              <c:numCache>
                <c:formatCode>General</c:formatCode>
                <c:ptCount val="1"/>
                <c:pt idx="0">
                  <c:v>6.9657344000000005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B-4442-A0E9-F0FB71BB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movement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(movement:stationary ratio)</a:t>
                </a:r>
              </a:p>
            </c:rich>
          </c:tx>
          <c:layout>
            <c:manualLayout>
              <c:xMode val="edge"/>
              <c:yMode val="edge"/>
              <c:x val="1.5195985684234879E-2"/>
              <c:y val="0.242483959381337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6CF-6247-A77C-20DF670EDF14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(Both)'!$BR$15</c:f>
                <c:numCache>
                  <c:formatCode>General</c:formatCode>
                  <c:ptCount val="1"/>
                  <c:pt idx="0">
                    <c:v>0.32383360649944892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(Both)'!$BR$14</c:f>
              <c:numCache>
                <c:formatCode>General</c:formatCode>
                <c:ptCount val="1"/>
                <c:pt idx="0">
                  <c:v>0.9223808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F-6247-A77C-20DF670EDF14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(Both)'!$BR$27</c:f>
                <c:numCache>
                  <c:formatCode>General</c:formatCode>
                  <c:ptCount val="1"/>
                  <c:pt idx="0">
                    <c:v>0.28474810332014705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(Both)'!$BR$26</c:f>
              <c:numCache>
                <c:formatCode>0.0000000</c:formatCode>
                <c:ptCount val="1"/>
                <c:pt idx="0">
                  <c:v>0.57539676666666673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F-6247-A77C-20DF670EDF14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(Both)'!$BR$40</c:f>
                <c:numCache>
                  <c:formatCode>0.0000000</c:formatCode>
                  <c:ptCount val="1"/>
                  <c:pt idx="0">
                    <c:v>0.21724150719648411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(Both)'!$BR$39</c:f>
              <c:numCache>
                <c:formatCode>General</c:formatCode>
                <c:ptCount val="1"/>
                <c:pt idx="0">
                  <c:v>1.392857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F-6247-A77C-20DF670EDF14}"/>
            </c:ext>
          </c:extLst>
        </c:ser>
        <c:ser>
          <c:idx val="3"/>
          <c:order val="3"/>
          <c:invertIfNegative val="0"/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6CF-6247-A77C-20DF670EDF14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Summary'!$BR$14</c:f>
                <c:numCache>
                  <c:formatCode>General</c:formatCode>
                  <c:ptCount val="1"/>
                  <c:pt idx="0">
                    <c:v>9.8866457627702714E-2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Summary'!$BR$13</c:f>
              <c:numCache>
                <c:formatCode>General</c:formatCode>
                <c:ptCount val="1"/>
                <c:pt idx="0">
                  <c:v>0.55867357142857144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F-6247-A77C-20DF670EDF14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Summary'!$BR$25</c:f>
                <c:numCache>
                  <c:formatCode>General</c:formatCode>
                  <c:ptCount val="1"/>
                  <c:pt idx="0">
                    <c:v>9.1298799643478312E-2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Summary'!$BR$24</c:f>
              <c:numCache>
                <c:formatCode>General</c:formatCode>
                <c:ptCount val="1"/>
                <c:pt idx="0">
                  <c:v>0.59285719999999997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F-6247-A77C-20DF670EDF14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Summary'!$BR$38</c:f>
                <c:numCache>
                  <c:formatCode>General</c:formatCode>
                  <c:ptCount val="1"/>
                  <c:pt idx="0">
                    <c:v>0.19704447312157727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Summary'!$BR$37</c:f>
              <c:numCache>
                <c:formatCode>General</c:formatCode>
                <c:ptCount val="1"/>
                <c:pt idx="0">
                  <c:v>0.5071426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CF-6247-A77C-20DF670E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(upper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031994006501"/>
          <c:y val="0.21213798993385494"/>
          <c:w val="0.64969801702651286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203-C548-A371-9B5A80E67AAE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(Both)'!$BS$15</c:f>
                <c:numCache>
                  <c:formatCode>General</c:formatCode>
                  <c:ptCount val="1"/>
                  <c:pt idx="0">
                    <c:v>0.35483235478180397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(Both)'!$BS$14</c:f>
              <c:numCache>
                <c:formatCode>General</c:formatCode>
                <c:ptCount val="1"/>
                <c:pt idx="0">
                  <c:v>0.71599999999999997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C548-A371-9B5A80E67AAE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(Both)'!$BS$27</c:f>
                <c:numCache>
                  <c:formatCode>General</c:formatCode>
                  <c:ptCount val="1"/>
                  <c:pt idx="0">
                    <c:v>0.12108061542671118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(Both)'!$BS$26</c:f>
              <c:numCache>
                <c:formatCode>0.0000000</c:formatCode>
                <c:ptCount val="1"/>
                <c:pt idx="0">
                  <c:v>0.4722223333333333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3-C548-A371-9B5A80E67AAE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(Both)'!$BS$40</c:f>
                <c:numCache>
                  <c:formatCode>General</c:formatCode>
                  <c:ptCount val="1"/>
                  <c:pt idx="0">
                    <c:v>0.21702534414210706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(Both)'!$BS$39</c:f>
              <c:numCache>
                <c:formatCode>General</c:formatCode>
                <c:ptCount val="1"/>
                <c:pt idx="0">
                  <c:v>0.36000000000000004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3-C548-A371-9B5A80E67AAE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203-C548-A371-9B5A80E67AAE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Summary'!$BS$14</c:f>
                <c:numCache>
                  <c:formatCode>General</c:formatCode>
                  <c:ptCount val="1"/>
                  <c:pt idx="0">
                    <c:v>9.6157467226426901E-2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Summary'!$BS$13</c:f>
              <c:numCache>
                <c:formatCode>General</c:formatCode>
                <c:ptCount val="1"/>
                <c:pt idx="0">
                  <c:v>0.45285714285714285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3-C548-A371-9B5A80E67AAE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Summary'!$BS$25</c:f>
                <c:numCache>
                  <c:formatCode>General</c:formatCode>
                  <c:ptCount val="1"/>
                  <c:pt idx="0">
                    <c:v>0.18333327272729302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Summary'!$BS$24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03-C548-A371-9B5A80E67AAE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Summary'!$BS$38</c:f>
                <c:numCache>
                  <c:formatCode>General</c:formatCode>
                  <c:ptCount val="1"/>
                  <c:pt idx="0">
                    <c:v>6.1237243569579443E-2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Summary'!$BS$37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3-C548-A371-9B5A80E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(lower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8407843349482"/>
          <c:y val="0.22055904535732962"/>
          <c:w val="0.65235479641067062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766-7A48-8949-A9CE0BD956AF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(Both)'!$BT$15</c:f>
                <c:numCache>
                  <c:formatCode>General</c:formatCode>
                  <c:ptCount val="1"/>
                  <c:pt idx="0">
                    <c:v>0.18371173070873836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(Both)'!$BT$14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6-7A48-8949-A9CE0BD956AF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(Both)'!$BT$27</c:f>
                <c:numCache>
                  <c:formatCode>General</c:formatCode>
                  <c:ptCount val="1"/>
                  <c:pt idx="0">
                    <c:v>6.666666666666668E-2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(Both)'!$BT$26</c:f>
              <c:numCache>
                <c:formatCode>0.0000000</c:formatCode>
                <c:ptCount val="1"/>
                <c:pt idx="0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6-7A48-8949-A9CE0BD956AF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(Both)'!$BT$40</c:f>
                <c:numCache>
                  <c:formatCode>General</c:formatCode>
                  <c:ptCount val="1"/>
                  <c:pt idx="0">
                    <c:v>0.33291640592396982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(Both)'!$BT$39</c:f>
              <c:numCache>
                <c:formatCode>General</c:formatCode>
                <c:ptCount val="1"/>
                <c:pt idx="0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6-7A48-8949-A9CE0BD956AF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766-7A48-8949-A9CE0BD956AF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Summary'!$BT$14</c:f>
                <c:numCache>
                  <c:formatCode>General</c:formatCode>
                  <c:ptCount val="1"/>
                  <c:pt idx="0">
                    <c:v>8.8255966632622113E-2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Summary'!$BT$13</c:f>
              <c:numCache>
                <c:formatCode>General</c:formatCode>
                <c:ptCount val="1"/>
                <c:pt idx="0">
                  <c:v>0.29285714285714282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6-7A48-8949-A9CE0BD956AF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Summary'!$BT$25</c:f>
                <c:numCache>
                  <c:formatCode>General</c:formatCode>
                  <c:ptCount val="1"/>
                  <c:pt idx="0">
                    <c:v>8.7177978870813494E-2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Summary'!$BT$24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66-7A48-8949-A9CE0BD956AF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Summary'!$BT$38</c:f>
                <c:numCache>
                  <c:formatCode>General</c:formatCode>
                  <c:ptCount val="1"/>
                  <c:pt idx="0">
                    <c:v>0.30331501776206204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Summary'!$BT$37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66-7A48-8949-A9CE0BD9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(upper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56266694428808"/>
          <c:y val="0.21213798993385494"/>
          <c:w val="0.63881096225538614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5B3-4F4D-A9E3-56E8BB52DF25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(Both)'!$BU$15</c:f>
                <c:numCache>
                  <c:formatCode>General</c:formatCode>
                  <c:ptCount val="1"/>
                  <c:pt idx="0">
                    <c:v>0.19436509174463401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(Both)'!$BU$14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3-4F4D-A9E3-56E8BB52DF25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(Both)'!$BU$27</c:f>
                <c:numCache>
                  <c:formatCode>General</c:formatCode>
                  <c:ptCount val="1"/>
                  <c:pt idx="0">
                    <c:v>0.44444443333333333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(Both)'!$BU$26</c:f>
              <c:numCache>
                <c:formatCode>0.0000000</c:formatCode>
                <c:ptCount val="1"/>
                <c:pt idx="0">
                  <c:v>0.44444443333333333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3-4F4D-A9E3-56E8BB52DF25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(Both)'!$BU$40</c:f>
                <c:numCache>
                  <c:formatCode>0.0000000</c:formatCode>
                  <c:ptCount val="1"/>
                  <c:pt idx="0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(Both)'!$BU$39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3-4F4D-A9E3-56E8BB52DF25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5B3-4F4D-A9E3-56E8BB52DF25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Summary'!$BU$14</c:f>
                <c:numCache>
                  <c:formatCode>General</c:formatCode>
                  <c:ptCount val="1"/>
                  <c:pt idx="0">
                    <c:v>6.734323359719617E-2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Summary'!$BU$13</c:f>
              <c:numCache>
                <c:formatCode>General</c:formatCode>
                <c:ptCount val="1"/>
                <c:pt idx="0">
                  <c:v>0.14285657142857142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B3-4F4D-A9E3-56E8BB52DF25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Summary'!$BU$25</c:f>
                <c:numCache>
                  <c:formatCode>General</c:formatCode>
                  <c:ptCount val="1"/>
                  <c:pt idx="0">
                    <c:v>0.13333339999999999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Summary'!$BU$24</c:f>
              <c:numCache>
                <c:formatCode>General</c:formatCode>
                <c:ptCount val="1"/>
                <c:pt idx="0">
                  <c:v>0.13333339999999999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B3-4F4D-A9E3-56E8BB52DF25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Summary'!$BU$38</c:f>
                <c:numCache>
                  <c:formatCode>General</c:formatCode>
                  <c:ptCount val="1"/>
                  <c:pt idx="0">
                    <c:v>0.1856232744027537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Summary'!$BU$37</c:f>
              <c:numCache>
                <c:formatCode>General</c:formatCode>
                <c:ptCount val="1"/>
                <c:pt idx="0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B3-4F4D-A9E3-56E8BB52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(lower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4122168652"/>
          <c:y val="0.21213798993385494"/>
          <c:w val="0.6551261591988623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30-3E4D-AE38-4720A27D71C8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(Both)'!$BV$15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(Both)'!$BV$14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0-3E4D-AE38-4720A27D71C8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(Both)'!$BV$27</c:f>
                <c:numCache>
                  <c:formatCode>General</c:formatCode>
                  <c:ptCount val="1"/>
                  <c:pt idx="0">
                    <c:v>0.22222333333333336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(Both)'!$BV$26</c:f>
              <c:numCache>
                <c:formatCode>0.0000000</c:formatCode>
                <c:ptCount val="1"/>
                <c:pt idx="0">
                  <c:v>0.22222333333333333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0-3E4D-AE38-4720A27D71C8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(Both)'!$BV$40</c:f>
                <c:numCache>
                  <c:formatCode>General</c:formatCode>
                  <c:ptCount val="1"/>
                  <c:pt idx="0">
                    <c:v>0.41666666666666669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(Both)'!$BV$39</c:f>
              <c:numCache>
                <c:formatCode>General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0-3E4D-AE38-4720A27D71C8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'Data Summary (Both)'!$D$114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430-3E4D-AE38-4720A27D71C8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Summary'!$BV$14</c:f>
                <c:numCache>
                  <c:formatCode>General</c:formatCode>
                  <c:ptCount val="1"/>
                  <c:pt idx="0">
                    <c:v>0.11983914641554087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Summary'!$BV$13</c:f>
              <c:numCache>
                <c:formatCode>General</c:formatCode>
                <c:ptCount val="1"/>
                <c:pt idx="0">
                  <c:v>0.23809571428571427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0-3E4D-AE38-4720A27D71C8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Summary'!$BV$25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Summary'!$BV$24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30-3E4D-AE38-4720A27D71C8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Summary'!$BV$38</c:f>
                <c:numCache>
                  <c:formatCode>General</c:formatCode>
                  <c:ptCount val="1"/>
                  <c:pt idx="0">
                    <c:v>6.6000000000000003E-2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Summary'!$BV$37</c:f>
              <c:numCache>
                <c:formatCode>General</c:formatCode>
                <c:ptCount val="1"/>
                <c:pt idx="0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30-3E4D-AE38-4720A27D7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O  Proliferative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95247643432467"/>
          <c:y val="0.17785631692287382"/>
          <c:w val="0.68610499513139467"/>
          <c:h val="0.76357204341499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(Both)'!$S$15</c:f>
                <c:numCache>
                  <c:formatCode>General</c:formatCode>
                  <c:ptCount val="1"/>
                  <c:pt idx="0">
                    <c:v>1.5864459380280527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(Both)'!$S$14</c:f>
              <c:numCache>
                <c:formatCode>General</c:formatCode>
                <c:ptCount val="1"/>
                <c:pt idx="0">
                  <c:v>40.049999999999997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4-124C-8902-FF71CE00834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(Both)'!$S$27</c:f>
                <c:numCache>
                  <c:formatCode>General</c:formatCode>
                  <c:ptCount val="1"/>
                  <c:pt idx="0">
                    <c:v>1.4084959049588015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(Both)'!$S$26</c:f>
              <c:numCache>
                <c:formatCode>General</c:formatCode>
                <c:ptCount val="1"/>
                <c:pt idx="0">
                  <c:v>39.565000000000005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4-124C-8902-FF71CE00834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(Both)'!$T$40</c:f>
                <c:numCache>
                  <c:formatCode>General</c:formatCode>
                  <c:ptCount val="1"/>
                  <c:pt idx="0">
                    <c:v>2.3896643144413003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(Both)'!$S$39</c:f>
              <c:numCache>
                <c:formatCode>General</c:formatCode>
                <c:ptCount val="1"/>
                <c:pt idx="0">
                  <c:v>45.66375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4-124C-8902-FF71CE008340}"/>
            </c:ext>
          </c:extLst>
        </c:ser>
        <c:ser>
          <c:idx val="3"/>
          <c:order val="3"/>
          <c:invertIfNegative val="0"/>
          <c:val>
            <c:numRef>
              <c:f>'Data Summary (Both)'!$K$94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4C4-124C-8902-FF71CE008340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(Both)'!$S$40</c:f>
                <c:numCache>
                  <c:formatCode>General</c:formatCode>
                  <c:ptCount val="1"/>
                  <c:pt idx="0">
                    <c:v>1.4818628930938826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(Both)'!$S$51</c:f>
              <c:numCache>
                <c:formatCode>General</c:formatCode>
                <c:ptCount val="1"/>
                <c:pt idx="0">
                  <c:v>44.063333333333333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C4-124C-8902-FF71CE008340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(Both)'!$S$63</c:f>
                <c:numCache>
                  <c:formatCode>General</c:formatCode>
                  <c:ptCount val="1"/>
                  <c:pt idx="0">
                    <c:v>1.555877922946113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(Both)'!$S$62</c:f>
              <c:numCache>
                <c:formatCode>General</c:formatCode>
                <c:ptCount val="1"/>
                <c:pt idx="0">
                  <c:v>46.538333333333334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C4-124C-8902-FF71CE008340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(Both)'!$S$76</c:f>
                <c:numCache>
                  <c:formatCode>General</c:formatCode>
                  <c:ptCount val="1"/>
                  <c:pt idx="0">
                    <c:v>1.5398121406754228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(Both)'!$S$75</c:f>
              <c:numCache>
                <c:formatCode>General</c:formatCode>
                <c:ptCount val="1"/>
                <c:pt idx="0">
                  <c:v>44.129999999999995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4-124C-8902-FF71CE00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Proliferative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4999163659072831E-2"/>
              <c:y val="0.20413945523184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M  Growth Rate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60936874416123"/>
          <c:y val="0.16614995463454588"/>
          <c:w val="0.68399546243160281"/>
          <c:h val="0.775278457633370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(Both)'!$Q$15</c:f>
                <c:numCache>
                  <c:formatCode>General</c:formatCode>
                  <c:ptCount val="1"/>
                  <c:pt idx="0">
                    <c:v>1.9557711645829847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(Both)'!$Q$14</c:f>
              <c:numCache>
                <c:formatCode>General</c:formatCode>
                <c:ptCount val="1"/>
                <c:pt idx="0">
                  <c:v>82.241249999999994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3-4F42-9E47-E44A1A37A39E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(Both)'!$Q$27</c:f>
                <c:numCache>
                  <c:formatCode>General</c:formatCode>
                  <c:ptCount val="1"/>
                  <c:pt idx="0">
                    <c:v>1.3502631191998942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(Both)'!$Q$26</c:f>
              <c:numCache>
                <c:formatCode>General</c:formatCode>
                <c:ptCount val="1"/>
                <c:pt idx="0">
                  <c:v>79.576249999999987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3-4F42-9E47-E44A1A37A39E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(Both)'!$Q$40</c:f>
                <c:numCache>
                  <c:formatCode>General</c:formatCode>
                  <c:ptCount val="1"/>
                  <c:pt idx="0">
                    <c:v>3.2305444794846228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(Both)'!$Q$39</c:f>
              <c:numCache>
                <c:formatCode>General</c:formatCode>
                <c:ptCount val="1"/>
                <c:pt idx="0">
                  <c:v>93.433750000000003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3-4F42-9E47-E44A1A37A39E}"/>
            </c:ext>
          </c:extLst>
        </c:ser>
        <c:ser>
          <c:idx val="3"/>
          <c:order val="3"/>
          <c:invertIfNegative val="0"/>
          <c:val>
            <c:numRef>
              <c:f>'Data Summary (Both)'!$R$94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06E3-4F42-9E47-E44A1A37A39E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(Both)'!$Q$52</c:f>
                <c:numCache>
                  <c:formatCode>General</c:formatCode>
                  <c:ptCount val="1"/>
                  <c:pt idx="0">
                    <c:v>1.3087525867532539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(Both)'!$Q$51</c:f>
              <c:numCache>
                <c:formatCode>General</c:formatCode>
                <c:ptCount val="1"/>
                <c:pt idx="0">
                  <c:v>83.723333333333343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3-4F42-9E47-E44A1A37A39E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(Both)'!$Q$63</c:f>
                <c:numCache>
                  <c:formatCode>General</c:formatCode>
                  <c:ptCount val="1"/>
                  <c:pt idx="0">
                    <c:v>3.2424452364089538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(Both)'!$Q$62</c:f>
              <c:numCache>
                <c:formatCode>General</c:formatCode>
                <c:ptCount val="1"/>
                <c:pt idx="0">
                  <c:v>88.046666666666667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3-4F42-9E47-E44A1A37A39E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(Both)'!$Q$76</c:f>
                <c:numCache>
                  <c:formatCode>General</c:formatCode>
                  <c:ptCount val="1"/>
                  <c:pt idx="0">
                    <c:v>3.0294317816453398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(Both)'!$Q$75</c:f>
              <c:numCache>
                <c:formatCode>General</c:formatCode>
                <c:ptCount val="1"/>
                <c:pt idx="0">
                  <c:v>87.436250000000001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3-4F42-9E47-E44A1A37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epiphyseal plate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width (µm)</a:t>
                </a:r>
              </a:p>
            </c:rich>
          </c:tx>
          <c:layout>
            <c:manualLayout>
              <c:xMode val="edge"/>
              <c:yMode val="edge"/>
              <c:x val="1.7878286400640594E-2"/>
              <c:y val="0.22737002065079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Tibial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853633530183729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(Both)'!$P$15</c:f>
                <c:numCache>
                  <c:formatCode>General</c:formatCode>
                  <c:ptCount val="1"/>
                  <c:pt idx="0">
                    <c:v>6.075240662487618E-2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(Both)'!$P$14</c:f>
              <c:numCache>
                <c:formatCode>General</c:formatCode>
                <c:ptCount val="1"/>
                <c:pt idx="0">
                  <c:v>17.106375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6-0947-ADCD-6A53E86D1B2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(Both)'!$P$27</c:f>
                <c:numCache>
                  <c:formatCode>General</c:formatCode>
                  <c:ptCount val="1"/>
                  <c:pt idx="0">
                    <c:v>9.0320807205680531E-2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(Both)'!$P$26</c:f>
              <c:numCache>
                <c:formatCode>General</c:formatCode>
                <c:ptCount val="1"/>
                <c:pt idx="0">
                  <c:v>17.11675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6-0947-ADCD-6A53E86D1B2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(Both)'!$P$40</c:f>
                <c:numCache>
                  <c:formatCode>General</c:formatCode>
                  <c:ptCount val="1"/>
                  <c:pt idx="0">
                    <c:v>0.17485089949317217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(Both)'!$P$39</c:f>
              <c:numCache>
                <c:formatCode>General</c:formatCode>
                <c:ptCount val="1"/>
                <c:pt idx="0">
                  <c:v>16.931125000000002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6-0947-ADCD-6A53E86D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"/>
          <c:min val="1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length (mm)</a:t>
                </a:r>
              </a:p>
            </c:rich>
          </c:tx>
          <c:layout>
            <c:manualLayout>
              <c:xMode val="edge"/>
              <c:yMode val="edge"/>
              <c:x val="1.7495488845144357E-2"/>
              <c:y val="0.3380254168596572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Cumulative food intake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07736258625885"/>
          <c:y val="0.16484022991006553"/>
          <c:w val="0.61906712701984545"/>
          <c:h val="0.65111890814475892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intake'!$C$92:$C$121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0.16440096888835079</c:v>
                  </c:pt>
                  <c:pt idx="2">
                    <c:v>0.29785542993683456</c:v>
                  </c:pt>
                  <c:pt idx="3">
                    <c:v>0.42881871585954395</c:v>
                  </c:pt>
                  <c:pt idx="4">
                    <c:v>0.70853722555699161</c:v>
                  </c:pt>
                  <c:pt idx="5">
                    <c:v>1.0328288779228796</c:v>
                  </c:pt>
                  <c:pt idx="6">
                    <c:v>1.1133178173818992</c:v>
                  </c:pt>
                  <c:pt idx="7">
                    <c:v>1.2253336826875183</c:v>
                  </c:pt>
                  <c:pt idx="8">
                    <c:v>1.2695355590586186</c:v>
                  </c:pt>
                  <c:pt idx="9">
                    <c:v>1.2908161178107436</c:v>
                  </c:pt>
                  <c:pt idx="10">
                    <c:v>1.3174392605950156</c:v>
                  </c:pt>
                  <c:pt idx="11">
                    <c:v>1.3227804016810316</c:v>
                  </c:pt>
                  <c:pt idx="12">
                    <c:v>1.4866369044639944</c:v>
                  </c:pt>
                  <c:pt idx="13">
                    <c:v>1.5908746471225055</c:v>
                  </c:pt>
                  <c:pt idx="14">
                    <c:v>1.8378878963753118</c:v>
                  </c:pt>
                  <c:pt idx="15">
                    <c:v>1.8952194911521121</c:v>
                  </c:pt>
                  <c:pt idx="16">
                    <c:v>1.8425428857191644</c:v>
                  </c:pt>
                  <c:pt idx="17">
                    <c:v>1.9863839521495232</c:v>
                  </c:pt>
                  <c:pt idx="18">
                    <c:v>2.2734876743358776</c:v>
                  </c:pt>
                  <c:pt idx="19">
                    <c:v>2.4360953828382241</c:v>
                  </c:pt>
                  <c:pt idx="20">
                    <c:v>2.5712381935974489</c:v>
                  </c:pt>
                  <c:pt idx="21">
                    <c:v>2.7954776936534973</c:v>
                  </c:pt>
                </c:numCache>
              </c:numRef>
            </c:plus>
            <c:minus>
              <c:numRef>
                <c:f>'(WT) Food intake'!$C$92:$C$121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0.16440096888835079</c:v>
                  </c:pt>
                  <c:pt idx="2">
                    <c:v>0.29785542993683456</c:v>
                  </c:pt>
                  <c:pt idx="3">
                    <c:v>0.42881871585954395</c:v>
                  </c:pt>
                  <c:pt idx="4">
                    <c:v>0.70853722555699161</c:v>
                  </c:pt>
                  <c:pt idx="5">
                    <c:v>1.0328288779228796</c:v>
                  </c:pt>
                  <c:pt idx="6">
                    <c:v>1.1133178173818992</c:v>
                  </c:pt>
                  <c:pt idx="7">
                    <c:v>1.2253336826875183</c:v>
                  </c:pt>
                  <c:pt idx="8">
                    <c:v>1.2695355590586186</c:v>
                  </c:pt>
                  <c:pt idx="9">
                    <c:v>1.2908161178107436</c:v>
                  </c:pt>
                  <c:pt idx="10">
                    <c:v>1.3174392605950156</c:v>
                  </c:pt>
                  <c:pt idx="11">
                    <c:v>1.3227804016810316</c:v>
                  </c:pt>
                  <c:pt idx="12">
                    <c:v>1.4866369044639944</c:v>
                  </c:pt>
                  <c:pt idx="13">
                    <c:v>1.5908746471225055</c:v>
                  </c:pt>
                  <c:pt idx="14">
                    <c:v>1.8378878963753118</c:v>
                  </c:pt>
                  <c:pt idx="15">
                    <c:v>1.8952194911521121</c:v>
                  </c:pt>
                  <c:pt idx="16">
                    <c:v>1.8425428857191644</c:v>
                  </c:pt>
                  <c:pt idx="17">
                    <c:v>1.9863839521495232</c:v>
                  </c:pt>
                  <c:pt idx="18">
                    <c:v>2.2734876743358776</c:v>
                  </c:pt>
                  <c:pt idx="19">
                    <c:v>2.4360953828382241</c:v>
                  </c:pt>
                  <c:pt idx="20">
                    <c:v>2.5712381935974489</c:v>
                  </c:pt>
                  <c:pt idx="21">
                    <c:v>2.7954776936534973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intake'!$B$92:$B$121</c:f>
              <c:numCache>
                <c:formatCode>General</c:formatCode>
                <c:ptCount val="30"/>
                <c:pt idx="0">
                  <c:v>0</c:v>
                </c:pt>
                <c:pt idx="1">
                  <c:v>3.5975000000000019</c:v>
                </c:pt>
                <c:pt idx="2">
                  <c:v>7.5650000000000013</c:v>
                </c:pt>
                <c:pt idx="3">
                  <c:v>11.483749999999999</c:v>
                </c:pt>
                <c:pt idx="4">
                  <c:v>15.484999999999996</c:v>
                </c:pt>
                <c:pt idx="5">
                  <c:v>19.493749999999991</c:v>
                </c:pt>
                <c:pt idx="6">
                  <c:v>23.931249999999991</c:v>
                </c:pt>
                <c:pt idx="7">
                  <c:v>28.796249999999993</c:v>
                </c:pt>
                <c:pt idx="8">
                  <c:v>32.952499999999986</c:v>
                </c:pt>
                <c:pt idx="9">
                  <c:v>37.507499999999993</c:v>
                </c:pt>
                <c:pt idx="10">
                  <c:v>41.873749999999987</c:v>
                </c:pt>
                <c:pt idx="11">
                  <c:v>46.738749999999982</c:v>
                </c:pt>
                <c:pt idx="12">
                  <c:v>51.249999999999986</c:v>
                </c:pt>
                <c:pt idx="13">
                  <c:v>56.374999999999993</c:v>
                </c:pt>
                <c:pt idx="14">
                  <c:v>60.216249999999988</c:v>
                </c:pt>
                <c:pt idx="15">
                  <c:v>64.113749999999982</c:v>
                </c:pt>
                <c:pt idx="16">
                  <c:v>67.629999999999981</c:v>
                </c:pt>
                <c:pt idx="17">
                  <c:v>71.683749999999975</c:v>
                </c:pt>
                <c:pt idx="18">
                  <c:v>75.953749999999985</c:v>
                </c:pt>
                <c:pt idx="19">
                  <c:v>80.489999999999981</c:v>
                </c:pt>
                <c:pt idx="20">
                  <c:v>84.261249999999976</c:v>
                </c:pt>
                <c:pt idx="21">
                  <c:v>88.207499999999968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7-4E54-B120-BBFA6E7292C6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intake'!$E$92:$E$121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0.21414280949203751</c:v>
                  </c:pt>
                  <c:pt idx="2">
                    <c:v>0.15401762422343032</c:v>
                  </c:pt>
                  <c:pt idx="3">
                    <c:v>0.34436795105568485</c:v>
                  </c:pt>
                  <c:pt idx="4">
                    <c:v>0.57470800039176062</c:v>
                  </c:pt>
                  <c:pt idx="5">
                    <c:v>0.85876039710903795</c:v>
                  </c:pt>
                  <c:pt idx="6">
                    <c:v>1.2933922038025376</c:v>
                  </c:pt>
                  <c:pt idx="7">
                    <c:v>1.6696168829148501</c:v>
                  </c:pt>
                  <c:pt idx="8">
                    <c:v>1.6911333240294513</c:v>
                  </c:pt>
                  <c:pt idx="9">
                    <c:v>1.7021682560086355</c:v>
                  </c:pt>
                  <c:pt idx="10">
                    <c:v>1.7514827742464696</c:v>
                  </c:pt>
                  <c:pt idx="11">
                    <c:v>1.7781734042809185</c:v>
                  </c:pt>
                  <c:pt idx="12">
                    <c:v>2.2096298473952634</c:v>
                  </c:pt>
                  <c:pt idx="13">
                    <c:v>2.4180297007953939</c:v>
                  </c:pt>
                  <c:pt idx="14">
                    <c:v>2.8127234831844414</c:v>
                  </c:pt>
                  <c:pt idx="15">
                    <c:v>3.0512977332838074</c:v>
                  </c:pt>
                  <c:pt idx="16">
                    <c:v>3.3420598532192702</c:v>
                  </c:pt>
                  <c:pt idx="17">
                    <c:v>3.3669962967755023</c:v>
                  </c:pt>
                  <c:pt idx="18">
                    <c:v>3.5015756657335197</c:v>
                  </c:pt>
                  <c:pt idx="19">
                    <c:v>3.476606891771147</c:v>
                  </c:pt>
                  <c:pt idx="20">
                    <c:v>3.5088535660831228</c:v>
                  </c:pt>
                  <c:pt idx="21">
                    <c:v>3.5320269056874234</c:v>
                  </c:pt>
                </c:numCache>
              </c:numRef>
            </c:plus>
            <c:minus>
              <c:numRef>
                <c:f>'(WT) Food intake'!$E$92:$E$121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0.21414280949203751</c:v>
                  </c:pt>
                  <c:pt idx="2">
                    <c:v>0.15401762422343032</c:v>
                  </c:pt>
                  <c:pt idx="3">
                    <c:v>0.34436795105568485</c:v>
                  </c:pt>
                  <c:pt idx="4">
                    <c:v>0.57470800039176062</c:v>
                  </c:pt>
                  <c:pt idx="5">
                    <c:v>0.85876039710903795</c:v>
                  </c:pt>
                  <c:pt idx="6">
                    <c:v>1.2933922038025376</c:v>
                  </c:pt>
                  <c:pt idx="7">
                    <c:v>1.6696168829148501</c:v>
                  </c:pt>
                  <c:pt idx="8">
                    <c:v>1.6911333240294513</c:v>
                  </c:pt>
                  <c:pt idx="9">
                    <c:v>1.7021682560086355</c:v>
                  </c:pt>
                  <c:pt idx="10">
                    <c:v>1.7514827742464696</c:v>
                  </c:pt>
                  <c:pt idx="11">
                    <c:v>1.7781734042809185</c:v>
                  </c:pt>
                  <c:pt idx="12">
                    <c:v>2.2096298473952634</c:v>
                  </c:pt>
                  <c:pt idx="13">
                    <c:v>2.4180297007953939</c:v>
                  </c:pt>
                  <c:pt idx="14">
                    <c:v>2.8127234831844414</c:v>
                  </c:pt>
                  <c:pt idx="15">
                    <c:v>3.0512977332838074</c:v>
                  </c:pt>
                  <c:pt idx="16">
                    <c:v>3.3420598532192702</c:v>
                  </c:pt>
                  <c:pt idx="17">
                    <c:v>3.3669962967755023</c:v>
                  </c:pt>
                  <c:pt idx="18">
                    <c:v>3.5015756657335197</c:v>
                  </c:pt>
                  <c:pt idx="19">
                    <c:v>3.476606891771147</c:v>
                  </c:pt>
                  <c:pt idx="20">
                    <c:v>3.5088535660831228</c:v>
                  </c:pt>
                  <c:pt idx="21">
                    <c:v>3.5320269056874234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intake'!$A$92:$A$113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intake'!$D$92:$D$113</c:f>
              <c:numCache>
                <c:formatCode>General</c:formatCode>
                <c:ptCount val="22"/>
                <c:pt idx="0">
                  <c:v>0</c:v>
                </c:pt>
                <c:pt idx="1">
                  <c:v>4.0449999999999946</c:v>
                </c:pt>
                <c:pt idx="2">
                  <c:v>8.6750000000000043</c:v>
                </c:pt>
                <c:pt idx="3">
                  <c:v>13.604999999999997</c:v>
                </c:pt>
                <c:pt idx="4">
                  <c:v>18.369999999999997</c:v>
                </c:pt>
                <c:pt idx="5">
                  <c:v>23.098749999999992</c:v>
                </c:pt>
                <c:pt idx="6">
                  <c:v>27.877499999999976</c:v>
                </c:pt>
                <c:pt idx="7">
                  <c:v>32.14749999999998</c:v>
                </c:pt>
                <c:pt idx="8">
                  <c:v>36.316249999999975</c:v>
                </c:pt>
                <c:pt idx="9">
                  <c:v>40.500937499999971</c:v>
                </c:pt>
                <c:pt idx="10">
                  <c:v>44.87312499999998</c:v>
                </c:pt>
                <c:pt idx="11">
                  <c:v>48.661562499999995</c:v>
                </c:pt>
                <c:pt idx="12">
                  <c:v>52.383749999999985</c:v>
                </c:pt>
                <c:pt idx="13">
                  <c:v>56.363749999999982</c:v>
                </c:pt>
                <c:pt idx="14">
                  <c:v>59.657499999999978</c:v>
                </c:pt>
                <c:pt idx="15">
                  <c:v>63.754999999999995</c:v>
                </c:pt>
                <c:pt idx="16">
                  <c:v>68.296250000000001</c:v>
                </c:pt>
                <c:pt idx="17">
                  <c:v>72.016250000000014</c:v>
                </c:pt>
                <c:pt idx="18">
                  <c:v>75.800000000000026</c:v>
                </c:pt>
                <c:pt idx="19">
                  <c:v>79.616875000000007</c:v>
                </c:pt>
                <c:pt idx="20">
                  <c:v>83.206250000000011</c:v>
                </c:pt>
                <c:pt idx="21">
                  <c:v>87.133750000000006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7-4E54-B120-BBFA6E7292C6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intake'!$G$92:$G$113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0.33147364417961467</c:v>
                  </c:pt>
                  <c:pt idx="2">
                    <c:v>0.48572639822081759</c:v>
                  </c:pt>
                  <c:pt idx="3">
                    <c:v>0.64660031262419415</c:v>
                  </c:pt>
                  <c:pt idx="4">
                    <c:v>0.80010880956458319</c:v>
                  </c:pt>
                  <c:pt idx="5">
                    <c:v>0.9993283458689376</c:v>
                  </c:pt>
                  <c:pt idx="6">
                    <c:v>1.1258853658978201</c:v>
                  </c:pt>
                  <c:pt idx="7">
                    <c:v>1.1815772411424146</c:v>
                  </c:pt>
                  <c:pt idx="8">
                    <c:v>1.4478308898881347</c:v>
                  </c:pt>
                  <c:pt idx="9">
                    <c:v>1.6257295065820099</c:v>
                  </c:pt>
                  <c:pt idx="10">
                    <c:v>1.6357556139507696</c:v>
                  </c:pt>
                  <c:pt idx="11">
                    <c:v>1.8738900881588594</c:v>
                  </c:pt>
                  <c:pt idx="12">
                    <c:v>2.1555060310748404</c:v>
                  </c:pt>
                  <c:pt idx="13">
                    <c:v>2.2094157149208655</c:v>
                  </c:pt>
                  <c:pt idx="14">
                    <c:v>2.1279708225041096</c:v>
                  </c:pt>
                  <c:pt idx="15">
                    <c:v>2.1315904106022301</c:v>
                  </c:pt>
                  <c:pt idx="16">
                    <c:v>2.2104810703781181</c:v>
                  </c:pt>
                  <c:pt idx="17">
                    <c:v>2.1976061956300095</c:v>
                  </c:pt>
                  <c:pt idx="18">
                    <c:v>2.3444463251327732</c:v>
                  </c:pt>
                  <c:pt idx="19">
                    <c:v>2.3216280752185199</c:v>
                  </c:pt>
                  <c:pt idx="20">
                    <c:v>2.4248736620256555</c:v>
                  </c:pt>
                  <c:pt idx="21">
                    <c:v>2.4561453085649743</c:v>
                  </c:pt>
                </c:numCache>
              </c:numRef>
            </c:plus>
            <c:minus>
              <c:numRef>
                <c:f>'(WT) Food intake'!$G$92:$G$113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0.33147364417961467</c:v>
                  </c:pt>
                  <c:pt idx="2">
                    <c:v>0.48572639822081759</c:v>
                  </c:pt>
                  <c:pt idx="3">
                    <c:v>0.64660031262419415</c:v>
                  </c:pt>
                  <c:pt idx="4">
                    <c:v>0.80010880956458319</c:v>
                  </c:pt>
                  <c:pt idx="5">
                    <c:v>0.9993283458689376</c:v>
                  </c:pt>
                  <c:pt idx="6">
                    <c:v>1.1258853658978201</c:v>
                  </c:pt>
                  <c:pt idx="7">
                    <c:v>1.1815772411424146</c:v>
                  </c:pt>
                  <c:pt idx="8">
                    <c:v>1.4478308898881347</c:v>
                  </c:pt>
                  <c:pt idx="9">
                    <c:v>1.6257295065820099</c:v>
                  </c:pt>
                  <c:pt idx="10">
                    <c:v>1.6357556139507696</c:v>
                  </c:pt>
                  <c:pt idx="11">
                    <c:v>1.8738900881588594</c:v>
                  </c:pt>
                  <c:pt idx="12">
                    <c:v>2.1555060310748404</c:v>
                  </c:pt>
                  <c:pt idx="13">
                    <c:v>2.2094157149208655</c:v>
                  </c:pt>
                  <c:pt idx="14">
                    <c:v>2.1279708225041096</c:v>
                  </c:pt>
                  <c:pt idx="15">
                    <c:v>2.1315904106022301</c:v>
                  </c:pt>
                  <c:pt idx="16">
                    <c:v>2.2104810703781181</c:v>
                  </c:pt>
                  <c:pt idx="17">
                    <c:v>2.1976061956300095</c:v>
                  </c:pt>
                  <c:pt idx="18">
                    <c:v>2.3444463251327732</c:v>
                  </c:pt>
                  <c:pt idx="19">
                    <c:v>2.3216280752185199</c:v>
                  </c:pt>
                  <c:pt idx="20">
                    <c:v>2.4248736620256555</c:v>
                  </c:pt>
                  <c:pt idx="21">
                    <c:v>2.4561453085649743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intake'!$F$92:$F$113</c:f>
              <c:numCache>
                <c:formatCode>General</c:formatCode>
                <c:ptCount val="22"/>
                <c:pt idx="0">
                  <c:v>0</c:v>
                </c:pt>
                <c:pt idx="1">
                  <c:v>2.4437499999999979</c:v>
                </c:pt>
                <c:pt idx="2">
                  <c:v>5.858749999999997</c:v>
                </c:pt>
                <c:pt idx="3">
                  <c:v>9.5124999999999922</c:v>
                </c:pt>
                <c:pt idx="4">
                  <c:v>13.357499999999991</c:v>
                </c:pt>
                <c:pt idx="5">
                  <c:v>17.589999999999996</c:v>
                </c:pt>
                <c:pt idx="6">
                  <c:v>21.684999999999995</c:v>
                </c:pt>
                <c:pt idx="7">
                  <c:v>25.343749999999996</c:v>
                </c:pt>
                <c:pt idx="8">
                  <c:v>29.409999999999993</c:v>
                </c:pt>
                <c:pt idx="9">
                  <c:v>33.414999999999992</c:v>
                </c:pt>
                <c:pt idx="10">
                  <c:v>37.239999999999981</c:v>
                </c:pt>
                <c:pt idx="11">
                  <c:v>40.853749999999998</c:v>
                </c:pt>
                <c:pt idx="12">
                  <c:v>44.627499999999991</c:v>
                </c:pt>
                <c:pt idx="13">
                  <c:v>48.621874999999996</c:v>
                </c:pt>
                <c:pt idx="14">
                  <c:v>51.86249999999999</c:v>
                </c:pt>
                <c:pt idx="15">
                  <c:v>55.597499999999982</c:v>
                </c:pt>
                <c:pt idx="16">
                  <c:v>59.81124999999998</c:v>
                </c:pt>
                <c:pt idx="17">
                  <c:v>63.591249999999981</c:v>
                </c:pt>
                <c:pt idx="18">
                  <c:v>67.239999999999995</c:v>
                </c:pt>
                <c:pt idx="19">
                  <c:v>70.726250000000007</c:v>
                </c:pt>
                <c:pt idx="20">
                  <c:v>74.328749999999999</c:v>
                </c:pt>
                <c:pt idx="21">
                  <c:v>78.126250000000013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7-4E54-B120-BBFA6E729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6660746355"/>
              <c:y val="0.91818183784719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Cumulative F/I (g)</a:t>
                </a:r>
              </a:p>
            </c:rich>
          </c:tx>
          <c:layout>
            <c:manualLayout>
              <c:xMode val="edge"/>
              <c:yMode val="edge"/>
              <c:x val="2.6315789473684209E-2"/>
              <c:y val="0.26260513108938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66004239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053302547707853"/>
          <c:y val="0.22802890023362465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P  Hypertrophic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61169453370835"/>
          <c:y val="0.17374522012051921"/>
          <c:w val="0.68356098612396565"/>
          <c:h val="0.767683093448249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(Both)'!$T$15</c:f>
                <c:numCache>
                  <c:formatCode>General</c:formatCode>
                  <c:ptCount val="1"/>
                  <c:pt idx="0">
                    <c:v>1.8898756927185878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(Both)'!$T$14</c:f>
              <c:numCache>
                <c:formatCode>General</c:formatCode>
                <c:ptCount val="1"/>
                <c:pt idx="0">
                  <c:v>31.168750000000003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D-354D-BB81-97ABEC72E1B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(Both)'!$T$27</c:f>
                <c:numCache>
                  <c:formatCode>General</c:formatCode>
                  <c:ptCount val="1"/>
                  <c:pt idx="0">
                    <c:v>1.6201421895271082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(Both)'!$T$26</c:f>
              <c:numCache>
                <c:formatCode>General</c:formatCode>
                <c:ptCount val="1"/>
                <c:pt idx="0">
                  <c:v>30.720000000000002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D-354D-BB81-97ABEC72E1B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(Both)'!$T$40</c:f>
                <c:numCache>
                  <c:formatCode>General</c:formatCode>
                  <c:ptCount val="1"/>
                  <c:pt idx="0">
                    <c:v>2.3896643144413003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(Both)'!$T$39</c:f>
              <c:numCache>
                <c:formatCode>General</c:formatCode>
                <c:ptCount val="1"/>
                <c:pt idx="0">
                  <c:v>37.437500000000007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D-354D-BB81-97ABEC72E1B2}"/>
            </c:ext>
          </c:extLst>
        </c:ser>
        <c:ser>
          <c:idx val="3"/>
          <c:order val="3"/>
          <c:invertIfNegative val="0"/>
          <c:val>
            <c:numRef>
              <c:f>'Data Summary (Both)'!$R$93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8CD-354D-BB81-97ABEC72E1B2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(Both)'!$T$52</c:f>
                <c:numCache>
                  <c:formatCode>General</c:formatCode>
                  <c:ptCount val="1"/>
                  <c:pt idx="0">
                    <c:v>0.9381005895155291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(Both)'!$T$51</c:f>
              <c:numCache>
                <c:formatCode>General</c:formatCode>
                <c:ptCount val="1"/>
                <c:pt idx="0">
                  <c:v>28.437777777777782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CD-354D-BB81-97ABEC72E1B2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(Both)'!$T$63</c:f>
                <c:numCache>
                  <c:formatCode>General</c:formatCode>
                  <c:ptCount val="1"/>
                  <c:pt idx="0">
                    <c:v>2.1348329364769176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(Both)'!$T$62</c:f>
              <c:numCache>
                <c:formatCode>General</c:formatCode>
                <c:ptCount val="1"/>
                <c:pt idx="0">
                  <c:v>31.034999999999997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CD-354D-BB81-97ABEC72E1B2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(Both)'!$T$76</c:f>
                <c:numCache>
                  <c:formatCode>General</c:formatCode>
                  <c:ptCount val="1"/>
                  <c:pt idx="0">
                    <c:v>2.3109064007131739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(Both)'!$T$75</c:f>
              <c:numCache>
                <c:formatCode>General</c:formatCode>
                <c:ptCount val="1"/>
                <c:pt idx="0">
                  <c:v>33.162500000000001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CD-354D-BB81-97ABEC72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Hypertrophic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1594695404092203E-2"/>
              <c:y val="0.187352257891451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Pituitary Weight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8398950131234"/>
          <c:y val="0.20764358499305238"/>
          <c:w val="0.56057330333708288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(Both)'!$W$15</c:f>
                <c:numCache>
                  <c:formatCode>General</c:formatCode>
                  <c:ptCount val="1"/>
                  <c:pt idx="0">
                    <c:v>0.11895234282663579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(Both)'!$W$14</c:f>
              <c:numCache>
                <c:formatCode>General</c:formatCode>
                <c:ptCount val="1"/>
                <c:pt idx="0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EB4B-A393-6F55B34D6BD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(Both)'!$W$27</c:f>
                <c:numCache>
                  <c:formatCode>General</c:formatCode>
                  <c:ptCount val="1"/>
                  <c:pt idx="0">
                    <c:v>5.9761430466719577E-2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(Both)'!$W$26</c:f>
              <c:numCache>
                <c:formatCode>General</c:formatCode>
                <c:ptCount val="1"/>
                <c:pt idx="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EB4B-A393-6F55B34D6BD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(Both)'!$W$40</c:f>
                <c:numCache>
                  <c:formatCode>General</c:formatCode>
                  <c:ptCount val="1"/>
                  <c:pt idx="0">
                    <c:v>0.11140338543201589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(Both)'!$W$39</c:f>
              <c:numCache>
                <c:formatCode>General</c:formatCode>
                <c:ptCount val="1"/>
                <c:pt idx="0">
                  <c:v>1.175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C-EB4B-A393-6F55B34D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Pituitary weight (mg)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K  Liver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49946686351706"/>
          <c:y val="0.20764358499305238"/>
          <c:w val="0.628132791994750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(Both)'!$Z$15</c:f>
                <c:numCache>
                  <c:formatCode>General</c:formatCode>
                  <c:ptCount val="1"/>
                  <c:pt idx="0">
                    <c:v>0.15787087234645489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(Both)'!$Z$14</c:f>
              <c:numCache>
                <c:formatCode>General</c:formatCode>
                <c:ptCount val="1"/>
                <c:pt idx="0">
                  <c:v>4.839578898342622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5-8C4C-8B91-CBBDB6930CC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(Both)'!$Z$27</c:f>
                <c:numCache>
                  <c:formatCode>General</c:formatCode>
                  <c:ptCount val="1"/>
                  <c:pt idx="0">
                    <c:v>0.25286347443828072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(Both)'!$Z$26</c:f>
              <c:numCache>
                <c:formatCode>General</c:formatCode>
                <c:ptCount val="1"/>
                <c:pt idx="0">
                  <c:v>4.8650815042100195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5-8C4C-8B91-CBBDB6930CC6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(Both)'!$Z$40</c:f>
                <c:numCache>
                  <c:formatCode>General</c:formatCode>
                  <c:ptCount val="1"/>
                  <c:pt idx="0">
                    <c:v>0.21488039826471514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(Both)'!$Z$39</c:f>
              <c:numCache>
                <c:formatCode>General</c:formatCode>
                <c:ptCount val="1"/>
                <c:pt idx="0">
                  <c:v>5.0880375077537803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5-8C4C-8B91-CBBDB693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Liver weight (%-BW)</a:t>
                </a:r>
              </a:p>
            </c:rich>
          </c:tx>
          <c:layout>
            <c:manualLayout>
              <c:xMode val="edge"/>
              <c:yMode val="edge"/>
              <c:x val="8.5203822178477703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L  Kidney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49946686351706"/>
          <c:y val="0.20764358499305238"/>
          <c:w val="0.628132791994750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(Both)'!$AB$15</c:f>
                <c:numCache>
                  <c:formatCode>General</c:formatCode>
                  <c:ptCount val="1"/>
                  <c:pt idx="0">
                    <c:v>2.7989714702839699E-2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(Both)'!$AB$14</c:f>
              <c:numCache>
                <c:formatCode>General</c:formatCode>
                <c:ptCount val="1"/>
                <c:pt idx="0">
                  <c:v>0.63097685018617178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9-084E-AECF-F1A520C149D4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(Both)'!$AB$27</c:f>
                <c:numCache>
                  <c:formatCode>General</c:formatCode>
                  <c:ptCount val="1"/>
                  <c:pt idx="0">
                    <c:v>2.6876229229108855E-2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(Both)'!$AB$26</c:f>
              <c:numCache>
                <c:formatCode>General</c:formatCode>
                <c:ptCount val="1"/>
                <c:pt idx="0">
                  <c:v>0.62371027474229457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9-084E-AECF-F1A520C149D4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(Both)'!$AB$40</c:f>
                <c:numCache>
                  <c:formatCode>General</c:formatCode>
                  <c:ptCount val="1"/>
                  <c:pt idx="0">
                    <c:v>1.8587640217737511E-2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(Both)'!$AB$39</c:f>
              <c:numCache>
                <c:formatCode>General</c:formatCode>
                <c:ptCount val="1"/>
                <c:pt idx="0">
                  <c:v>0.61416467883721892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9-084E-AECF-F1A520C1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Kidney weight (%-BW)</a:t>
                </a:r>
              </a:p>
            </c:rich>
          </c:tx>
          <c:layout>
            <c:manualLayout>
              <c:xMode val="edge"/>
              <c:yMode val="edge"/>
              <c:x val="6.9578822178477703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M  Adrenal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83989501312334"/>
          <c:y val="0.20764358499305238"/>
          <c:w val="0.5798235003233291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(Both)'!$AC$15</c:f>
                <c:numCache>
                  <c:formatCode>General</c:formatCode>
                  <c:ptCount val="1"/>
                  <c:pt idx="0">
                    <c:v>0.18992479714726232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(Both)'!$AC$14</c:f>
              <c:numCache>
                <c:formatCode>General</c:formatCode>
                <c:ptCount val="1"/>
                <c:pt idx="0">
                  <c:v>2.8499999999999996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2C48-8CDC-A1231B0E83BE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(Both)'!$AC$27</c:f>
                <c:numCache>
                  <c:formatCode>General</c:formatCode>
                  <c:ptCount val="1"/>
                  <c:pt idx="0">
                    <c:v>0.21297216451250814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(Both)'!$AC$26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2C48-8CDC-A1231B0E83BE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(Both)'!$AC$40</c:f>
                <c:numCache>
                  <c:formatCode>General</c:formatCode>
                  <c:ptCount val="1"/>
                  <c:pt idx="0">
                    <c:v>0.15555201243130468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(Both)'!$AC$39</c:f>
              <c:numCache>
                <c:formatCode>General</c:formatCode>
                <c:ptCount val="1"/>
                <c:pt idx="0">
                  <c:v>2.6249999999999996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E-2C48-8CDC-A1231B0E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Adrenal weight (µg)</a:t>
                </a:r>
              </a:p>
            </c:rich>
          </c:tx>
          <c:layout>
            <c:manualLayout>
              <c:xMode val="edge"/>
              <c:yMode val="edge"/>
              <c:x val="6.9578822178477703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Subcutaneous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3628665802432"/>
          <c:y val="0.21931676828334201"/>
          <c:w val="0.63496049963620504"/>
          <c:h val="0.7143294831336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(Both)'!$AK$15</c:f>
                <c:numCache>
                  <c:formatCode>General</c:formatCode>
                  <c:ptCount val="1"/>
                  <c:pt idx="0">
                    <c:v>1.9601171203157585E-2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(Both)'!$AK$14</c:f>
              <c:numCache>
                <c:formatCode>General</c:formatCode>
                <c:ptCount val="1"/>
                <c:pt idx="0">
                  <c:v>0.34077459911008046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F-6141-A61B-9C8EFCECFC7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(Both)'!$AK$27</c:f>
                <c:numCache>
                  <c:formatCode>General</c:formatCode>
                  <c:ptCount val="1"/>
                  <c:pt idx="0">
                    <c:v>3.7744345007987748E-2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(Both)'!$AK$26</c:f>
              <c:numCache>
                <c:formatCode>0.0000000</c:formatCode>
                <c:ptCount val="1"/>
                <c:pt idx="0">
                  <c:v>0.46797224363917744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F-6141-A61B-9C8EFCECFC79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(Both)'!$AK$40</c:f>
                <c:numCache>
                  <c:formatCode>General</c:formatCode>
                  <c:ptCount val="1"/>
                  <c:pt idx="0">
                    <c:v>4.0040552371603887E-2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(Both)'!$AK$39</c:f>
              <c:numCache>
                <c:formatCode>General</c:formatCode>
                <c:ptCount val="1"/>
                <c:pt idx="0">
                  <c:v>0.4419910094476226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F-6141-A61B-9C8EFCECFC79}"/>
            </c:ext>
          </c:extLst>
        </c:ser>
        <c:ser>
          <c:idx val="3"/>
          <c:order val="3"/>
          <c:invertIfNegative val="0"/>
          <c:val>
            <c:numRef>
              <c:f>'Data Summary (Both)'!$AF$94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15F-6141-A61B-9C8EFCECFC79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(Both)'!$AK$52</c:f>
                <c:numCache>
                  <c:formatCode>General</c:formatCode>
                  <c:ptCount val="1"/>
                  <c:pt idx="0">
                    <c:v>2.9430479387506338E-2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(Both)'!$AK$51</c:f>
              <c:numCache>
                <c:formatCode>General</c:formatCode>
                <c:ptCount val="1"/>
                <c:pt idx="0">
                  <c:v>0.37895542225988005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F-6141-A61B-9C8EFCECFC79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(Both)'!$AK$63</c:f>
                <c:numCache>
                  <c:formatCode>General</c:formatCode>
                  <c:ptCount val="1"/>
                  <c:pt idx="0">
                    <c:v>3.1236539948956876E-2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(Both)'!$AK$62</c:f>
              <c:numCache>
                <c:formatCode>General</c:formatCode>
                <c:ptCount val="1"/>
                <c:pt idx="0">
                  <c:v>0.34642431966155535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F-6141-A61B-9C8EFCECFC79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(Both)'!$AK$76</c:f>
                <c:numCache>
                  <c:formatCode>General</c:formatCode>
                  <c:ptCount val="1"/>
                  <c:pt idx="0">
                    <c:v>2.977641850548331E-2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(Both)'!$AK$75</c:f>
              <c:numCache>
                <c:formatCode>General</c:formatCode>
                <c:ptCount val="1"/>
                <c:pt idx="0">
                  <c:v>0.43145014674434523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F-6141-A61B-9C8EFCEC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Inguinal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4.0120538588722249E-2"/>
              <c:y val="0.314448563311194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Epididymal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147259533734752"/>
          <c:y val="0.21931676828334201"/>
          <c:w val="0.64331480623745552"/>
          <c:h val="0.7143294831336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(Both)'!$AN$15</c:f>
                <c:numCache>
                  <c:formatCode>General</c:formatCode>
                  <c:ptCount val="1"/>
                  <c:pt idx="0">
                    <c:v>2.9463031613618733E-2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(Both)'!$AN$14</c:f>
              <c:numCache>
                <c:formatCode>General</c:formatCode>
                <c:ptCount val="1"/>
                <c:pt idx="0">
                  <c:v>0.49051798266701774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F-D641-957A-761F9073664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(Both)'!$AN$27</c:f>
                <c:numCache>
                  <c:formatCode>General</c:formatCode>
                  <c:ptCount val="1"/>
                  <c:pt idx="0">
                    <c:v>2.7406516595724614E-2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(Both)'!$AN$26</c:f>
              <c:numCache>
                <c:formatCode>0.0000000</c:formatCode>
                <c:ptCount val="1"/>
                <c:pt idx="0">
                  <c:v>0.57982696390036192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F-D641-957A-761F9073664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(Both)'!$AN$40</c:f>
                <c:numCache>
                  <c:formatCode>General</c:formatCode>
                  <c:ptCount val="1"/>
                  <c:pt idx="0">
                    <c:v>3.3406746327390616E-2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(Both)'!$AN$39</c:f>
              <c:numCache>
                <c:formatCode>General</c:formatCode>
                <c:ptCount val="1"/>
                <c:pt idx="0">
                  <c:v>0.51960853143047514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F-D641-957A-761F9073664F}"/>
            </c:ext>
          </c:extLst>
        </c:ser>
        <c:ser>
          <c:idx val="3"/>
          <c:order val="3"/>
          <c:invertIfNegative val="0"/>
          <c:val>
            <c:numRef>
              <c:f>'Data Summary (Both)'!$AL$94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5A9F-D641-957A-761F9073664F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(Both)'!$AN$52</c:f>
                <c:numCache>
                  <c:formatCode>General</c:formatCode>
                  <c:ptCount val="1"/>
                  <c:pt idx="0">
                    <c:v>2.8819317971914921E-2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(Both)'!$AN$51</c:f>
              <c:numCache>
                <c:formatCode>General</c:formatCode>
                <c:ptCount val="1"/>
                <c:pt idx="0">
                  <c:v>0.47545443298229362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F-D641-957A-761F9073664F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(Both)'!$AN$63</c:f>
                <c:numCache>
                  <c:formatCode>General</c:formatCode>
                  <c:ptCount val="1"/>
                  <c:pt idx="0">
                    <c:v>3.8485314771684223E-2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(Both)'!$AN$62</c:f>
              <c:numCache>
                <c:formatCode>General</c:formatCode>
                <c:ptCount val="1"/>
                <c:pt idx="0">
                  <c:v>0.4667731379133721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9F-D641-957A-761F9073664F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(Both)'!$AN$76</c:f>
                <c:numCache>
                  <c:formatCode>General</c:formatCode>
                  <c:ptCount val="1"/>
                  <c:pt idx="0">
                    <c:v>1.9668418374893356E-2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(Both)'!$AN$75</c:f>
              <c:numCache>
                <c:formatCode>General</c:formatCode>
                <c:ptCount val="1"/>
                <c:pt idx="0">
                  <c:v>0.42915956387102033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9F-D641-957A-761F9073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Epididymal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4.8065771190365911E-2"/>
              <c:y val="0.266615590378701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K  Retroperitoneal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109133245503845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356002728493062"/>
          <c:y val="0.21931676828334201"/>
          <c:w val="0.58118827097937331"/>
          <c:h val="0.71822053371733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(Both)'!$AP$15</c:f>
                <c:numCache>
                  <c:formatCode>General</c:formatCode>
                  <c:ptCount val="1"/>
                  <c:pt idx="0">
                    <c:v>1.8267848415023703E-3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(Both)'!$AQ$14</c:f>
              <c:numCache>
                <c:formatCode>General</c:formatCode>
                <c:ptCount val="1"/>
                <c:pt idx="0">
                  <c:v>8.7040057911382265E-2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5-9842-87B2-4A9630271F7C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(Both)'!$AQ$27</c:f>
                <c:numCache>
                  <c:formatCode>General</c:formatCode>
                  <c:ptCount val="1"/>
                  <c:pt idx="0">
                    <c:v>2.8299670519608251E-2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(Both)'!$AQ$26</c:f>
              <c:numCache>
                <c:formatCode>0.0000000</c:formatCode>
                <c:ptCount val="1"/>
                <c:pt idx="0">
                  <c:v>0.16038778272486592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5-9842-87B2-4A9630271F7C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(Both)'!$AQ$40</c:f>
                <c:numCache>
                  <c:formatCode>General</c:formatCode>
                  <c:ptCount val="1"/>
                  <c:pt idx="0">
                    <c:v>1.8429388786419938E-2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(Both)'!$AQ$39</c:f>
              <c:numCache>
                <c:formatCode>General</c:formatCode>
                <c:ptCount val="1"/>
                <c:pt idx="0">
                  <c:v>0.117488229091101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5-9842-87B2-4A9630271F7C}"/>
            </c:ext>
          </c:extLst>
        </c:ser>
        <c:ser>
          <c:idx val="3"/>
          <c:order val="3"/>
          <c:invertIfNegative val="0"/>
          <c:val>
            <c:numRef>
              <c:f>'Data Summary (Both)'!$AR$94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AF5-9842-87B2-4A9630271F7C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(Both)'!$AQ$52</c:f>
                <c:numCache>
                  <c:formatCode>General</c:formatCode>
                  <c:ptCount val="1"/>
                  <c:pt idx="0">
                    <c:v>6.7833635916900439E-3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(Both)'!$AQ$51</c:f>
              <c:numCache>
                <c:formatCode>General</c:formatCode>
                <c:ptCount val="1"/>
                <c:pt idx="0">
                  <c:v>8.7251353220645159E-2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F5-9842-87B2-4A9630271F7C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(Both)'!$AQ$63</c:f>
                <c:numCache>
                  <c:formatCode>General</c:formatCode>
                  <c:ptCount val="1"/>
                  <c:pt idx="0">
                    <c:v>1.1030277825782321E-2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(Both)'!$AQ$62</c:f>
              <c:numCache>
                <c:formatCode>General</c:formatCode>
                <c:ptCount val="1"/>
                <c:pt idx="0">
                  <c:v>8.5534295884762704E-2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5-9842-87B2-4A9630271F7C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(Both)'!$AQ$76</c:f>
                <c:numCache>
                  <c:formatCode>General</c:formatCode>
                  <c:ptCount val="1"/>
                  <c:pt idx="0">
                    <c:v>1.2790276103494355E-2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(Both)'!$AQ$75</c:f>
              <c:numCache>
                <c:formatCode>General</c:formatCode>
                <c:ptCount val="1"/>
                <c:pt idx="0">
                  <c:v>9.5213841155759288E-2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F5-9842-87B2-4A963027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Retroperitoneal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2.7368628570612008E-2"/>
              <c:y val="0.21518387463667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L  Interscapular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0546585373326388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129193683263863"/>
          <c:y val="0.21154988927165355"/>
          <c:w val="0.63506687887013047"/>
          <c:h val="0.725972256397637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(Both)'!$AX$15</c:f>
                <c:numCache>
                  <c:formatCode>General</c:formatCode>
                  <c:ptCount val="1"/>
                  <c:pt idx="0">
                    <c:v>1.6384761524987076E-2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(Both)'!$AX$14</c:f>
              <c:numCache>
                <c:formatCode>0.0000000</c:formatCode>
                <c:ptCount val="1"/>
                <c:pt idx="0">
                  <c:v>0.40884660350330909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5-454C-8A7A-788A625E3DD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(Both)'!$AX$27</c:f>
                <c:numCache>
                  <c:formatCode>General</c:formatCode>
                  <c:ptCount val="1"/>
                  <c:pt idx="0">
                    <c:v>3.3355979517734134E-2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(Both)'!$AX$26</c:f>
              <c:numCache>
                <c:formatCode>0.0000000</c:formatCode>
                <c:ptCount val="1"/>
                <c:pt idx="0">
                  <c:v>0.53194245322864031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5-454C-8A7A-788A625E3DD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(Both)'!$AX$40</c:f>
                <c:numCache>
                  <c:formatCode>General</c:formatCode>
                  <c:ptCount val="1"/>
                  <c:pt idx="0">
                    <c:v>2.6019726579928501E-2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(Both)'!$AX$39</c:f>
              <c:numCache>
                <c:formatCode>General</c:formatCode>
                <c:ptCount val="1"/>
                <c:pt idx="0">
                  <c:v>0.43541893626825712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5-454C-8A7A-788A625E3DDF}"/>
            </c:ext>
          </c:extLst>
        </c:ser>
        <c:ser>
          <c:idx val="3"/>
          <c:order val="3"/>
          <c:invertIfNegative val="0"/>
          <c:val>
            <c:numRef>
              <c:f>'Data Summary (Both)'!$AX$95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E15-454C-8A7A-788A625E3DDF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(Both)'!$AX$52</c:f>
                <c:numCache>
                  <c:formatCode>General</c:formatCode>
                  <c:ptCount val="1"/>
                  <c:pt idx="0">
                    <c:v>1.896803354472501E-2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(Both)'!$AX$51</c:f>
              <c:numCache>
                <c:formatCode>General</c:formatCode>
                <c:ptCount val="1"/>
                <c:pt idx="0">
                  <c:v>0.43058441654055168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15-454C-8A7A-788A625E3DDF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(Both)'!$AX$63</c:f>
                <c:numCache>
                  <c:formatCode>General</c:formatCode>
                  <c:ptCount val="1"/>
                  <c:pt idx="0">
                    <c:v>3.7670169602731243E-2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(Both)'!$AX$62</c:f>
              <c:numCache>
                <c:formatCode>General</c:formatCode>
                <c:ptCount val="1"/>
                <c:pt idx="0">
                  <c:v>0.42629870966087891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15-454C-8A7A-788A625E3DDF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(Both)'!$AX$76</c:f>
                <c:numCache>
                  <c:formatCode>General</c:formatCode>
                  <c:ptCount val="1"/>
                  <c:pt idx="0">
                    <c:v>1.9221710341340102E-2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(Both)'!$AX$75</c:f>
              <c:numCache>
                <c:formatCode>General</c:formatCode>
                <c:ptCount val="1"/>
                <c:pt idx="0">
                  <c:v>0.42499807695003544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15-454C-8A7A-788A625E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Interscapular BAT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4.4029346126276236E-2"/>
              <c:y val="0.21518387463667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Skeletal Growth Rate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83427943600075"/>
          <c:y val="0.20764358499305238"/>
          <c:w val="0.6321165232252945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(Both)'!$Q$15</c:f>
                <c:numCache>
                  <c:formatCode>General</c:formatCode>
                  <c:ptCount val="1"/>
                  <c:pt idx="0">
                    <c:v>1.9557711645829847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(Both)'!$Q$14</c:f>
              <c:numCache>
                <c:formatCode>General</c:formatCode>
                <c:ptCount val="1"/>
                <c:pt idx="0">
                  <c:v>82.241249999999994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F-E14C-B900-CAACE6E661A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(Both)'!$Q$27</c:f>
                <c:numCache>
                  <c:formatCode>General</c:formatCode>
                  <c:ptCount val="1"/>
                  <c:pt idx="0">
                    <c:v>1.3502631191998942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(Both)'!$Q$26</c:f>
              <c:numCache>
                <c:formatCode>General</c:formatCode>
                <c:ptCount val="1"/>
                <c:pt idx="0">
                  <c:v>79.576249999999987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F-E14C-B900-CAACE6E661A2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(Both)'!$Q$40</c:f>
                <c:numCache>
                  <c:formatCode>General</c:formatCode>
                  <c:ptCount val="1"/>
                  <c:pt idx="0">
                    <c:v>3.2305444794846228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(Both)'!$Q$39</c:f>
              <c:numCache>
                <c:formatCode>General</c:formatCode>
                <c:ptCount val="1"/>
                <c:pt idx="0">
                  <c:v>93.433750000000003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F-E14C-B900-CAACE6E661A2}"/>
            </c:ext>
          </c:extLst>
        </c:ser>
        <c:ser>
          <c:idx val="3"/>
          <c:order val="3"/>
          <c:invertIfNegative val="0"/>
          <c:val>
            <c:numRef>
              <c:f>'Data Summary (Both)'!$R$94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738F-E14C-B900-CAACE6E661A2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(Both)'!$Q$52</c:f>
                <c:numCache>
                  <c:formatCode>General</c:formatCode>
                  <c:ptCount val="1"/>
                  <c:pt idx="0">
                    <c:v>1.3087525867532539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(Both)'!$Q$51</c:f>
              <c:numCache>
                <c:formatCode>General</c:formatCode>
                <c:ptCount val="1"/>
                <c:pt idx="0">
                  <c:v>83.723333333333343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F-E14C-B900-CAACE6E661A2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(Both)'!$Q$63</c:f>
                <c:numCache>
                  <c:formatCode>General</c:formatCode>
                  <c:ptCount val="1"/>
                  <c:pt idx="0">
                    <c:v>3.2424452364089538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(Both)'!$Q$62</c:f>
              <c:numCache>
                <c:formatCode>General</c:formatCode>
                <c:ptCount val="1"/>
                <c:pt idx="0">
                  <c:v>88.046666666666667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F-E14C-B900-CAACE6E661A2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(Both)'!$Q$76</c:f>
                <c:numCache>
                  <c:formatCode>General</c:formatCode>
                  <c:ptCount val="1"/>
                  <c:pt idx="0">
                    <c:v>3.0294317816453398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(Both)'!$Q$75</c:f>
              <c:numCache>
                <c:formatCode>General</c:formatCode>
                <c:ptCount val="1"/>
                <c:pt idx="0">
                  <c:v>87.436250000000001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F-E14C-B900-CAACE6E6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Tibial epiphyseal plate</a:t>
                </a:r>
              </a:p>
              <a:p>
                <a:pPr>
                  <a:defRPr sz="1200" b="1"/>
                </a:pPr>
                <a:r>
                  <a:rPr lang="en-US" sz="1200" b="1"/>
                  <a:t>width 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B  Daily food intake</a:t>
            </a:r>
          </a:p>
        </c:rich>
      </c:tx>
      <c:layout>
        <c:manualLayout>
          <c:xMode val="edge"/>
          <c:yMode val="edge"/>
          <c:x val="2.5179878830935604E-2"/>
          <c:y val="2.7500216319113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1240184732775"/>
          <c:y val="0.21978697321342072"/>
          <c:w val="0.63911788417028581"/>
          <c:h val="0.61815086216274573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intake'!$K$92:$K$113</c:f>
                <c:numCache>
                  <c:formatCode>General</c:formatCode>
                  <c:ptCount val="22"/>
                  <c:pt idx="1">
                    <c:v>0.16440096888835079</c:v>
                  </c:pt>
                  <c:pt idx="2">
                    <c:v>0.18572973836810597</c:v>
                  </c:pt>
                  <c:pt idx="3">
                    <c:v>0.24048639328898175</c:v>
                  </c:pt>
                  <c:pt idx="4">
                    <c:v>0.32603372689252408</c:v>
                  </c:pt>
                  <c:pt idx="5">
                    <c:v>0.46708991754417983</c:v>
                  </c:pt>
                  <c:pt idx="6">
                    <c:v>0.27406822664647229</c:v>
                  </c:pt>
                  <c:pt idx="7">
                    <c:v>0.28725921594068443</c:v>
                  </c:pt>
                  <c:pt idx="8">
                    <c:v>0.16778959507158214</c:v>
                  </c:pt>
                  <c:pt idx="9">
                    <c:v>0.14963049727340175</c:v>
                  </c:pt>
                  <c:pt idx="10">
                    <c:v>0.14788916578689212</c:v>
                  </c:pt>
                  <c:pt idx="11">
                    <c:v>0.27696699132877739</c:v>
                  </c:pt>
                  <c:pt idx="12">
                    <c:v>0.21768618878035098</c:v>
                  </c:pt>
                  <c:pt idx="13">
                    <c:v>0.3801879234574097</c:v>
                  </c:pt>
                  <c:pt idx="14">
                    <c:v>0.31630363746158269</c:v>
                  </c:pt>
                  <c:pt idx="15">
                    <c:v>0.17304334717058331</c:v>
                  </c:pt>
                  <c:pt idx="16">
                    <c:v>0.17920396898506338</c:v>
                  </c:pt>
                  <c:pt idx="17">
                    <c:v>0.25069145449564739</c:v>
                  </c:pt>
                  <c:pt idx="18">
                    <c:v>0.35468799166108045</c:v>
                  </c:pt>
                  <c:pt idx="19">
                    <c:v>0.19833177020192214</c:v>
                  </c:pt>
                  <c:pt idx="20">
                    <c:v>0.24501776539088499</c:v>
                  </c:pt>
                  <c:pt idx="21">
                    <c:v>0.29795096372677521</c:v>
                  </c:pt>
                </c:numCache>
              </c:numRef>
            </c:plus>
            <c:minus>
              <c:numRef>
                <c:f>'(WT) Food intake'!$K$92:$K$113</c:f>
                <c:numCache>
                  <c:formatCode>General</c:formatCode>
                  <c:ptCount val="22"/>
                  <c:pt idx="1">
                    <c:v>0.16440096888835079</c:v>
                  </c:pt>
                  <c:pt idx="2">
                    <c:v>0.18572973836810597</c:v>
                  </c:pt>
                  <c:pt idx="3">
                    <c:v>0.24048639328898175</c:v>
                  </c:pt>
                  <c:pt idx="4">
                    <c:v>0.32603372689252408</c:v>
                  </c:pt>
                  <c:pt idx="5">
                    <c:v>0.46708991754417983</c:v>
                  </c:pt>
                  <c:pt idx="6">
                    <c:v>0.27406822664647229</c:v>
                  </c:pt>
                  <c:pt idx="7">
                    <c:v>0.28725921594068443</c:v>
                  </c:pt>
                  <c:pt idx="8">
                    <c:v>0.16778959507158214</c:v>
                  </c:pt>
                  <c:pt idx="9">
                    <c:v>0.14963049727340175</c:v>
                  </c:pt>
                  <c:pt idx="10">
                    <c:v>0.14788916578689212</c:v>
                  </c:pt>
                  <c:pt idx="11">
                    <c:v>0.27696699132877739</c:v>
                  </c:pt>
                  <c:pt idx="12">
                    <c:v>0.21768618878035098</c:v>
                  </c:pt>
                  <c:pt idx="13">
                    <c:v>0.3801879234574097</c:v>
                  </c:pt>
                  <c:pt idx="14">
                    <c:v>0.31630363746158269</c:v>
                  </c:pt>
                  <c:pt idx="15">
                    <c:v>0.17304334717058331</c:v>
                  </c:pt>
                  <c:pt idx="16">
                    <c:v>0.17920396898506338</c:v>
                  </c:pt>
                  <c:pt idx="17">
                    <c:v>0.25069145449564739</c:v>
                  </c:pt>
                  <c:pt idx="18">
                    <c:v>0.35468799166108045</c:v>
                  </c:pt>
                  <c:pt idx="19">
                    <c:v>0.19833177020192214</c:v>
                  </c:pt>
                  <c:pt idx="20">
                    <c:v>0.24501776539088499</c:v>
                  </c:pt>
                  <c:pt idx="21">
                    <c:v>0.29795096372677521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intake'!$I$92:$I$113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intake'!$J$92:$J$113</c:f>
              <c:numCache>
                <c:formatCode>General</c:formatCode>
                <c:ptCount val="22"/>
                <c:pt idx="1">
                  <c:v>3.5975000000000019</c:v>
                </c:pt>
                <c:pt idx="2">
                  <c:v>3.9674999999999994</c:v>
                </c:pt>
                <c:pt idx="3">
                  <c:v>3.9187499999999975</c:v>
                </c:pt>
                <c:pt idx="4">
                  <c:v>4.0012499999999971</c:v>
                </c:pt>
                <c:pt idx="5">
                  <c:v>4.0087499999999974</c:v>
                </c:pt>
                <c:pt idx="6">
                  <c:v>4.4374999999999964</c:v>
                </c:pt>
                <c:pt idx="7">
                  <c:v>4.865000000000002</c:v>
                </c:pt>
                <c:pt idx="8">
                  <c:v>4.1562499999999947</c:v>
                </c:pt>
                <c:pt idx="9">
                  <c:v>4.5550000000000033</c:v>
                </c:pt>
                <c:pt idx="10">
                  <c:v>4.3662499999999991</c:v>
                </c:pt>
                <c:pt idx="11">
                  <c:v>4.8649999999999949</c:v>
                </c:pt>
                <c:pt idx="12">
                  <c:v>4.5112499999999986</c:v>
                </c:pt>
                <c:pt idx="13">
                  <c:v>5.1250000000000027</c:v>
                </c:pt>
                <c:pt idx="14">
                  <c:v>3.8412500000000023</c:v>
                </c:pt>
                <c:pt idx="15">
                  <c:v>3.8019999999999952</c:v>
                </c:pt>
                <c:pt idx="16">
                  <c:v>3.5162499999999994</c:v>
                </c:pt>
                <c:pt idx="17">
                  <c:v>4.0537499999999973</c:v>
                </c:pt>
                <c:pt idx="18">
                  <c:v>4.2700000000000014</c:v>
                </c:pt>
                <c:pt idx="19">
                  <c:v>4.5362499999999999</c:v>
                </c:pt>
                <c:pt idx="20">
                  <c:v>3.7712500000000002</c:v>
                </c:pt>
                <c:pt idx="21">
                  <c:v>3.9462499999999991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C-4F88-9ED9-8372B918712B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intake'!$M$92:$M$113</c:f>
                <c:numCache>
                  <c:formatCode>General</c:formatCode>
                  <c:ptCount val="22"/>
                  <c:pt idx="1">
                    <c:v>0.21414280949203751</c:v>
                  </c:pt>
                  <c:pt idx="2">
                    <c:v>0.12202166084054769</c:v>
                  </c:pt>
                  <c:pt idx="3">
                    <c:v>0.35902646142032979</c:v>
                  </c:pt>
                  <c:pt idx="4">
                    <c:v>0.27189152248645254</c:v>
                  </c:pt>
                  <c:pt idx="5">
                    <c:v>0.33664541275438886</c:v>
                  </c:pt>
                  <c:pt idx="6">
                    <c:v>0.46363254192147724</c:v>
                  </c:pt>
                  <c:pt idx="7">
                    <c:v>0.46381184608785958</c:v>
                  </c:pt>
                  <c:pt idx="8">
                    <c:v>0.21239650841224575</c:v>
                  </c:pt>
                  <c:pt idx="9">
                    <c:v>0.14418678787984443</c:v>
                  </c:pt>
                  <c:pt idx="10">
                    <c:v>0.18079279619567107</c:v>
                  </c:pt>
                  <c:pt idx="11">
                    <c:v>0.30736892440838209</c:v>
                  </c:pt>
                  <c:pt idx="12">
                    <c:v>0.57438582056883047</c:v>
                  </c:pt>
                  <c:pt idx="13">
                    <c:v>0.35344730866141921</c:v>
                  </c:pt>
                  <c:pt idx="14">
                    <c:v>0.51332229328728074</c:v>
                  </c:pt>
                  <c:pt idx="15">
                    <c:v>0.29236962906567143</c:v>
                  </c:pt>
                  <c:pt idx="16">
                    <c:v>0.33727075547695973</c:v>
                  </c:pt>
                  <c:pt idx="17">
                    <c:v>0.44655826687486377</c:v>
                  </c:pt>
                  <c:pt idx="18">
                    <c:v>0.33591526089178964</c:v>
                  </c:pt>
                  <c:pt idx="19">
                    <c:v>0.19326364648731373</c:v>
                  </c:pt>
                  <c:pt idx="20">
                    <c:v>0.14200238145639216</c:v>
                  </c:pt>
                  <c:pt idx="21">
                    <c:v>0.23686757903942418</c:v>
                  </c:pt>
                </c:numCache>
              </c:numRef>
            </c:plus>
            <c:minus>
              <c:numRef>
                <c:f>'(WT) Food intake'!$M$92:$M$113</c:f>
                <c:numCache>
                  <c:formatCode>General</c:formatCode>
                  <c:ptCount val="22"/>
                  <c:pt idx="1">
                    <c:v>0.21414280949203751</c:v>
                  </c:pt>
                  <c:pt idx="2">
                    <c:v>0.12202166084054769</c:v>
                  </c:pt>
                  <c:pt idx="3">
                    <c:v>0.35902646142032979</c:v>
                  </c:pt>
                  <c:pt idx="4">
                    <c:v>0.27189152248645254</c:v>
                  </c:pt>
                  <c:pt idx="5">
                    <c:v>0.33664541275438886</c:v>
                  </c:pt>
                  <c:pt idx="6">
                    <c:v>0.46363254192147724</c:v>
                  </c:pt>
                  <c:pt idx="7">
                    <c:v>0.46381184608785958</c:v>
                  </c:pt>
                  <c:pt idx="8">
                    <c:v>0.21239650841224575</c:v>
                  </c:pt>
                  <c:pt idx="9">
                    <c:v>0.14418678787984443</c:v>
                  </c:pt>
                  <c:pt idx="10">
                    <c:v>0.18079279619567107</c:v>
                  </c:pt>
                  <c:pt idx="11">
                    <c:v>0.30736892440838209</c:v>
                  </c:pt>
                  <c:pt idx="12">
                    <c:v>0.57438582056883047</c:v>
                  </c:pt>
                  <c:pt idx="13">
                    <c:v>0.35344730866141921</c:v>
                  </c:pt>
                  <c:pt idx="14">
                    <c:v>0.51332229328728074</c:v>
                  </c:pt>
                  <c:pt idx="15">
                    <c:v>0.29236962906567143</c:v>
                  </c:pt>
                  <c:pt idx="16">
                    <c:v>0.33727075547695973</c:v>
                  </c:pt>
                  <c:pt idx="17">
                    <c:v>0.44655826687486377</c:v>
                  </c:pt>
                  <c:pt idx="18">
                    <c:v>0.33591526089178964</c:v>
                  </c:pt>
                  <c:pt idx="19">
                    <c:v>0.19326364648731373</c:v>
                  </c:pt>
                  <c:pt idx="20">
                    <c:v>0.14200238145639216</c:v>
                  </c:pt>
                  <c:pt idx="21">
                    <c:v>0.23686757903942418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intake'!$I$92:$I$113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intake'!$L$92:$L$113</c:f>
              <c:numCache>
                <c:formatCode>General</c:formatCode>
                <c:ptCount val="22"/>
                <c:pt idx="1">
                  <c:v>4.0449999999999946</c:v>
                </c:pt>
                <c:pt idx="2">
                  <c:v>4.6300000000000097</c:v>
                </c:pt>
                <c:pt idx="3">
                  <c:v>4.9299999999999926</c:v>
                </c:pt>
                <c:pt idx="4">
                  <c:v>4.7650000000000006</c:v>
                </c:pt>
                <c:pt idx="5">
                  <c:v>4.7287499999999945</c:v>
                </c:pt>
                <c:pt idx="6">
                  <c:v>4.7787499999999863</c:v>
                </c:pt>
                <c:pt idx="7">
                  <c:v>4.2700000000000022</c:v>
                </c:pt>
                <c:pt idx="8">
                  <c:v>4.1687499999999993</c:v>
                </c:pt>
                <c:pt idx="9">
                  <c:v>4.1846874999999937</c:v>
                </c:pt>
                <c:pt idx="10">
                  <c:v>4.3721875000000017</c:v>
                </c:pt>
                <c:pt idx="11">
                  <c:v>3.7884375000000152</c:v>
                </c:pt>
                <c:pt idx="12">
                  <c:v>3.7221874999999951</c:v>
                </c:pt>
                <c:pt idx="13">
                  <c:v>3.9800000000000022</c:v>
                </c:pt>
                <c:pt idx="14">
                  <c:v>3.2937499999999988</c:v>
                </c:pt>
                <c:pt idx="15">
                  <c:v>4.4500000000000224</c:v>
                </c:pt>
                <c:pt idx="16">
                  <c:v>4.5412500000000007</c:v>
                </c:pt>
                <c:pt idx="17">
                  <c:v>3.7200000000000082</c:v>
                </c:pt>
                <c:pt idx="18">
                  <c:v>3.7837500000000115</c:v>
                </c:pt>
                <c:pt idx="19">
                  <c:v>3.8168749999999876</c:v>
                </c:pt>
                <c:pt idx="20">
                  <c:v>3.5893749999999986</c:v>
                </c:pt>
                <c:pt idx="21">
                  <c:v>3.9274999999999949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C-4F88-9ED9-8372B918712B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intake'!$O$92:$O$113</c:f>
                <c:numCache>
                  <c:formatCode>General</c:formatCode>
                  <c:ptCount val="22"/>
                  <c:pt idx="1">
                    <c:v>0.33147364417961467</c:v>
                  </c:pt>
                  <c:pt idx="2">
                    <c:v>0.19323375925103017</c:v>
                  </c:pt>
                  <c:pt idx="3">
                    <c:v>0.2668930865400137</c:v>
                  </c:pt>
                  <c:pt idx="4">
                    <c:v>0.18247308999254999</c:v>
                  </c:pt>
                  <c:pt idx="5">
                    <c:v>0.24453855962375048</c:v>
                  </c:pt>
                  <c:pt idx="6">
                    <c:v>0.20757098613658495</c:v>
                  </c:pt>
                  <c:pt idx="7">
                    <c:v>0.32367001218172309</c:v>
                  </c:pt>
                  <c:pt idx="8">
                    <c:v>0.32814923379898031</c:v>
                  </c:pt>
                  <c:pt idx="9">
                    <c:v>0.20812084401684819</c:v>
                  </c:pt>
                  <c:pt idx="10">
                    <c:v>0.15150436108762955</c:v>
                  </c:pt>
                  <c:pt idx="11">
                    <c:v>0.29191447805821769</c:v>
                  </c:pt>
                  <c:pt idx="12">
                    <c:v>0.30406729459588211</c:v>
                  </c:pt>
                  <c:pt idx="13">
                    <c:v>0.26171726412158181</c:v>
                  </c:pt>
                  <c:pt idx="14">
                    <c:v>0.25707565156000844</c:v>
                  </c:pt>
                  <c:pt idx="15">
                    <c:v>0.11398621470535934</c:v>
                  </c:pt>
                  <c:pt idx="16">
                    <c:v>0.21644809258969122</c:v>
                  </c:pt>
                  <c:pt idx="17">
                    <c:v>0.27707657528457874</c:v>
                  </c:pt>
                  <c:pt idx="18">
                    <c:v>0.27810864719180639</c:v>
                  </c:pt>
                  <c:pt idx="19">
                    <c:v>0.1104202604985673</c:v>
                  </c:pt>
                  <c:pt idx="20">
                    <c:v>0.20380093578924705</c:v>
                  </c:pt>
                  <c:pt idx="21">
                    <c:v>0.16199371680937591</c:v>
                  </c:pt>
                </c:numCache>
              </c:numRef>
            </c:plus>
            <c:minus>
              <c:numRef>
                <c:f>'(WT) Food intake'!$O$92:$O$113</c:f>
                <c:numCache>
                  <c:formatCode>General</c:formatCode>
                  <c:ptCount val="22"/>
                  <c:pt idx="1">
                    <c:v>0.33147364417961467</c:v>
                  </c:pt>
                  <c:pt idx="2">
                    <c:v>0.19323375925103017</c:v>
                  </c:pt>
                  <c:pt idx="3">
                    <c:v>0.2668930865400137</c:v>
                  </c:pt>
                  <c:pt idx="4">
                    <c:v>0.18247308999254999</c:v>
                  </c:pt>
                  <c:pt idx="5">
                    <c:v>0.24453855962375048</c:v>
                  </c:pt>
                  <c:pt idx="6">
                    <c:v>0.20757098613658495</c:v>
                  </c:pt>
                  <c:pt idx="7">
                    <c:v>0.32367001218172309</c:v>
                  </c:pt>
                  <c:pt idx="8">
                    <c:v>0.32814923379898031</c:v>
                  </c:pt>
                  <c:pt idx="9">
                    <c:v>0.20812084401684819</c:v>
                  </c:pt>
                  <c:pt idx="10">
                    <c:v>0.15150436108762955</c:v>
                  </c:pt>
                  <c:pt idx="11">
                    <c:v>0.29191447805821769</c:v>
                  </c:pt>
                  <c:pt idx="12">
                    <c:v>0.30406729459588211</c:v>
                  </c:pt>
                  <c:pt idx="13">
                    <c:v>0.26171726412158181</c:v>
                  </c:pt>
                  <c:pt idx="14">
                    <c:v>0.25707565156000844</c:v>
                  </c:pt>
                  <c:pt idx="15">
                    <c:v>0.11398621470535934</c:v>
                  </c:pt>
                  <c:pt idx="16">
                    <c:v>0.21644809258969122</c:v>
                  </c:pt>
                  <c:pt idx="17">
                    <c:v>0.27707657528457874</c:v>
                  </c:pt>
                  <c:pt idx="18">
                    <c:v>0.27810864719180639</c:v>
                  </c:pt>
                  <c:pt idx="19">
                    <c:v>0.1104202604985673</c:v>
                  </c:pt>
                  <c:pt idx="20">
                    <c:v>0.20380093578924705</c:v>
                  </c:pt>
                  <c:pt idx="21">
                    <c:v>0.16199371680937591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intake'!$I$92:$I$113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intake'!$N$92:$N$113</c:f>
              <c:numCache>
                <c:formatCode>General</c:formatCode>
                <c:ptCount val="22"/>
                <c:pt idx="1">
                  <c:v>2.4437499999999979</c:v>
                </c:pt>
                <c:pt idx="2">
                  <c:v>3.4149999999999991</c:v>
                </c:pt>
                <c:pt idx="3">
                  <c:v>3.6537499999999952</c:v>
                </c:pt>
                <c:pt idx="4">
                  <c:v>3.8449999999999989</c:v>
                </c:pt>
                <c:pt idx="5">
                  <c:v>4.2325000000000061</c:v>
                </c:pt>
                <c:pt idx="6">
                  <c:v>4.0949999999999998</c:v>
                </c:pt>
                <c:pt idx="7">
                  <c:v>3.6587499999999995</c:v>
                </c:pt>
                <c:pt idx="8">
                  <c:v>4.0662499999999966</c:v>
                </c:pt>
                <c:pt idx="9">
                  <c:v>4.0049999999999955</c:v>
                </c:pt>
                <c:pt idx="10">
                  <c:v>3.8249999999999922</c:v>
                </c:pt>
                <c:pt idx="11">
                  <c:v>3.6137500000000182</c:v>
                </c:pt>
                <c:pt idx="12">
                  <c:v>3.7737499999999891</c:v>
                </c:pt>
                <c:pt idx="13">
                  <c:v>3.9943750000000073</c:v>
                </c:pt>
                <c:pt idx="14">
                  <c:v>3.2406250000000085</c:v>
                </c:pt>
                <c:pt idx="15">
                  <c:v>3.7349999999999781</c:v>
                </c:pt>
                <c:pt idx="16">
                  <c:v>4.2137499999999974</c:v>
                </c:pt>
                <c:pt idx="17">
                  <c:v>3.779999999999998</c:v>
                </c:pt>
                <c:pt idx="18">
                  <c:v>3.6487500000000073</c:v>
                </c:pt>
                <c:pt idx="19">
                  <c:v>3.4862500000000085</c:v>
                </c:pt>
                <c:pt idx="20">
                  <c:v>3.6025000000000009</c:v>
                </c:pt>
                <c:pt idx="21">
                  <c:v>3.7975000000000065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C-4F88-9ED9-8372B918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975"/>
        <c:axId val="1"/>
      </c:scatterChart>
      <c:valAx>
        <c:axId val="1832570975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6660746355"/>
              <c:y val="0.92500043263822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Daily F/I (g)</a:t>
                </a:r>
              </a:p>
            </c:rich>
          </c:tx>
          <c:layout>
            <c:manualLayout>
              <c:xMode val="edge"/>
              <c:yMode val="edge"/>
              <c:x val="2.3381287865332626E-2"/>
              <c:y val="0.385000432638227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570975"/>
        <c:crosses val="autoZero"/>
        <c:crossBetween val="midCat"/>
        <c:majorUnit val="4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296212973378331"/>
          <c:y val="0.20879791468374145"/>
          <c:w val="0.26817891184654546"/>
          <c:h val="0.167587609241152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Germinal Zone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630292210639623"/>
          <c:y val="0.20764358499305238"/>
          <c:w val="0.64395035194304517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(Both)'!$R$15</c:f>
                <c:numCache>
                  <c:formatCode>General</c:formatCode>
                  <c:ptCount val="1"/>
                  <c:pt idx="0">
                    <c:v>0.75188572459991443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(Both)'!$R$14</c:f>
              <c:numCache>
                <c:formatCode>General</c:formatCode>
                <c:ptCount val="1"/>
                <c:pt idx="0">
                  <c:v>11.495000000000001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9D4A-8F54-4027BF28331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(Both)'!$R$27</c:f>
                <c:numCache>
                  <c:formatCode>General</c:formatCode>
                  <c:ptCount val="1"/>
                  <c:pt idx="0">
                    <c:v>0.67383215772602678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(Both)'!$R$26</c:f>
              <c:numCache>
                <c:formatCode>General</c:formatCode>
                <c:ptCount val="1"/>
                <c:pt idx="0">
                  <c:v>10.046250000000001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9D4A-8F54-4027BF28331A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(Both)'!$R$40</c:f>
                <c:numCache>
                  <c:formatCode>General</c:formatCode>
                  <c:ptCount val="1"/>
                  <c:pt idx="0">
                    <c:v>0.60667418885970026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(Both)'!$R$39</c:f>
              <c:numCache>
                <c:formatCode>General</c:formatCode>
                <c:ptCount val="1"/>
                <c:pt idx="0">
                  <c:v>10.764999999999999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F-9D4A-8F54-4027BF28331A}"/>
            </c:ext>
          </c:extLst>
        </c:ser>
        <c:ser>
          <c:idx val="3"/>
          <c:order val="3"/>
          <c:invertIfNegative val="0"/>
          <c:val>
            <c:numRef>
              <c:f>'Data Summary (Both)'!$C$94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29F-9D4A-8F54-4027BF28331A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(Both)'!$R$52</c:f>
                <c:numCache>
                  <c:formatCode>General</c:formatCode>
                  <c:ptCount val="1"/>
                  <c:pt idx="0">
                    <c:v>0.77137643530138622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(Both)'!$R$51</c:f>
              <c:numCache>
                <c:formatCode>General</c:formatCode>
                <c:ptCount val="1"/>
                <c:pt idx="0">
                  <c:v>11.407777777777776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F-9D4A-8F54-4027BF28331A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29F-9D4A-8F54-4027BF28331A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(Both)'!$R$63</c:f>
                <c:numCache>
                  <c:formatCode>General</c:formatCode>
                  <c:ptCount val="1"/>
                  <c:pt idx="0">
                    <c:v>1.583392455036549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(Both)'!$R$62</c:f>
              <c:numCache>
                <c:formatCode>General</c:formatCode>
                <c:ptCount val="1"/>
                <c:pt idx="0">
                  <c:v>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9F-9D4A-8F54-4027BF28331A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(Both)'!$R$76</c:f>
                <c:numCache>
                  <c:formatCode>General</c:formatCode>
                  <c:ptCount val="1"/>
                  <c:pt idx="0">
                    <c:v>0.82557109562324915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(Both)'!$R$75</c:f>
              <c:numCache>
                <c:formatCode>General</c:formatCode>
                <c:ptCount val="1"/>
                <c:pt idx="0">
                  <c:v>10.40625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9F-9D4A-8F54-4027BF28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Germinal zone width</a:t>
                </a:r>
              </a:p>
              <a:p>
                <a:pPr>
                  <a:defRPr sz="1200" b="1"/>
                </a:pPr>
                <a:r>
                  <a:rPr lang="en-US" sz="1200" b="1"/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Proliferative Zone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19158131549348"/>
          <c:y val="0.20764358499305238"/>
          <c:w val="0.66086554970102418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(Both)'!$S$15</c:f>
                <c:numCache>
                  <c:formatCode>General</c:formatCode>
                  <c:ptCount val="1"/>
                  <c:pt idx="0">
                    <c:v>1.5864459380280527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(Both)'!$S$14</c:f>
              <c:numCache>
                <c:formatCode>General</c:formatCode>
                <c:ptCount val="1"/>
                <c:pt idx="0">
                  <c:v>40.049999999999997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9F45-9BEB-848DBBD64D90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(Both)'!$S$27</c:f>
                <c:numCache>
                  <c:formatCode>General</c:formatCode>
                  <c:ptCount val="1"/>
                  <c:pt idx="0">
                    <c:v>1.4084959049588015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(Both)'!$S$26</c:f>
              <c:numCache>
                <c:formatCode>General</c:formatCode>
                <c:ptCount val="1"/>
                <c:pt idx="0">
                  <c:v>39.565000000000005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F-9F45-9BEB-848DBBD64D90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(Both)'!$T$40</c:f>
                <c:numCache>
                  <c:formatCode>General</c:formatCode>
                  <c:ptCount val="1"/>
                  <c:pt idx="0">
                    <c:v>2.3896643144413003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(Both)'!$S$39</c:f>
              <c:numCache>
                <c:formatCode>General</c:formatCode>
                <c:ptCount val="1"/>
                <c:pt idx="0">
                  <c:v>45.66375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F-9F45-9BEB-848DBBD64D90}"/>
            </c:ext>
          </c:extLst>
        </c:ser>
        <c:ser>
          <c:idx val="3"/>
          <c:order val="3"/>
          <c:invertIfNegative val="0"/>
          <c:val>
            <c:numRef>
              <c:f>'Data Summary (Both)'!$K$94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16F-9F45-9BEB-848DBBD64D90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(Both)'!$S$40</c:f>
                <c:numCache>
                  <c:formatCode>General</c:formatCode>
                  <c:ptCount val="1"/>
                  <c:pt idx="0">
                    <c:v>1.4818628930938826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(Both)'!$S$51</c:f>
              <c:numCache>
                <c:formatCode>General</c:formatCode>
                <c:ptCount val="1"/>
                <c:pt idx="0">
                  <c:v>44.063333333333333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F-9F45-9BEB-848DBBD64D90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(Both)'!$S$63</c:f>
                <c:numCache>
                  <c:formatCode>General</c:formatCode>
                  <c:ptCount val="1"/>
                  <c:pt idx="0">
                    <c:v>1.555877922946113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(Both)'!$S$62</c:f>
              <c:numCache>
                <c:formatCode>General</c:formatCode>
                <c:ptCount val="1"/>
                <c:pt idx="0">
                  <c:v>46.538333333333334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F-9F45-9BEB-848DBBD64D90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(Both)'!$S$76</c:f>
                <c:numCache>
                  <c:formatCode>General</c:formatCode>
                  <c:ptCount val="1"/>
                  <c:pt idx="0">
                    <c:v>1.5398121406754228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(Both)'!$S$75</c:f>
              <c:numCache>
                <c:formatCode>General</c:formatCode>
                <c:ptCount val="1"/>
                <c:pt idx="0">
                  <c:v>44.129999999999995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F-9F45-9BEB-848DBBD6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Proliferative zone width</a:t>
                </a:r>
              </a:p>
              <a:p>
                <a:pPr>
                  <a:defRPr sz="1200" b="1"/>
                </a:pPr>
                <a:r>
                  <a:rPr lang="en-US" sz="1200" b="1"/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42437181565539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Hypertrophic Zone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71250962050796"/>
          <c:y val="0.20764358499305238"/>
          <c:w val="0.6684601266946894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(Both)'!$T$15</c:f>
                <c:numCache>
                  <c:formatCode>General</c:formatCode>
                  <c:ptCount val="1"/>
                  <c:pt idx="0">
                    <c:v>1.8898756927185878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(Both)'!$T$14</c:f>
              <c:numCache>
                <c:formatCode>General</c:formatCode>
                <c:ptCount val="1"/>
                <c:pt idx="0">
                  <c:v>31.168750000000003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4-CE43-8F4B-7C448FB3514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(Both)'!$T$27</c:f>
                <c:numCache>
                  <c:formatCode>General</c:formatCode>
                  <c:ptCount val="1"/>
                  <c:pt idx="0">
                    <c:v>1.6201421895271082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(Both)'!$T$26</c:f>
              <c:numCache>
                <c:formatCode>General</c:formatCode>
                <c:ptCount val="1"/>
                <c:pt idx="0">
                  <c:v>30.720000000000002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4-CE43-8F4B-7C448FB35148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(Both)'!$T$40</c:f>
                <c:numCache>
                  <c:formatCode>General</c:formatCode>
                  <c:ptCount val="1"/>
                  <c:pt idx="0">
                    <c:v>2.3896643144413003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(Both)'!$T$39</c:f>
              <c:numCache>
                <c:formatCode>General</c:formatCode>
                <c:ptCount val="1"/>
                <c:pt idx="0">
                  <c:v>37.437500000000007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4-CE43-8F4B-7C448FB35148}"/>
            </c:ext>
          </c:extLst>
        </c:ser>
        <c:ser>
          <c:idx val="3"/>
          <c:order val="3"/>
          <c:invertIfNegative val="0"/>
          <c:val>
            <c:numRef>
              <c:f>'Data Summary (Both)'!$R$93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1794-CE43-8F4B-7C448FB35148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(Both)'!$T$52</c:f>
                <c:numCache>
                  <c:formatCode>General</c:formatCode>
                  <c:ptCount val="1"/>
                  <c:pt idx="0">
                    <c:v>0.9381005895155291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(Both)'!$T$51</c:f>
              <c:numCache>
                <c:formatCode>General</c:formatCode>
                <c:ptCount val="1"/>
                <c:pt idx="0">
                  <c:v>28.437777777777782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4-CE43-8F4B-7C448FB35148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(Both)'!$T$63</c:f>
                <c:numCache>
                  <c:formatCode>General</c:formatCode>
                  <c:ptCount val="1"/>
                  <c:pt idx="0">
                    <c:v>2.1348329364769176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(Both)'!$T$62</c:f>
              <c:numCache>
                <c:formatCode>General</c:formatCode>
                <c:ptCount val="1"/>
                <c:pt idx="0">
                  <c:v>31.034999999999997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94-CE43-8F4B-7C448FB35148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(Both)'!$T$76</c:f>
                <c:numCache>
                  <c:formatCode>General</c:formatCode>
                  <c:ptCount val="1"/>
                  <c:pt idx="0">
                    <c:v>2.3109064007131739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(Both)'!$T$75</c:f>
              <c:numCache>
                <c:formatCode>General</c:formatCode>
                <c:ptCount val="1"/>
                <c:pt idx="0">
                  <c:v>33.162500000000001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4-CE43-8F4B-7C448FB3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Hypertrophic zone width</a:t>
                </a:r>
              </a:p>
              <a:p>
                <a:pPr>
                  <a:defRPr sz="1200" b="1"/>
                </a:pPr>
                <a:r>
                  <a:rPr lang="en-US" sz="1200" b="1"/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42437181565539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Subcutaneous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592690536324467"/>
          <c:y val="0.21931676828334201"/>
          <c:w val="0.67647006388352404"/>
          <c:h val="0.7143294831336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(Both)'!$AK$15</c:f>
                <c:numCache>
                  <c:formatCode>General</c:formatCode>
                  <c:ptCount val="1"/>
                  <c:pt idx="0">
                    <c:v>1.9601171203157585E-2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(Both)'!$AK$14</c:f>
              <c:numCache>
                <c:formatCode>General</c:formatCode>
                <c:ptCount val="1"/>
                <c:pt idx="0">
                  <c:v>0.34077459911008046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464F-AD68-F5847A19FBE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(Both)'!$AK$27</c:f>
                <c:numCache>
                  <c:formatCode>General</c:formatCode>
                  <c:ptCount val="1"/>
                  <c:pt idx="0">
                    <c:v>3.7744345007987748E-2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(Both)'!$AK$26</c:f>
              <c:numCache>
                <c:formatCode>0.0000000</c:formatCode>
                <c:ptCount val="1"/>
                <c:pt idx="0">
                  <c:v>0.46797224363917744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E-464F-AD68-F5847A19FBEA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(Both)'!$AK$40</c:f>
                <c:numCache>
                  <c:formatCode>General</c:formatCode>
                  <c:ptCount val="1"/>
                  <c:pt idx="0">
                    <c:v>4.0040552371603887E-2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(Both)'!$AK$39</c:f>
              <c:numCache>
                <c:formatCode>General</c:formatCode>
                <c:ptCount val="1"/>
                <c:pt idx="0">
                  <c:v>0.4419910094476226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E-464F-AD68-F5847A19FBEA}"/>
            </c:ext>
          </c:extLst>
        </c:ser>
        <c:ser>
          <c:idx val="3"/>
          <c:order val="3"/>
          <c:invertIfNegative val="0"/>
          <c:val>
            <c:numRef>
              <c:f>'Data Summary (Both)'!$AF$94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0C2E-464F-AD68-F5847A19FBEA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(Both)'!$AK$52</c:f>
                <c:numCache>
                  <c:formatCode>General</c:formatCode>
                  <c:ptCount val="1"/>
                  <c:pt idx="0">
                    <c:v>2.9430479387506338E-2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(Both)'!$AK$51</c:f>
              <c:numCache>
                <c:formatCode>General</c:formatCode>
                <c:ptCount val="1"/>
                <c:pt idx="0">
                  <c:v>0.37895542225988005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E-464F-AD68-F5847A19FBEA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(Both)'!$AK$63</c:f>
                <c:numCache>
                  <c:formatCode>General</c:formatCode>
                  <c:ptCount val="1"/>
                  <c:pt idx="0">
                    <c:v>3.1236539948956876E-2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(Both)'!$AK$62</c:f>
              <c:numCache>
                <c:formatCode>General</c:formatCode>
                <c:ptCount val="1"/>
                <c:pt idx="0">
                  <c:v>0.34642431966155535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E-464F-AD68-F5847A19FBEA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(Both)'!$AK$76</c:f>
                <c:numCache>
                  <c:formatCode>General</c:formatCode>
                  <c:ptCount val="1"/>
                  <c:pt idx="0">
                    <c:v>2.977641850548331E-2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(Both)'!$AK$75</c:f>
              <c:numCache>
                <c:formatCode>General</c:formatCode>
                <c:ptCount val="1"/>
                <c:pt idx="0">
                  <c:v>0.43145014674434523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2E-464F-AD68-F5847A19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Inguinal WAT weight</a:t>
                </a:r>
              </a:p>
              <a:p>
                <a:pPr>
                  <a:defRPr sz="1200" b="1"/>
                </a:pPr>
                <a:r>
                  <a:rPr lang="en-US" sz="1200" b="1"/>
                  <a:t>(%-BW)</a:t>
                </a:r>
              </a:p>
            </c:rich>
          </c:tx>
          <c:layout>
            <c:manualLayout>
              <c:xMode val="edge"/>
              <c:yMode val="edge"/>
              <c:x val="4.0120538588722249E-2"/>
              <c:y val="0.314448563311194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Epididymal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96315554895258"/>
          <c:y val="0.21931676828334201"/>
          <c:w val="0.68482424602585057"/>
          <c:h val="0.7143294831336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(Both)'!$AN$15</c:f>
                <c:numCache>
                  <c:formatCode>General</c:formatCode>
                  <c:ptCount val="1"/>
                  <c:pt idx="0">
                    <c:v>2.9463031613618733E-2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(Both)'!$AN$14</c:f>
              <c:numCache>
                <c:formatCode>General</c:formatCode>
                <c:ptCount val="1"/>
                <c:pt idx="0">
                  <c:v>0.49051798266701774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2140-BDC7-090FEA402F4E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(Both)'!$AN$27</c:f>
                <c:numCache>
                  <c:formatCode>General</c:formatCode>
                  <c:ptCount val="1"/>
                  <c:pt idx="0">
                    <c:v>2.7406516595724614E-2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(Both)'!$AN$26</c:f>
              <c:numCache>
                <c:formatCode>0.0000000</c:formatCode>
                <c:ptCount val="1"/>
                <c:pt idx="0">
                  <c:v>0.57982696390036192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A-2140-BDC7-090FEA402F4E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(Both)'!$AN$40</c:f>
                <c:numCache>
                  <c:formatCode>General</c:formatCode>
                  <c:ptCount val="1"/>
                  <c:pt idx="0">
                    <c:v>3.3406746327390616E-2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(Both)'!$AN$39</c:f>
              <c:numCache>
                <c:formatCode>General</c:formatCode>
                <c:ptCount val="1"/>
                <c:pt idx="0">
                  <c:v>0.51960853143047514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A-2140-BDC7-090FEA402F4E}"/>
            </c:ext>
          </c:extLst>
        </c:ser>
        <c:ser>
          <c:idx val="3"/>
          <c:order val="3"/>
          <c:invertIfNegative val="0"/>
          <c:val>
            <c:numRef>
              <c:f>'Data Summary (Both)'!$AL$94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89FA-2140-BDC7-090FEA402F4E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(Both)'!$AN$52</c:f>
                <c:numCache>
                  <c:formatCode>General</c:formatCode>
                  <c:ptCount val="1"/>
                  <c:pt idx="0">
                    <c:v>2.8819317971914921E-2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(Both)'!$AN$51</c:f>
              <c:numCache>
                <c:formatCode>General</c:formatCode>
                <c:ptCount val="1"/>
                <c:pt idx="0">
                  <c:v>0.47545443298229362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A-2140-BDC7-090FEA402F4E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(Both)'!$AN$63</c:f>
                <c:numCache>
                  <c:formatCode>General</c:formatCode>
                  <c:ptCount val="1"/>
                  <c:pt idx="0">
                    <c:v>3.8485314771684223E-2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(Both)'!$AN$62</c:f>
              <c:numCache>
                <c:formatCode>General</c:formatCode>
                <c:ptCount val="1"/>
                <c:pt idx="0">
                  <c:v>0.4667731379133721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A-2140-BDC7-090FEA402F4E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(Both)'!$AN$76</c:f>
                <c:numCache>
                  <c:formatCode>General</c:formatCode>
                  <c:ptCount val="1"/>
                  <c:pt idx="0">
                    <c:v>1.9668418374893356E-2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(Both)'!$AN$75</c:f>
              <c:numCache>
                <c:formatCode>General</c:formatCode>
                <c:ptCount val="1"/>
                <c:pt idx="0">
                  <c:v>0.42915956387102033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A-2140-BDC7-090FEA40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Epididymal WAT weight</a:t>
                </a:r>
              </a:p>
              <a:p>
                <a:pPr>
                  <a:defRPr sz="1200" b="1"/>
                </a:pPr>
                <a:r>
                  <a:rPr lang="en-US" sz="1200" b="1"/>
                  <a:t>(%-BW)</a:t>
                </a:r>
              </a:p>
            </c:rich>
          </c:tx>
          <c:layout>
            <c:manualLayout>
              <c:xMode val="edge"/>
              <c:yMode val="edge"/>
              <c:x val="4.8065771190365911E-2"/>
              <c:y val="0.266615590378701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Retroperitoneal WAT</a:t>
            </a:r>
          </a:p>
        </c:rich>
      </c:tx>
      <c:layout>
        <c:manualLayout>
          <c:xMode val="edge"/>
          <c:yMode val="edge"/>
          <c:x val="1.109133245503845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05051255385528"/>
          <c:y val="0.21931676828334201"/>
          <c:w val="0.62269766750854261"/>
          <c:h val="0.71822053371733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(Both)'!$AP$15</c:f>
                <c:numCache>
                  <c:formatCode>General</c:formatCode>
                  <c:ptCount val="1"/>
                  <c:pt idx="0">
                    <c:v>1.8267848415023703E-3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(Both)'!$AQ$14</c:f>
              <c:numCache>
                <c:formatCode>General</c:formatCode>
                <c:ptCount val="1"/>
                <c:pt idx="0">
                  <c:v>8.7040057911382265E-2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2-A444-9434-169405527F7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(Both)'!$AQ$27</c:f>
                <c:numCache>
                  <c:formatCode>General</c:formatCode>
                  <c:ptCount val="1"/>
                  <c:pt idx="0">
                    <c:v>2.8299670519608251E-2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(Both)'!$AQ$26</c:f>
              <c:numCache>
                <c:formatCode>0.0000000</c:formatCode>
                <c:ptCount val="1"/>
                <c:pt idx="0">
                  <c:v>0.16038778272486592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2-A444-9434-169405527F7A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(Both)'!$AQ$40</c:f>
                <c:numCache>
                  <c:formatCode>General</c:formatCode>
                  <c:ptCount val="1"/>
                  <c:pt idx="0">
                    <c:v>1.8429388786419938E-2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(Both)'!$AQ$39</c:f>
              <c:numCache>
                <c:formatCode>General</c:formatCode>
                <c:ptCount val="1"/>
                <c:pt idx="0">
                  <c:v>0.117488229091101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2-A444-9434-169405527F7A}"/>
            </c:ext>
          </c:extLst>
        </c:ser>
        <c:ser>
          <c:idx val="3"/>
          <c:order val="3"/>
          <c:invertIfNegative val="0"/>
          <c:val>
            <c:numRef>
              <c:f>'Data Summary (Both)'!$AR$94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B32-A444-9434-169405527F7A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(Both)'!$AQ$52</c:f>
                <c:numCache>
                  <c:formatCode>General</c:formatCode>
                  <c:ptCount val="1"/>
                  <c:pt idx="0">
                    <c:v>6.7833635916900439E-3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(Both)'!$AQ$51</c:f>
              <c:numCache>
                <c:formatCode>General</c:formatCode>
                <c:ptCount val="1"/>
                <c:pt idx="0">
                  <c:v>8.7251353220645159E-2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32-A444-9434-169405527F7A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(Both)'!$AQ$63</c:f>
                <c:numCache>
                  <c:formatCode>General</c:formatCode>
                  <c:ptCount val="1"/>
                  <c:pt idx="0">
                    <c:v>1.1030277825782321E-2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(Both)'!$AQ$62</c:f>
              <c:numCache>
                <c:formatCode>General</c:formatCode>
                <c:ptCount val="1"/>
                <c:pt idx="0">
                  <c:v>8.5534295884762704E-2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32-A444-9434-169405527F7A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(Both)'!$AQ$76</c:f>
                <c:numCache>
                  <c:formatCode>General</c:formatCode>
                  <c:ptCount val="1"/>
                  <c:pt idx="0">
                    <c:v>1.2790276103494355E-2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(Both)'!$AQ$75</c:f>
              <c:numCache>
                <c:formatCode>General</c:formatCode>
                <c:ptCount val="1"/>
                <c:pt idx="0">
                  <c:v>9.5213841155759288E-2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32-A444-9434-16940552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Retroperitoneal WAT weight</a:t>
                </a:r>
              </a:p>
              <a:p>
                <a:pPr>
                  <a:defRPr sz="1200" b="1"/>
                </a:pPr>
                <a:r>
                  <a:rPr lang="en-US" sz="1200" b="1"/>
                  <a:t>(%-BW)</a:t>
                </a:r>
              </a:p>
            </c:rich>
          </c:tx>
          <c:layout>
            <c:manualLayout>
              <c:xMode val="edge"/>
              <c:yMode val="edge"/>
              <c:x val="2.7368628570612008E-2"/>
              <c:y val="0.21518387463667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Interscapular BAT</a:t>
            </a:r>
          </a:p>
        </c:rich>
      </c:tx>
      <c:layout>
        <c:manualLayout>
          <c:xMode val="edge"/>
          <c:yMode val="edge"/>
          <c:x val="3.0546585373326388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78249888575253"/>
          <c:y val="0.21154988927165355"/>
          <c:w val="0.67657643737928985"/>
          <c:h val="0.725972256397637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(Both)'!$AX$15</c:f>
                <c:numCache>
                  <c:formatCode>General</c:formatCode>
                  <c:ptCount val="1"/>
                  <c:pt idx="0">
                    <c:v>1.6384761524987076E-2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(Both)'!$AX$14</c:f>
              <c:numCache>
                <c:formatCode>0.0000000</c:formatCode>
                <c:ptCount val="1"/>
                <c:pt idx="0">
                  <c:v>0.40884660350330909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B-3C43-97FF-C5D34777CCD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(Both)'!$AX$27</c:f>
                <c:numCache>
                  <c:formatCode>General</c:formatCode>
                  <c:ptCount val="1"/>
                  <c:pt idx="0">
                    <c:v>3.3355979517734134E-2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(Both)'!$AX$26</c:f>
              <c:numCache>
                <c:formatCode>0.0000000</c:formatCode>
                <c:ptCount val="1"/>
                <c:pt idx="0">
                  <c:v>0.53194245322864031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B-3C43-97FF-C5D34777CCD2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(Both)'!$AX$40</c:f>
                <c:numCache>
                  <c:formatCode>General</c:formatCode>
                  <c:ptCount val="1"/>
                  <c:pt idx="0">
                    <c:v>2.6019726579928501E-2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(Both)'!$AX$39</c:f>
              <c:numCache>
                <c:formatCode>General</c:formatCode>
                <c:ptCount val="1"/>
                <c:pt idx="0">
                  <c:v>0.43541893626825712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B-3C43-97FF-C5D34777CCD2}"/>
            </c:ext>
          </c:extLst>
        </c:ser>
        <c:ser>
          <c:idx val="3"/>
          <c:order val="3"/>
          <c:invertIfNegative val="0"/>
          <c:val>
            <c:numRef>
              <c:f>'Data Summary (Both)'!$AX$95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1C4B-3C43-97FF-C5D34777CCD2}"/>
            </c:ext>
          </c:extLst>
        </c:ser>
        <c:ser>
          <c:idx val="4"/>
          <c:order val="4"/>
          <c:spPr>
            <a:solidFill>
              <a:srgbClr val="64AAFF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(Both)'!$AX$52</c:f>
                <c:numCache>
                  <c:formatCode>General</c:formatCode>
                  <c:ptCount val="1"/>
                  <c:pt idx="0">
                    <c:v>1.896803354472501E-2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(Both)'!$AX$51</c:f>
              <c:numCache>
                <c:formatCode>General</c:formatCode>
                <c:ptCount val="1"/>
                <c:pt idx="0">
                  <c:v>0.43058441654055168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B-3C43-97FF-C5D34777CCD2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(Both)'!$AX$63</c:f>
                <c:numCache>
                  <c:formatCode>General</c:formatCode>
                  <c:ptCount val="1"/>
                  <c:pt idx="0">
                    <c:v>3.7670169602731243E-2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(Both)'!$AX$62</c:f>
              <c:numCache>
                <c:formatCode>General</c:formatCode>
                <c:ptCount val="1"/>
                <c:pt idx="0">
                  <c:v>0.42629870966087891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B-3C43-97FF-C5D34777CCD2}"/>
            </c:ext>
          </c:extLst>
        </c:ser>
        <c:ser>
          <c:idx val="6"/>
          <c:order val="6"/>
          <c:spPr>
            <a:solidFill>
              <a:srgbClr val="39C841"/>
            </a:solidFill>
            <a:ln w="12700"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(Both)'!$AX$76</c:f>
                <c:numCache>
                  <c:formatCode>General</c:formatCode>
                  <c:ptCount val="1"/>
                  <c:pt idx="0">
                    <c:v>1.9221710341340102E-2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(Both)'!$AX$75</c:f>
              <c:numCache>
                <c:formatCode>General</c:formatCode>
                <c:ptCount val="1"/>
                <c:pt idx="0">
                  <c:v>0.42499807695003544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B-3C43-97FF-C5D34777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Interscapular BAT weight</a:t>
                </a:r>
              </a:p>
              <a:p>
                <a:pPr>
                  <a:defRPr sz="1200" b="1"/>
                </a:pPr>
                <a:r>
                  <a:rPr lang="en-US" sz="1200" b="1"/>
                  <a:t>(%-BW)</a:t>
                </a:r>
              </a:p>
            </c:rich>
          </c:tx>
          <c:layout>
            <c:manualLayout>
              <c:xMode val="edge"/>
              <c:yMode val="edge"/>
              <c:x val="4.4029346126276236E-2"/>
              <c:y val="0.21518387463667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N  Germinal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397664218147225"/>
          <c:y val="0.17360099634813078"/>
          <c:w val="0.67627648892881675"/>
          <c:h val="0.767827363989734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(Both)'!$R$15</c:f>
                <c:numCache>
                  <c:formatCode>General</c:formatCode>
                  <c:ptCount val="1"/>
                  <c:pt idx="0">
                    <c:v>0.75188572459991443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(Both)'!$R$14</c:f>
              <c:numCache>
                <c:formatCode>General</c:formatCode>
                <c:ptCount val="1"/>
                <c:pt idx="0">
                  <c:v>11.495000000000001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D347-9586-AD00A2105C0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(Both)'!$R$27</c:f>
                <c:numCache>
                  <c:formatCode>General</c:formatCode>
                  <c:ptCount val="1"/>
                  <c:pt idx="0">
                    <c:v>0.67383215772602678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(Both)'!$R$26</c:f>
              <c:numCache>
                <c:formatCode>General</c:formatCode>
                <c:ptCount val="1"/>
                <c:pt idx="0">
                  <c:v>10.046250000000001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D347-9586-AD00A2105C0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(Both)'!$R$40</c:f>
                <c:numCache>
                  <c:formatCode>General</c:formatCode>
                  <c:ptCount val="1"/>
                  <c:pt idx="0">
                    <c:v>0.60667418885970026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(Both)'!$R$39</c:f>
              <c:numCache>
                <c:formatCode>General</c:formatCode>
                <c:ptCount val="1"/>
                <c:pt idx="0">
                  <c:v>10.764999999999999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5-D347-9586-AD00A2105C0F}"/>
            </c:ext>
          </c:extLst>
        </c:ser>
        <c:ser>
          <c:idx val="3"/>
          <c:order val="3"/>
          <c:invertIfNegative val="0"/>
          <c:val>
            <c:numRef>
              <c:f>'Data Summary (Both)'!$C$94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B75-D347-9586-AD00A2105C0F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(Both)'!$R$52</c:f>
                <c:numCache>
                  <c:formatCode>General</c:formatCode>
                  <c:ptCount val="1"/>
                  <c:pt idx="0">
                    <c:v>0.77137643530138622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(Both)'!$R$51</c:f>
              <c:numCache>
                <c:formatCode>General</c:formatCode>
                <c:ptCount val="1"/>
                <c:pt idx="0">
                  <c:v>11.407777777777776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75-D347-9586-AD00A2105C0F}"/>
            </c:ext>
          </c:extLst>
        </c:ser>
        <c:ser>
          <c:idx val="5"/>
          <c:order val="5"/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B75-D347-9586-AD00A2105C0F}"/>
              </c:ext>
            </c:extLst>
          </c:dPt>
          <c:errBars>
            <c:errBarType val="plus"/>
            <c:errValType val="cust"/>
            <c:noEndCap val="0"/>
            <c:plus>
              <c:numRef>
                <c:f>'Data Summary (Both)'!$R$63</c:f>
                <c:numCache>
                  <c:formatCode>General</c:formatCode>
                  <c:ptCount val="1"/>
                  <c:pt idx="0">
                    <c:v>1.583392455036549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(Both)'!$R$62</c:f>
              <c:numCache>
                <c:formatCode>General</c:formatCode>
                <c:ptCount val="1"/>
                <c:pt idx="0">
                  <c:v>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5-D347-9586-AD00A2105C0F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(Both)'!$R$76</c:f>
                <c:numCache>
                  <c:formatCode>General</c:formatCode>
                  <c:ptCount val="1"/>
                  <c:pt idx="0">
                    <c:v>0.82557109562324915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(Both)'!$R$75</c:f>
              <c:numCache>
                <c:formatCode>General</c:formatCode>
                <c:ptCount val="1"/>
                <c:pt idx="0">
                  <c:v>10.40625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75-D347-9586-AD00A210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Germinal zone width (µm)</a:t>
                </a:r>
              </a:p>
            </c:rich>
          </c:tx>
          <c:layout>
            <c:manualLayout>
              <c:xMode val="edge"/>
              <c:yMode val="edge"/>
              <c:x val="3.8328753368916134E-2"/>
              <c:y val="0.176084830318254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M  IGF-1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58478095141684"/>
          <c:y val="0.20764358499305238"/>
          <c:w val="0.6195879024378271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(Both)'!$U$15</c:f>
                <c:numCache>
                  <c:formatCode>General</c:formatCode>
                  <c:ptCount val="1"/>
                  <c:pt idx="0">
                    <c:v>251.75476594443182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(Both)'!$U$14</c:f>
              <c:numCache>
                <c:formatCode>General</c:formatCode>
                <c:ptCount val="1"/>
                <c:pt idx="0">
                  <c:v>2600.4983488086027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7-134B-9023-39CCA366B8A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(Both)'!$U$27</c:f>
                <c:numCache>
                  <c:formatCode>General</c:formatCode>
                  <c:ptCount val="1"/>
                  <c:pt idx="0">
                    <c:v>373.20826658939978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(Both)'!$U$26</c:f>
              <c:numCache>
                <c:formatCode>General</c:formatCode>
                <c:ptCount val="1"/>
                <c:pt idx="0">
                  <c:v>2702.6040079746513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7-134B-9023-39CCA366B8A9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(Both)'!$U$40</c:f>
                <c:numCache>
                  <c:formatCode>General</c:formatCode>
                  <c:ptCount val="1"/>
                  <c:pt idx="0">
                    <c:v>692.87803886593247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(Both)'!$U$39</c:f>
              <c:numCache>
                <c:formatCode>General</c:formatCode>
                <c:ptCount val="1"/>
                <c:pt idx="0">
                  <c:v>3082.330509335914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7-134B-9023-39CCA366B8A9}"/>
            </c:ext>
          </c:extLst>
        </c:ser>
        <c:ser>
          <c:idx val="3"/>
          <c:order val="3"/>
          <c:invertIfNegative val="0"/>
          <c:val>
            <c:numRef>
              <c:f>'Data Summary (Both)'!$R$93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A07-134B-9023-39CCA366B8A9}"/>
            </c:ext>
          </c:extLst>
        </c:ser>
        <c:ser>
          <c:idx val="4"/>
          <c:order val="4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(Both)'!$U$52</c:f>
                <c:numCache>
                  <c:formatCode>General</c:formatCode>
                  <c:ptCount val="1"/>
                  <c:pt idx="0">
                    <c:v>170.74861171404424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(Both)'!$U$51</c:f>
              <c:numCache>
                <c:formatCode>General</c:formatCode>
                <c:ptCount val="1"/>
                <c:pt idx="0">
                  <c:v>2185.6886118464945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7-134B-9023-39CCA366B8A9}"/>
            </c:ext>
          </c:extLst>
        </c:ser>
        <c:ser>
          <c:idx val="5"/>
          <c:order val="5"/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(Both)'!$U$63</c:f>
                <c:numCache>
                  <c:formatCode>General</c:formatCode>
                  <c:ptCount val="1"/>
                  <c:pt idx="0">
                    <c:v>265.84139540052269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(Both)'!$U$62</c:f>
              <c:numCache>
                <c:formatCode>General</c:formatCode>
                <c:ptCount val="1"/>
                <c:pt idx="0">
                  <c:v>1865.5093710154129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07-134B-9023-39CCA366B8A9}"/>
            </c:ext>
          </c:extLst>
        </c:ser>
        <c:ser>
          <c:idx val="6"/>
          <c:order val="6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(Both)'!$U$76</c:f>
                <c:numCache>
                  <c:formatCode>General</c:formatCode>
                  <c:ptCount val="1"/>
                  <c:pt idx="0">
                    <c:v>275.76472787500342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(Both)'!$U$75</c:f>
              <c:numCache>
                <c:formatCode>General</c:formatCode>
                <c:ptCount val="1"/>
                <c:pt idx="0">
                  <c:v>1956.4046861548775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7-134B-9023-39CCA366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Plasma [IGF-1] (ng/ml)</a:t>
                </a:r>
              </a:p>
            </c:rich>
          </c:tx>
          <c:layout>
            <c:manualLayout>
              <c:xMode val="edge"/>
              <c:yMode val="edge"/>
              <c:x val="3.8328767114926179E-2"/>
              <c:y val="0.268188326391550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Skeletal Growth Rate</a:t>
            </a:r>
          </a:p>
        </c:rich>
      </c:tx>
      <c:layout>
        <c:manualLayout>
          <c:xMode val="edge"/>
          <c:yMode val="edge"/>
          <c:x val="1.1199127161801898E-2"/>
          <c:y val="1.2164822002391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60936874416123"/>
          <c:y val="0.16614995463454588"/>
          <c:w val="0.68399546243160281"/>
          <c:h val="0.775278457633370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5DBF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(Both)'!$Q$15</c:f>
                <c:numCache>
                  <c:formatCode>General</c:formatCode>
                  <c:ptCount val="1"/>
                  <c:pt idx="0">
                    <c:v>1.9557711645829847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(Both)'!$Q$14</c:f>
              <c:numCache>
                <c:formatCode>General</c:formatCode>
                <c:ptCount val="1"/>
                <c:pt idx="0">
                  <c:v>82.241249999999994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1342-B5CD-4439CA01C40F}"/>
            </c:ext>
          </c:extLst>
        </c:ser>
        <c:ser>
          <c:idx val="1"/>
          <c:order val="1"/>
          <c:spPr>
            <a:solidFill>
              <a:srgbClr val="36C9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(Both)'!$Q$27</c:f>
                <c:numCache>
                  <c:formatCode>General</c:formatCode>
                  <c:ptCount val="1"/>
                  <c:pt idx="0">
                    <c:v>1.3502631191998942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(Both)'!$Q$26</c:f>
              <c:numCache>
                <c:formatCode>General</c:formatCode>
                <c:ptCount val="1"/>
                <c:pt idx="0">
                  <c:v>79.576249999999987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9-1342-B5CD-4439CA01C40F}"/>
            </c:ext>
          </c:extLst>
        </c:ser>
        <c:ser>
          <c:idx val="2"/>
          <c:order val="2"/>
          <c:spPr>
            <a:solidFill>
              <a:srgbClr val="E811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(Both)'!$Q$40</c:f>
                <c:numCache>
                  <c:formatCode>General</c:formatCode>
                  <c:ptCount val="1"/>
                  <c:pt idx="0">
                    <c:v>3.2305444794846228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(Both)'!$Q$39</c:f>
              <c:numCache>
                <c:formatCode>General</c:formatCode>
                <c:ptCount val="1"/>
                <c:pt idx="0">
                  <c:v>93.433750000000003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9-1342-B5CD-4439CA01C40F}"/>
            </c:ext>
          </c:extLst>
        </c:ser>
        <c:ser>
          <c:idx val="3"/>
          <c:order val="3"/>
          <c:invertIfNegative val="0"/>
          <c:val>
            <c:numRef>
              <c:f>'Data Summary (Both)'!$R$94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7769-1342-B5CD-4439CA01C40F}"/>
            </c:ext>
          </c:extLst>
        </c:ser>
        <c:ser>
          <c:idx val="4"/>
          <c:order val="4"/>
          <c:spPr>
            <a:solidFill>
              <a:srgbClr val="C5DBF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(Both)'!$Q$52</c:f>
                <c:numCache>
                  <c:formatCode>General</c:formatCode>
                  <c:ptCount val="1"/>
                  <c:pt idx="0">
                    <c:v>1.3087525867532539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(Both)'!$Q$51</c:f>
              <c:numCache>
                <c:formatCode>General</c:formatCode>
                <c:ptCount val="1"/>
                <c:pt idx="0">
                  <c:v>83.723333333333343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9-1342-B5CD-4439CA01C40F}"/>
            </c:ext>
          </c:extLst>
        </c:ser>
        <c:ser>
          <c:idx val="5"/>
          <c:order val="5"/>
          <c:spPr>
            <a:solidFill>
              <a:srgbClr val="36C94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(Both)'!$Q$63</c:f>
                <c:numCache>
                  <c:formatCode>General</c:formatCode>
                  <c:ptCount val="1"/>
                  <c:pt idx="0">
                    <c:v>3.2424452364089538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(Both)'!$Q$62</c:f>
              <c:numCache>
                <c:formatCode>General</c:formatCode>
                <c:ptCount val="1"/>
                <c:pt idx="0">
                  <c:v>88.046666666666667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69-1342-B5CD-4439CA01C40F}"/>
            </c:ext>
          </c:extLst>
        </c:ser>
        <c:ser>
          <c:idx val="6"/>
          <c:order val="6"/>
          <c:spPr>
            <a:solidFill>
              <a:srgbClr val="E8115C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(Both)'!$Q$76</c:f>
                <c:numCache>
                  <c:formatCode>General</c:formatCode>
                  <c:ptCount val="1"/>
                  <c:pt idx="0">
                    <c:v>3.0294317816453398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(Both)'!$Q$75</c:f>
              <c:numCache>
                <c:formatCode>General</c:formatCode>
                <c:ptCount val="1"/>
                <c:pt idx="0">
                  <c:v>87.436250000000001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9-1342-B5CD-4439CA01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epiphyseal plate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width (µm)</a:t>
                </a:r>
              </a:p>
            </c:rich>
          </c:tx>
          <c:layout>
            <c:manualLayout>
              <c:xMode val="edge"/>
              <c:yMode val="edge"/>
              <c:x val="1.7878286400640594E-2"/>
              <c:y val="0.22737002065079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I  Cumulative Caloric Intake (WT)</a:t>
            </a:r>
          </a:p>
        </c:rich>
      </c:tx>
      <c:layout>
        <c:manualLayout>
          <c:xMode val="edge"/>
          <c:yMode val="edge"/>
          <c:x val="9.7064776259269125E-3"/>
          <c:y val="2.8504130528813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4036792393229"/>
          <c:y val="0.16830875569246134"/>
          <c:w val="0.82885909063347263"/>
          <c:h val="0.64024333944558298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intake'!$S$92:$S$113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0.59764310118343889</c:v>
                  </c:pt>
                  <c:pt idx="2">
                    <c:v>1.0827870666180173</c:v>
                  </c:pt>
                  <c:pt idx="3">
                    <c:v>1.5588749198056406</c:v>
                  </c:pt>
                  <c:pt idx="4">
                    <c:v>2.5757292529910192</c:v>
                  </c:pt>
                  <c:pt idx="5">
                    <c:v>3.7546193174374758</c:v>
                  </c:pt>
                  <c:pt idx="6">
                    <c:v>4.0472189274916479</c:v>
                  </c:pt>
                  <c:pt idx="7">
                    <c:v>4.4544276536668512</c:v>
                  </c:pt>
                  <c:pt idx="8">
                    <c:v>4.6151137290055857</c:v>
                  </c:pt>
                  <c:pt idx="9">
                    <c:v>4.6924744599886754</c:v>
                  </c:pt>
                  <c:pt idx="10">
                    <c:v>4.7892569651310097</c:v>
                  </c:pt>
                  <c:pt idx="11">
                    <c:v>4.8086734937809892</c:v>
                  </c:pt>
                  <c:pt idx="12">
                    <c:v>5.404337309721079</c:v>
                  </c:pt>
                  <c:pt idx="13">
                    <c:v>5.7554005253618907</c:v>
                  </c:pt>
                  <c:pt idx="14">
                    <c:v>6.6485557514038005</c:v>
                  </c:pt>
                  <c:pt idx="15">
                    <c:v>6.8864307509830676</c:v>
                  </c:pt>
                  <c:pt idx="16">
                    <c:v>6.7011590172640636</c:v>
                  </c:pt>
                  <c:pt idx="17">
                    <c:v>7.221414293552022</c:v>
                  </c:pt>
                  <c:pt idx="18">
                    <c:v>8.265616956523175</c:v>
                  </c:pt>
                  <c:pt idx="19">
                    <c:v>8.8577499068117351</c:v>
                  </c:pt>
                  <c:pt idx="20">
                    <c:v>9.3448586709924708</c:v>
                  </c:pt>
                  <c:pt idx="21">
                    <c:v>10.146992212742376</c:v>
                  </c:pt>
                </c:numCache>
              </c:numRef>
            </c:plus>
            <c:minus>
              <c:numRef>
                <c:f>'(WT) Food intake'!$S$92:$S$113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0.59764310118343889</c:v>
                  </c:pt>
                  <c:pt idx="2">
                    <c:v>1.0827870666180173</c:v>
                  </c:pt>
                  <c:pt idx="3">
                    <c:v>1.5588749198056406</c:v>
                  </c:pt>
                  <c:pt idx="4">
                    <c:v>2.5757292529910192</c:v>
                  </c:pt>
                  <c:pt idx="5">
                    <c:v>3.7546193174374758</c:v>
                  </c:pt>
                  <c:pt idx="6">
                    <c:v>4.0472189274916479</c:v>
                  </c:pt>
                  <c:pt idx="7">
                    <c:v>4.4544276536668512</c:v>
                  </c:pt>
                  <c:pt idx="8">
                    <c:v>4.6151137290055857</c:v>
                  </c:pt>
                  <c:pt idx="9">
                    <c:v>4.6924744599886754</c:v>
                  </c:pt>
                  <c:pt idx="10">
                    <c:v>4.7892569651310097</c:v>
                  </c:pt>
                  <c:pt idx="11">
                    <c:v>4.8086734937809892</c:v>
                  </c:pt>
                  <c:pt idx="12">
                    <c:v>5.404337309721079</c:v>
                  </c:pt>
                  <c:pt idx="13">
                    <c:v>5.7554005253618907</c:v>
                  </c:pt>
                  <c:pt idx="14">
                    <c:v>6.6485557514038005</c:v>
                  </c:pt>
                  <c:pt idx="15">
                    <c:v>6.8864307509830676</c:v>
                  </c:pt>
                  <c:pt idx="16">
                    <c:v>6.7011590172640636</c:v>
                  </c:pt>
                  <c:pt idx="17">
                    <c:v>7.221414293552022</c:v>
                  </c:pt>
                  <c:pt idx="18">
                    <c:v>8.265616956523175</c:v>
                  </c:pt>
                  <c:pt idx="19">
                    <c:v>8.8577499068117351</c:v>
                  </c:pt>
                  <c:pt idx="20">
                    <c:v>9.3448586709924708</c:v>
                  </c:pt>
                  <c:pt idx="21">
                    <c:v>10.146992212742376</c:v>
                  </c:pt>
                </c:numCache>
              </c:numRef>
            </c:minus>
          </c:errBars>
          <c:xVal>
            <c:numRef>
              <c:f>'(WT) Food intake'!$Q$92:$Q$113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intake'!$R$92:$R$113</c:f>
              <c:numCache>
                <c:formatCode>General</c:formatCode>
                <c:ptCount val="22"/>
                <c:pt idx="0">
                  <c:v>0</c:v>
                </c:pt>
                <c:pt idx="1">
                  <c:v>13.077909887304607</c:v>
                </c:pt>
                <c:pt idx="2" formatCode="0.00">
                  <c:v>27.500872355096405</c:v>
                </c:pt>
                <c:pt idx="3">
                  <c:v>41.746615057215891</c:v>
                </c:pt>
                <c:pt idx="4">
                  <c:v>56.292268132011586</c:v>
                </c:pt>
                <c:pt idx="5">
                  <c:v>70.865185786141481</c:v>
                </c:pt>
                <c:pt idx="6">
                  <c:v>86.996728558876455</c:v>
                </c:pt>
                <c:pt idx="7">
                  <c:v>104.68235235366087</c:v>
                </c:pt>
                <c:pt idx="8">
                  <c:v>119.79147340136335</c:v>
                </c:pt>
                <c:pt idx="9">
                  <c:v>136.35016125033417</c:v>
                </c:pt>
                <c:pt idx="10">
                  <c:v>152.22269051939426</c:v>
                </c:pt>
                <c:pt idx="11">
                  <c:v>169.90831431417863</c:v>
                </c:pt>
                <c:pt idx="12">
                  <c:v>186.30795878369995</c:v>
                </c:pt>
                <c:pt idx="13">
                  <c:v>206.59893430337218</c:v>
                </c:pt>
                <c:pt idx="14">
                  <c:v>220.56294301903824</c:v>
                </c:pt>
                <c:pt idx="15">
                  <c:v>234.73143607971085</c:v>
                </c:pt>
                <c:pt idx="16">
                  <c:v>247.51397969089496</c:v>
                </c:pt>
                <c:pt idx="17">
                  <c:v>262.25048482103006</c:v>
                </c:pt>
                <c:pt idx="18">
                  <c:v>277.77311865530129</c:v>
                </c:pt>
                <c:pt idx="19">
                  <c:v>294.26364505593654</c:v>
                </c:pt>
                <c:pt idx="20">
                  <c:v>307.97318436448342</c:v>
                </c:pt>
                <c:pt idx="21">
                  <c:v>322.3188971908283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1-493A-B3DC-C5851B6B820B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intake'!$U$92:$U$113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0.77846848243255007</c:v>
                  </c:pt>
                  <c:pt idx="2">
                    <c:v>0.55989676460062932</c:v>
                  </c:pt>
                  <c:pt idx="3">
                    <c:v>1.251872976228483</c:v>
                  </c:pt>
                  <c:pt idx="4">
                    <c:v>2.0892229160907467</c:v>
                  </c:pt>
                  <c:pt idx="5">
                    <c:v>3.121832130139794</c:v>
                  </c:pt>
                  <c:pt idx="6">
                    <c:v>4.7018392467747141</c:v>
                  </c:pt>
                  <c:pt idx="7">
                    <c:v>6.0695202615935786</c:v>
                  </c:pt>
                  <c:pt idx="8">
                    <c:v>6.1477384903614052</c:v>
                  </c:pt>
                  <c:pt idx="9">
                    <c:v>6.1878535274804198</c:v>
                  </c:pt>
                  <c:pt idx="10">
                    <c:v>6.367125473457083</c:v>
                  </c:pt>
                  <c:pt idx="11">
                    <c:v>6.4641533134642115</c:v>
                  </c:pt>
                  <c:pt idx="12">
                    <c:v>8.0326171031367011</c:v>
                  </c:pt>
                  <c:pt idx="13">
                    <c:v>8.8657504187084477</c:v>
                  </c:pt>
                  <c:pt idx="14">
                    <c:v>10.296717029295539</c:v>
                  </c:pt>
                  <c:pt idx="15">
                    <c:v>11.163172666080527</c:v>
                  </c:pt>
                  <c:pt idx="16">
                    <c:v>12.218228799881171</c:v>
                  </c:pt>
                  <c:pt idx="17">
                    <c:v>12.302803004781403</c:v>
                  </c:pt>
                  <c:pt idx="18">
                    <c:v>12.793587347250321</c:v>
                  </c:pt>
                  <c:pt idx="19">
                    <c:v>12.698449815278604</c:v>
                  </c:pt>
                  <c:pt idx="20">
                    <c:v>12.815831337184575</c:v>
                  </c:pt>
                  <c:pt idx="21">
                    <c:v>12.896921817846122</c:v>
                  </c:pt>
                </c:numCache>
              </c:numRef>
            </c:plus>
            <c:minus>
              <c:numRef>
                <c:f>'(WT) Food intake'!$U$92:$U$113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0.77846848243255007</c:v>
                  </c:pt>
                  <c:pt idx="2">
                    <c:v>0.55989676460062932</c:v>
                  </c:pt>
                  <c:pt idx="3">
                    <c:v>1.251872976228483</c:v>
                  </c:pt>
                  <c:pt idx="4">
                    <c:v>2.0892229160907467</c:v>
                  </c:pt>
                  <c:pt idx="5">
                    <c:v>3.121832130139794</c:v>
                  </c:pt>
                  <c:pt idx="6">
                    <c:v>4.7018392467747141</c:v>
                  </c:pt>
                  <c:pt idx="7">
                    <c:v>6.0695202615935786</c:v>
                  </c:pt>
                  <c:pt idx="8">
                    <c:v>6.1477384903614052</c:v>
                  </c:pt>
                  <c:pt idx="9">
                    <c:v>6.1878535274804198</c:v>
                  </c:pt>
                  <c:pt idx="10">
                    <c:v>6.367125473457083</c:v>
                  </c:pt>
                  <c:pt idx="11">
                    <c:v>6.4641533134642115</c:v>
                  </c:pt>
                  <c:pt idx="12">
                    <c:v>8.0326171031367011</c:v>
                  </c:pt>
                  <c:pt idx="13">
                    <c:v>8.8657504187084477</c:v>
                  </c:pt>
                  <c:pt idx="14">
                    <c:v>10.296717029295539</c:v>
                  </c:pt>
                  <c:pt idx="15">
                    <c:v>11.163172666080527</c:v>
                  </c:pt>
                  <c:pt idx="16">
                    <c:v>12.218228799881171</c:v>
                  </c:pt>
                  <c:pt idx="17">
                    <c:v>12.302803004781403</c:v>
                  </c:pt>
                  <c:pt idx="18">
                    <c:v>12.793587347250321</c:v>
                  </c:pt>
                  <c:pt idx="19">
                    <c:v>12.698449815278604</c:v>
                  </c:pt>
                  <c:pt idx="20">
                    <c:v>12.815831337184575</c:v>
                  </c:pt>
                  <c:pt idx="21">
                    <c:v>12.896921817846122</c:v>
                  </c:pt>
                </c:numCache>
              </c:numRef>
            </c:minus>
          </c:errBars>
          <c:xVal>
            <c:numRef>
              <c:f>'(WT) Food intake'!$Q$92:$Q$113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intake'!$T$92:$T$113</c:f>
              <c:numCache>
                <c:formatCode>General</c:formatCode>
                <c:ptCount val="22"/>
                <c:pt idx="0">
                  <c:v>0</c:v>
                </c:pt>
                <c:pt idx="1">
                  <c:v>14.704696454245182</c:v>
                </c:pt>
                <c:pt idx="2">
                  <c:v>31.536030096558015</c:v>
                </c:pt>
                <c:pt idx="3">
                  <c:v>49.457946912238796</c:v>
                </c:pt>
                <c:pt idx="4">
                  <c:v>66.780042982567181</c:v>
                </c:pt>
                <c:pt idx="5">
                  <c:v>83.970360252780267</c:v>
                </c:pt>
                <c:pt idx="6">
                  <c:v>101.34244138522131</c:v>
                </c:pt>
                <c:pt idx="7">
                  <c:v>116.86507521949252</c:v>
                </c:pt>
                <c:pt idx="8">
                  <c:v>132.01963723275202</c:v>
                </c:pt>
                <c:pt idx="9">
                  <c:v>147.2321364770967</c:v>
                </c:pt>
                <c:pt idx="10">
                  <c:v>163.12625020479638</c:v>
                </c:pt>
                <c:pt idx="11">
                  <c:v>176.8982708409842</c:v>
                </c:pt>
                <c:pt idx="12">
                  <c:v>190.42945435971984</c:v>
                </c:pt>
                <c:pt idx="13">
                  <c:v>206.17294935986456</c:v>
                </c:pt>
                <c:pt idx="14">
                  <c:v>218.14664378413406</c:v>
                </c:pt>
                <c:pt idx="15">
                  <c:v>233.0421922937187</c:v>
                </c:pt>
                <c:pt idx="16">
                  <c:v>249.55089508057682</c:v>
                </c:pt>
                <c:pt idx="17">
                  <c:v>263.07412643034002</c:v>
                </c:pt>
                <c:pt idx="18">
                  <c:v>276.82910670444403</c:v>
                </c:pt>
                <c:pt idx="19">
                  <c:v>290.70450553727392</c:v>
                </c:pt>
                <c:pt idx="20">
                  <c:v>303.75287879696646</c:v>
                </c:pt>
                <c:pt idx="21">
                  <c:v>318.03043017497583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1-493A-B3DC-C5851B6B820B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intake'!$W$92:$W$113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1.2049985958575307</c:v>
                  </c:pt>
                  <c:pt idx="2">
                    <c:v>1.7657501225342278</c:v>
                  </c:pt>
                  <c:pt idx="3">
                    <c:v>2.3505714028081117</c:v>
                  </c:pt>
                  <c:pt idx="4">
                    <c:v>2.9086173485821263</c:v>
                  </c:pt>
                  <c:pt idx="5">
                    <c:v>3.6328355955811302</c:v>
                  </c:pt>
                  <c:pt idx="6">
                    <c:v>4.0929054506314815</c:v>
                  </c:pt>
                  <c:pt idx="7">
                    <c:v>4.2953608574150035</c:v>
                  </c:pt>
                  <c:pt idx="8">
                    <c:v>5.2632666879814396</c:v>
                  </c:pt>
                  <c:pt idx="9">
                    <c:v>5.9099774810873962</c:v>
                  </c:pt>
                  <c:pt idx="10">
                    <c:v>5.946425161056422</c:v>
                  </c:pt>
                  <c:pt idx="11">
                    <c:v>6.8121099962904657</c:v>
                  </c:pt>
                  <c:pt idx="12">
                    <c:v>7.835862025278252</c:v>
                  </c:pt>
                  <c:pt idx="13">
                    <c:v>7.9988623222132311</c:v>
                  </c:pt>
                  <c:pt idx="14">
                    <c:v>7.7087742649252764</c:v>
                  </c:pt>
                  <c:pt idx="15">
                    <c:v>7.7212696718552047</c:v>
                  </c:pt>
                  <c:pt idx="16">
                    <c:v>8.0075104265512032</c:v>
                  </c:pt>
                  <c:pt idx="17">
                    <c:v>7.9625916161494947</c:v>
                  </c:pt>
                  <c:pt idx="18">
                    <c:v>8.5011514566599917</c:v>
                  </c:pt>
                  <c:pt idx="19">
                    <c:v>8.4171577019651362</c:v>
                  </c:pt>
                  <c:pt idx="20">
                    <c:v>8.7931181689622466</c:v>
                  </c:pt>
                  <c:pt idx="21" formatCode="0.00">
                    <c:v>8.904301094074853</c:v>
                  </c:pt>
                </c:numCache>
              </c:numRef>
            </c:plus>
            <c:minus>
              <c:numRef>
                <c:f>'(WT) Food intake'!$W$92:$W$113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1.2049985958575307</c:v>
                  </c:pt>
                  <c:pt idx="2">
                    <c:v>1.7657501225342278</c:v>
                  </c:pt>
                  <c:pt idx="3">
                    <c:v>2.3505714028081117</c:v>
                  </c:pt>
                  <c:pt idx="4">
                    <c:v>2.9086173485821263</c:v>
                  </c:pt>
                  <c:pt idx="5">
                    <c:v>3.6328355955811302</c:v>
                  </c:pt>
                  <c:pt idx="6">
                    <c:v>4.0929054506314815</c:v>
                  </c:pt>
                  <c:pt idx="7">
                    <c:v>4.2953608574150035</c:v>
                  </c:pt>
                  <c:pt idx="8">
                    <c:v>5.2632666879814396</c:v>
                  </c:pt>
                  <c:pt idx="9">
                    <c:v>5.9099774810873962</c:v>
                  </c:pt>
                  <c:pt idx="10">
                    <c:v>5.946425161056422</c:v>
                  </c:pt>
                  <c:pt idx="11">
                    <c:v>6.8121099962904657</c:v>
                  </c:pt>
                  <c:pt idx="12">
                    <c:v>7.835862025278252</c:v>
                  </c:pt>
                  <c:pt idx="13">
                    <c:v>7.9988623222132311</c:v>
                  </c:pt>
                  <c:pt idx="14">
                    <c:v>7.7087742649252764</c:v>
                  </c:pt>
                  <c:pt idx="15">
                    <c:v>7.7212696718552047</c:v>
                  </c:pt>
                  <c:pt idx="16">
                    <c:v>8.0075104265512032</c:v>
                  </c:pt>
                  <c:pt idx="17">
                    <c:v>7.9625916161494947</c:v>
                  </c:pt>
                  <c:pt idx="18">
                    <c:v>8.5011514566599917</c:v>
                  </c:pt>
                  <c:pt idx="19">
                    <c:v>8.4171577019651362</c:v>
                  </c:pt>
                  <c:pt idx="20">
                    <c:v>8.7931181689622466</c:v>
                  </c:pt>
                  <c:pt idx="21" formatCode="0.00">
                    <c:v>8.904301094074853</c:v>
                  </c:pt>
                </c:numCache>
              </c:numRef>
            </c:minus>
          </c:errBars>
          <c:xVal>
            <c:numRef>
              <c:f>'(WT) Food intake'!$Q$92:$Q$113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intake'!$V$92:$V$113</c:f>
              <c:numCache>
                <c:formatCode>General</c:formatCode>
                <c:ptCount val="22"/>
                <c:pt idx="0">
                  <c:v>0</c:v>
                </c:pt>
                <c:pt idx="1">
                  <c:v>8.8837087663934931</c:v>
                </c:pt>
                <c:pt idx="2">
                  <c:v>21.298180556565889</c:v>
                </c:pt>
                <c:pt idx="3">
                  <c:v>34.580574788876973</c:v>
                </c:pt>
                <c:pt idx="4">
                  <c:v>48.558215794210163</c:v>
                </c:pt>
                <c:pt idx="5">
                  <c:v>63.944526731810392</c:v>
                </c:pt>
                <c:pt idx="6">
                  <c:v>78.830987048283575</c:v>
                </c:pt>
                <c:pt idx="7">
                  <c:v>92.131557666817486</c:v>
                </c:pt>
                <c:pt idx="8">
                  <c:v>106.91350376250956</c:v>
                </c:pt>
                <c:pt idx="9" formatCode="0.00">
                  <c:v>121.47278912697236</c:v>
                </c:pt>
                <c:pt idx="10" formatCode="0.00">
                  <c:v>135.37772458741435</c:v>
                </c:pt>
                <c:pt idx="11" formatCode="0.00">
                  <c:v>148.5147077299431</c:v>
                </c:pt>
                <c:pt idx="12" formatCode="0.00">
                  <c:v>162.23333523160136</c:v>
                </c:pt>
                <c:pt idx="13" formatCode="0.00">
                  <c:v>178.49433440309633</c:v>
                </c:pt>
                <c:pt idx="14" formatCode="0.00">
                  <c:v>190.27490472374862</c:v>
                </c:pt>
                <c:pt idx="15" formatCode="0.00">
                  <c:v>203.85266523218013</c:v>
                </c:pt>
                <c:pt idx="16" formatCode="0.00">
                  <c:v>219.1708147214448</c:v>
                </c:pt>
                <c:pt idx="17" formatCode="0.00">
                  <c:v>232.9121627058816</c:v>
                </c:pt>
                <c:pt idx="18" formatCode="0.00">
                  <c:v>246.17638055196997</c:v>
                </c:pt>
                <c:pt idx="19" formatCode="0.00">
                  <c:v>258.84986584581725</c:v>
                </c:pt>
                <c:pt idx="20">
                  <c:v>271.94595211934472</c:v>
                </c:pt>
                <c:pt idx="21">
                  <c:v>285.75091745556131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1-493A-B3DC-C5851B6B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4202985109665649"/>
              <c:y val="0.92906636376050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Cumulative C/I (kcal)</a:t>
                </a:r>
              </a:p>
            </c:rich>
          </c:tx>
          <c:layout>
            <c:manualLayout>
              <c:xMode val="edge"/>
              <c:yMode val="edge"/>
              <c:x val="3.7593984962406013E-3"/>
              <c:y val="0.23705765764057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66004239"/>
        <c:crosses val="autoZero"/>
        <c:crossBetween val="midCat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68960439351022"/>
          <c:y val="0.19156739654118576"/>
          <c:w val="0.2807106348548537"/>
          <c:h val="0.185007586380469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Subcutaneous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034977992124617"/>
          <c:y val="0.21931676828334201"/>
          <c:w val="0.66204701234093943"/>
          <c:h val="0.71432948313367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5DBF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(Both)'!$AK$15</c:f>
                <c:numCache>
                  <c:formatCode>General</c:formatCode>
                  <c:ptCount val="1"/>
                  <c:pt idx="0">
                    <c:v>1.9601171203157585E-2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(Both)'!$AK$14</c:f>
              <c:numCache>
                <c:formatCode>General</c:formatCode>
                <c:ptCount val="1"/>
                <c:pt idx="0">
                  <c:v>0.34077459911008046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9-3147-A0AD-39F16940DB26}"/>
            </c:ext>
          </c:extLst>
        </c:ser>
        <c:ser>
          <c:idx val="1"/>
          <c:order val="1"/>
          <c:spPr>
            <a:solidFill>
              <a:srgbClr val="36C9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(Both)'!$AK$27</c:f>
                <c:numCache>
                  <c:formatCode>General</c:formatCode>
                  <c:ptCount val="1"/>
                  <c:pt idx="0">
                    <c:v>3.7744345007987748E-2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(Both)'!$AK$26</c:f>
              <c:numCache>
                <c:formatCode>0.0000000</c:formatCode>
                <c:ptCount val="1"/>
                <c:pt idx="0">
                  <c:v>0.46797224363917744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9-3147-A0AD-39F16940DB26}"/>
            </c:ext>
          </c:extLst>
        </c:ser>
        <c:ser>
          <c:idx val="2"/>
          <c:order val="2"/>
          <c:spPr>
            <a:solidFill>
              <a:srgbClr val="E811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(Both)'!$AK$40</c:f>
                <c:numCache>
                  <c:formatCode>General</c:formatCode>
                  <c:ptCount val="1"/>
                  <c:pt idx="0">
                    <c:v>4.0040552371603887E-2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(Both)'!$AK$39</c:f>
              <c:numCache>
                <c:formatCode>General</c:formatCode>
                <c:ptCount val="1"/>
                <c:pt idx="0">
                  <c:v>0.4419910094476226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9-3147-A0AD-39F16940DB26}"/>
            </c:ext>
          </c:extLst>
        </c:ser>
        <c:ser>
          <c:idx val="3"/>
          <c:order val="3"/>
          <c:invertIfNegative val="0"/>
          <c:val>
            <c:numRef>
              <c:f>'Data Summary (Both)'!$AF$94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D69-3147-A0AD-39F16940DB26}"/>
            </c:ext>
          </c:extLst>
        </c:ser>
        <c:ser>
          <c:idx val="4"/>
          <c:order val="4"/>
          <c:spPr>
            <a:solidFill>
              <a:srgbClr val="C5DBF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(Both)'!$AK$52</c:f>
                <c:numCache>
                  <c:formatCode>General</c:formatCode>
                  <c:ptCount val="1"/>
                  <c:pt idx="0">
                    <c:v>2.9430479387506338E-2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(Both)'!$AK$51</c:f>
              <c:numCache>
                <c:formatCode>General</c:formatCode>
                <c:ptCount val="1"/>
                <c:pt idx="0">
                  <c:v>0.37895542225988005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9-3147-A0AD-39F16940DB26}"/>
            </c:ext>
          </c:extLst>
        </c:ser>
        <c:ser>
          <c:idx val="5"/>
          <c:order val="5"/>
          <c:spPr>
            <a:solidFill>
              <a:srgbClr val="36C941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(Both)'!$AK$63</c:f>
                <c:numCache>
                  <c:formatCode>General</c:formatCode>
                  <c:ptCount val="1"/>
                  <c:pt idx="0">
                    <c:v>3.1236539948956876E-2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(Both)'!$AK$62</c:f>
              <c:numCache>
                <c:formatCode>General</c:formatCode>
                <c:ptCount val="1"/>
                <c:pt idx="0">
                  <c:v>0.34642431966155535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9-3147-A0AD-39F16940DB26}"/>
            </c:ext>
          </c:extLst>
        </c:ser>
        <c:ser>
          <c:idx val="6"/>
          <c:order val="6"/>
          <c:spPr>
            <a:solidFill>
              <a:srgbClr val="E8115C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(Both)'!$AK$76</c:f>
                <c:numCache>
                  <c:formatCode>General</c:formatCode>
                  <c:ptCount val="1"/>
                  <c:pt idx="0">
                    <c:v>2.977641850548331E-2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(Both)'!$AK$75</c:f>
              <c:numCache>
                <c:formatCode>General</c:formatCode>
                <c:ptCount val="1"/>
                <c:pt idx="0">
                  <c:v>0.43145014674434523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9-3147-A0AD-39F16940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Inguinal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4.0120538588722249E-2"/>
              <c:y val="0.314448563311194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G  Retroperitoneal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109133245503845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578234774862654"/>
          <c:y val="0.21931676828334201"/>
          <c:w val="0.62896601946313146"/>
          <c:h val="0.71822053371733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5DBF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(Both)'!$AP$15</c:f>
                <c:numCache>
                  <c:formatCode>General</c:formatCode>
                  <c:ptCount val="1"/>
                  <c:pt idx="0">
                    <c:v>1.8267848415023703E-3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(Both)'!$AQ$14</c:f>
              <c:numCache>
                <c:formatCode>General</c:formatCode>
                <c:ptCount val="1"/>
                <c:pt idx="0">
                  <c:v>8.7040057911382265E-2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AC42-8CC6-01C0CDCE14F7}"/>
            </c:ext>
          </c:extLst>
        </c:ser>
        <c:ser>
          <c:idx val="1"/>
          <c:order val="1"/>
          <c:spPr>
            <a:solidFill>
              <a:srgbClr val="36C9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(Both)'!$AQ$27</c:f>
                <c:numCache>
                  <c:formatCode>General</c:formatCode>
                  <c:ptCount val="1"/>
                  <c:pt idx="0">
                    <c:v>2.8299670519608251E-2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(Both)'!$AQ$26</c:f>
              <c:numCache>
                <c:formatCode>0.0000000</c:formatCode>
                <c:ptCount val="1"/>
                <c:pt idx="0">
                  <c:v>0.16038778272486592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AC42-8CC6-01C0CDCE14F7}"/>
            </c:ext>
          </c:extLst>
        </c:ser>
        <c:ser>
          <c:idx val="2"/>
          <c:order val="2"/>
          <c:spPr>
            <a:solidFill>
              <a:srgbClr val="E811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(Both)'!$AQ$40</c:f>
                <c:numCache>
                  <c:formatCode>General</c:formatCode>
                  <c:ptCount val="1"/>
                  <c:pt idx="0">
                    <c:v>1.8429388786419938E-2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(Both)'!$AQ$39</c:f>
              <c:numCache>
                <c:formatCode>General</c:formatCode>
                <c:ptCount val="1"/>
                <c:pt idx="0">
                  <c:v>0.117488229091101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AC42-8CC6-01C0CDCE14F7}"/>
            </c:ext>
          </c:extLst>
        </c:ser>
        <c:ser>
          <c:idx val="3"/>
          <c:order val="3"/>
          <c:invertIfNegative val="0"/>
          <c:val>
            <c:numRef>
              <c:f>'Data Summary (Both)'!$AR$94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569-AC42-8CC6-01C0CDCE14F7}"/>
            </c:ext>
          </c:extLst>
        </c:ser>
        <c:ser>
          <c:idx val="4"/>
          <c:order val="4"/>
          <c:spPr>
            <a:solidFill>
              <a:srgbClr val="C5DBF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(Both)'!$AQ$52</c:f>
                <c:numCache>
                  <c:formatCode>General</c:formatCode>
                  <c:ptCount val="1"/>
                  <c:pt idx="0">
                    <c:v>6.7833635916900439E-3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(Both)'!$AQ$51</c:f>
              <c:numCache>
                <c:formatCode>General</c:formatCode>
                <c:ptCount val="1"/>
                <c:pt idx="0">
                  <c:v>8.7251353220645159E-2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9-AC42-8CC6-01C0CDCE14F7}"/>
            </c:ext>
          </c:extLst>
        </c:ser>
        <c:ser>
          <c:idx val="5"/>
          <c:order val="5"/>
          <c:spPr>
            <a:solidFill>
              <a:srgbClr val="36C94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(Both)'!$AQ$63</c:f>
                <c:numCache>
                  <c:formatCode>General</c:formatCode>
                  <c:ptCount val="1"/>
                  <c:pt idx="0">
                    <c:v>1.1030277825782321E-2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(Both)'!$AQ$62</c:f>
              <c:numCache>
                <c:formatCode>General</c:formatCode>
                <c:ptCount val="1"/>
                <c:pt idx="0">
                  <c:v>8.5534295884762704E-2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69-AC42-8CC6-01C0CDCE14F7}"/>
            </c:ext>
          </c:extLst>
        </c:ser>
        <c:ser>
          <c:idx val="6"/>
          <c:order val="6"/>
          <c:spPr>
            <a:solidFill>
              <a:srgbClr val="E8115C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(Both)'!$AQ$76</c:f>
                <c:numCache>
                  <c:formatCode>General</c:formatCode>
                  <c:ptCount val="1"/>
                  <c:pt idx="0">
                    <c:v>1.2790276103494355E-2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(Both)'!$AQ$75</c:f>
              <c:numCache>
                <c:formatCode>General</c:formatCode>
                <c:ptCount val="1"/>
                <c:pt idx="0">
                  <c:v>9.5213841155759288E-2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69-AC42-8CC6-01C0CDCE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Retroperitoneal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2.7368628570612008E-2"/>
              <c:y val="0.21518387463667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H  Interscapular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0546585373326388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33884605760241"/>
          <c:y val="0.21154988927165355"/>
          <c:w val="0.67202006313507379"/>
          <c:h val="0.725972256397637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5DBF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(Both)'!$AX$15</c:f>
                <c:numCache>
                  <c:formatCode>General</c:formatCode>
                  <c:ptCount val="1"/>
                  <c:pt idx="0">
                    <c:v>1.6384761524987076E-2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(Both)'!$AX$14</c:f>
              <c:numCache>
                <c:formatCode>0.0000000</c:formatCode>
                <c:ptCount val="1"/>
                <c:pt idx="0">
                  <c:v>0.40884660350330909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924B-AF43-BE68EBBF0089}"/>
            </c:ext>
          </c:extLst>
        </c:ser>
        <c:ser>
          <c:idx val="1"/>
          <c:order val="1"/>
          <c:spPr>
            <a:solidFill>
              <a:srgbClr val="36C9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(Both)'!$AX$27</c:f>
                <c:numCache>
                  <c:formatCode>General</c:formatCode>
                  <c:ptCount val="1"/>
                  <c:pt idx="0">
                    <c:v>3.3355979517734134E-2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(Both)'!$AX$26</c:f>
              <c:numCache>
                <c:formatCode>0.0000000</c:formatCode>
                <c:ptCount val="1"/>
                <c:pt idx="0">
                  <c:v>0.53194245322864031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924B-AF43-BE68EBBF0089}"/>
            </c:ext>
          </c:extLst>
        </c:ser>
        <c:ser>
          <c:idx val="2"/>
          <c:order val="2"/>
          <c:spPr>
            <a:solidFill>
              <a:srgbClr val="E811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(Both)'!$AX$40</c:f>
                <c:numCache>
                  <c:formatCode>General</c:formatCode>
                  <c:ptCount val="1"/>
                  <c:pt idx="0">
                    <c:v>2.6019726579928501E-2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(Both)'!$AX$39</c:f>
              <c:numCache>
                <c:formatCode>General</c:formatCode>
                <c:ptCount val="1"/>
                <c:pt idx="0">
                  <c:v>0.43541893626825712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9-924B-AF43-BE68EBBF0089}"/>
            </c:ext>
          </c:extLst>
        </c:ser>
        <c:ser>
          <c:idx val="3"/>
          <c:order val="3"/>
          <c:invertIfNegative val="0"/>
          <c:val>
            <c:numRef>
              <c:f>'Data Summary (Both)'!$AX$95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3C9-924B-AF43-BE68EBBF0089}"/>
            </c:ext>
          </c:extLst>
        </c:ser>
        <c:ser>
          <c:idx val="4"/>
          <c:order val="4"/>
          <c:spPr>
            <a:solidFill>
              <a:srgbClr val="C5DBF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(Both)'!$AX$52</c:f>
                <c:numCache>
                  <c:formatCode>General</c:formatCode>
                  <c:ptCount val="1"/>
                  <c:pt idx="0">
                    <c:v>1.896803354472501E-2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(Both)'!$AX$51</c:f>
              <c:numCache>
                <c:formatCode>General</c:formatCode>
                <c:ptCount val="1"/>
                <c:pt idx="0">
                  <c:v>0.43058441654055168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C9-924B-AF43-BE68EBBF0089}"/>
            </c:ext>
          </c:extLst>
        </c:ser>
        <c:ser>
          <c:idx val="5"/>
          <c:order val="5"/>
          <c:spPr>
            <a:solidFill>
              <a:srgbClr val="36C941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(Both)'!$AX$63</c:f>
                <c:numCache>
                  <c:formatCode>General</c:formatCode>
                  <c:ptCount val="1"/>
                  <c:pt idx="0">
                    <c:v>3.7670169602731243E-2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(Both)'!$AX$62</c:f>
              <c:numCache>
                <c:formatCode>General</c:formatCode>
                <c:ptCount val="1"/>
                <c:pt idx="0">
                  <c:v>0.42629870966087891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C9-924B-AF43-BE68EBBF0089}"/>
            </c:ext>
          </c:extLst>
        </c:ser>
        <c:ser>
          <c:idx val="6"/>
          <c:order val="6"/>
          <c:spPr>
            <a:solidFill>
              <a:srgbClr val="E8115C"/>
            </a:solidFill>
            <a:ln w="1270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(Both)'!$AX$76</c:f>
                <c:numCache>
                  <c:formatCode>General</c:formatCode>
                  <c:ptCount val="1"/>
                  <c:pt idx="0">
                    <c:v>1.9221710341340102E-2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'Data Summary (Both)'!$AX$75</c:f>
              <c:numCache>
                <c:formatCode>General</c:formatCode>
                <c:ptCount val="1"/>
                <c:pt idx="0">
                  <c:v>0.42499807695003544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C9-924B-AF43-BE68EBBF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Interscapular BAT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4.4029346126276236E-2"/>
              <c:y val="0.215183874636673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Tibial</a:t>
            </a:r>
            <a:r>
              <a:rPr lang="en-US" sz="1800" b="1" baseline="0"/>
              <a:t> Length</a:t>
            </a:r>
            <a:endParaRPr lang="en-US" sz="1800" b="1"/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83427943600075"/>
          <c:y val="0.20764358499305238"/>
          <c:w val="0.6321165232252945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(Both)'!$P$15</c:f>
                <c:numCache>
                  <c:formatCode>General</c:formatCode>
                  <c:ptCount val="1"/>
                  <c:pt idx="0">
                    <c:v>6.075240662487618E-2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(Both)'!$P$14</c:f>
              <c:numCache>
                <c:formatCode>General</c:formatCode>
                <c:ptCount val="1"/>
                <c:pt idx="0">
                  <c:v>17.106375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7A4E-8FC5-D469BD075E6B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(Both)'!$P$27</c:f>
                <c:numCache>
                  <c:formatCode>General</c:formatCode>
                  <c:ptCount val="1"/>
                  <c:pt idx="0">
                    <c:v>9.0320807205680531E-2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(Both)'!$P$26</c:f>
              <c:numCache>
                <c:formatCode>General</c:formatCode>
                <c:ptCount val="1"/>
                <c:pt idx="0">
                  <c:v>17.11675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7-7A4E-8FC5-D469BD075E6B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(Both)'!$P$40</c:f>
                <c:numCache>
                  <c:formatCode>General</c:formatCode>
                  <c:ptCount val="1"/>
                  <c:pt idx="0">
                    <c:v>0.17485089949317217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(Both)'!$P$39</c:f>
              <c:numCache>
                <c:formatCode>General</c:formatCode>
                <c:ptCount val="1"/>
                <c:pt idx="0">
                  <c:v>16.931125000000002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7-7A4E-8FC5-D469BD075E6B}"/>
            </c:ext>
          </c:extLst>
        </c:ser>
        <c:ser>
          <c:idx val="3"/>
          <c:order val="3"/>
          <c:invertIfNegative val="0"/>
          <c:val>
            <c:numRef>
              <c:f>'Data Summary (Both)'!$R$94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1367-7A4E-8FC5-D469BD075E6B}"/>
            </c:ext>
          </c:extLst>
        </c:ser>
        <c:ser>
          <c:idx val="4"/>
          <c:order val="4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(Both)'!$P$52</c:f>
                <c:numCache>
                  <c:formatCode>General</c:formatCode>
                  <c:ptCount val="1"/>
                  <c:pt idx="0">
                    <c:v>0.1059889203387217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(Both)'!$P$51</c:f>
              <c:numCache>
                <c:formatCode>General</c:formatCode>
                <c:ptCount val="1"/>
                <c:pt idx="0">
                  <c:v>16.94188888888889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7-7A4E-8FC5-D469BD075E6B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(Both)'!$P$63</c:f>
                <c:numCache>
                  <c:formatCode>General</c:formatCode>
                  <c:ptCount val="1"/>
                  <c:pt idx="0">
                    <c:v>0.13285919097243637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(Both)'!$P$62</c:f>
              <c:numCache>
                <c:formatCode>General</c:formatCode>
                <c:ptCount val="1"/>
                <c:pt idx="0">
                  <c:v>16.856571428571428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67-7A4E-8FC5-D469BD075E6B}"/>
            </c:ext>
          </c:extLst>
        </c:ser>
        <c:ser>
          <c:idx val="6"/>
          <c:order val="6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'Data Summary (Both)'!$P$76</c:f>
                <c:numCache>
                  <c:formatCode>General</c:formatCode>
                  <c:ptCount val="1"/>
                  <c:pt idx="0">
                    <c:v>8.3760571472103293E-2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'Data Summary (Both)'!$P$75</c:f>
              <c:numCache>
                <c:formatCode>General</c:formatCode>
                <c:ptCount val="1"/>
                <c:pt idx="0">
                  <c:v>16.978999999999999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7-7A4E-8FC5-D469BD07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585858"/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Tibial length</a:t>
                </a:r>
              </a:p>
              <a:p>
                <a:pPr>
                  <a:defRPr sz="1200" b="1"/>
                </a:pPr>
                <a:r>
                  <a:rPr lang="en-US" sz="1200" b="1"/>
                  <a:t>(mm)</a:t>
                </a:r>
              </a:p>
            </c:rich>
          </c:tx>
          <c:layout>
            <c:manualLayout>
              <c:xMode val="edge"/>
              <c:yMode val="edge"/>
              <c:x val="3.8328901898508461E-2"/>
              <c:y val="0.416547183645584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chemeClr val="bg1"/>
          </a:solidFill>
          <a:latin typeface="Arial" panose="020B0604020202020204" pitchFamily="34" charset="0"/>
          <a:ea typeface="Verdana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AUCT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724-DF4D-8285-A4CCF4BF7338}"/>
            </c:ext>
          </c:extLst>
        </c:ser>
        <c:ser>
          <c:idx val="1"/>
          <c:order val="1"/>
          <c:tx>
            <c:v>AUCT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724-DF4D-8285-A4CCF4BF7338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724-DF4D-8285-A4CCF4BF7338}"/>
            </c:ext>
          </c:extLst>
        </c:ser>
        <c:ser>
          <c:idx val="3"/>
          <c:order val="3"/>
          <c:tx>
            <c:v>AUCD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F724-DF4D-8285-A4CCF4BF7338}"/>
            </c:ext>
          </c:extLst>
        </c:ser>
        <c:ser>
          <c:idx val="4"/>
          <c:order val="4"/>
          <c:tx>
            <c:v>AUCD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F724-DF4D-8285-A4CCF4BF7338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724-DF4D-8285-A4CCF4BF7338}"/>
            </c:ext>
          </c:extLst>
        </c:ser>
        <c:ser>
          <c:idx val="6"/>
          <c:order val="6"/>
          <c:tx>
            <c:v>AUCN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F724-DF4D-8285-A4CCF4BF7338}"/>
            </c:ext>
          </c:extLst>
        </c:ser>
        <c:ser>
          <c:idx val="7"/>
          <c:order val="7"/>
          <c:tx>
            <c:v>AUCN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F724-DF4D-8285-A4CCF4BF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6399"/>
        <c:axId val="1"/>
      </c:barChart>
      <c:catAx>
        <c:axId val="201105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05639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OC5T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896-FF45-AEFA-64FEABA409C4}"/>
            </c:ext>
          </c:extLst>
        </c:ser>
        <c:ser>
          <c:idx val="1"/>
          <c:order val="1"/>
          <c:tx>
            <c:v>OC5T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896-FF45-AEFA-64FEABA409C4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896-FF45-AEFA-64FEABA409C4}"/>
            </c:ext>
          </c:extLst>
        </c:ser>
        <c:ser>
          <c:idx val="3"/>
          <c:order val="3"/>
          <c:tx>
            <c:v>OC5D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896-FF45-AEFA-64FEABA409C4}"/>
            </c:ext>
          </c:extLst>
        </c:ser>
        <c:ser>
          <c:idx val="4"/>
          <c:order val="4"/>
          <c:tx>
            <c:v>OC5D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0896-FF45-AEFA-64FEABA409C4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896-FF45-AEFA-64FEABA409C4}"/>
            </c:ext>
          </c:extLst>
        </c:ser>
        <c:ser>
          <c:idx val="6"/>
          <c:order val="6"/>
          <c:tx>
            <c:v>OC5N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896-FF45-AEFA-64FEABA409C4}"/>
            </c:ext>
          </c:extLst>
        </c:ser>
        <c:ser>
          <c:idx val="7"/>
          <c:order val="7"/>
          <c:tx>
            <c:v>OC5N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0896-FF45-AEFA-64FEABA4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10655"/>
        <c:axId val="1"/>
      </c:barChart>
      <c:catAx>
        <c:axId val="201111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Baseline (OC</a:t>
                </a:r>
                <a:r>
                  <a:rPr lang="en-US" sz="300" b="1" i="0" u="none" strike="noStrike" baseline="-2500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5</a:t>
                </a:r>
                <a:r>
                  <a:rPr lang="en-US" sz="325" b="1" i="0" u="none" strike="noStrike" baseline="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) (ng/ml)</a:t>
                </a:r>
                <a:endParaRPr lang="en-US" sz="325" b="1" i="0" u="none" strike="noStrike" baseline="0">
                  <a:solidFill>
                    <a:srgbClr val="000000"/>
                  </a:solidFill>
                  <a:latin typeface="Helv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11065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D37-A94F-B15F-E66C7032BBF8}"/>
            </c:ext>
          </c:extLst>
        </c:ser>
        <c:ser>
          <c:idx val="1"/>
          <c:order val="1"/>
          <c:tx>
            <c:v>PeakT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D37-A94F-B15F-E66C7032BBF8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D37-A94F-B15F-E66C7032BBF8}"/>
            </c:ext>
          </c:extLst>
        </c:ser>
        <c:ser>
          <c:idx val="3"/>
          <c:order val="3"/>
          <c:tx>
            <c:v>PeakD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D37-A94F-B15F-E66C7032BBF8}"/>
            </c:ext>
          </c:extLst>
        </c:ser>
        <c:ser>
          <c:idx val="4"/>
          <c:order val="4"/>
          <c:tx>
            <c:v>PeakD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D37-A94F-B15F-E66C7032BBF8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D37-A94F-B15F-E66C7032BBF8}"/>
            </c:ext>
          </c:extLst>
        </c:ser>
        <c:ser>
          <c:idx val="6"/>
          <c:order val="6"/>
          <c:tx>
            <c:v>PeakN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D37-A94F-B15F-E66C7032BBF8}"/>
            </c:ext>
          </c:extLst>
        </c:ser>
        <c:ser>
          <c:idx val="7"/>
          <c:order val="7"/>
          <c:tx>
            <c:v>PeakN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D37-A94F-B15F-E66C7032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73471"/>
        <c:axId val="1"/>
      </c:barChart>
      <c:catAx>
        <c:axId val="191947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4734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E  Tibial EPW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5A7-FA4C-A6D6-90EB8130FAD1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5A7-FA4C-A6D6-90EB8130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5999"/>
        <c:axId val="1"/>
      </c:barChart>
      <c:catAx>
        <c:axId val="19198859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30"/>
          <c:min val="43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Tibial epiphyseal plate width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8599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F  Pituitary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63F-6647-A9D4-3C7A25D01FB8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63F-6647-A9D4-3C7A25D0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12159"/>
        <c:axId val="1"/>
      </c:barChart>
      <c:catAx>
        <c:axId val="191991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912159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G  Liver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800-6C41-94B3-F2A68C800790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B800-6C41-94B3-F2A68C80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34319"/>
        <c:axId val="1"/>
      </c:barChart>
      <c:catAx>
        <c:axId val="191983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liver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34319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A  Food intake (WT)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653453459487"/>
          <c:y val="0.17248721150045204"/>
          <c:w val="0.77673968417356465"/>
          <c:h val="0.62435425265215905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C6DAF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intake'!$C$92:$C$121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0.16440096888835079</c:v>
                  </c:pt>
                  <c:pt idx="2">
                    <c:v>0.29785542993683456</c:v>
                  </c:pt>
                  <c:pt idx="3">
                    <c:v>0.42881871585954395</c:v>
                  </c:pt>
                  <c:pt idx="4">
                    <c:v>0.70853722555699161</c:v>
                  </c:pt>
                  <c:pt idx="5">
                    <c:v>1.0328288779228796</c:v>
                  </c:pt>
                  <c:pt idx="6">
                    <c:v>1.1133178173818992</c:v>
                  </c:pt>
                  <c:pt idx="7">
                    <c:v>1.2253336826875183</c:v>
                  </c:pt>
                  <c:pt idx="8">
                    <c:v>1.2695355590586186</c:v>
                  </c:pt>
                  <c:pt idx="9">
                    <c:v>1.2908161178107436</c:v>
                  </c:pt>
                  <c:pt idx="10">
                    <c:v>1.3174392605950156</c:v>
                  </c:pt>
                  <c:pt idx="11">
                    <c:v>1.3227804016810316</c:v>
                  </c:pt>
                  <c:pt idx="12">
                    <c:v>1.4866369044639944</c:v>
                  </c:pt>
                  <c:pt idx="13">
                    <c:v>1.5908746471225055</c:v>
                  </c:pt>
                  <c:pt idx="14">
                    <c:v>1.8378878963753118</c:v>
                  </c:pt>
                  <c:pt idx="15">
                    <c:v>1.8952194911521121</c:v>
                  </c:pt>
                  <c:pt idx="16">
                    <c:v>1.8425428857191644</c:v>
                  </c:pt>
                  <c:pt idx="17">
                    <c:v>1.9863839521495232</c:v>
                  </c:pt>
                  <c:pt idx="18">
                    <c:v>2.2734876743358776</c:v>
                  </c:pt>
                  <c:pt idx="19">
                    <c:v>2.4360953828382241</c:v>
                  </c:pt>
                  <c:pt idx="20">
                    <c:v>2.5712381935974489</c:v>
                  </c:pt>
                  <c:pt idx="21">
                    <c:v>2.7954776936534973</c:v>
                  </c:pt>
                </c:numCache>
              </c:numRef>
            </c:plus>
            <c:minus>
              <c:numRef>
                <c:f>'(WT) Food intake'!$C$92:$C$121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0.16440096888835079</c:v>
                  </c:pt>
                  <c:pt idx="2">
                    <c:v>0.29785542993683456</c:v>
                  </c:pt>
                  <c:pt idx="3">
                    <c:v>0.42881871585954395</c:v>
                  </c:pt>
                  <c:pt idx="4">
                    <c:v>0.70853722555699161</c:v>
                  </c:pt>
                  <c:pt idx="5">
                    <c:v>1.0328288779228796</c:v>
                  </c:pt>
                  <c:pt idx="6">
                    <c:v>1.1133178173818992</c:v>
                  </c:pt>
                  <c:pt idx="7">
                    <c:v>1.2253336826875183</c:v>
                  </c:pt>
                  <c:pt idx="8">
                    <c:v>1.2695355590586186</c:v>
                  </c:pt>
                  <c:pt idx="9">
                    <c:v>1.2908161178107436</c:v>
                  </c:pt>
                  <c:pt idx="10">
                    <c:v>1.3174392605950156</c:v>
                  </c:pt>
                  <c:pt idx="11">
                    <c:v>1.3227804016810316</c:v>
                  </c:pt>
                  <c:pt idx="12">
                    <c:v>1.4866369044639944</c:v>
                  </c:pt>
                  <c:pt idx="13">
                    <c:v>1.5908746471225055</c:v>
                  </c:pt>
                  <c:pt idx="14">
                    <c:v>1.8378878963753118</c:v>
                  </c:pt>
                  <c:pt idx="15">
                    <c:v>1.8952194911521121</c:v>
                  </c:pt>
                  <c:pt idx="16">
                    <c:v>1.8425428857191644</c:v>
                  </c:pt>
                  <c:pt idx="17">
                    <c:v>1.9863839521495232</c:v>
                  </c:pt>
                  <c:pt idx="18">
                    <c:v>2.2734876743358776</c:v>
                  </c:pt>
                  <c:pt idx="19">
                    <c:v>2.4360953828382241</c:v>
                  </c:pt>
                  <c:pt idx="20">
                    <c:v>2.5712381935974489</c:v>
                  </c:pt>
                  <c:pt idx="21">
                    <c:v>2.7954776936534973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intake'!$B$92:$B$121</c:f>
              <c:numCache>
                <c:formatCode>General</c:formatCode>
                <c:ptCount val="30"/>
                <c:pt idx="0">
                  <c:v>0</c:v>
                </c:pt>
                <c:pt idx="1">
                  <c:v>3.5975000000000019</c:v>
                </c:pt>
                <c:pt idx="2">
                  <c:v>7.5650000000000013</c:v>
                </c:pt>
                <c:pt idx="3">
                  <c:v>11.483749999999999</c:v>
                </c:pt>
                <c:pt idx="4">
                  <c:v>15.484999999999996</c:v>
                </c:pt>
                <c:pt idx="5">
                  <c:v>19.493749999999991</c:v>
                </c:pt>
                <c:pt idx="6">
                  <c:v>23.931249999999991</c:v>
                </c:pt>
                <c:pt idx="7">
                  <c:v>28.796249999999993</c:v>
                </c:pt>
                <c:pt idx="8">
                  <c:v>32.952499999999986</c:v>
                </c:pt>
                <c:pt idx="9">
                  <c:v>37.507499999999993</c:v>
                </c:pt>
                <c:pt idx="10">
                  <c:v>41.873749999999987</c:v>
                </c:pt>
                <c:pt idx="11">
                  <c:v>46.738749999999982</c:v>
                </c:pt>
                <c:pt idx="12">
                  <c:v>51.249999999999986</c:v>
                </c:pt>
                <c:pt idx="13">
                  <c:v>56.374999999999993</c:v>
                </c:pt>
                <c:pt idx="14">
                  <c:v>60.216249999999988</c:v>
                </c:pt>
                <c:pt idx="15">
                  <c:v>64.113749999999982</c:v>
                </c:pt>
                <c:pt idx="16">
                  <c:v>67.629999999999981</c:v>
                </c:pt>
                <c:pt idx="17">
                  <c:v>71.683749999999975</c:v>
                </c:pt>
                <c:pt idx="18">
                  <c:v>75.953749999999985</c:v>
                </c:pt>
                <c:pt idx="19">
                  <c:v>80.489999999999981</c:v>
                </c:pt>
                <c:pt idx="20">
                  <c:v>84.261249999999976</c:v>
                </c:pt>
                <c:pt idx="21">
                  <c:v>88.207499999999968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B81-910F-93CBA7B2D979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8C84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intake'!$E$92:$E$121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0.21414280949203751</c:v>
                  </c:pt>
                  <c:pt idx="2">
                    <c:v>0.15401762422343032</c:v>
                  </c:pt>
                  <c:pt idx="3">
                    <c:v>0.34436795105568485</c:v>
                  </c:pt>
                  <c:pt idx="4">
                    <c:v>0.57470800039176062</c:v>
                  </c:pt>
                  <c:pt idx="5">
                    <c:v>0.85876039710903795</c:v>
                  </c:pt>
                  <c:pt idx="6">
                    <c:v>1.2933922038025376</c:v>
                  </c:pt>
                  <c:pt idx="7">
                    <c:v>1.6696168829148501</c:v>
                  </c:pt>
                  <c:pt idx="8">
                    <c:v>1.6911333240294513</c:v>
                  </c:pt>
                  <c:pt idx="9">
                    <c:v>1.7021682560086355</c:v>
                  </c:pt>
                  <c:pt idx="10">
                    <c:v>1.7514827742464696</c:v>
                  </c:pt>
                  <c:pt idx="11">
                    <c:v>1.7781734042809185</c:v>
                  </c:pt>
                  <c:pt idx="12">
                    <c:v>2.2096298473952634</c:v>
                  </c:pt>
                  <c:pt idx="13">
                    <c:v>2.4180297007953939</c:v>
                  </c:pt>
                  <c:pt idx="14">
                    <c:v>2.8127234831844414</c:v>
                  </c:pt>
                  <c:pt idx="15">
                    <c:v>3.0512977332838074</c:v>
                  </c:pt>
                  <c:pt idx="16">
                    <c:v>3.3420598532192702</c:v>
                  </c:pt>
                  <c:pt idx="17">
                    <c:v>3.3669962967755023</c:v>
                  </c:pt>
                  <c:pt idx="18">
                    <c:v>3.5015756657335197</c:v>
                  </c:pt>
                  <c:pt idx="19">
                    <c:v>3.476606891771147</c:v>
                  </c:pt>
                  <c:pt idx="20">
                    <c:v>3.5088535660831228</c:v>
                  </c:pt>
                  <c:pt idx="21">
                    <c:v>3.5320269056874234</c:v>
                  </c:pt>
                </c:numCache>
              </c:numRef>
            </c:plus>
            <c:minus>
              <c:numRef>
                <c:f>'(WT) Food intake'!$E$92:$E$121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0.21414280949203751</c:v>
                  </c:pt>
                  <c:pt idx="2">
                    <c:v>0.15401762422343032</c:v>
                  </c:pt>
                  <c:pt idx="3">
                    <c:v>0.34436795105568485</c:v>
                  </c:pt>
                  <c:pt idx="4">
                    <c:v>0.57470800039176062</c:v>
                  </c:pt>
                  <c:pt idx="5">
                    <c:v>0.85876039710903795</c:v>
                  </c:pt>
                  <c:pt idx="6">
                    <c:v>1.2933922038025376</c:v>
                  </c:pt>
                  <c:pt idx="7">
                    <c:v>1.6696168829148501</c:v>
                  </c:pt>
                  <c:pt idx="8">
                    <c:v>1.6911333240294513</c:v>
                  </c:pt>
                  <c:pt idx="9">
                    <c:v>1.7021682560086355</c:v>
                  </c:pt>
                  <c:pt idx="10">
                    <c:v>1.7514827742464696</c:v>
                  </c:pt>
                  <c:pt idx="11">
                    <c:v>1.7781734042809185</c:v>
                  </c:pt>
                  <c:pt idx="12">
                    <c:v>2.2096298473952634</c:v>
                  </c:pt>
                  <c:pt idx="13">
                    <c:v>2.4180297007953939</c:v>
                  </c:pt>
                  <c:pt idx="14">
                    <c:v>2.8127234831844414</c:v>
                  </c:pt>
                  <c:pt idx="15">
                    <c:v>3.0512977332838074</c:v>
                  </c:pt>
                  <c:pt idx="16">
                    <c:v>3.3420598532192702</c:v>
                  </c:pt>
                  <c:pt idx="17">
                    <c:v>3.3669962967755023</c:v>
                  </c:pt>
                  <c:pt idx="18">
                    <c:v>3.5015756657335197</c:v>
                  </c:pt>
                  <c:pt idx="19">
                    <c:v>3.476606891771147</c:v>
                  </c:pt>
                  <c:pt idx="20">
                    <c:v>3.5088535660831228</c:v>
                  </c:pt>
                  <c:pt idx="21">
                    <c:v>3.5320269056874234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intake'!$A$92:$A$113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intake'!$D$92:$D$113</c:f>
              <c:numCache>
                <c:formatCode>General</c:formatCode>
                <c:ptCount val="22"/>
                <c:pt idx="0">
                  <c:v>0</c:v>
                </c:pt>
                <c:pt idx="1">
                  <c:v>4.0449999999999946</c:v>
                </c:pt>
                <c:pt idx="2">
                  <c:v>8.6750000000000043</c:v>
                </c:pt>
                <c:pt idx="3">
                  <c:v>13.604999999999997</c:v>
                </c:pt>
                <c:pt idx="4">
                  <c:v>18.369999999999997</c:v>
                </c:pt>
                <c:pt idx="5">
                  <c:v>23.098749999999992</c:v>
                </c:pt>
                <c:pt idx="6">
                  <c:v>27.877499999999976</c:v>
                </c:pt>
                <c:pt idx="7">
                  <c:v>32.14749999999998</c:v>
                </c:pt>
                <c:pt idx="8">
                  <c:v>36.316249999999975</c:v>
                </c:pt>
                <c:pt idx="9">
                  <c:v>40.500937499999971</c:v>
                </c:pt>
                <c:pt idx="10">
                  <c:v>44.87312499999998</c:v>
                </c:pt>
                <c:pt idx="11">
                  <c:v>48.661562499999995</c:v>
                </c:pt>
                <c:pt idx="12">
                  <c:v>52.383749999999985</c:v>
                </c:pt>
                <c:pt idx="13">
                  <c:v>56.363749999999982</c:v>
                </c:pt>
                <c:pt idx="14">
                  <c:v>59.657499999999978</c:v>
                </c:pt>
                <c:pt idx="15">
                  <c:v>63.754999999999995</c:v>
                </c:pt>
                <c:pt idx="16">
                  <c:v>68.296250000000001</c:v>
                </c:pt>
                <c:pt idx="17">
                  <c:v>72.016250000000014</c:v>
                </c:pt>
                <c:pt idx="18">
                  <c:v>75.800000000000026</c:v>
                </c:pt>
                <c:pt idx="19">
                  <c:v>79.616875000000007</c:v>
                </c:pt>
                <c:pt idx="20">
                  <c:v>83.206250000000011</c:v>
                </c:pt>
                <c:pt idx="21">
                  <c:v>87.133750000000006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0-4B81-910F-93CBA7B2D979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E8145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intake'!$G$92:$G$113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0.33147364417961467</c:v>
                  </c:pt>
                  <c:pt idx="2">
                    <c:v>0.48572639822081759</c:v>
                  </c:pt>
                  <c:pt idx="3">
                    <c:v>0.64660031262419415</c:v>
                  </c:pt>
                  <c:pt idx="4">
                    <c:v>0.80010880956458319</c:v>
                  </c:pt>
                  <c:pt idx="5">
                    <c:v>0.9993283458689376</c:v>
                  </c:pt>
                  <c:pt idx="6">
                    <c:v>1.1258853658978201</c:v>
                  </c:pt>
                  <c:pt idx="7">
                    <c:v>1.1815772411424146</c:v>
                  </c:pt>
                  <c:pt idx="8">
                    <c:v>1.4478308898881347</c:v>
                  </c:pt>
                  <c:pt idx="9">
                    <c:v>1.6257295065820099</c:v>
                  </c:pt>
                  <c:pt idx="10">
                    <c:v>1.6357556139507696</c:v>
                  </c:pt>
                  <c:pt idx="11">
                    <c:v>1.8738900881588594</c:v>
                  </c:pt>
                  <c:pt idx="12">
                    <c:v>2.1555060310748404</c:v>
                  </c:pt>
                  <c:pt idx="13">
                    <c:v>2.2094157149208655</c:v>
                  </c:pt>
                  <c:pt idx="14">
                    <c:v>2.1279708225041096</c:v>
                  </c:pt>
                  <c:pt idx="15">
                    <c:v>2.1315904106022301</c:v>
                  </c:pt>
                  <c:pt idx="16">
                    <c:v>2.2104810703781181</c:v>
                  </c:pt>
                  <c:pt idx="17">
                    <c:v>2.1976061956300095</c:v>
                  </c:pt>
                  <c:pt idx="18">
                    <c:v>2.3444463251327732</c:v>
                  </c:pt>
                  <c:pt idx="19">
                    <c:v>2.3216280752185199</c:v>
                  </c:pt>
                  <c:pt idx="20">
                    <c:v>2.4248736620256555</c:v>
                  </c:pt>
                  <c:pt idx="21">
                    <c:v>2.4561453085649743</c:v>
                  </c:pt>
                </c:numCache>
              </c:numRef>
            </c:plus>
            <c:minus>
              <c:numRef>
                <c:f>'(WT) Food intake'!$G$92:$G$113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0.33147364417961467</c:v>
                  </c:pt>
                  <c:pt idx="2">
                    <c:v>0.48572639822081759</c:v>
                  </c:pt>
                  <c:pt idx="3">
                    <c:v>0.64660031262419415</c:v>
                  </c:pt>
                  <c:pt idx="4">
                    <c:v>0.80010880956458319</c:v>
                  </c:pt>
                  <c:pt idx="5">
                    <c:v>0.9993283458689376</c:v>
                  </c:pt>
                  <c:pt idx="6">
                    <c:v>1.1258853658978201</c:v>
                  </c:pt>
                  <c:pt idx="7">
                    <c:v>1.1815772411424146</c:v>
                  </c:pt>
                  <c:pt idx="8">
                    <c:v>1.4478308898881347</c:v>
                  </c:pt>
                  <c:pt idx="9">
                    <c:v>1.6257295065820099</c:v>
                  </c:pt>
                  <c:pt idx="10">
                    <c:v>1.6357556139507696</c:v>
                  </c:pt>
                  <c:pt idx="11">
                    <c:v>1.8738900881588594</c:v>
                  </c:pt>
                  <c:pt idx="12">
                    <c:v>2.1555060310748404</c:v>
                  </c:pt>
                  <c:pt idx="13">
                    <c:v>2.2094157149208655</c:v>
                  </c:pt>
                  <c:pt idx="14">
                    <c:v>2.1279708225041096</c:v>
                  </c:pt>
                  <c:pt idx="15">
                    <c:v>2.1315904106022301</c:v>
                  </c:pt>
                  <c:pt idx="16">
                    <c:v>2.2104810703781181</c:v>
                  </c:pt>
                  <c:pt idx="17">
                    <c:v>2.1976061956300095</c:v>
                  </c:pt>
                  <c:pt idx="18">
                    <c:v>2.3444463251327732</c:v>
                  </c:pt>
                  <c:pt idx="19">
                    <c:v>2.3216280752185199</c:v>
                  </c:pt>
                  <c:pt idx="20">
                    <c:v>2.4248736620256555</c:v>
                  </c:pt>
                  <c:pt idx="21">
                    <c:v>2.4561453085649743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intake'!$F$92:$F$113</c:f>
              <c:numCache>
                <c:formatCode>General</c:formatCode>
                <c:ptCount val="22"/>
                <c:pt idx="0">
                  <c:v>0</c:v>
                </c:pt>
                <c:pt idx="1">
                  <c:v>2.4437499999999979</c:v>
                </c:pt>
                <c:pt idx="2">
                  <c:v>5.858749999999997</c:v>
                </c:pt>
                <c:pt idx="3">
                  <c:v>9.5124999999999922</c:v>
                </c:pt>
                <c:pt idx="4">
                  <c:v>13.357499999999991</c:v>
                </c:pt>
                <c:pt idx="5">
                  <c:v>17.589999999999996</c:v>
                </c:pt>
                <c:pt idx="6">
                  <c:v>21.684999999999995</c:v>
                </c:pt>
                <c:pt idx="7">
                  <c:v>25.343749999999996</c:v>
                </c:pt>
                <c:pt idx="8">
                  <c:v>29.409999999999993</c:v>
                </c:pt>
                <c:pt idx="9">
                  <c:v>33.414999999999992</c:v>
                </c:pt>
                <c:pt idx="10">
                  <c:v>37.239999999999981</c:v>
                </c:pt>
                <c:pt idx="11">
                  <c:v>40.853749999999998</c:v>
                </c:pt>
                <c:pt idx="12">
                  <c:v>44.627499999999991</c:v>
                </c:pt>
                <c:pt idx="13">
                  <c:v>48.621874999999996</c:v>
                </c:pt>
                <c:pt idx="14">
                  <c:v>51.86249999999999</c:v>
                </c:pt>
                <c:pt idx="15">
                  <c:v>55.597499999999982</c:v>
                </c:pt>
                <c:pt idx="16">
                  <c:v>59.81124999999998</c:v>
                </c:pt>
                <c:pt idx="17">
                  <c:v>63.591249999999981</c:v>
                </c:pt>
                <c:pt idx="18">
                  <c:v>67.239999999999995</c:v>
                </c:pt>
                <c:pt idx="19">
                  <c:v>70.726250000000007</c:v>
                </c:pt>
                <c:pt idx="20">
                  <c:v>74.328749999999999</c:v>
                </c:pt>
                <c:pt idx="21">
                  <c:v>78.126250000000013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0-4B81-910F-93CBA7B2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3565414264"/>
              <c:y val="0.89906425906785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Cumulative F/I (g)</a:t>
                </a:r>
              </a:p>
            </c:rich>
          </c:tx>
          <c:layout>
            <c:manualLayout>
              <c:xMode val="edge"/>
              <c:yMode val="edge"/>
              <c:x val="1.741477234896174E-2"/>
              <c:y val="0.19378155728413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66004239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053302547707853"/>
          <c:y val="0.22802890023362465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H  Kidney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30F-F74A-9153-D2F2E7CA843C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630F-F74A-9153-D2F2E7CA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00223"/>
        <c:axId val="1"/>
      </c:barChart>
      <c:catAx>
        <c:axId val="191970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kidney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00223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I  Inguinal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FB5-5040-BB16-2261BAA403D1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FB5-5040-BB16-2261BAA4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1135"/>
        <c:axId val="1"/>
      </c:barChart>
      <c:catAx>
        <c:axId val="191973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ing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31135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J  Epididymal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DD9-AB45-A0B5-D501DA11213E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DD9-AB45-A0B5-D501DA11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62159"/>
        <c:axId val="1"/>
      </c:barChart>
      <c:catAx>
        <c:axId val="191976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epidid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62159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(lower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4D7-D145-92E4-523A26CE0EE6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Data'!$H$15</c:f>
                <c:numCache>
                  <c:formatCode>General</c:formatCode>
                  <c:ptCount val="1"/>
                  <c:pt idx="0">
                    <c:v>1.4911069713471268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Data'!$H$14</c:f>
              <c:numCache>
                <c:formatCode>General</c:formatCode>
                <c:ptCount val="1"/>
                <c:pt idx="0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7-D145-92E4-523A26CE0EE6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Data'!$H$26</c:f>
                <c:numCache>
                  <c:formatCode>General</c:formatCode>
                  <c:ptCount val="1"/>
                  <c:pt idx="0">
                    <c:v>2.2174184188926671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Data'!$H$25</c:f>
              <c:numCache>
                <c:formatCode>General</c:formatCode>
                <c:ptCount val="1"/>
                <c:pt idx="0">
                  <c:v>9.3166666666666664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7-D145-92E4-523A26CE0EE6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Data'!$H$38</c:f>
                <c:numCache>
                  <c:formatCode>General</c:formatCode>
                  <c:ptCount val="1"/>
                  <c:pt idx="0">
                    <c:v>1.5221512554422605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Data'!$H$37</c:f>
              <c:numCache>
                <c:formatCode>General</c:formatCode>
                <c:ptCount val="1"/>
                <c:pt idx="0">
                  <c:v>11.516666666666666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7-D145-92E4-523A26CE0EE6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4D7-D145-92E4-523A26CE0EE6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Summary'!$BJ$14</c:f>
                <c:numCache>
                  <c:formatCode>General</c:formatCode>
                  <c:ptCount val="1"/>
                  <c:pt idx="0">
                    <c:v>1.3963265703826107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Summary'!$BJ$13</c:f>
              <c:numCache>
                <c:formatCode>General</c:formatCode>
                <c:ptCount val="1"/>
                <c:pt idx="0">
                  <c:v>7.2857142857142856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D7-D145-92E4-523A26CE0EE6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Summary'!$BJ$25</c:f>
                <c:numCache>
                  <c:formatCode>General</c:formatCode>
                  <c:ptCount val="1"/>
                  <c:pt idx="0">
                    <c:v>1.4374978260853111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Summary'!$BJ$24</c:f>
              <c:numCache>
                <c:formatCode>General</c:formatCode>
                <c:ptCount val="1"/>
                <c:pt idx="0">
                  <c:v>7.5200000000000005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D7-D145-92E4-523A26CE0EE6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Summary'!$BJ$38</c:f>
                <c:numCache>
                  <c:formatCode>General</c:formatCode>
                  <c:ptCount val="1"/>
                  <c:pt idx="0">
                    <c:v>1.4919450392021822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Summary'!$BJ$37</c:f>
              <c:numCache>
                <c:formatCode>General</c:formatCode>
                <c:ptCount val="1"/>
                <c:pt idx="0">
                  <c:v>8.4700000000000006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D7-D145-92E4-523A26CE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(upper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4B6-4942-9B66-D13D9EEF6599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Data'!$I$15</c:f>
                <c:numCache>
                  <c:formatCode>General</c:formatCode>
                  <c:ptCount val="1"/>
                  <c:pt idx="0">
                    <c:v>1.403963184070014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Data'!$I$14</c:f>
              <c:numCache>
                <c:formatCode>General</c:formatCode>
                <c:ptCount val="1"/>
                <c:pt idx="0">
                  <c:v>12.066667999999998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6-4942-9B66-D13D9EEF6599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Data'!$I$26</c:f>
                <c:numCache>
                  <c:formatCode>General</c:formatCode>
                  <c:ptCount val="1"/>
                  <c:pt idx="0">
                    <c:v>2.62702025726868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Data'!$I$25</c:f>
              <c:numCache>
                <c:formatCode>General</c:formatCode>
                <c:ptCount val="1"/>
                <c:pt idx="0">
                  <c:v>11.22222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6-4942-9B66-D13D9EEF6599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Data'!$I$38</c:f>
                <c:numCache>
                  <c:formatCode>General</c:formatCode>
                  <c:ptCount val="1"/>
                  <c:pt idx="0">
                    <c:v>5.8290117325133073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Data'!$I$37</c:f>
              <c:numCache>
                <c:formatCode>General</c:formatCode>
                <c:ptCount val="1"/>
                <c:pt idx="0">
                  <c:v>19.803333333333331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6-4942-9B66-D13D9EEF6599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4B6-4942-9B66-D13D9EEF6599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Summary'!$BL$14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Summary'!$BK$13</c:f>
              <c:numCache>
                <c:formatCode>General</c:formatCode>
                <c:ptCount val="1"/>
                <c:pt idx="0">
                  <c:v>9.0952385714285704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6-4942-9B66-D13D9EEF6599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Summary'!$BK$25</c:f>
                <c:numCache>
                  <c:formatCode>General</c:formatCode>
                  <c:ptCount val="1"/>
                  <c:pt idx="0">
                    <c:v>2.3247453385026944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Summary'!$BK$24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6-4942-9B66-D13D9EEF6599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Summary'!$BK$38</c:f>
                <c:numCache>
                  <c:formatCode>General</c:formatCode>
                  <c:ptCount val="1"/>
                  <c:pt idx="0">
                    <c:v>1.2489995996796805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Summary'!$BK$37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B6-4942-9B66-D13D9EEF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(lower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230-1244-B90A-DE7999FD7751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Data'!$J$15</c:f>
                <c:numCache>
                  <c:formatCode>General</c:formatCode>
                  <c:ptCount val="1"/>
                  <c:pt idx="0">
                    <c:v>1.0022198472510908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Data'!$J$14</c:f>
              <c:numCache>
                <c:formatCode>General</c:formatCode>
                <c:ptCount val="1"/>
                <c:pt idx="0">
                  <c:v>5.0666679999999999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0-1244-B90A-DE7999FD7751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Data'!$J$26</c:f>
                <c:numCache>
                  <c:formatCode>General</c:formatCode>
                  <c:ptCount val="1"/>
                  <c:pt idx="0">
                    <c:v>1.7320508075688765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Data'!$J$25</c:f>
              <c:numCache>
                <c:formatCode>General</c:formatCode>
                <c:ptCount val="1"/>
                <c:pt idx="0">
                  <c:v>5.6666699999999999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0-1244-B90A-DE7999FD7751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Data'!$J$38</c:f>
                <c:numCache>
                  <c:formatCode>General</c:formatCode>
                  <c:ptCount val="1"/>
                  <c:pt idx="0">
                    <c:v>2.057206844242935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Data'!$J$37</c:f>
              <c:numCache>
                <c:formatCode>General</c:formatCode>
                <c:ptCount val="1"/>
                <c:pt idx="0">
                  <c:v>10.780000000000001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0-1244-B90A-DE7999FD7751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230-1244-B90A-DE7999FD7751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Summary'!$BL$14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Summary'!$BL$13</c:f>
              <c:numCache>
                <c:formatCode>General</c:formatCode>
                <c:ptCount val="1"/>
                <c:pt idx="0">
                  <c:v>4.8095228571428574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0-1244-B90A-DE7999FD7751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Summary'!$BL$25</c:f>
                <c:numCache>
                  <c:formatCode>General</c:formatCode>
                  <c:ptCount val="1"/>
                  <c:pt idx="0">
                    <c:v>1.5405620835701495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Summary'!$BL$24</c:f>
              <c:numCache>
                <c:formatCode>General</c:formatCode>
                <c:ptCount val="1"/>
                <c:pt idx="0">
                  <c:v>6.1333320000000002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0-1244-B90A-DE7999FD7751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Summary'!$BL$38</c:f>
                <c:numCache>
                  <c:formatCode>General</c:formatCode>
                  <c:ptCount val="1"/>
                  <c:pt idx="0">
                    <c:v>0.96464812237416486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Summary'!$BL$37</c:f>
              <c:numCache>
                <c:formatCode>General</c:formatCode>
                <c:ptCount val="1"/>
                <c:pt idx="0">
                  <c:v>4.9659999999999993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0-1244-B90A-DE7999FD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entries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DED-A940-B429-73D7B2BE8D2E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Data'!$S$15</c:f>
                <c:numCache>
                  <c:formatCode>General</c:formatCode>
                  <c:ptCount val="1"/>
                  <c:pt idx="0">
                    <c:v>5.7043842787806653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Data'!$S$14</c:f>
              <c:numCache>
                <c:formatCode>General</c:formatCode>
                <c:ptCount val="1"/>
                <c:pt idx="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A940-B429-73D7B2BE8D2E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Data'!$S$26</c:f>
                <c:numCache>
                  <c:formatCode>General</c:formatCode>
                  <c:ptCount val="1"/>
                  <c:pt idx="0">
                    <c:v>6.173419725817376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Data'!$S$25</c:f>
              <c:numCache>
                <c:formatCode>General</c:formatCode>
                <c:ptCount val="1"/>
                <c:pt idx="0">
                  <c:v>29.666666666666668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D-A940-B429-73D7B2BE8D2E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Data'!$S$38</c:f>
                <c:numCache>
                  <c:formatCode>General</c:formatCode>
                  <c:ptCount val="1"/>
                  <c:pt idx="0">
                    <c:v>5.5477723256977445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Data'!$S$37</c:f>
              <c:numCache>
                <c:formatCode>General</c:formatCode>
                <c:ptCount val="1"/>
                <c:pt idx="0">
                  <c:v>33.666666666666664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D-A940-B429-73D7B2BE8D2E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DED-A940-B429-73D7B2BE8D2E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Summary'!$BO$14</c:f>
                <c:numCache>
                  <c:formatCode>General</c:formatCode>
                  <c:ptCount val="1"/>
                  <c:pt idx="0">
                    <c:v>2.598076211353316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Summary'!$BO$13</c:f>
              <c:numCache>
                <c:formatCode>General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D-A940-B429-73D7B2BE8D2E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Summary'!$BO$25</c:f>
                <c:numCache>
                  <c:formatCode>General</c:formatCode>
                  <c:ptCount val="1"/>
                  <c:pt idx="0">
                    <c:v>5.9782940710540498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Summary'!$BO$24</c:f>
              <c:numCache>
                <c:formatCode>General</c:formatCode>
                <c:ptCount val="1"/>
                <c:pt idx="0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ED-A940-B429-73D7B2BE8D2E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Summary'!$BO$38</c:f>
                <c:numCache>
                  <c:formatCode>General</c:formatCode>
                  <c:ptCount val="1"/>
                  <c:pt idx="0">
                    <c:v>1.0770329614269007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Summary'!$BO$37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ED-A940-B429-73D7B2BE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entry frequency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(events/session)</a:t>
                </a:r>
              </a:p>
            </c:rich>
          </c:tx>
          <c:layout>
            <c:manualLayout>
              <c:xMode val="edge"/>
              <c:yMode val="edge"/>
              <c:x val="1.5195982224375595E-2"/>
              <c:y val="0.183536571417014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movement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817109971990502"/>
          <c:y val="0.21213798993385494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235-7C43-80AC-D3C53FB18E4C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Data'!$U$15</c:f>
                <c:numCache>
                  <c:formatCode>General</c:formatCode>
                  <c:ptCount val="1"/>
                  <c:pt idx="0">
                    <c:v>1.1811822721324607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Data'!$U$14</c:f>
              <c:numCache>
                <c:formatCode>General</c:formatCode>
                <c:ptCount val="1"/>
                <c:pt idx="0">
                  <c:v>82.266600000000011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5-7C43-80AC-D3C53FB18E4C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Data'!$U$26</c:f>
                <c:numCache>
                  <c:formatCode>General</c:formatCode>
                  <c:ptCount val="1"/>
                  <c:pt idx="0">
                    <c:v>1.2883090985215222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Data'!$U$25</c:f>
              <c:numCache>
                <c:formatCode>General</c:formatCode>
                <c:ptCount val="1"/>
                <c:pt idx="0">
                  <c:v>89.004000000000005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5-7C43-80AC-D3C53FB18E4C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Data'!$U$38</c:f>
                <c:numCache>
                  <c:formatCode>General</c:formatCode>
                  <c:ptCount val="1"/>
                  <c:pt idx="0">
                    <c:v>2.2455122899784894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Data'!$U$37</c:f>
              <c:numCache>
                <c:formatCode>General</c:formatCode>
                <c:ptCount val="1"/>
                <c:pt idx="0">
                  <c:v>85.609666666666669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5-7C43-80AC-D3C53FB18E4C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235-7C43-80AC-D3C53FB18E4C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Summary'!$BP$14</c:f>
                <c:numCache>
                  <c:formatCode>General</c:formatCode>
                  <c:ptCount val="1"/>
                  <c:pt idx="0">
                    <c:v>0.39441736735042837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Summary'!$BP$13</c:f>
              <c:numCache>
                <c:formatCode>General</c:formatCode>
                <c:ptCount val="1"/>
                <c:pt idx="0">
                  <c:v>3.1417929999999998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5-7C43-80AC-D3C53FB18E4C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Summary'!$BP$25</c:f>
                <c:numCache>
                  <c:formatCode>General</c:formatCode>
                  <c:ptCount val="1"/>
                  <c:pt idx="0">
                    <c:v>1.8210867373263693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Summary'!$BP$24</c:f>
              <c:numCache>
                <c:formatCode>General</c:formatCode>
                <c:ptCount val="1"/>
                <c:pt idx="0">
                  <c:v>6.226604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5-7C43-80AC-D3C53FB18E4C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Summary'!$BP$38</c:f>
                <c:numCache>
                  <c:formatCode>General</c:formatCode>
                  <c:ptCount val="1"/>
                  <c:pt idx="0">
                    <c:v>1.6482258502067169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Summary'!$BP$37</c:f>
              <c:numCache>
                <c:formatCode>General</c:formatCode>
                <c:ptCount val="1"/>
                <c:pt idx="0">
                  <c:v>6.9657344000000005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5-7C43-80AC-D3C53FB1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movement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(movement:stationary ratio)</a:t>
                </a:r>
              </a:p>
            </c:rich>
          </c:tx>
          <c:layout>
            <c:manualLayout>
              <c:xMode val="edge"/>
              <c:yMode val="edge"/>
              <c:x val="1.5195985684234879E-2"/>
              <c:y val="0.242483959381337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(lower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8407843349482"/>
          <c:y val="0.22055904535732962"/>
          <c:w val="0.65235479641067062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6F-0E42-BC2A-89990790E37A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Data'!$N$15</c:f>
                <c:numCache>
                  <c:formatCode>General</c:formatCode>
                  <c:ptCount val="1"/>
                  <c:pt idx="0">
                    <c:v>0.18371173070873836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Data'!$N$14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F-0E42-BC2A-89990790E37A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Data'!$N$26</c:f>
                <c:numCache>
                  <c:formatCode>General</c:formatCode>
                  <c:ptCount val="1"/>
                  <c:pt idx="0">
                    <c:v>6.666666666666668E-2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Data'!$N$25</c:f>
              <c:numCache>
                <c:formatCode>General</c:formatCode>
                <c:ptCount val="1"/>
                <c:pt idx="0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F-0E42-BC2A-89990790E37A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Data'!$N$38</c:f>
                <c:numCache>
                  <c:formatCode>General</c:formatCode>
                  <c:ptCount val="1"/>
                  <c:pt idx="0">
                    <c:v>0.33291640592396982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Data'!$N$37</c:f>
              <c:numCache>
                <c:formatCode>General</c:formatCode>
                <c:ptCount val="1"/>
                <c:pt idx="0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F-0E42-BC2A-89990790E37A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F6F-0E42-BC2A-89990790E37A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Summary'!$BT$14</c:f>
                <c:numCache>
                  <c:formatCode>General</c:formatCode>
                  <c:ptCount val="1"/>
                  <c:pt idx="0">
                    <c:v>8.8255966632622113E-2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Summary'!$BT$13</c:f>
              <c:numCache>
                <c:formatCode>General</c:formatCode>
                <c:ptCount val="1"/>
                <c:pt idx="0">
                  <c:v>0.29285714285714282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6F-0E42-BC2A-89990790E37A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Summary'!$BT$25</c:f>
                <c:numCache>
                  <c:formatCode>General</c:formatCode>
                  <c:ptCount val="1"/>
                  <c:pt idx="0">
                    <c:v>8.7177978870813494E-2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Summary'!$BT$24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6F-0E42-BC2A-89990790E37A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Summary'!$BT$38</c:f>
                <c:numCache>
                  <c:formatCode>General</c:formatCode>
                  <c:ptCount val="1"/>
                  <c:pt idx="0">
                    <c:v>0.30331501776206204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Summary'!$BT$37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6F-0E42-BC2A-89990790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(upper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56266694428808"/>
          <c:y val="0.21213798993385494"/>
          <c:w val="0.63881096225538614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3A-9544-BA03-085DE7767DE5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Data'!$O$15</c:f>
                <c:numCache>
                  <c:formatCode>General</c:formatCode>
                  <c:ptCount val="1"/>
                  <c:pt idx="0">
                    <c:v>0.19436509174463401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Data'!$O$14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A-9544-BA03-085DE7767DE5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Data'!$O$26</c:f>
                <c:numCache>
                  <c:formatCode>General</c:formatCode>
                  <c:ptCount val="1"/>
                  <c:pt idx="0">
                    <c:v>0.44444443333333333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Data'!$O$25</c:f>
              <c:numCache>
                <c:formatCode>General</c:formatCode>
                <c:ptCount val="1"/>
                <c:pt idx="0">
                  <c:v>0.44444443333333333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A-9544-BA03-085DE7767DE5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Data'!$O$38</c:f>
                <c:numCache>
                  <c:formatCode>General</c:formatCode>
                  <c:ptCount val="1"/>
                  <c:pt idx="0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A-9544-BA03-085DE7767DE5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7A3A-9544-BA03-085DE7767DE5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Summary'!$BU$14</c:f>
                <c:numCache>
                  <c:formatCode>General</c:formatCode>
                  <c:ptCount val="1"/>
                  <c:pt idx="0">
                    <c:v>6.734323359719617E-2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Summary'!$BU$13</c:f>
              <c:numCache>
                <c:formatCode>General</c:formatCode>
                <c:ptCount val="1"/>
                <c:pt idx="0">
                  <c:v>0.14285657142857142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3A-9544-BA03-085DE7767DE5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Summary'!$BU$25</c:f>
                <c:numCache>
                  <c:formatCode>General</c:formatCode>
                  <c:ptCount val="1"/>
                  <c:pt idx="0">
                    <c:v>0.13333339999999999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Summary'!$BU$24</c:f>
              <c:numCache>
                <c:formatCode>General</c:formatCode>
                <c:ptCount val="1"/>
                <c:pt idx="0">
                  <c:v>0.13333339999999999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3A-9544-BA03-085DE7767DE5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Summary'!$BU$38</c:f>
                <c:numCache>
                  <c:formatCode>General</c:formatCode>
                  <c:ptCount val="1"/>
                  <c:pt idx="0">
                    <c:v>0.1856232744027537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Summary'!$BU$37</c:f>
              <c:numCache>
                <c:formatCode>General</c:formatCode>
                <c:ptCount val="1"/>
                <c:pt idx="0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3A-9544-BA03-085DE776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Food intake (WT)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32396949605974"/>
          <c:y val="0.17248721150045204"/>
          <c:w val="0.7902890994845464"/>
          <c:h val="0.62435425265215905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64AAFE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intake'!$C$92:$C$121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0.16440096888835079</c:v>
                  </c:pt>
                  <c:pt idx="2">
                    <c:v>0.29785542993683456</c:v>
                  </c:pt>
                  <c:pt idx="3">
                    <c:v>0.42881871585954395</c:v>
                  </c:pt>
                  <c:pt idx="4">
                    <c:v>0.70853722555699161</c:v>
                  </c:pt>
                  <c:pt idx="5">
                    <c:v>1.0328288779228796</c:v>
                  </c:pt>
                  <c:pt idx="6">
                    <c:v>1.1133178173818992</c:v>
                  </c:pt>
                  <c:pt idx="7">
                    <c:v>1.2253336826875183</c:v>
                  </c:pt>
                  <c:pt idx="8">
                    <c:v>1.2695355590586186</c:v>
                  </c:pt>
                  <c:pt idx="9">
                    <c:v>1.2908161178107436</c:v>
                  </c:pt>
                  <c:pt idx="10">
                    <c:v>1.3174392605950156</c:v>
                  </c:pt>
                  <c:pt idx="11">
                    <c:v>1.3227804016810316</c:v>
                  </c:pt>
                  <c:pt idx="12">
                    <c:v>1.4866369044639944</c:v>
                  </c:pt>
                  <c:pt idx="13">
                    <c:v>1.5908746471225055</c:v>
                  </c:pt>
                  <c:pt idx="14">
                    <c:v>1.8378878963753118</c:v>
                  </c:pt>
                  <c:pt idx="15">
                    <c:v>1.8952194911521121</c:v>
                  </c:pt>
                  <c:pt idx="16">
                    <c:v>1.8425428857191644</c:v>
                  </c:pt>
                  <c:pt idx="17">
                    <c:v>1.9863839521495232</c:v>
                  </c:pt>
                  <c:pt idx="18">
                    <c:v>2.2734876743358776</c:v>
                  </c:pt>
                  <c:pt idx="19">
                    <c:v>2.4360953828382241</c:v>
                  </c:pt>
                  <c:pt idx="20">
                    <c:v>2.5712381935974489</c:v>
                  </c:pt>
                  <c:pt idx="21">
                    <c:v>2.7954776936534973</c:v>
                  </c:pt>
                </c:numCache>
              </c:numRef>
            </c:plus>
            <c:minus>
              <c:numRef>
                <c:f>'(WT) Food intake'!$C$92:$C$121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0.16440096888835079</c:v>
                  </c:pt>
                  <c:pt idx="2">
                    <c:v>0.29785542993683456</c:v>
                  </c:pt>
                  <c:pt idx="3">
                    <c:v>0.42881871585954395</c:v>
                  </c:pt>
                  <c:pt idx="4">
                    <c:v>0.70853722555699161</c:v>
                  </c:pt>
                  <c:pt idx="5">
                    <c:v>1.0328288779228796</c:v>
                  </c:pt>
                  <c:pt idx="6">
                    <c:v>1.1133178173818992</c:v>
                  </c:pt>
                  <c:pt idx="7">
                    <c:v>1.2253336826875183</c:v>
                  </c:pt>
                  <c:pt idx="8">
                    <c:v>1.2695355590586186</c:v>
                  </c:pt>
                  <c:pt idx="9">
                    <c:v>1.2908161178107436</c:v>
                  </c:pt>
                  <c:pt idx="10">
                    <c:v>1.3174392605950156</c:v>
                  </c:pt>
                  <c:pt idx="11">
                    <c:v>1.3227804016810316</c:v>
                  </c:pt>
                  <c:pt idx="12">
                    <c:v>1.4866369044639944</c:v>
                  </c:pt>
                  <c:pt idx="13">
                    <c:v>1.5908746471225055</c:v>
                  </c:pt>
                  <c:pt idx="14">
                    <c:v>1.8378878963753118</c:v>
                  </c:pt>
                  <c:pt idx="15">
                    <c:v>1.8952194911521121</c:v>
                  </c:pt>
                  <c:pt idx="16">
                    <c:v>1.8425428857191644</c:v>
                  </c:pt>
                  <c:pt idx="17">
                    <c:v>1.9863839521495232</c:v>
                  </c:pt>
                  <c:pt idx="18">
                    <c:v>2.2734876743358776</c:v>
                  </c:pt>
                  <c:pt idx="19">
                    <c:v>2.4360953828382241</c:v>
                  </c:pt>
                  <c:pt idx="20">
                    <c:v>2.5712381935974489</c:v>
                  </c:pt>
                  <c:pt idx="21">
                    <c:v>2.7954776936534973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Food intake'!$A$92:$A$121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intake'!$B$92:$B$121</c:f>
              <c:numCache>
                <c:formatCode>General</c:formatCode>
                <c:ptCount val="30"/>
                <c:pt idx="0">
                  <c:v>0</c:v>
                </c:pt>
                <c:pt idx="1">
                  <c:v>3.5975000000000019</c:v>
                </c:pt>
                <c:pt idx="2">
                  <c:v>7.5650000000000013</c:v>
                </c:pt>
                <c:pt idx="3">
                  <c:v>11.483749999999999</c:v>
                </c:pt>
                <c:pt idx="4">
                  <c:v>15.484999999999996</c:v>
                </c:pt>
                <c:pt idx="5">
                  <c:v>19.493749999999991</c:v>
                </c:pt>
                <c:pt idx="6">
                  <c:v>23.931249999999991</c:v>
                </c:pt>
                <c:pt idx="7">
                  <c:v>28.796249999999993</c:v>
                </c:pt>
                <c:pt idx="8">
                  <c:v>32.952499999999986</c:v>
                </c:pt>
                <c:pt idx="9">
                  <c:v>37.507499999999993</c:v>
                </c:pt>
                <c:pt idx="10">
                  <c:v>41.873749999999987</c:v>
                </c:pt>
                <c:pt idx="11">
                  <c:v>46.738749999999982</c:v>
                </c:pt>
                <c:pt idx="12">
                  <c:v>51.249999999999986</c:v>
                </c:pt>
                <c:pt idx="13">
                  <c:v>56.374999999999993</c:v>
                </c:pt>
                <c:pt idx="14">
                  <c:v>60.216249999999988</c:v>
                </c:pt>
                <c:pt idx="15">
                  <c:v>64.113749999999982</c:v>
                </c:pt>
                <c:pt idx="16">
                  <c:v>67.629999999999981</c:v>
                </c:pt>
                <c:pt idx="17">
                  <c:v>71.683749999999975</c:v>
                </c:pt>
                <c:pt idx="18">
                  <c:v>75.953749999999985</c:v>
                </c:pt>
                <c:pt idx="19">
                  <c:v>80.489999999999981</c:v>
                </c:pt>
                <c:pt idx="20">
                  <c:v>84.261249999999976</c:v>
                </c:pt>
                <c:pt idx="21">
                  <c:v>88.207499999999968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2-6F4E-BEA1-D02E314C5F50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intake'!$E$92:$E$121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0.21414280949203751</c:v>
                  </c:pt>
                  <c:pt idx="2">
                    <c:v>0.15401762422343032</c:v>
                  </c:pt>
                  <c:pt idx="3">
                    <c:v>0.34436795105568485</c:v>
                  </c:pt>
                  <c:pt idx="4">
                    <c:v>0.57470800039176062</c:v>
                  </c:pt>
                  <c:pt idx="5">
                    <c:v>0.85876039710903795</c:v>
                  </c:pt>
                  <c:pt idx="6">
                    <c:v>1.2933922038025376</c:v>
                  </c:pt>
                  <c:pt idx="7">
                    <c:v>1.6696168829148501</c:v>
                  </c:pt>
                  <c:pt idx="8">
                    <c:v>1.6911333240294513</c:v>
                  </c:pt>
                  <c:pt idx="9">
                    <c:v>1.7021682560086355</c:v>
                  </c:pt>
                  <c:pt idx="10">
                    <c:v>1.7514827742464696</c:v>
                  </c:pt>
                  <c:pt idx="11">
                    <c:v>1.7781734042809185</c:v>
                  </c:pt>
                  <c:pt idx="12">
                    <c:v>2.2096298473952634</c:v>
                  </c:pt>
                  <c:pt idx="13">
                    <c:v>2.4180297007953939</c:v>
                  </c:pt>
                  <c:pt idx="14">
                    <c:v>2.8127234831844414</c:v>
                  </c:pt>
                  <c:pt idx="15">
                    <c:v>3.0512977332838074</c:v>
                  </c:pt>
                  <c:pt idx="16">
                    <c:v>3.3420598532192702</c:v>
                  </c:pt>
                  <c:pt idx="17">
                    <c:v>3.3669962967755023</c:v>
                  </c:pt>
                  <c:pt idx="18">
                    <c:v>3.5015756657335197</c:v>
                  </c:pt>
                  <c:pt idx="19">
                    <c:v>3.476606891771147</c:v>
                  </c:pt>
                  <c:pt idx="20">
                    <c:v>3.5088535660831228</c:v>
                  </c:pt>
                  <c:pt idx="21">
                    <c:v>3.5320269056874234</c:v>
                  </c:pt>
                </c:numCache>
              </c:numRef>
            </c:plus>
            <c:minus>
              <c:numRef>
                <c:f>'(WT) Food intake'!$E$92:$E$121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0.21414280949203751</c:v>
                  </c:pt>
                  <c:pt idx="2">
                    <c:v>0.15401762422343032</c:v>
                  </c:pt>
                  <c:pt idx="3">
                    <c:v>0.34436795105568485</c:v>
                  </c:pt>
                  <c:pt idx="4">
                    <c:v>0.57470800039176062</c:v>
                  </c:pt>
                  <c:pt idx="5">
                    <c:v>0.85876039710903795</c:v>
                  </c:pt>
                  <c:pt idx="6">
                    <c:v>1.2933922038025376</c:v>
                  </c:pt>
                  <c:pt idx="7">
                    <c:v>1.6696168829148501</c:v>
                  </c:pt>
                  <c:pt idx="8">
                    <c:v>1.6911333240294513</c:v>
                  </c:pt>
                  <c:pt idx="9">
                    <c:v>1.7021682560086355</c:v>
                  </c:pt>
                  <c:pt idx="10">
                    <c:v>1.7514827742464696</c:v>
                  </c:pt>
                  <c:pt idx="11">
                    <c:v>1.7781734042809185</c:v>
                  </c:pt>
                  <c:pt idx="12">
                    <c:v>2.2096298473952634</c:v>
                  </c:pt>
                  <c:pt idx="13">
                    <c:v>2.4180297007953939</c:v>
                  </c:pt>
                  <c:pt idx="14">
                    <c:v>2.8127234831844414</c:v>
                  </c:pt>
                  <c:pt idx="15">
                    <c:v>3.0512977332838074</c:v>
                  </c:pt>
                  <c:pt idx="16">
                    <c:v>3.3420598532192702</c:v>
                  </c:pt>
                  <c:pt idx="17">
                    <c:v>3.3669962967755023</c:v>
                  </c:pt>
                  <c:pt idx="18">
                    <c:v>3.5015756657335197</c:v>
                  </c:pt>
                  <c:pt idx="19">
                    <c:v>3.476606891771147</c:v>
                  </c:pt>
                  <c:pt idx="20">
                    <c:v>3.5088535660831228</c:v>
                  </c:pt>
                  <c:pt idx="21">
                    <c:v>3.5320269056874234</c:v>
                  </c:pt>
                </c:numCache>
              </c:numRef>
            </c:minus>
            <c:spPr>
              <a:ln w="12700">
                <a:solidFill>
                  <a:schemeClr val="bg1"/>
                </a:solidFill>
                <a:prstDash val="solid"/>
              </a:ln>
            </c:spPr>
          </c:errBars>
          <c:xVal>
            <c:numRef>
              <c:f>'(WT) Food intake'!$A$92:$A$113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intake'!$D$92:$D$113</c:f>
              <c:numCache>
                <c:formatCode>General</c:formatCode>
                <c:ptCount val="22"/>
                <c:pt idx="0">
                  <c:v>0</c:v>
                </c:pt>
                <c:pt idx="1">
                  <c:v>4.0449999999999946</c:v>
                </c:pt>
                <c:pt idx="2">
                  <c:v>8.6750000000000043</c:v>
                </c:pt>
                <c:pt idx="3">
                  <c:v>13.604999999999997</c:v>
                </c:pt>
                <c:pt idx="4">
                  <c:v>18.369999999999997</c:v>
                </c:pt>
                <c:pt idx="5">
                  <c:v>23.098749999999992</c:v>
                </c:pt>
                <c:pt idx="6">
                  <c:v>27.877499999999976</c:v>
                </c:pt>
                <c:pt idx="7">
                  <c:v>32.14749999999998</c:v>
                </c:pt>
                <c:pt idx="8">
                  <c:v>36.316249999999975</c:v>
                </c:pt>
                <c:pt idx="9">
                  <c:v>40.500937499999971</c:v>
                </c:pt>
                <c:pt idx="10">
                  <c:v>44.87312499999998</c:v>
                </c:pt>
                <c:pt idx="11">
                  <c:v>48.661562499999995</c:v>
                </c:pt>
                <c:pt idx="12">
                  <c:v>52.383749999999985</c:v>
                </c:pt>
                <c:pt idx="13">
                  <c:v>56.363749999999982</c:v>
                </c:pt>
                <c:pt idx="14">
                  <c:v>59.657499999999978</c:v>
                </c:pt>
                <c:pt idx="15">
                  <c:v>63.754999999999995</c:v>
                </c:pt>
                <c:pt idx="16">
                  <c:v>68.296250000000001</c:v>
                </c:pt>
                <c:pt idx="17">
                  <c:v>72.016250000000014</c:v>
                </c:pt>
                <c:pt idx="18">
                  <c:v>75.800000000000026</c:v>
                </c:pt>
                <c:pt idx="19">
                  <c:v>79.616875000000007</c:v>
                </c:pt>
                <c:pt idx="20">
                  <c:v>83.206250000000011</c:v>
                </c:pt>
                <c:pt idx="21">
                  <c:v>87.133750000000006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2-6F4E-BEA1-D02E314C5F50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8C84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Food intake'!$G$92:$G$113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0.33147364417961467</c:v>
                  </c:pt>
                  <c:pt idx="2">
                    <c:v>0.48572639822081759</c:v>
                  </c:pt>
                  <c:pt idx="3">
                    <c:v>0.64660031262419415</c:v>
                  </c:pt>
                  <c:pt idx="4">
                    <c:v>0.80010880956458319</c:v>
                  </c:pt>
                  <c:pt idx="5">
                    <c:v>0.9993283458689376</c:v>
                  </c:pt>
                  <c:pt idx="6">
                    <c:v>1.1258853658978201</c:v>
                  </c:pt>
                  <c:pt idx="7">
                    <c:v>1.1815772411424146</c:v>
                  </c:pt>
                  <c:pt idx="8">
                    <c:v>1.4478308898881347</c:v>
                  </c:pt>
                  <c:pt idx="9">
                    <c:v>1.6257295065820099</c:v>
                  </c:pt>
                  <c:pt idx="10">
                    <c:v>1.6357556139507696</c:v>
                  </c:pt>
                  <c:pt idx="11">
                    <c:v>1.8738900881588594</c:v>
                  </c:pt>
                  <c:pt idx="12">
                    <c:v>2.1555060310748404</c:v>
                  </c:pt>
                  <c:pt idx="13">
                    <c:v>2.2094157149208655</c:v>
                  </c:pt>
                  <c:pt idx="14">
                    <c:v>2.1279708225041096</c:v>
                  </c:pt>
                  <c:pt idx="15">
                    <c:v>2.1315904106022301</c:v>
                  </c:pt>
                  <c:pt idx="16">
                    <c:v>2.2104810703781181</c:v>
                  </c:pt>
                  <c:pt idx="17">
                    <c:v>2.1976061956300095</c:v>
                  </c:pt>
                  <c:pt idx="18">
                    <c:v>2.3444463251327732</c:v>
                  </c:pt>
                  <c:pt idx="19">
                    <c:v>2.3216280752185199</c:v>
                  </c:pt>
                  <c:pt idx="20">
                    <c:v>2.4248736620256555</c:v>
                  </c:pt>
                  <c:pt idx="21">
                    <c:v>2.4561453085649743</c:v>
                  </c:pt>
                </c:numCache>
              </c:numRef>
            </c:plus>
            <c:minus>
              <c:numRef>
                <c:f>'(WT) Food intake'!$G$92:$G$113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0.33147364417961467</c:v>
                  </c:pt>
                  <c:pt idx="2">
                    <c:v>0.48572639822081759</c:v>
                  </c:pt>
                  <c:pt idx="3">
                    <c:v>0.64660031262419415</c:v>
                  </c:pt>
                  <c:pt idx="4">
                    <c:v>0.80010880956458319</c:v>
                  </c:pt>
                  <c:pt idx="5">
                    <c:v>0.9993283458689376</c:v>
                  </c:pt>
                  <c:pt idx="6">
                    <c:v>1.1258853658978201</c:v>
                  </c:pt>
                  <c:pt idx="7">
                    <c:v>1.1815772411424146</c:v>
                  </c:pt>
                  <c:pt idx="8">
                    <c:v>1.4478308898881347</c:v>
                  </c:pt>
                  <c:pt idx="9">
                    <c:v>1.6257295065820099</c:v>
                  </c:pt>
                  <c:pt idx="10">
                    <c:v>1.6357556139507696</c:v>
                  </c:pt>
                  <c:pt idx="11">
                    <c:v>1.8738900881588594</c:v>
                  </c:pt>
                  <c:pt idx="12">
                    <c:v>2.1555060310748404</c:v>
                  </c:pt>
                  <c:pt idx="13">
                    <c:v>2.2094157149208655</c:v>
                  </c:pt>
                  <c:pt idx="14">
                    <c:v>2.1279708225041096</c:v>
                  </c:pt>
                  <c:pt idx="15">
                    <c:v>2.1315904106022301</c:v>
                  </c:pt>
                  <c:pt idx="16">
                    <c:v>2.2104810703781181</c:v>
                  </c:pt>
                  <c:pt idx="17">
                    <c:v>2.1976061956300095</c:v>
                  </c:pt>
                  <c:pt idx="18">
                    <c:v>2.3444463251327732</c:v>
                  </c:pt>
                  <c:pt idx="19">
                    <c:v>2.3216280752185199</c:v>
                  </c:pt>
                  <c:pt idx="20">
                    <c:v>2.4248736620256555</c:v>
                  </c:pt>
                  <c:pt idx="21">
                    <c:v>2.4561453085649743</c:v>
                  </c:pt>
                </c:numCache>
              </c:numRef>
            </c:minus>
            <c:spPr>
              <a:ln w="12700">
                <a:solidFill>
                  <a:schemeClr val="bg1"/>
                </a:solidFill>
                <a:prstDash val="solid"/>
              </a:ln>
            </c:spPr>
          </c:errBars>
          <c:xVal>
            <c:numRef>
              <c:f>'(WT) Food intake'!$A$92:$A$121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intake'!$F$92:$F$113</c:f>
              <c:numCache>
                <c:formatCode>General</c:formatCode>
                <c:ptCount val="22"/>
                <c:pt idx="0">
                  <c:v>0</c:v>
                </c:pt>
                <c:pt idx="1">
                  <c:v>2.4437499999999979</c:v>
                </c:pt>
                <c:pt idx="2">
                  <c:v>5.858749999999997</c:v>
                </c:pt>
                <c:pt idx="3">
                  <c:v>9.5124999999999922</c:v>
                </c:pt>
                <c:pt idx="4">
                  <c:v>13.357499999999991</c:v>
                </c:pt>
                <c:pt idx="5">
                  <c:v>17.589999999999996</c:v>
                </c:pt>
                <c:pt idx="6">
                  <c:v>21.684999999999995</c:v>
                </c:pt>
                <c:pt idx="7">
                  <c:v>25.343749999999996</c:v>
                </c:pt>
                <c:pt idx="8">
                  <c:v>29.409999999999993</c:v>
                </c:pt>
                <c:pt idx="9">
                  <c:v>33.414999999999992</c:v>
                </c:pt>
                <c:pt idx="10">
                  <c:v>37.239999999999981</c:v>
                </c:pt>
                <c:pt idx="11">
                  <c:v>40.853749999999998</c:v>
                </c:pt>
                <c:pt idx="12">
                  <c:v>44.627499999999991</c:v>
                </c:pt>
                <c:pt idx="13">
                  <c:v>48.621874999999996</c:v>
                </c:pt>
                <c:pt idx="14">
                  <c:v>51.86249999999999</c:v>
                </c:pt>
                <c:pt idx="15">
                  <c:v>55.597499999999982</c:v>
                </c:pt>
                <c:pt idx="16">
                  <c:v>59.81124999999998</c:v>
                </c:pt>
                <c:pt idx="17">
                  <c:v>63.591249999999981</c:v>
                </c:pt>
                <c:pt idx="18">
                  <c:v>67.239999999999995</c:v>
                </c:pt>
                <c:pt idx="19">
                  <c:v>70.726250000000007</c:v>
                </c:pt>
                <c:pt idx="20">
                  <c:v>74.328749999999999</c:v>
                </c:pt>
                <c:pt idx="21">
                  <c:v>78.126250000000013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2-6F4E-BEA1-D02E314C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3007730476995387"/>
              <c:y val="0.89906418316297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Cumulative F/I (g)</a:t>
                </a:r>
              </a:p>
            </c:rich>
          </c:tx>
          <c:layout>
            <c:manualLayout>
              <c:xMode val="edge"/>
              <c:yMode val="edge"/>
              <c:x val="1.7414835068120207E-2"/>
              <c:y val="0.25003166830396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66004239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2537434830542"/>
          <c:y val="0.17552892665987865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chemeClr val="bg1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(lower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4122168652"/>
          <c:y val="0.21213798993385494"/>
          <c:w val="0.6551261591988623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64-4F4A-897A-8E9B3DBC3A91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Data'!$P$15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4-4F4A-897A-8E9B3DBC3A91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Data'!$P$26</c:f>
                <c:numCache>
                  <c:formatCode>General</c:formatCode>
                  <c:ptCount val="1"/>
                  <c:pt idx="0">
                    <c:v>0.22222333333333336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Data'!$P$25</c:f>
              <c:numCache>
                <c:formatCode>General</c:formatCode>
                <c:ptCount val="1"/>
                <c:pt idx="0">
                  <c:v>0.22222333333333333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4-4F4A-897A-8E9B3DBC3A91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Data'!$P$38</c:f>
                <c:numCache>
                  <c:formatCode>General</c:formatCode>
                  <c:ptCount val="1"/>
                  <c:pt idx="0">
                    <c:v>0.41666666666666669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Data'!$P$37</c:f>
              <c:numCache>
                <c:formatCode>General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4-4F4A-897A-8E9B3DBC3A91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D64-4F4A-897A-8E9B3DBC3A91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Summary'!$BV$14</c:f>
                <c:numCache>
                  <c:formatCode>General</c:formatCode>
                  <c:ptCount val="1"/>
                  <c:pt idx="0">
                    <c:v>0.11983914641554087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Summary'!$BV$13</c:f>
              <c:numCache>
                <c:formatCode>General</c:formatCode>
                <c:ptCount val="1"/>
                <c:pt idx="0">
                  <c:v>0.23809571428571427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4-4F4A-897A-8E9B3DBC3A91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Summary'!$BV$25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Summary'!$BV$24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4-4F4A-897A-8E9B3DBC3A91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Summary'!$BV$38</c:f>
                <c:numCache>
                  <c:formatCode>General</c:formatCode>
                  <c:ptCount val="1"/>
                  <c:pt idx="0">
                    <c:v>6.6000000000000003E-2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Summary'!$BV$37</c:f>
              <c:numCache>
                <c:formatCode>General</c:formatCode>
                <c:ptCount val="1"/>
                <c:pt idx="0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64-4F4A-897A-8E9B3DBC3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tx>
            <c:v>WT/AL</c:v>
          </c:tx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7A1-664E-8821-C452D5EDBF94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Data'!$E$15</c:f>
                <c:numCache>
                  <c:formatCode>General</c:formatCode>
                  <c:ptCount val="1"/>
                  <c:pt idx="0">
                    <c:v>1.2040649723344414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Data'!$E$14</c:f>
              <c:numCache>
                <c:formatCode>General</c:formatCode>
                <c:ptCount val="1"/>
                <c:pt idx="0">
                  <c:v>18.443997400000001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664E-8821-C452D5EDBF94}"/>
            </c:ext>
          </c:extLst>
        </c:ser>
        <c:ser>
          <c:idx val="1"/>
          <c:order val="1"/>
          <c:tx>
            <c:v>WT/GR</c:v>
          </c:tx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Data'!$E$26</c:f>
                <c:numCache>
                  <c:formatCode>General</c:formatCode>
                  <c:ptCount val="1"/>
                  <c:pt idx="0">
                    <c:v>4.5033428493842154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Data'!$E$25</c:f>
              <c:numCache>
                <c:formatCode>General</c:formatCode>
                <c:ptCount val="1"/>
                <c:pt idx="0">
                  <c:v>18.865080000000003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664E-8821-C452D5EDBF94}"/>
            </c:ext>
          </c:extLst>
        </c:ser>
        <c:ser>
          <c:idx val="2"/>
          <c:order val="2"/>
          <c:tx>
            <c:v>WT/MF</c:v>
          </c:tx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Data'!$E$38</c:f>
                <c:numCache>
                  <c:formatCode>General</c:formatCode>
                  <c:ptCount val="1"/>
                  <c:pt idx="0">
                    <c:v>3.1379983004032015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Data'!$E$37</c:f>
              <c:numCache>
                <c:formatCode>General</c:formatCode>
                <c:ptCount val="1"/>
                <c:pt idx="0">
                  <c:v>30.09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664E-8821-C452D5EDBF94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A1-664E-8821-C452D5EDBF94}"/>
            </c:ext>
          </c:extLst>
        </c:ser>
        <c:ser>
          <c:idx val="4"/>
          <c:order val="4"/>
          <c:tx>
            <c:v>loxTB/AL</c:v>
          </c:tx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Data'!$E$51</c:f>
                <c:numCache>
                  <c:formatCode>General</c:formatCode>
                  <c:ptCount val="1"/>
                  <c:pt idx="0">
                    <c:v>2.9473843967918922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Data'!$E$50</c:f>
              <c:numCache>
                <c:formatCode>General</c:formatCode>
                <c:ptCount val="1"/>
                <c:pt idx="0">
                  <c:v>17.061224085714287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664E-8821-C452D5EDBF94}"/>
            </c:ext>
          </c:extLst>
        </c:ser>
        <c:ser>
          <c:idx val="5"/>
          <c:order val="5"/>
          <c:tx>
            <c:v>loxTB/GR</c:v>
          </c:tx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Data'!$E$62</c:f>
                <c:numCache>
                  <c:formatCode>General</c:formatCode>
                  <c:ptCount val="1"/>
                  <c:pt idx="0">
                    <c:v>3.0067616130913972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Data'!$E$61</c:f>
              <c:numCache>
                <c:formatCode>General</c:formatCode>
                <c:ptCount val="1"/>
                <c:pt idx="0">
                  <c:v>19.328570000000003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664E-8821-C452D5EDBF94}"/>
            </c:ext>
          </c:extLst>
        </c:ser>
        <c:ser>
          <c:idx val="6"/>
          <c:order val="6"/>
          <c:tx>
            <c:v>loxTB/MF</c:v>
          </c:tx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Data'!$E$75</c:f>
                <c:numCache>
                  <c:formatCode>General</c:formatCode>
                  <c:ptCount val="1"/>
                  <c:pt idx="0">
                    <c:v>2.0510402238864045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Data'!$E$74</c:f>
              <c:numCache>
                <c:formatCode>General</c:formatCode>
                <c:ptCount val="1"/>
                <c:pt idx="0">
                  <c:v>20.106000000000002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664E-8821-C452D5ED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B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(U/R)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81-5443-B83C-6E4CEE864AF4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Data'!$G$15</c:f>
                <c:numCache>
                  <c:formatCode>General</c:formatCode>
                  <c:ptCount val="1"/>
                  <c:pt idx="0">
                    <c:v>2.1150413707537741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Data'!$G$14</c:f>
              <c:numCache>
                <c:formatCode>General</c:formatCode>
                <c:ptCount val="1"/>
                <c:pt idx="0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1-5443-B83C-6E4CEE864AF4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Data'!$G$26</c:f>
                <c:numCache>
                  <c:formatCode>General</c:formatCode>
                  <c:ptCount val="1"/>
                  <c:pt idx="0">
                    <c:v>3.327890162264973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Data'!$G$25</c:f>
              <c:numCache>
                <c:formatCode>General</c:formatCode>
                <c:ptCount val="1"/>
                <c:pt idx="0">
                  <c:v>11.861110000000002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1-5443-B83C-6E4CEE864AF4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Data'!$G$38</c:f>
                <c:numCache>
                  <c:formatCode>General</c:formatCode>
                  <c:ptCount val="1"/>
                  <c:pt idx="0">
                    <c:v>1.3431472162218272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Data'!$G$37</c:f>
              <c:numCache>
                <c:formatCode>General</c:formatCode>
                <c:ptCount val="1"/>
                <c:pt idx="0">
                  <c:v>20.723333333333333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1-5443-B83C-6E4CEE864AF4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3581-5443-B83C-6E4CEE864AF4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Data'!$G$51</c:f>
                <c:numCache>
                  <c:formatCode>General</c:formatCode>
                  <c:ptCount val="1"/>
                  <c:pt idx="0">
                    <c:v>2.3372464757563294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Data'!$G$50</c:f>
              <c:numCache>
                <c:formatCode>General</c:formatCode>
                <c:ptCount val="1"/>
                <c:pt idx="0">
                  <c:v>13.77142857142857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1-5443-B83C-6E4CEE864AF4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Data'!$G$62</c:f>
                <c:numCache>
                  <c:formatCode>General</c:formatCode>
                  <c:ptCount val="1"/>
                  <c:pt idx="0">
                    <c:v>2.3439641706591883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Data'!$G$61</c:f>
              <c:numCache>
                <c:formatCode>General</c:formatCode>
                <c:ptCount val="1"/>
                <c:pt idx="0">
                  <c:v>15.116667999999999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1-5443-B83C-6E4CEE864AF4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Data'!$G$75</c:f>
                <c:numCache>
                  <c:formatCode>General</c:formatCode>
                  <c:ptCount val="1"/>
                  <c:pt idx="0">
                    <c:v>2.175599687442523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Data'!$G$74</c:f>
              <c:numCache>
                <c:formatCode>General</c:formatCode>
                <c:ptCount val="1"/>
                <c:pt idx="0">
                  <c:v>17.818000000000001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81-5443-B83C-6E4CEE864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(L/R)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236-6E47-945F-11B9BDBDC062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Data'!$H$15</c:f>
                <c:numCache>
                  <c:formatCode>General</c:formatCode>
                  <c:ptCount val="1"/>
                  <c:pt idx="0">
                    <c:v>1.4911069713471268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Data'!$H$14</c:f>
              <c:numCache>
                <c:formatCode>General</c:formatCode>
                <c:ptCount val="1"/>
                <c:pt idx="0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6E47-945F-11B9BDBDC062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Data'!$H$26</c:f>
                <c:numCache>
                  <c:formatCode>General</c:formatCode>
                  <c:ptCount val="1"/>
                  <c:pt idx="0">
                    <c:v>2.2174184188926671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Data'!$H$25</c:f>
              <c:numCache>
                <c:formatCode>General</c:formatCode>
                <c:ptCount val="1"/>
                <c:pt idx="0">
                  <c:v>9.3166666666666664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6E47-945F-11B9BDBDC062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Data'!$H$38</c:f>
                <c:numCache>
                  <c:formatCode>General</c:formatCode>
                  <c:ptCount val="1"/>
                  <c:pt idx="0">
                    <c:v>1.5221512554422605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Data'!$H$37</c:f>
              <c:numCache>
                <c:formatCode>General</c:formatCode>
                <c:ptCount val="1"/>
                <c:pt idx="0">
                  <c:v>11.516666666666666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6E47-945F-11B9BDBDC062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7236-6E47-945F-11B9BDBDC062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Data'!$H$51</c:f>
                <c:numCache>
                  <c:formatCode>General</c:formatCode>
                  <c:ptCount val="1"/>
                  <c:pt idx="0">
                    <c:v>1.3963265703826107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Data'!$H$50</c:f>
              <c:numCache>
                <c:formatCode>General</c:formatCode>
                <c:ptCount val="1"/>
                <c:pt idx="0">
                  <c:v>7.2857142857142856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6E47-945F-11B9BDBDC062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Data'!$H$62</c:f>
                <c:numCache>
                  <c:formatCode>General</c:formatCode>
                  <c:ptCount val="1"/>
                  <c:pt idx="0">
                    <c:v>1.4374978260853111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Data'!$H$61</c:f>
              <c:numCache>
                <c:formatCode>General</c:formatCode>
                <c:ptCount val="1"/>
                <c:pt idx="0">
                  <c:v>7.5200000000000005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6E47-945F-11B9BDBDC062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Data'!$H$75</c:f>
                <c:numCache>
                  <c:formatCode>General</c:formatCode>
                  <c:ptCount val="1"/>
                  <c:pt idx="0">
                    <c:v>1.4919450392021822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Data'!$H$74</c:f>
              <c:numCache>
                <c:formatCode>General</c:formatCode>
                <c:ptCount val="1"/>
                <c:pt idx="0">
                  <c:v>8.4700000000000006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6-6E47-945F-11B9BDBD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(U/C)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06B-9F47-AC57-3A254F1489D7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Data'!$I$15</c:f>
                <c:numCache>
                  <c:formatCode>General</c:formatCode>
                  <c:ptCount val="1"/>
                  <c:pt idx="0">
                    <c:v>1.403963184070014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Data'!$I$14</c:f>
              <c:numCache>
                <c:formatCode>General</c:formatCode>
                <c:ptCount val="1"/>
                <c:pt idx="0">
                  <c:v>12.066667999999998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B-9F47-AC57-3A254F1489D7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Data'!$I$26</c:f>
                <c:numCache>
                  <c:formatCode>General</c:formatCode>
                  <c:ptCount val="1"/>
                  <c:pt idx="0">
                    <c:v>2.62702025726868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Data'!$I$25</c:f>
              <c:numCache>
                <c:formatCode>General</c:formatCode>
                <c:ptCount val="1"/>
                <c:pt idx="0">
                  <c:v>11.22222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B-9F47-AC57-3A254F1489D7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Data'!$I$38</c:f>
                <c:numCache>
                  <c:formatCode>General</c:formatCode>
                  <c:ptCount val="1"/>
                  <c:pt idx="0">
                    <c:v>5.8290117325133073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Data'!$I$37</c:f>
              <c:numCache>
                <c:formatCode>General</c:formatCode>
                <c:ptCount val="1"/>
                <c:pt idx="0">
                  <c:v>19.803333333333331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B-9F47-AC57-3A254F1489D7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06B-9F47-AC57-3A254F1489D7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Data'!$I$51</c:f>
                <c:numCache>
                  <c:formatCode>General</c:formatCode>
                  <c:ptCount val="1"/>
                  <c:pt idx="0">
                    <c:v>1.7147259377444175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Data'!$I$50</c:f>
              <c:numCache>
                <c:formatCode>General</c:formatCode>
                <c:ptCount val="1"/>
                <c:pt idx="0">
                  <c:v>9.0952385714285704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B-9F47-AC57-3A254F1489D7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Data'!$I$62</c:f>
                <c:numCache>
                  <c:formatCode>General</c:formatCode>
                  <c:ptCount val="1"/>
                  <c:pt idx="0">
                    <c:v>2.3247453385026944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Data'!$I$61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6B-9F47-AC57-3A254F1489D7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Data'!$I$75</c:f>
                <c:numCache>
                  <c:formatCode>General</c:formatCode>
                  <c:ptCount val="1"/>
                  <c:pt idx="0">
                    <c:v>1.2489995996796805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Data'!$I$74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6B-9F47-AC57-3A254F14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(L/C)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C4-7448-935B-2B90867922A5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Data'!$J$15</c:f>
                <c:numCache>
                  <c:formatCode>General</c:formatCode>
                  <c:ptCount val="1"/>
                  <c:pt idx="0">
                    <c:v>1.0022198472510908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Data'!$J$14</c:f>
              <c:numCache>
                <c:formatCode>General</c:formatCode>
                <c:ptCount val="1"/>
                <c:pt idx="0">
                  <c:v>5.0666679999999999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4-7448-935B-2B90867922A5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Data'!$J$26</c:f>
                <c:numCache>
                  <c:formatCode>General</c:formatCode>
                  <c:ptCount val="1"/>
                  <c:pt idx="0">
                    <c:v>1.7320508075688765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Data'!$J$25</c:f>
              <c:numCache>
                <c:formatCode>General</c:formatCode>
                <c:ptCount val="1"/>
                <c:pt idx="0">
                  <c:v>5.6666699999999999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4-7448-935B-2B90867922A5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Data'!$J$38</c:f>
                <c:numCache>
                  <c:formatCode>General</c:formatCode>
                  <c:ptCount val="1"/>
                  <c:pt idx="0">
                    <c:v>2.057206844242935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Data'!$J$37</c:f>
              <c:numCache>
                <c:formatCode>General</c:formatCode>
                <c:ptCount val="1"/>
                <c:pt idx="0">
                  <c:v>10.780000000000001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4-7448-935B-2B90867922A5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BC4-7448-935B-2B90867922A5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Data'!$J$51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Data'!$J$50</c:f>
              <c:numCache>
                <c:formatCode>General</c:formatCode>
                <c:ptCount val="1"/>
                <c:pt idx="0">
                  <c:v>4.8095228571428574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4-7448-935B-2B90867922A5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Data'!$J$62</c:f>
                <c:numCache>
                  <c:formatCode>General</c:formatCode>
                  <c:ptCount val="1"/>
                  <c:pt idx="0">
                    <c:v>1.5405620835701495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Data'!$J$61</c:f>
              <c:numCache>
                <c:formatCode>General</c:formatCode>
                <c:ptCount val="1"/>
                <c:pt idx="0">
                  <c:v>6.1333320000000002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4-7448-935B-2B90867922A5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Data'!$J$75</c:f>
                <c:numCache>
                  <c:formatCode>General</c:formatCode>
                  <c:ptCount val="1"/>
                  <c:pt idx="0">
                    <c:v>0.96464812237416486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Data'!$J$74</c:f>
              <c:numCache>
                <c:formatCode>General</c:formatCode>
                <c:ptCount val="1"/>
                <c:pt idx="0">
                  <c:v>4.9659999999999993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4-7448-935B-2B908679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58589000420748949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02E-9047-AD26-D1F10A66B171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Data'!$K$15</c:f>
                <c:numCache>
                  <c:formatCode>General</c:formatCode>
                  <c:ptCount val="1"/>
                  <c:pt idx="0">
                    <c:v>0.32383360649944892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Data'!$K$14</c:f>
              <c:numCache>
                <c:formatCode>General</c:formatCode>
                <c:ptCount val="1"/>
                <c:pt idx="0">
                  <c:v>0.9223808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E-9047-AD26-D1F10A66B171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Data'!$K$26</c:f>
                <c:numCache>
                  <c:formatCode>General</c:formatCode>
                  <c:ptCount val="1"/>
                  <c:pt idx="0">
                    <c:v>0.28474810332014705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Data'!$K$25</c:f>
              <c:numCache>
                <c:formatCode>General</c:formatCode>
                <c:ptCount val="1"/>
                <c:pt idx="0">
                  <c:v>0.57539676666666673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E-9047-AD26-D1F10A66B171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Data'!$K$38</c:f>
                <c:numCache>
                  <c:formatCode>General</c:formatCode>
                  <c:ptCount val="1"/>
                  <c:pt idx="0">
                    <c:v>0.21724150719648411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Data'!$K$37</c:f>
              <c:numCache>
                <c:formatCode>General</c:formatCode>
                <c:ptCount val="1"/>
                <c:pt idx="0">
                  <c:v>1.392857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E-9047-AD26-D1F10A66B171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02E-9047-AD26-D1F10A66B171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Data'!$K$51</c:f>
                <c:numCache>
                  <c:formatCode>General</c:formatCode>
                  <c:ptCount val="1"/>
                  <c:pt idx="0">
                    <c:v>9.8866457627702714E-2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Data'!$K$50</c:f>
              <c:numCache>
                <c:formatCode>General</c:formatCode>
                <c:ptCount val="1"/>
                <c:pt idx="0">
                  <c:v>0.55867357142857144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2E-9047-AD26-D1F10A66B171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Data'!$K$62</c:f>
                <c:numCache>
                  <c:formatCode>General</c:formatCode>
                  <c:ptCount val="1"/>
                  <c:pt idx="0">
                    <c:v>9.1298799643478312E-2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Data'!$K$61</c:f>
              <c:numCache>
                <c:formatCode>General</c:formatCode>
                <c:ptCount val="1"/>
                <c:pt idx="0">
                  <c:v>0.59285719999999997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E-9047-AD26-D1F10A66B171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Data'!$K$75</c:f>
                <c:numCache>
                  <c:formatCode>General</c:formatCode>
                  <c:ptCount val="1"/>
                  <c:pt idx="0">
                    <c:v>0.19704447312157727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Data'!$K$74</c:f>
              <c:numCache>
                <c:formatCode>General</c:formatCode>
                <c:ptCount val="1"/>
                <c:pt idx="0">
                  <c:v>0.5071426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2E-9047-AD26-D1F10A66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G  Other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cells (U/R)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4F2-7747-A648-43602C9C40B6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Data'!$M$15</c:f>
                <c:numCache>
                  <c:formatCode>General</c:formatCode>
                  <c:ptCount val="1"/>
                  <c:pt idx="0">
                    <c:v>0.35483235478180397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Data'!$M$14</c:f>
              <c:numCache>
                <c:formatCode>General</c:formatCode>
                <c:ptCount val="1"/>
                <c:pt idx="0">
                  <c:v>0.71599999999999997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2-7747-A648-43602C9C40B6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Data'!$M$26</c:f>
                <c:numCache>
                  <c:formatCode>General</c:formatCode>
                  <c:ptCount val="1"/>
                  <c:pt idx="0">
                    <c:v>0.12108061542671118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Data'!$M$25</c:f>
              <c:numCache>
                <c:formatCode>General</c:formatCode>
                <c:ptCount val="1"/>
                <c:pt idx="0">
                  <c:v>0.4722223333333333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2-7747-A648-43602C9C40B6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Data'!$M$38</c:f>
                <c:numCache>
                  <c:formatCode>General</c:formatCode>
                  <c:ptCount val="1"/>
                  <c:pt idx="0">
                    <c:v>0.21702534414210706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Data'!$M$37</c:f>
              <c:numCache>
                <c:formatCode>General</c:formatCode>
                <c:ptCount val="1"/>
                <c:pt idx="0">
                  <c:v>0.36000000000000004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2-7747-A648-43602C9C40B6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4F2-7747-A648-43602C9C40B6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Data'!$M$51</c:f>
                <c:numCache>
                  <c:formatCode>General</c:formatCode>
                  <c:ptCount val="1"/>
                  <c:pt idx="0">
                    <c:v>9.6157467226426901E-2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Data'!$M$50</c:f>
              <c:numCache>
                <c:formatCode>General</c:formatCode>
                <c:ptCount val="1"/>
                <c:pt idx="0">
                  <c:v>0.45285714285714285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2-7747-A648-43602C9C40B6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Data'!$M$62</c:f>
                <c:numCache>
                  <c:formatCode>General</c:formatCode>
                  <c:ptCount val="1"/>
                  <c:pt idx="0">
                    <c:v>0.18333327272729302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Data'!$M$61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2-7747-A648-43602C9C40B6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Data'!$M$75</c:f>
                <c:numCache>
                  <c:formatCode>General</c:formatCode>
                  <c:ptCount val="1"/>
                  <c:pt idx="0">
                    <c:v>6.1237243569579443E-2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Data'!$M$74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F2-7747-A648-43602C9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72-6A43-A90E-68EFCCFBC191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Data'!$F$15</c:f>
                <c:numCache>
                  <c:formatCode>General</c:formatCode>
                  <c:ptCount val="1"/>
                  <c:pt idx="0">
                    <c:v>2.4596967541194976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Data'!$F$14</c:f>
              <c:numCache>
                <c:formatCode>General</c:formatCode>
                <c:ptCount val="1"/>
                <c:pt idx="0">
                  <c:v>37.133336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2-6A43-A90E-68EFCCFBC191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Data'!$F$26</c:f>
                <c:numCache>
                  <c:formatCode>General</c:formatCode>
                  <c:ptCount val="1"/>
                  <c:pt idx="0">
                    <c:v>8.634385062493509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Data'!$F$25</c:f>
              <c:numCache>
                <c:formatCode>General</c:formatCode>
                <c:ptCount val="1"/>
                <c:pt idx="0">
                  <c:v>38.06666666666667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2-6A43-A90E-68EFCCFBC191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Data'!$F$38</c:f>
                <c:numCache>
                  <c:formatCode>General</c:formatCode>
                  <c:ptCount val="1"/>
                  <c:pt idx="0">
                    <c:v>6.469740678299587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Data'!$F$37</c:f>
              <c:numCache>
                <c:formatCode>General</c:formatCode>
                <c:ptCount val="1"/>
                <c:pt idx="0">
                  <c:v>62.823333333333331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2-6A43-A90E-68EFCCFBC191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972-6A43-A90E-68EFCCFBC191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Data'!$F$51</c:f>
                <c:numCache>
                  <c:formatCode>General</c:formatCode>
                  <c:ptCount val="1"/>
                  <c:pt idx="0">
                    <c:v>5.6135913749326667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Data'!$F$50</c:f>
              <c:numCache>
                <c:formatCode>General</c:formatCode>
                <c:ptCount val="1"/>
                <c:pt idx="0">
                  <c:v>34.961904285714283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2-6A43-A90E-68EFCCFBC191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Data'!$F$62</c:f>
                <c:numCache>
                  <c:formatCode>General</c:formatCode>
                  <c:ptCount val="1"/>
                  <c:pt idx="0">
                    <c:v>6.6945996262330683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Data'!$F$61</c:f>
              <c:numCache>
                <c:formatCode>General</c:formatCode>
                <c:ptCount val="1"/>
                <c:pt idx="0">
                  <c:v>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2-6A43-A90E-68EFCCFBC191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Data'!$F$75</c:f>
                <c:numCache>
                  <c:formatCode>General</c:formatCode>
                  <c:ptCount val="1"/>
                  <c:pt idx="0">
                    <c:v>3.7655937114882652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Data'!$F$74</c:f>
              <c:numCache>
                <c:formatCode>General</c:formatCode>
                <c:ptCount val="1"/>
                <c:pt idx="0">
                  <c:v>42.154000000000003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2-6A43-A90E-68EFCCFB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H  Other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cells (L/R)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414-114A-9B19-A0640670FB1A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Data'!$N$15</c:f>
                <c:numCache>
                  <c:formatCode>General</c:formatCode>
                  <c:ptCount val="1"/>
                  <c:pt idx="0">
                    <c:v>0.18371173070873836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Data'!$N$14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4-114A-9B19-A0640670FB1A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Data'!$N$26</c:f>
                <c:numCache>
                  <c:formatCode>General</c:formatCode>
                  <c:ptCount val="1"/>
                  <c:pt idx="0">
                    <c:v>6.666666666666668E-2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Data'!$N$25</c:f>
              <c:numCache>
                <c:formatCode>General</c:formatCode>
                <c:ptCount val="1"/>
                <c:pt idx="0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4-114A-9B19-A0640670FB1A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Data'!$N$38</c:f>
                <c:numCache>
                  <c:formatCode>General</c:formatCode>
                  <c:ptCount val="1"/>
                  <c:pt idx="0">
                    <c:v>0.33291640592396982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Data'!$N$37</c:f>
              <c:numCache>
                <c:formatCode>General</c:formatCode>
                <c:ptCount val="1"/>
                <c:pt idx="0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4-114A-9B19-A0640670FB1A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414-114A-9B19-A0640670FB1A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Data'!$N$51</c:f>
                <c:numCache>
                  <c:formatCode>General</c:formatCode>
                  <c:ptCount val="1"/>
                  <c:pt idx="0">
                    <c:v>8.8255966632622113E-2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Data'!$N$50</c:f>
              <c:numCache>
                <c:formatCode>General</c:formatCode>
                <c:ptCount val="1"/>
                <c:pt idx="0">
                  <c:v>0.29285714285714282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4-114A-9B19-A0640670FB1A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Data'!$N$62</c:f>
                <c:numCache>
                  <c:formatCode>General</c:formatCode>
                  <c:ptCount val="1"/>
                  <c:pt idx="0">
                    <c:v>8.7177978870813494E-2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Data'!$N$61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4-114A-9B19-A0640670FB1A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Data'!$N$75</c:f>
                <c:numCache>
                  <c:formatCode>General</c:formatCode>
                  <c:ptCount val="1"/>
                  <c:pt idx="0">
                    <c:v>0.30331501776206204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Data'!$N$74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4-114A-9B19-A0640670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Cumulative food intake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07736258625885"/>
          <c:y val="0.16484022991006553"/>
          <c:w val="0.61906712701984545"/>
          <c:h val="0.65111890814475892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intake'!$C$89:$C$118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0.15658193137960749</c:v>
                  </c:pt>
                  <c:pt idx="2">
                    <c:v>0.22433509437424629</c:v>
                  </c:pt>
                  <c:pt idx="3">
                    <c:v>0.33995279265593492</c:v>
                  </c:pt>
                  <c:pt idx="4">
                    <c:v>0.44684317960610526</c:v>
                  </c:pt>
                  <c:pt idx="5">
                    <c:v>0.69885819575774866</c:v>
                  </c:pt>
                  <c:pt idx="6">
                    <c:v>0.85972935735685496</c:v>
                  </c:pt>
                  <c:pt idx="7">
                    <c:v>0.92887892073332745</c:v>
                  </c:pt>
                  <c:pt idx="8">
                    <c:v>1.0820549437226206</c:v>
                  </c:pt>
                  <c:pt idx="9">
                    <c:v>1.3600001134713235</c:v>
                  </c:pt>
                  <c:pt idx="10">
                    <c:v>1.5127389108321567</c:v>
                  </c:pt>
                  <c:pt idx="11">
                    <c:v>1.7228460339769647</c:v>
                  </c:pt>
                  <c:pt idx="12">
                    <c:v>2.0032252543718174</c:v>
                  </c:pt>
                  <c:pt idx="13">
                    <c:v>2.2618114531018501</c:v>
                  </c:pt>
                  <c:pt idx="14">
                    <c:v>2.5597026737059942</c:v>
                  </c:pt>
                  <c:pt idx="15">
                    <c:v>2.5104543143020361</c:v>
                  </c:pt>
                  <c:pt idx="16">
                    <c:v>2.6488193270135283</c:v>
                  </c:pt>
                  <c:pt idx="17">
                    <c:v>2.793490449042014</c:v>
                  </c:pt>
                  <c:pt idx="18">
                    <c:v>2.7515954967577936</c:v>
                  </c:pt>
                  <c:pt idx="19">
                    <c:v>2.9993522963351342</c:v>
                  </c:pt>
                  <c:pt idx="20">
                    <c:v>3.1387820532457744</c:v>
                  </c:pt>
                  <c:pt idx="21">
                    <c:v>3.3243558273245419</c:v>
                  </c:pt>
                </c:numCache>
              </c:numRef>
            </c:plus>
            <c:minus>
              <c:numRef>
                <c:f>'(HOM) Food intake'!$C$89:$C$118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0.15658193137960749</c:v>
                  </c:pt>
                  <c:pt idx="2">
                    <c:v>0.22433509437424629</c:v>
                  </c:pt>
                  <c:pt idx="3">
                    <c:v>0.33995279265593492</c:v>
                  </c:pt>
                  <c:pt idx="4">
                    <c:v>0.44684317960610526</c:v>
                  </c:pt>
                  <c:pt idx="5">
                    <c:v>0.69885819575774866</c:v>
                  </c:pt>
                  <c:pt idx="6">
                    <c:v>0.85972935735685496</c:v>
                  </c:pt>
                  <c:pt idx="7">
                    <c:v>0.92887892073332745</c:v>
                  </c:pt>
                  <c:pt idx="8">
                    <c:v>1.0820549437226206</c:v>
                  </c:pt>
                  <c:pt idx="9">
                    <c:v>1.3600001134713235</c:v>
                  </c:pt>
                  <c:pt idx="10">
                    <c:v>1.5127389108321567</c:v>
                  </c:pt>
                  <c:pt idx="11">
                    <c:v>1.7228460339769647</c:v>
                  </c:pt>
                  <c:pt idx="12">
                    <c:v>2.0032252543718174</c:v>
                  </c:pt>
                  <c:pt idx="13">
                    <c:v>2.2618114531018501</c:v>
                  </c:pt>
                  <c:pt idx="14">
                    <c:v>2.5597026737059942</c:v>
                  </c:pt>
                  <c:pt idx="15">
                    <c:v>2.5104543143020361</c:v>
                  </c:pt>
                  <c:pt idx="16">
                    <c:v>2.6488193270135283</c:v>
                  </c:pt>
                  <c:pt idx="17">
                    <c:v>2.793490449042014</c:v>
                  </c:pt>
                  <c:pt idx="18">
                    <c:v>2.7515954967577936</c:v>
                  </c:pt>
                  <c:pt idx="19">
                    <c:v>2.9993522963351342</c:v>
                  </c:pt>
                  <c:pt idx="20">
                    <c:v>3.1387820532457744</c:v>
                  </c:pt>
                  <c:pt idx="21">
                    <c:v>3.3243558273245419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intake'!$A$89:$A$118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intake'!$B$89:$B$118</c:f>
              <c:numCache>
                <c:formatCode>General</c:formatCode>
                <c:ptCount val="30"/>
                <c:pt idx="0">
                  <c:v>0</c:v>
                </c:pt>
                <c:pt idx="1">
                  <c:v>3.1911111111111108</c:v>
                </c:pt>
                <c:pt idx="2">
                  <c:v>7.2288888888888891</c:v>
                </c:pt>
                <c:pt idx="3">
                  <c:v>11.081111111111113</c:v>
                </c:pt>
                <c:pt idx="4">
                  <c:v>15.592222222222224</c:v>
                </c:pt>
                <c:pt idx="5">
                  <c:v>20.093333333333334</c:v>
                </c:pt>
                <c:pt idx="6">
                  <c:v>24.581111111111113</c:v>
                </c:pt>
                <c:pt idx="7">
                  <c:v>29.177777777777781</c:v>
                </c:pt>
                <c:pt idx="8">
                  <c:v>33.431111111111107</c:v>
                </c:pt>
                <c:pt idx="9">
                  <c:v>38.065555555555555</c:v>
                </c:pt>
                <c:pt idx="10">
                  <c:v>42.401111111111113</c:v>
                </c:pt>
                <c:pt idx="11">
                  <c:v>47.068888888888893</c:v>
                </c:pt>
                <c:pt idx="12">
                  <c:v>51.875555555555565</c:v>
                </c:pt>
                <c:pt idx="13">
                  <c:v>58.037777777777784</c:v>
                </c:pt>
                <c:pt idx="14">
                  <c:v>62.636666666666684</c:v>
                </c:pt>
                <c:pt idx="15">
                  <c:v>67.194444444444443</c:v>
                </c:pt>
                <c:pt idx="16">
                  <c:v>71.527777777777786</c:v>
                </c:pt>
                <c:pt idx="17">
                  <c:v>75.993333333333339</c:v>
                </c:pt>
                <c:pt idx="18">
                  <c:v>80.733333333333348</c:v>
                </c:pt>
                <c:pt idx="19">
                  <c:v>86.015555555555551</c:v>
                </c:pt>
                <c:pt idx="20">
                  <c:v>90.143333333333345</c:v>
                </c:pt>
                <c:pt idx="21">
                  <c:v>93.993333333333339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9-8146-8C2C-33FB8A77EBAD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intake'!$E$89:$E$118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0.16265377339613113</c:v>
                  </c:pt>
                  <c:pt idx="2">
                    <c:v>0.32342993003563736</c:v>
                  </c:pt>
                  <c:pt idx="3">
                    <c:v>0.40556810904141655</c:v>
                  </c:pt>
                  <c:pt idx="4">
                    <c:v>0.53903601125395406</c:v>
                  </c:pt>
                  <c:pt idx="5">
                    <c:v>0.64708394658542967</c:v>
                  </c:pt>
                  <c:pt idx="6">
                    <c:v>0.89209624720974756</c:v>
                  </c:pt>
                  <c:pt idx="7">
                    <c:v>0.9842318206528915</c:v>
                  </c:pt>
                  <c:pt idx="8">
                    <c:v>0.92852790076550507</c:v>
                  </c:pt>
                  <c:pt idx="9">
                    <c:v>0.94525151810387031</c:v>
                  </c:pt>
                  <c:pt idx="10">
                    <c:v>0.93833103048329469</c:v>
                  </c:pt>
                  <c:pt idx="11">
                    <c:v>1.0431687793068378</c:v>
                  </c:pt>
                  <c:pt idx="12">
                    <c:v>1.1641658571084814</c:v>
                  </c:pt>
                  <c:pt idx="13">
                    <c:v>1.4658849525786135</c:v>
                  </c:pt>
                  <c:pt idx="14">
                    <c:v>2.5964741718337963</c:v>
                  </c:pt>
                  <c:pt idx="15">
                    <c:v>1.5574539408206447</c:v>
                  </c:pt>
                  <c:pt idx="16">
                    <c:v>2.0598749528620823</c:v>
                  </c:pt>
                  <c:pt idx="17">
                    <c:v>2.1871593102045126</c:v>
                  </c:pt>
                  <c:pt idx="18">
                    <c:v>2.5368399915755671</c:v>
                  </c:pt>
                  <c:pt idx="19">
                    <c:v>2.6919496283064523</c:v>
                  </c:pt>
                  <c:pt idx="20">
                    <c:v>2.9140183044331414</c:v>
                  </c:pt>
                  <c:pt idx="21">
                    <c:v>2.9954751590643154</c:v>
                  </c:pt>
                </c:numCache>
              </c:numRef>
            </c:plus>
            <c:minus>
              <c:numRef>
                <c:f>'(HOM) Food intake'!$E$89:$E$118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0.16265377339613113</c:v>
                  </c:pt>
                  <c:pt idx="2">
                    <c:v>0.32342993003563736</c:v>
                  </c:pt>
                  <c:pt idx="3">
                    <c:v>0.40556810904141655</c:v>
                  </c:pt>
                  <c:pt idx="4">
                    <c:v>0.53903601125395406</c:v>
                  </c:pt>
                  <c:pt idx="5">
                    <c:v>0.64708394658542967</c:v>
                  </c:pt>
                  <c:pt idx="6">
                    <c:v>0.89209624720974756</c:v>
                  </c:pt>
                  <c:pt idx="7">
                    <c:v>0.9842318206528915</c:v>
                  </c:pt>
                  <c:pt idx="8">
                    <c:v>0.92852790076550507</c:v>
                  </c:pt>
                  <c:pt idx="9">
                    <c:v>0.94525151810387031</c:v>
                  </c:pt>
                  <c:pt idx="10">
                    <c:v>0.93833103048329469</c:v>
                  </c:pt>
                  <c:pt idx="11">
                    <c:v>1.0431687793068378</c:v>
                  </c:pt>
                  <c:pt idx="12">
                    <c:v>1.1641658571084814</c:v>
                  </c:pt>
                  <c:pt idx="13">
                    <c:v>1.4658849525786135</c:v>
                  </c:pt>
                  <c:pt idx="14">
                    <c:v>2.5964741718337963</c:v>
                  </c:pt>
                  <c:pt idx="15">
                    <c:v>1.5574539408206447</c:v>
                  </c:pt>
                  <c:pt idx="16">
                    <c:v>2.0598749528620823</c:v>
                  </c:pt>
                  <c:pt idx="17">
                    <c:v>2.1871593102045126</c:v>
                  </c:pt>
                  <c:pt idx="18">
                    <c:v>2.5368399915755671</c:v>
                  </c:pt>
                  <c:pt idx="19">
                    <c:v>2.6919496283064523</c:v>
                  </c:pt>
                  <c:pt idx="20">
                    <c:v>2.9140183044331414</c:v>
                  </c:pt>
                  <c:pt idx="21">
                    <c:v>2.9954751590643154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intake'!$A$89:$A$110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intake'!$D$89:$D$110</c:f>
              <c:numCache>
                <c:formatCode>General</c:formatCode>
                <c:ptCount val="22"/>
                <c:pt idx="0">
                  <c:v>0</c:v>
                </c:pt>
                <c:pt idx="1">
                  <c:v>4.202500000000005</c:v>
                </c:pt>
                <c:pt idx="2">
                  <c:v>8.6437500000000043</c:v>
                </c:pt>
                <c:pt idx="3">
                  <c:v>13.386250000000002</c:v>
                </c:pt>
                <c:pt idx="4">
                  <c:v>17.977499999999999</c:v>
                </c:pt>
                <c:pt idx="5">
                  <c:v>22.606249999999996</c:v>
                </c:pt>
                <c:pt idx="6">
                  <c:v>27.344999999999985</c:v>
                </c:pt>
                <c:pt idx="7">
                  <c:v>32.068749999999987</c:v>
                </c:pt>
                <c:pt idx="8">
                  <c:v>37.473749999999988</c:v>
                </c:pt>
                <c:pt idx="9">
                  <c:v>41.685937499999994</c:v>
                </c:pt>
                <c:pt idx="10">
                  <c:v>46.143124999999976</c:v>
                </c:pt>
                <c:pt idx="11">
                  <c:v>50.056562499999991</c:v>
                </c:pt>
                <c:pt idx="12">
                  <c:v>54.059999999999974</c:v>
                </c:pt>
                <c:pt idx="13">
                  <c:v>57.933124999999976</c:v>
                </c:pt>
                <c:pt idx="14">
                  <c:v>61.583749999999974</c:v>
                </c:pt>
                <c:pt idx="15">
                  <c:v>64.964285714285694</c:v>
                </c:pt>
                <c:pt idx="16">
                  <c:v>70.28749999999998</c:v>
                </c:pt>
                <c:pt idx="17">
                  <c:v>74.561249999999987</c:v>
                </c:pt>
                <c:pt idx="18">
                  <c:v>79.124999999999972</c:v>
                </c:pt>
                <c:pt idx="19">
                  <c:v>83.028124999999974</c:v>
                </c:pt>
                <c:pt idx="20">
                  <c:v>86.457499999999982</c:v>
                </c:pt>
                <c:pt idx="21">
                  <c:v>89.909999999999968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9-8146-8C2C-33FB8A77EBAD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intake'!$G$89:$G$110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0.27722875448431644</c:v>
                  </c:pt>
                  <c:pt idx="2">
                    <c:v>0.53824503346466979</c:v>
                  </c:pt>
                  <c:pt idx="3">
                    <c:v>0.74851911411634731</c:v>
                  </c:pt>
                  <c:pt idx="4">
                    <c:v>0.99948196458507776</c:v>
                  </c:pt>
                  <c:pt idx="5">
                    <c:v>1.0169049508249663</c:v>
                  </c:pt>
                  <c:pt idx="6">
                    <c:v>1.1709241100963494</c:v>
                  </c:pt>
                  <c:pt idx="7">
                    <c:v>1.1650231810336038</c:v>
                  </c:pt>
                  <c:pt idx="8">
                    <c:v>1.294450166892432</c:v>
                  </c:pt>
                  <c:pt idx="9">
                    <c:v>1.4766186974902311</c:v>
                  </c:pt>
                  <c:pt idx="10">
                    <c:v>1.5637335131025203</c:v>
                  </c:pt>
                  <c:pt idx="11">
                    <c:v>1.8050048305396815</c:v>
                  </c:pt>
                  <c:pt idx="12">
                    <c:v>2.0046543065797766</c:v>
                  </c:pt>
                  <c:pt idx="13">
                    <c:v>1.6712789883170591</c:v>
                  </c:pt>
                  <c:pt idx="14">
                    <c:v>1.7692402638169547</c:v>
                  </c:pt>
                  <c:pt idx="15">
                    <c:v>1.8168221985749009</c:v>
                  </c:pt>
                  <c:pt idx="16">
                    <c:v>1.8218459130409912</c:v>
                  </c:pt>
                  <c:pt idx="17">
                    <c:v>1.975921725845085</c:v>
                  </c:pt>
                  <c:pt idx="18">
                    <c:v>2.1217367827580746</c:v>
                  </c:pt>
                  <c:pt idx="19">
                    <c:v>2.0153191090026059</c:v>
                  </c:pt>
                  <c:pt idx="20">
                    <c:v>2.0483336346924328</c:v>
                  </c:pt>
                  <c:pt idx="21">
                    <c:v>2.0087620565910687</c:v>
                  </c:pt>
                </c:numCache>
              </c:numRef>
            </c:plus>
            <c:minus>
              <c:numRef>
                <c:f>'(HOM) Food intake'!$G$89:$G$110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0.27722875448431644</c:v>
                  </c:pt>
                  <c:pt idx="2">
                    <c:v>0.53824503346466979</c:v>
                  </c:pt>
                  <c:pt idx="3">
                    <c:v>0.74851911411634731</c:v>
                  </c:pt>
                  <c:pt idx="4">
                    <c:v>0.99948196458507776</c:v>
                  </c:pt>
                  <c:pt idx="5">
                    <c:v>1.0169049508249663</c:v>
                  </c:pt>
                  <c:pt idx="6">
                    <c:v>1.1709241100963494</c:v>
                  </c:pt>
                  <c:pt idx="7">
                    <c:v>1.1650231810336038</c:v>
                  </c:pt>
                  <c:pt idx="8">
                    <c:v>1.294450166892432</c:v>
                  </c:pt>
                  <c:pt idx="9">
                    <c:v>1.4766186974902311</c:v>
                  </c:pt>
                  <c:pt idx="10">
                    <c:v>1.5637335131025203</c:v>
                  </c:pt>
                  <c:pt idx="11">
                    <c:v>1.8050048305396815</c:v>
                  </c:pt>
                  <c:pt idx="12">
                    <c:v>2.0046543065797766</c:v>
                  </c:pt>
                  <c:pt idx="13">
                    <c:v>1.6712789883170591</c:v>
                  </c:pt>
                  <c:pt idx="14">
                    <c:v>1.7692402638169547</c:v>
                  </c:pt>
                  <c:pt idx="15">
                    <c:v>1.8168221985749009</c:v>
                  </c:pt>
                  <c:pt idx="16">
                    <c:v>1.8218459130409912</c:v>
                  </c:pt>
                  <c:pt idx="17">
                    <c:v>1.975921725845085</c:v>
                  </c:pt>
                  <c:pt idx="18">
                    <c:v>2.1217367827580746</c:v>
                  </c:pt>
                  <c:pt idx="19">
                    <c:v>2.0153191090026059</c:v>
                  </c:pt>
                  <c:pt idx="20">
                    <c:v>2.0483336346924328</c:v>
                  </c:pt>
                  <c:pt idx="21">
                    <c:v>2.0087620565910687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intake'!$A$89:$A$118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intake'!$F$89:$F$110</c:f>
              <c:numCache>
                <c:formatCode>General</c:formatCode>
                <c:ptCount val="22"/>
                <c:pt idx="0">
                  <c:v>0</c:v>
                </c:pt>
                <c:pt idx="1">
                  <c:v>2.16777777777778</c:v>
                </c:pt>
                <c:pt idx="2">
                  <c:v>5.5377777777777757</c:v>
                </c:pt>
                <c:pt idx="3">
                  <c:v>9.4544444444444409</c:v>
                </c:pt>
                <c:pt idx="4">
                  <c:v>13.654444444444444</c:v>
                </c:pt>
                <c:pt idx="5">
                  <c:v>18.391111111111115</c:v>
                </c:pt>
                <c:pt idx="6">
                  <c:v>22.712222222222231</c:v>
                </c:pt>
                <c:pt idx="7">
                  <c:v>26.741111111111117</c:v>
                </c:pt>
                <c:pt idx="8">
                  <c:v>30.621111111111119</c:v>
                </c:pt>
                <c:pt idx="9">
                  <c:v>34.32083333333334</c:v>
                </c:pt>
                <c:pt idx="10">
                  <c:v>37.684999999999995</c:v>
                </c:pt>
                <c:pt idx="11">
                  <c:v>41.330277777777773</c:v>
                </c:pt>
                <c:pt idx="12">
                  <c:v>45.016666666666673</c:v>
                </c:pt>
                <c:pt idx="13">
                  <c:v>49.411111111111111</c:v>
                </c:pt>
                <c:pt idx="14">
                  <c:v>52.936666666666682</c:v>
                </c:pt>
                <c:pt idx="15">
                  <c:v>56.748888888888892</c:v>
                </c:pt>
                <c:pt idx="16">
                  <c:v>60.765555555555551</c:v>
                </c:pt>
                <c:pt idx="17">
                  <c:v>64.726666666666659</c:v>
                </c:pt>
                <c:pt idx="18">
                  <c:v>68.625555555555565</c:v>
                </c:pt>
                <c:pt idx="19">
                  <c:v>72.04000000000002</c:v>
                </c:pt>
                <c:pt idx="20">
                  <c:v>75.738888888888908</c:v>
                </c:pt>
                <c:pt idx="21">
                  <c:v>79.543333333333351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9-8146-8C2C-33FB8A77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6660746355"/>
              <c:y val="0.91818183784719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Cumulative F/I (g)</a:t>
                </a:r>
              </a:p>
            </c:rich>
          </c:tx>
          <c:layout>
            <c:manualLayout>
              <c:xMode val="edge"/>
              <c:yMode val="edge"/>
              <c:x val="2.6315789473684209E-2"/>
              <c:y val="0.26260513108938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66004239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053302547707853"/>
          <c:y val="0.22802890023362465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Other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cells (U/C)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33E-D543-BE1C-0FDD1635AB1D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Data'!$O$15</c:f>
                <c:numCache>
                  <c:formatCode>General</c:formatCode>
                  <c:ptCount val="1"/>
                  <c:pt idx="0">
                    <c:v>0.19436509174463401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Data'!$O$14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E-D543-BE1C-0FDD1635AB1D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Data'!$O$26</c:f>
                <c:numCache>
                  <c:formatCode>General</c:formatCode>
                  <c:ptCount val="1"/>
                  <c:pt idx="0">
                    <c:v>0.44444443333333333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Data'!$O$25</c:f>
              <c:numCache>
                <c:formatCode>General</c:formatCode>
                <c:ptCount val="1"/>
                <c:pt idx="0">
                  <c:v>0.44444443333333333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E-D543-BE1C-0FDD1635AB1D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Data'!$O$38</c:f>
                <c:numCache>
                  <c:formatCode>General</c:formatCode>
                  <c:ptCount val="1"/>
                  <c:pt idx="0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E-D543-BE1C-0FDD1635AB1D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33E-D543-BE1C-0FDD1635AB1D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Data'!$O$51</c:f>
                <c:numCache>
                  <c:formatCode>General</c:formatCode>
                  <c:ptCount val="1"/>
                  <c:pt idx="0">
                    <c:v>6.734323359719617E-2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Data'!$O$50</c:f>
              <c:numCache>
                <c:formatCode>General</c:formatCode>
                <c:ptCount val="1"/>
                <c:pt idx="0">
                  <c:v>0.14285657142857142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3E-D543-BE1C-0FDD1635AB1D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Data'!$O$62</c:f>
                <c:numCache>
                  <c:formatCode>General</c:formatCode>
                  <c:ptCount val="1"/>
                  <c:pt idx="0">
                    <c:v>0.13333339999999999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Data'!$O$61</c:f>
              <c:numCache>
                <c:formatCode>General</c:formatCode>
                <c:ptCount val="1"/>
                <c:pt idx="0">
                  <c:v>0.13333339999999999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E-D543-BE1C-0FDD1635AB1D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Data'!$O$75</c:f>
                <c:numCache>
                  <c:formatCode>General</c:formatCode>
                  <c:ptCount val="1"/>
                  <c:pt idx="0">
                    <c:v>0.1856232744027537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Data'!$O$74</c:f>
              <c:numCache>
                <c:formatCode>General</c:formatCode>
                <c:ptCount val="1"/>
                <c:pt idx="0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3E-D543-BE1C-0FDD1635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Other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cells (L/C)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B9D-B14B-8B28-904C18E87098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Data'!$P$15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D-B14B-8B28-904C18E87098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Data'!$P$26</c:f>
                <c:numCache>
                  <c:formatCode>General</c:formatCode>
                  <c:ptCount val="1"/>
                  <c:pt idx="0">
                    <c:v>0.22222333333333336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Data'!$P$25</c:f>
              <c:numCache>
                <c:formatCode>General</c:formatCode>
                <c:ptCount val="1"/>
                <c:pt idx="0">
                  <c:v>0.22222333333333333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D-B14B-8B28-904C18E87098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Data'!$P$38</c:f>
                <c:numCache>
                  <c:formatCode>General</c:formatCode>
                  <c:ptCount val="1"/>
                  <c:pt idx="0">
                    <c:v>0.41666666666666669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Data'!$P$37</c:f>
              <c:numCache>
                <c:formatCode>General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D-B14B-8B28-904C18E87098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3B9D-B14B-8B28-904C18E87098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Data'!$P$51</c:f>
                <c:numCache>
                  <c:formatCode>General</c:formatCode>
                  <c:ptCount val="1"/>
                  <c:pt idx="0">
                    <c:v>0.11983914641554087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Data'!$P$50</c:f>
              <c:numCache>
                <c:formatCode>General</c:formatCode>
                <c:ptCount val="1"/>
                <c:pt idx="0">
                  <c:v>0.23809571428571427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9D-B14B-8B28-904C18E87098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Data'!$P$62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Data'!$P$61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9D-B14B-8B28-904C18E87098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Data'!$P$75</c:f>
                <c:numCache>
                  <c:formatCode>General</c:formatCode>
                  <c:ptCount val="1"/>
                  <c:pt idx="0">
                    <c:v>6.6000000000000003E-2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Data'!$P$74</c:f>
              <c:numCache>
                <c:formatCode>General</c:formatCode>
                <c:ptCount val="1"/>
                <c:pt idx="0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9D-B14B-8B28-904C18E8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58589000420748949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D5-E245-8A19-D8E14237830C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Data'!$L$15</c:f>
                <c:numCache>
                  <c:formatCode>General</c:formatCode>
                  <c:ptCount val="1"/>
                  <c:pt idx="0">
                    <c:v>0.57160057538363251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Data'!$L$14</c:f>
              <c:numCache>
                <c:formatCode>General</c:formatCode>
                <c:ptCount val="1"/>
                <c:pt idx="0">
                  <c:v>1.766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5-E245-8A19-D8E14237830C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Data'!$L$26</c:f>
                <c:numCache>
                  <c:formatCode>General</c:formatCode>
                  <c:ptCount val="1"/>
                  <c:pt idx="0">
                    <c:v>0.65023842241808083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Data'!$L$25</c:f>
              <c:numCache>
                <c:formatCode>General</c:formatCode>
                <c:ptCount val="1"/>
                <c:pt idx="0">
                  <c:v>1.2055567666666667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5-E245-8A19-D8E14237830C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Data'!$L$38</c:f>
                <c:numCache>
                  <c:formatCode>General</c:formatCode>
                  <c:ptCount val="1"/>
                  <c:pt idx="0">
                    <c:v>0.57623297757456138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Data'!$L$37</c:f>
              <c:numCache>
                <c:formatCode>General</c:formatCode>
                <c:ptCount val="1"/>
                <c:pt idx="0">
                  <c:v>2.7266666666666666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5-E245-8A19-D8E14237830C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2D5-E245-8A19-D8E14237830C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Data'!$L$51</c:f>
                <c:numCache>
                  <c:formatCode>General</c:formatCode>
                  <c:ptCount val="1"/>
                  <c:pt idx="0">
                    <c:v>0.19905039988451087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Data'!$L$50</c:f>
              <c:numCache>
                <c:formatCode>General</c:formatCode>
                <c:ptCount val="1"/>
                <c:pt idx="0">
                  <c:v>1.1266665714285715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5-E245-8A19-D8E14237830C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Data'!$L$62</c:f>
                <c:numCache>
                  <c:formatCode>General</c:formatCode>
                  <c:ptCount val="1"/>
                  <c:pt idx="0">
                    <c:v>0.22370664993124381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Data'!$L$61</c:f>
              <c:numCache>
                <c:formatCode>General</c:formatCode>
                <c:ptCount val="1"/>
                <c:pt idx="0">
                  <c:v>1.2433333999999998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D5-E245-8A19-D8E14237830C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Data'!$L$75</c:f>
                <c:numCache>
                  <c:formatCode>General</c:formatCode>
                  <c:ptCount val="1"/>
                  <c:pt idx="0">
                    <c:v>0.30882681230748077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Data'!$L$74</c:f>
              <c:numCache>
                <c:formatCode>General</c:formatCode>
                <c:ptCount val="1"/>
                <c:pt idx="0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D5-E245-8A19-D8E14237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 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Object discrimination</a:t>
            </a: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C87-0448-AC4B-462D3F3C41CC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Data'!$Q$15</c:f>
                <c:numCache>
                  <c:formatCode>General</c:formatCode>
                  <c:ptCount val="1"/>
                  <c:pt idx="0">
                    <c:v>6.5225928653469406E-2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Data'!$Q$14</c:f>
              <c:numCache>
                <c:formatCode>General</c:formatCode>
                <c:ptCount val="1"/>
                <c:pt idx="0">
                  <c:v>0.26142857142857145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7-0448-AC4B-462D3F3C41CC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Data'!$Q$26</c:f>
                <c:numCache>
                  <c:formatCode>General</c:formatCode>
                  <c:ptCount val="1"/>
                  <c:pt idx="0">
                    <c:v>7.3580313263807165E-2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Data'!$Q$25</c:f>
              <c:numCache>
                <c:formatCode>General</c:formatCode>
                <c:ptCount val="1"/>
                <c:pt idx="0">
                  <c:v>0.14625000000000002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7-0448-AC4B-462D3F3C41CC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Data'!$Q$38</c:f>
                <c:numCache>
                  <c:formatCode>General</c:formatCode>
                  <c:ptCount val="1"/>
                  <c:pt idx="0">
                    <c:v>5.0530666077993835E-2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Data'!$Q$37</c:f>
              <c:numCache>
                <c:formatCode>General</c:formatCode>
                <c:ptCount val="1"/>
                <c:pt idx="0">
                  <c:v>0.32374999999999998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7-0448-AC4B-462D3F3C41CC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C87-0448-AC4B-462D3F3C41CC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Data'!$Q$51</c:f>
                <c:numCache>
                  <c:formatCode>General</c:formatCode>
                  <c:ptCount val="1"/>
                  <c:pt idx="0">
                    <c:v>7.37885701611012E-2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Data'!$Q$50</c:f>
              <c:numCache>
                <c:formatCode>General</c:formatCode>
                <c:ptCount val="1"/>
                <c:pt idx="0">
                  <c:v>0.16444444444444445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7-0448-AC4B-462D3F3C41CC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Data'!$Q$62</c:f>
                <c:numCache>
                  <c:formatCode>General</c:formatCode>
                  <c:ptCount val="1"/>
                  <c:pt idx="0">
                    <c:v>7.1264096349925227E-2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Data'!$Q$61</c:f>
              <c:numCache>
                <c:formatCode>General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87-0448-AC4B-462D3F3C41CC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Data'!$Q$75</c:f>
                <c:numCache>
                  <c:formatCode>General</c:formatCode>
                  <c:ptCount val="1"/>
                  <c:pt idx="0">
                    <c:v>8.1145350459743346E-2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Data'!$Q$74</c:f>
              <c:numCache>
                <c:formatCode>General</c:formatCode>
                <c:ptCount val="1"/>
                <c:pt idx="0">
                  <c:v>0.24111111111111111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87-0448-AC4B-462D3F3C4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Discrimination ratio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(repositioned:unmoved)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23176460837132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B  Open Field IZ duration</a:t>
            </a: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C8-2842-8B37-2E548AF931AD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Data'!$R$15</c:f>
                <c:numCache>
                  <c:formatCode>General</c:formatCode>
                  <c:ptCount val="1"/>
                  <c:pt idx="0">
                    <c:v>2.1634527635240874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Data'!$R$14</c:f>
              <c:numCache>
                <c:formatCode>General</c:formatCode>
                <c:ptCount val="1"/>
                <c:pt idx="0">
                  <c:v>13.010399999999999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8-2842-8B37-2E548AF931AD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Data'!$R$26</c:f>
                <c:numCache>
                  <c:formatCode>General</c:formatCode>
                  <c:ptCount val="1"/>
                  <c:pt idx="0">
                    <c:v>2.5927337267405202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Data'!$R$25</c:f>
              <c:numCache>
                <c:formatCode>General</c:formatCode>
                <c:ptCount val="1"/>
                <c:pt idx="0">
                  <c:v>14.856666666666667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8-2842-8B37-2E548AF931AD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Data'!$R$38</c:f>
                <c:numCache>
                  <c:formatCode>General</c:formatCode>
                  <c:ptCount val="1"/>
                  <c:pt idx="0">
                    <c:v>2.1060630372015599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Data'!$R$37</c:f>
              <c:numCache>
                <c:formatCode>General</c:formatCode>
                <c:ptCount val="1"/>
                <c:pt idx="0">
                  <c:v>16.8245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8-2842-8B37-2E548AF931AD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2C8-2842-8B37-2E548AF931AD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Data'!$R$51</c:f>
                <c:numCache>
                  <c:formatCode>General</c:formatCode>
                  <c:ptCount val="1"/>
                  <c:pt idx="0">
                    <c:v>1.0388959584578228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Data'!$R$50</c:f>
              <c:numCache>
                <c:formatCode>General</c:formatCode>
                <c:ptCount val="1"/>
                <c:pt idx="0">
                  <c:v>13.032249999999999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8-2842-8B37-2E548AF931AD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Data'!$R$62</c:f>
                <c:numCache>
                  <c:formatCode>General</c:formatCode>
                  <c:ptCount val="1"/>
                  <c:pt idx="0">
                    <c:v>0.94613493018831163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Data'!$R$61</c:f>
              <c:numCache>
                <c:formatCode>General</c:formatCode>
                <c:ptCount val="1"/>
                <c:pt idx="0">
                  <c:v>13.672857142857143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C8-2842-8B37-2E548AF931AD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Data'!$R$75</c:f>
                <c:numCache>
                  <c:formatCode>General</c:formatCode>
                  <c:ptCount val="1"/>
                  <c:pt idx="0">
                    <c:v>0.79491903151620946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Data'!$R$74</c:f>
              <c:numCache>
                <c:formatCode>General</c:formatCode>
                <c:ptCount val="1"/>
                <c:pt idx="0">
                  <c:v>9.9849999999999994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C8-2842-8B37-2E548AF9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time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(%-test time)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M  Inner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 entries</a:t>
            </a: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06F-A543-A343-71FB0514095D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Data'!$S$15</c:f>
                <c:numCache>
                  <c:formatCode>General</c:formatCode>
                  <c:ptCount val="1"/>
                  <c:pt idx="0">
                    <c:v>5.7043842787806653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Data'!$S$14</c:f>
              <c:numCache>
                <c:formatCode>General</c:formatCode>
                <c:ptCount val="1"/>
                <c:pt idx="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F-A543-A343-71FB0514095D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Data'!$S$26</c:f>
                <c:numCache>
                  <c:formatCode>General</c:formatCode>
                  <c:ptCount val="1"/>
                  <c:pt idx="0">
                    <c:v>6.173419725817376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Data'!$S$25</c:f>
              <c:numCache>
                <c:formatCode>General</c:formatCode>
                <c:ptCount val="1"/>
                <c:pt idx="0">
                  <c:v>29.666666666666668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F-A543-A343-71FB0514095D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Data'!$S$38</c:f>
                <c:numCache>
                  <c:formatCode>General</c:formatCode>
                  <c:ptCount val="1"/>
                  <c:pt idx="0">
                    <c:v>5.5477723256977445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Data'!$S$37</c:f>
              <c:numCache>
                <c:formatCode>General</c:formatCode>
                <c:ptCount val="1"/>
                <c:pt idx="0">
                  <c:v>33.666666666666664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F-A543-A343-71FB0514095D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06F-A543-A343-71FB0514095D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Data'!$S$51</c:f>
                <c:numCache>
                  <c:formatCode>General</c:formatCode>
                  <c:ptCount val="1"/>
                  <c:pt idx="0">
                    <c:v>2.5704363164923687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Data'!$S$50</c:f>
              <c:numCache>
                <c:formatCode>General</c:formatCode>
                <c:ptCount val="1"/>
                <c:pt idx="0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F-A543-A343-71FB0514095D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Data'!$S$62</c:f>
                <c:numCache>
                  <c:formatCode>General</c:formatCode>
                  <c:ptCount val="1"/>
                  <c:pt idx="0">
                    <c:v>4.8000000000000007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Data'!$S$61</c:f>
              <c:numCache>
                <c:formatCode>General</c:formatCode>
                <c:ptCount val="1"/>
                <c:pt idx="0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F-A543-A343-71FB0514095D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Data'!$S$75</c:f>
                <c:numCache>
                  <c:formatCode>General</c:formatCode>
                  <c:ptCount val="1"/>
                  <c:pt idx="0">
                    <c:v>1.2409673645990846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Data'!$S$74</c:f>
              <c:numCache>
                <c:formatCode>General</c:formatCode>
                <c:ptCount val="1"/>
                <c:pt idx="0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6F-A543-A343-71FB0514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entries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(occasions)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N  Orientation to inner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5AA-FC45-947E-3B1252E50F13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Data'!$Z$15</c:f>
                <c:numCache>
                  <c:formatCode>General</c:formatCode>
                  <c:ptCount val="1"/>
                  <c:pt idx="0">
                    <c:v>0.11965157750736086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Data'!$Z$14</c:f>
              <c:numCache>
                <c:formatCode>General</c:formatCode>
                <c:ptCount val="1"/>
                <c:pt idx="0">
                  <c:v>8.1590000000000007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A-FC45-947E-3B1252E50F13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Data'!$Z$26</c:f>
                <c:numCache>
                  <c:formatCode>General</c:formatCode>
                  <c:ptCount val="1"/>
                  <c:pt idx="0">
                    <c:v>0.38766709658904214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Data'!$Z$25</c:f>
              <c:numCache>
                <c:formatCode>General</c:formatCode>
                <c:ptCount val="1"/>
                <c:pt idx="0">
                  <c:v>6.4813333333333327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A-FC45-947E-3B1252E50F13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Data'!$Z$38</c:f>
                <c:numCache>
                  <c:formatCode>General</c:formatCode>
                  <c:ptCount val="1"/>
                  <c:pt idx="0">
                    <c:v>0.80871152664800128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Data'!$Z$37</c:f>
              <c:numCache>
                <c:formatCode>General</c:formatCode>
                <c:ptCount val="1"/>
                <c:pt idx="0">
                  <c:v>10.842999999999998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A-FC45-947E-3B1252E50F13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5AA-FC45-947E-3B1252E50F13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Data'!$Z$51</c:f>
                <c:numCache>
                  <c:formatCode>General</c:formatCode>
                  <c:ptCount val="1"/>
                  <c:pt idx="0">
                    <c:v>0.38591447227424824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Data'!$Z$50</c:f>
              <c:numCache>
                <c:formatCode>General</c:formatCode>
                <c:ptCount val="1"/>
                <c:pt idx="0">
                  <c:v>7.2468750000000011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A-FC45-947E-3B1252E50F13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Data'!$Z$62</c:f>
                <c:numCache>
                  <c:formatCode>General</c:formatCode>
                  <c:ptCount val="1"/>
                  <c:pt idx="0">
                    <c:v>1.179165026618413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Data'!$Z$61</c:f>
              <c:numCache>
                <c:formatCode>General</c:formatCode>
                <c:ptCount val="1"/>
                <c:pt idx="0">
                  <c:v>8.0226000000000006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AA-FC45-947E-3B1252E50F13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Data'!$Z$75</c:f>
                <c:numCache>
                  <c:formatCode>General</c:formatCode>
                  <c:ptCount val="1"/>
                  <c:pt idx="0">
                    <c:v>1.0603073422362035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Data'!$Z$74</c:f>
              <c:numCache>
                <c:formatCode>General</c:formatCode>
                <c:ptCount val="1"/>
                <c:pt idx="0">
                  <c:v>7.5873999999999997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AA-FC45-947E-3B1252E5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facing inner zone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(%-duration in OZ)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2202105263157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O  Inner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 movement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95F-BA48-BD63-14E078F0AD3A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Data'!$T$15</c:f>
                <c:numCache>
                  <c:formatCode>General</c:formatCode>
                  <c:ptCount val="1"/>
                  <c:pt idx="0">
                    <c:v>2.3913006293646988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Data'!$T$14</c:f>
              <c:numCache>
                <c:formatCode>General</c:formatCode>
                <c:ptCount val="1"/>
                <c:pt idx="0">
                  <c:v>80.60199999999999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F-BA48-BD63-14E078F0AD3A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Data'!$T$26</c:f>
                <c:numCache>
                  <c:formatCode>General</c:formatCode>
                  <c:ptCount val="1"/>
                  <c:pt idx="0">
                    <c:v>2.8922282643894679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Data'!$T$25</c:f>
              <c:numCache>
                <c:formatCode>General</c:formatCode>
                <c:ptCount val="1"/>
                <c:pt idx="0">
                  <c:v>83.920999999999992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F-BA48-BD63-14E078F0AD3A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Data'!$T$38</c:f>
                <c:numCache>
                  <c:formatCode>General</c:formatCode>
                  <c:ptCount val="1"/>
                  <c:pt idx="0">
                    <c:v>4.7032330842139256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Data'!$T$37</c:f>
              <c:numCache>
                <c:formatCode>General</c:formatCode>
                <c:ptCount val="1"/>
                <c:pt idx="0">
                  <c:v>77.565666666666672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F-BA48-BD63-14E078F0AD3A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95F-BA48-BD63-14E078F0AD3A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Data'!$T$51</c:f>
                <c:numCache>
                  <c:formatCode>General</c:formatCode>
                  <c:ptCount val="1"/>
                  <c:pt idx="0">
                    <c:v>1.3078111723410233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Data'!$T$50</c:f>
              <c:numCache>
                <c:formatCode>General</c:formatCode>
                <c:ptCount val="1"/>
                <c:pt idx="0">
                  <c:v>78.820750000000004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F-BA48-BD63-14E078F0AD3A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Data'!$T$62</c:f>
                <c:numCache>
                  <c:formatCode>General</c:formatCode>
                  <c:ptCount val="1"/>
                  <c:pt idx="0">
                    <c:v>1.6071680994843067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Data'!$T$61</c:f>
              <c:numCache>
                <c:formatCode>General</c:formatCode>
                <c:ptCount val="1"/>
                <c:pt idx="0">
                  <c:v>82.332000000000008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F-BA48-BD63-14E078F0AD3A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Data'!$T$75</c:f>
                <c:numCache>
                  <c:formatCode>General</c:formatCode>
                  <c:ptCount val="1"/>
                  <c:pt idx="0">
                    <c:v>2.8698814261219918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Data'!$T$74</c:f>
              <c:numCache>
                <c:formatCode>General</c:formatCode>
                <c:ptCount val="1"/>
                <c:pt idx="0">
                  <c:v>78.179000000000002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F-BA48-BD63-14E078F0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movement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(%-duration in IZ)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44229092416079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P  Outer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 movement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32-B04E-8E13-ACDF5804E950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Data'!$U$15</c:f>
                <c:numCache>
                  <c:formatCode>General</c:formatCode>
                  <c:ptCount val="1"/>
                  <c:pt idx="0">
                    <c:v>1.1811822721324607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Data'!$U$14</c:f>
              <c:numCache>
                <c:formatCode>General</c:formatCode>
                <c:ptCount val="1"/>
                <c:pt idx="0">
                  <c:v>82.266600000000011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2-B04E-8E13-ACDF5804E950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Data'!$U$26</c:f>
                <c:numCache>
                  <c:formatCode>General</c:formatCode>
                  <c:ptCount val="1"/>
                  <c:pt idx="0">
                    <c:v>1.2883090985215222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Data'!$U$25</c:f>
              <c:numCache>
                <c:formatCode>General</c:formatCode>
                <c:ptCount val="1"/>
                <c:pt idx="0">
                  <c:v>89.004000000000005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2-B04E-8E13-ACDF5804E950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Data'!$U$38</c:f>
                <c:numCache>
                  <c:formatCode>General</c:formatCode>
                  <c:ptCount val="1"/>
                  <c:pt idx="0">
                    <c:v>2.2455122899784894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Data'!$U$37</c:f>
              <c:numCache>
                <c:formatCode>General</c:formatCode>
                <c:ptCount val="1"/>
                <c:pt idx="0">
                  <c:v>85.609666666666669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2-B04E-8E13-ACDF5804E950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532-B04E-8E13-ACDF5804E950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Data'!$U$51</c:f>
                <c:numCache>
                  <c:formatCode>General</c:formatCode>
                  <c:ptCount val="1"/>
                  <c:pt idx="0">
                    <c:v>0.78833385416649504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Data'!$U$50</c:f>
              <c:numCache>
                <c:formatCode>General</c:formatCode>
                <c:ptCount val="1"/>
                <c:pt idx="0">
                  <c:v>83.515124999999998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2-B04E-8E13-ACDF5804E950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Data'!$U$62</c:f>
                <c:numCache>
                  <c:formatCode>General</c:formatCode>
                  <c:ptCount val="1"/>
                  <c:pt idx="0">
                    <c:v>1.4727323110463768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Data'!$U$61</c:f>
              <c:numCache>
                <c:formatCode>General</c:formatCode>
                <c:ptCount val="1"/>
                <c:pt idx="0">
                  <c:v>84.991399999999999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2-B04E-8E13-ACDF5804E950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Data'!$U$75</c:f>
                <c:numCache>
                  <c:formatCode>General</c:formatCode>
                  <c:ptCount val="1"/>
                  <c:pt idx="0">
                    <c:v>1.2469154181419055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Data'!$U$74</c:f>
              <c:numCache>
                <c:formatCode>General</c:formatCode>
                <c:ptCount val="1"/>
                <c:pt idx="0">
                  <c:v>85.0916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2-B04E-8E13-ACDF5804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Outer zone movement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(%-duration in OZ)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44229092416079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Q  Average speed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(IZ)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6FF-F54E-8A8D-AB99D957573F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Data'!$V$15</c:f>
                <c:numCache>
                  <c:formatCode>General</c:formatCode>
                  <c:ptCount val="1"/>
                  <c:pt idx="0">
                    <c:v>1.1654833074737714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Data'!$V$14</c:f>
              <c:numCache>
                <c:formatCode>General</c:formatCode>
                <c:ptCount val="1"/>
                <c:pt idx="0">
                  <c:v>18.304200000000002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F-F54E-8A8D-AB99D957573F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Data'!$V$26</c:f>
                <c:numCache>
                  <c:formatCode>General</c:formatCode>
                  <c:ptCount val="1"/>
                  <c:pt idx="0">
                    <c:v>3.1026173359493372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Data'!$V$25</c:f>
              <c:numCache>
                <c:formatCode>General</c:formatCode>
                <c:ptCount val="1"/>
                <c:pt idx="0">
                  <c:v>19.497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F-F54E-8A8D-AB99D957573F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Data'!$V$38</c:f>
                <c:numCache>
                  <c:formatCode>General</c:formatCode>
                  <c:ptCount val="1"/>
                  <c:pt idx="0">
                    <c:v>1.8493336037010251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Data'!$V$37</c:f>
              <c:numCache>
                <c:formatCode>General</c:formatCode>
                <c:ptCount val="1"/>
                <c:pt idx="0">
                  <c:v>16.827666666666666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F-F54E-8A8D-AB99D957573F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36FF-F54E-8A8D-AB99D957573F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Data'!$V$51</c:f>
                <c:numCache>
                  <c:formatCode>General</c:formatCode>
                  <c:ptCount val="1"/>
                  <c:pt idx="0">
                    <c:v>1.0414160517570086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Data'!$V$50</c:f>
              <c:numCache>
                <c:formatCode>General</c:formatCode>
                <c:ptCount val="1"/>
                <c:pt idx="0">
                  <c:v>16.359499999999997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FF-F54E-8A8D-AB99D957573F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Data'!$V$62</c:f>
                <c:numCache>
                  <c:formatCode>General</c:formatCode>
                  <c:ptCount val="1"/>
                  <c:pt idx="0">
                    <c:v>2.7025539291566418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Data'!$V$61</c:f>
              <c:numCache>
                <c:formatCode>General</c:formatCode>
                <c:ptCount val="1"/>
                <c:pt idx="0">
                  <c:v>23.228200000000001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FF-F54E-8A8D-AB99D957573F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Data'!$V$75</c:f>
                <c:numCache>
                  <c:formatCode>General</c:formatCode>
                  <c:ptCount val="1"/>
                  <c:pt idx="0">
                    <c:v>1.5364396376037714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Data'!$V$74</c:f>
              <c:numCache>
                <c:formatCode>General</c:formatCode>
                <c:ptCount val="1"/>
                <c:pt idx="0">
                  <c:v>19.5214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FF-F54E-8A8D-AB99D957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inner zone speed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(m/s)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23176460837132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B  Daily food intake</a:t>
            </a:r>
          </a:p>
        </c:rich>
      </c:tx>
      <c:layout>
        <c:manualLayout>
          <c:xMode val="edge"/>
          <c:yMode val="edge"/>
          <c:x val="2.5179878830935604E-2"/>
          <c:y val="2.7500216319113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1240184732775"/>
          <c:y val="0.21978697321342072"/>
          <c:w val="0.63911788417028581"/>
          <c:h val="0.61815086216274573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intake'!$K$89:$K$110</c:f>
                <c:numCache>
                  <c:formatCode>General</c:formatCode>
                  <c:ptCount val="22"/>
                  <c:pt idx="1">
                    <c:v>0.15658193137960749</c:v>
                  </c:pt>
                  <c:pt idx="2">
                    <c:v>0.18993988652683616</c:v>
                  </c:pt>
                  <c:pt idx="3">
                    <c:v>0.21040818648111459</c:v>
                  </c:pt>
                  <c:pt idx="4">
                    <c:v>0.20219245812704453</c:v>
                  </c:pt>
                  <c:pt idx="5">
                    <c:v>0.48231053978751409</c:v>
                  </c:pt>
                  <c:pt idx="6">
                    <c:v>0.31215548911194191</c:v>
                  </c:pt>
                  <c:pt idx="7">
                    <c:v>0.16295023098411929</c:v>
                  </c:pt>
                  <c:pt idx="8">
                    <c:v>0.28362729848243534</c:v>
                  </c:pt>
                  <c:pt idx="9">
                    <c:v>0.3269348861059122</c:v>
                  </c:pt>
                  <c:pt idx="10">
                    <c:v>0.22234926923843021</c:v>
                  </c:pt>
                  <c:pt idx="11">
                    <c:v>0.2988904378315918</c:v>
                  </c:pt>
                  <c:pt idx="12">
                    <c:v>0.34947182369334873</c:v>
                  </c:pt>
                  <c:pt idx="13">
                    <c:v>0.39856261803363618</c:v>
                  </c:pt>
                  <c:pt idx="14">
                    <c:v>0.37169822154704413</c:v>
                  </c:pt>
                  <c:pt idx="15">
                    <c:v>0.24114759068634206</c:v>
                  </c:pt>
                  <c:pt idx="16">
                    <c:v>0.22477148889977508</c:v>
                  </c:pt>
                  <c:pt idx="17">
                    <c:v>0.23231391066059623</c:v>
                  </c:pt>
                  <c:pt idx="18">
                    <c:v>0.31690342026834989</c:v>
                  </c:pt>
                  <c:pt idx="19">
                    <c:v>0.37023932866974912</c:v>
                  </c:pt>
                  <c:pt idx="20">
                    <c:v>0.32914357631155527</c:v>
                  </c:pt>
                  <c:pt idx="21">
                    <c:v>0.32017790193717133</c:v>
                  </c:pt>
                </c:numCache>
              </c:numRef>
            </c:plus>
            <c:minus>
              <c:numRef>
                <c:f>'(HOM) Food intake'!$K$89:$K$110</c:f>
                <c:numCache>
                  <c:formatCode>General</c:formatCode>
                  <c:ptCount val="22"/>
                  <c:pt idx="1">
                    <c:v>0.15658193137960749</c:v>
                  </c:pt>
                  <c:pt idx="2">
                    <c:v>0.18993988652683616</c:v>
                  </c:pt>
                  <c:pt idx="3">
                    <c:v>0.21040818648111459</c:v>
                  </c:pt>
                  <c:pt idx="4">
                    <c:v>0.20219245812704453</c:v>
                  </c:pt>
                  <c:pt idx="5">
                    <c:v>0.48231053978751409</c:v>
                  </c:pt>
                  <c:pt idx="6">
                    <c:v>0.31215548911194191</c:v>
                  </c:pt>
                  <c:pt idx="7">
                    <c:v>0.16295023098411929</c:v>
                  </c:pt>
                  <c:pt idx="8">
                    <c:v>0.28362729848243534</c:v>
                  </c:pt>
                  <c:pt idx="9">
                    <c:v>0.3269348861059122</c:v>
                  </c:pt>
                  <c:pt idx="10">
                    <c:v>0.22234926923843021</c:v>
                  </c:pt>
                  <c:pt idx="11">
                    <c:v>0.2988904378315918</c:v>
                  </c:pt>
                  <c:pt idx="12">
                    <c:v>0.34947182369334873</c:v>
                  </c:pt>
                  <c:pt idx="13">
                    <c:v>0.39856261803363618</c:v>
                  </c:pt>
                  <c:pt idx="14">
                    <c:v>0.37169822154704413</c:v>
                  </c:pt>
                  <c:pt idx="15">
                    <c:v>0.24114759068634206</c:v>
                  </c:pt>
                  <c:pt idx="16">
                    <c:v>0.22477148889977508</c:v>
                  </c:pt>
                  <c:pt idx="17">
                    <c:v>0.23231391066059623</c:v>
                  </c:pt>
                  <c:pt idx="18">
                    <c:v>0.31690342026834989</c:v>
                  </c:pt>
                  <c:pt idx="19">
                    <c:v>0.37023932866974912</c:v>
                  </c:pt>
                  <c:pt idx="20">
                    <c:v>0.32914357631155527</c:v>
                  </c:pt>
                  <c:pt idx="21">
                    <c:v>0.32017790193717133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intake'!$I$89:$I$110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intake'!$J$89:$J$110</c:f>
              <c:numCache>
                <c:formatCode>General</c:formatCode>
                <c:ptCount val="22"/>
                <c:pt idx="1">
                  <c:v>3.1911111111111108</c:v>
                </c:pt>
                <c:pt idx="2">
                  <c:v>4.0377777777777784</c:v>
                </c:pt>
                <c:pt idx="3">
                  <c:v>3.852222222222224</c:v>
                </c:pt>
                <c:pt idx="4">
                  <c:v>4.5111111111111102</c:v>
                </c:pt>
                <c:pt idx="5">
                  <c:v>4.5011111111111104</c:v>
                </c:pt>
                <c:pt idx="6">
                  <c:v>4.4877777777777776</c:v>
                </c:pt>
                <c:pt idx="7">
                  <c:v>4.5966666666666676</c:v>
                </c:pt>
                <c:pt idx="8">
                  <c:v>4.2533333333333339</c:v>
                </c:pt>
                <c:pt idx="9">
                  <c:v>4.6344444444444486</c:v>
                </c:pt>
                <c:pt idx="10">
                  <c:v>4.3355555555555521</c:v>
                </c:pt>
                <c:pt idx="11">
                  <c:v>4.6677777777777782</c:v>
                </c:pt>
                <c:pt idx="12">
                  <c:v>4.8066666666666675</c:v>
                </c:pt>
                <c:pt idx="13">
                  <c:v>6.1622222222222254</c:v>
                </c:pt>
                <c:pt idx="14">
                  <c:v>4.5988888888888901</c:v>
                </c:pt>
                <c:pt idx="15">
                  <c:v>4.5577777777777824</c:v>
                </c:pt>
                <c:pt idx="16">
                  <c:v>4.3333333333333348</c:v>
                </c:pt>
                <c:pt idx="17">
                  <c:v>4.4655555555555555</c:v>
                </c:pt>
                <c:pt idx="18">
                  <c:v>4.7400000000000011</c:v>
                </c:pt>
                <c:pt idx="19">
                  <c:v>5.2822222222222202</c:v>
                </c:pt>
                <c:pt idx="20">
                  <c:v>4.1277777777777755</c:v>
                </c:pt>
                <c:pt idx="21">
                  <c:v>3.8499999999999974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1B4E-973A-01F6E2ED05A5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intake'!$M$89:$M$110</c:f>
                <c:numCache>
                  <c:formatCode>General</c:formatCode>
                  <c:ptCount val="22"/>
                  <c:pt idx="1">
                    <c:v>0.16265377339613113</c:v>
                  </c:pt>
                  <c:pt idx="2">
                    <c:v>0.19805696781481819</c:v>
                  </c:pt>
                  <c:pt idx="3">
                    <c:v>0.11983247234607064</c:v>
                  </c:pt>
                  <c:pt idx="4">
                    <c:v>0.15026687568646205</c:v>
                  </c:pt>
                  <c:pt idx="5">
                    <c:v>0.14534979360150521</c:v>
                  </c:pt>
                  <c:pt idx="6">
                    <c:v>0.3685271723845</c:v>
                  </c:pt>
                  <c:pt idx="7">
                    <c:v>0.26650474064397922</c:v>
                  </c:pt>
                  <c:pt idx="8">
                    <c:v>0.56251666641976117</c:v>
                  </c:pt>
                  <c:pt idx="9">
                    <c:v>0.12152439266827658</c:v>
                  </c:pt>
                  <c:pt idx="10">
                    <c:v>7.7175931753133462E-2</c:v>
                  </c:pt>
                  <c:pt idx="11">
                    <c:v>0.26461770668639528</c:v>
                  </c:pt>
                  <c:pt idx="12">
                    <c:v>0.1781934000877162</c:v>
                  </c:pt>
                  <c:pt idx="13">
                    <c:v>0.3921244079871673</c:v>
                  </c:pt>
                  <c:pt idx="14">
                    <c:v>0.47218379205786515</c:v>
                  </c:pt>
                  <c:pt idx="15">
                    <c:v>8.3483198575792381E-2</c:v>
                  </c:pt>
                  <c:pt idx="16">
                    <c:v>0.28844255432036781</c:v>
                  </c:pt>
                  <c:pt idx="17">
                    <c:v>0.21266117836999512</c:v>
                  </c:pt>
                  <c:pt idx="18">
                    <c:v>0.40753149527718191</c:v>
                  </c:pt>
                  <c:pt idx="19">
                    <c:v>0.24022113603184189</c:v>
                  </c:pt>
                  <c:pt idx="20">
                    <c:v>0.27076683020504594</c:v>
                  </c:pt>
                  <c:pt idx="21">
                    <c:v>0.13983089276489388</c:v>
                  </c:pt>
                </c:numCache>
              </c:numRef>
            </c:plus>
            <c:minus>
              <c:numRef>
                <c:f>'(HOM) Food intake'!$M$89:$M$110</c:f>
                <c:numCache>
                  <c:formatCode>General</c:formatCode>
                  <c:ptCount val="22"/>
                  <c:pt idx="1">
                    <c:v>0.16265377339613113</c:v>
                  </c:pt>
                  <c:pt idx="2">
                    <c:v>0.19805696781481819</c:v>
                  </c:pt>
                  <c:pt idx="3">
                    <c:v>0.11983247234607064</c:v>
                  </c:pt>
                  <c:pt idx="4">
                    <c:v>0.15026687568646205</c:v>
                  </c:pt>
                  <c:pt idx="5">
                    <c:v>0.14534979360150521</c:v>
                  </c:pt>
                  <c:pt idx="6">
                    <c:v>0.3685271723845</c:v>
                  </c:pt>
                  <c:pt idx="7">
                    <c:v>0.26650474064397922</c:v>
                  </c:pt>
                  <c:pt idx="8">
                    <c:v>0.56251666641976117</c:v>
                  </c:pt>
                  <c:pt idx="9">
                    <c:v>0.12152439266827658</c:v>
                  </c:pt>
                  <c:pt idx="10">
                    <c:v>7.7175931753133462E-2</c:v>
                  </c:pt>
                  <c:pt idx="11">
                    <c:v>0.26461770668639528</c:v>
                  </c:pt>
                  <c:pt idx="12">
                    <c:v>0.1781934000877162</c:v>
                  </c:pt>
                  <c:pt idx="13">
                    <c:v>0.3921244079871673</c:v>
                  </c:pt>
                  <c:pt idx="14">
                    <c:v>0.47218379205786515</c:v>
                  </c:pt>
                  <c:pt idx="15">
                    <c:v>8.3483198575792381E-2</c:v>
                  </c:pt>
                  <c:pt idx="16">
                    <c:v>0.28844255432036781</c:v>
                  </c:pt>
                  <c:pt idx="17">
                    <c:v>0.21266117836999512</c:v>
                  </c:pt>
                  <c:pt idx="18">
                    <c:v>0.40753149527718191</c:v>
                  </c:pt>
                  <c:pt idx="19">
                    <c:v>0.24022113603184189</c:v>
                  </c:pt>
                  <c:pt idx="20">
                    <c:v>0.27076683020504594</c:v>
                  </c:pt>
                  <c:pt idx="21">
                    <c:v>0.13983089276489388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intake'!$I$89:$I$110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intake'!$L$89:$L$110</c:f>
              <c:numCache>
                <c:formatCode>General</c:formatCode>
                <c:ptCount val="22"/>
                <c:pt idx="1">
                  <c:v>4.202500000000005</c:v>
                </c:pt>
                <c:pt idx="2">
                  <c:v>4.4412500000000001</c:v>
                </c:pt>
                <c:pt idx="3">
                  <c:v>4.7424999999999979</c:v>
                </c:pt>
                <c:pt idx="4">
                  <c:v>4.5912499999999969</c:v>
                </c:pt>
                <c:pt idx="5">
                  <c:v>4.6287499999999966</c:v>
                </c:pt>
                <c:pt idx="6">
                  <c:v>4.7387499999999889</c:v>
                </c:pt>
                <c:pt idx="7">
                  <c:v>4.7237500000000052</c:v>
                </c:pt>
                <c:pt idx="8">
                  <c:v>5.4049999999999958</c:v>
                </c:pt>
                <c:pt idx="9">
                  <c:v>4.2121875000000033</c:v>
                </c:pt>
                <c:pt idx="10">
                  <c:v>4.4571874999999892</c:v>
                </c:pt>
                <c:pt idx="11">
                  <c:v>3.9134375000000041</c:v>
                </c:pt>
                <c:pt idx="12">
                  <c:v>4.0034374999999915</c:v>
                </c:pt>
                <c:pt idx="13">
                  <c:v>3.873125000000003</c:v>
                </c:pt>
                <c:pt idx="14">
                  <c:v>3.6506250000000033</c:v>
                </c:pt>
                <c:pt idx="15">
                  <c:v>3.9114285714285737</c:v>
                </c:pt>
                <c:pt idx="16">
                  <c:v>4.692499999999999</c:v>
                </c:pt>
                <c:pt idx="17">
                  <c:v>4.2737499999999997</c:v>
                </c:pt>
                <c:pt idx="18">
                  <c:v>4.56374999999999</c:v>
                </c:pt>
                <c:pt idx="19">
                  <c:v>3.9031249999999984</c:v>
                </c:pt>
                <c:pt idx="20">
                  <c:v>3.4293750000000043</c:v>
                </c:pt>
                <c:pt idx="21">
                  <c:v>3.4524999999999944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5-1B4E-973A-01F6E2ED05A5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intake'!$O$89:$O$110</c:f>
                <c:numCache>
                  <c:formatCode>General</c:formatCode>
                  <c:ptCount val="22"/>
                  <c:pt idx="1">
                    <c:v>0.27722875448431644</c:v>
                  </c:pt>
                  <c:pt idx="2">
                    <c:v>0.31684644019882263</c:v>
                  </c:pt>
                  <c:pt idx="3">
                    <c:v>0.25089838580588347</c:v>
                  </c:pt>
                  <c:pt idx="4">
                    <c:v>0.26428625053570415</c:v>
                  </c:pt>
                  <c:pt idx="5">
                    <c:v>0.27138021707969356</c:v>
                  </c:pt>
                  <c:pt idx="6">
                    <c:v>0.31658965925260102</c:v>
                  </c:pt>
                  <c:pt idx="7">
                    <c:v>0.20804943619542463</c:v>
                  </c:pt>
                  <c:pt idx="8">
                    <c:v>0.30533679037344008</c:v>
                  </c:pt>
                  <c:pt idx="9">
                    <c:v>0.23420093330406341</c:v>
                  </c:pt>
                  <c:pt idx="10">
                    <c:v>0.17617265836546148</c:v>
                  </c:pt>
                  <c:pt idx="11">
                    <c:v>0.32829114694199646</c:v>
                  </c:pt>
                  <c:pt idx="12">
                    <c:v>0.2772506108822313</c:v>
                  </c:pt>
                  <c:pt idx="13">
                    <c:v>0.66460328833387583</c:v>
                  </c:pt>
                  <c:pt idx="14">
                    <c:v>0.3205555555555562</c:v>
                  </c:pt>
                  <c:pt idx="15">
                    <c:v>0.14449892135100656</c:v>
                  </c:pt>
                  <c:pt idx="16">
                    <c:v>0.19119507199599897</c:v>
                  </c:pt>
                  <c:pt idx="17">
                    <c:v>0.27026450235753646</c:v>
                  </c:pt>
                  <c:pt idx="18">
                    <c:v>0.29186871308691276</c:v>
                  </c:pt>
                  <c:pt idx="19">
                    <c:v>0.29334806360320781</c:v>
                  </c:pt>
                  <c:pt idx="20">
                    <c:v>0.11677904640393498</c:v>
                  </c:pt>
                  <c:pt idx="21">
                    <c:v>0.26261564178212959</c:v>
                  </c:pt>
                </c:numCache>
              </c:numRef>
            </c:plus>
            <c:minus>
              <c:numRef>
                <c:f>'(HOM) Food intake'!$O$89:$O$110</c:f>
                <c:numCache>
                  <c:formatCode>General</c:formatCode>
                  <c:ptCount val="22"/>
                  <c:pt idx="1">
                    <c:v>0.27722875448431644</c:v>
                  </c:pt>
                  <c:pt idx="2">
                    <c:v>0.31684644019882263</c:v>
                  </c:pt>
                  <c:pt idx="3">
                    <c:v>0.25089838580588347</c:v>
                  </c:pt>
                  <c:pt idx="4">
                    <c:v>0.26428625053570415</c:v>
                  </c:pt>
                  <c:pt idx="5">
                    <c:v>0.27138021707969356</c:v>
                  </c:pt>
                  <c:pt idx="6">
                    <c:v>0.31658965925260102</c:v>
                  </c:pt>
                  <c:pt idx="7">
                    <c:v>0.20804943619542463</c:v>
                  </c:pt>
                  <c:pt idx="8">
                    <c:v>0.30533679037344008</c:v>
                  </c:pt>
                  <c:pt idx="9">
                    <c:v>0.23420093330406341</c:v>
                  </c:pt>
                  <c:pt idx="10">
                    <c:v>0.17617265836546148</c:v>
                  </c:pt>
                  <c:pt idx="11">
                    <c:v>0.32829114694199646</c:v>
                  </c:pt>
                  <c:pt idx="12">
                    <c:v>0.2772506108822313</c:v>
                  </c:pt>
                  <c:pt idx="13">
                    <c:v>0.66460328833387583</c:v>
                  </c:pt>
                  <c:pt idx="14">
                    <c:v>0.3205555555555562</c:v>
                  </c:pt>
                  <c:pt idx="15">
                    <c:v>0.14449892135100656</c:v>
                  </c:pt>
                  <c:pt idx="16">
                    <c:v>0.19119507199599897</c:v>
                  </c:pt>
                  <c:pt idx="17">
                    <c:v>0.27026450235753646</c:v>
                  </c:pt>
                  <c:pt idx="18">
                    <c:v>0.29186871308691276</c:v>
                  </c:pt>
                  <c:pt idx="19">
                    <c:v>0.29334806360320781</c:v>
                  </c:pt>
                  <c:pt idx="20">
                    <c:v>0.11677904640393498</c:v>
                  </c:pt>
                  <c:pt idx="21">
                    <c:v>0.26261564178212959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intake'!$I$89:$I$110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intake'!$N$89:$N$110</c:f>
              <c:numCache>
                <c:formatCode>General</c:formatCode>
                <c:ptCount val="22"/>
                <c:pt idx="1">
                  <c:v>2.16777777777778</c:v>
                </c:pt>
                <c:pt idx="2">
                  <c:v>3.3699999999999957</c:v>
                </c:pt>
                <c:pt idx="3">
                  <c:v>3.9166666666666652</c:v>
                </c:pt>
                <c:pt idx="4">
                  <c:v>4.2000000000000028</c:v>
                </c:pt>
                <c:pt idx="5">
                  <c:v>4.7366666666666744</c:v>
                </c:pt>
                <c:pt idx="6">
                  <c:v>4.3211111111111142</c:v>
                </c:pt>
                <c:pt idx="7">
                  <c:v>4.0288888888888845</c:v>
                </c:pt>
                <c:pt idx="8">
                  <c:v>3.8799999999999986</c:v>
                </c:pt>
                <c:pt idx="9">
                  <c:v>3.6997222222222224</c:v>
                </c:pt>
                <c:pt idx="10">
                  <c:v>3.3641666666666623</c:v>
                </c:pt>
                <c:pt idx="11">
                  <c:v>3.6452777777777752</c:v>
                </c:pt>
                <c:pt idx="12">
                  <c:v>3.6863888888888976</c:v>
                </c:pt>
                <c:pt idx="13">
                  <c:v>4.3944444444444404</c:v>
                </c:pt>
                <c:pt idx="14">
                  <c:v>3.5255555555555582</c:v>
                </c:pt>
                <c:pt idx="15">
                  <c:v>3.812222222222216</c:v>
                </c:pt>
                <c:pt idx="16">
                  <c:v>4.0166666666666622</c:v>
                </c:pt>
                <c:pt idx="17">
                  <c:v>3.9611111111111135</c:v>
                </c:pt>
                <c:pt idx="18">
                  <c:v>3.8988888888889033</c:v>
                </c:pt>
                <c:pt idx="19">
                  <c:v>3.4144444444444435</c:v>
                </c:pt>
                <c:pt idx="20">
                  <c:v>3.6988888888888982</c:v>
                </c:pt>
                <c:pt idx="21">
                  <c:v>3.8044444444444445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5-1B4E-973A-01F6E2ED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975"/>
        <c:axId val="1"/>
      </c:scatterChart>
      <c:valAx>
        <c:axId val="1832570975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6660746355"/>
              <c:y val="0.92500043263822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Daily F/I (g)</a:t>
                </a:r>
              </a:p>
            </c:rich>
          </c:tx>
          <c:layout>
            <c:manualLayout>
              <c:xMode val="edge"/>
              <c:yMode val="edge"/>
              <c:x val="2.3381287865332626E-2"/>
              <c:y val="0.385000432638227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570975"/>
        <c:crosses val="autoZero"/>
        <c:crossBetween val="midCat"/>
        <c:majorUnit val="4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296212973378331"/>
          <c:y val="0.20879791468374145"/>
          <c:w val="0.26817891184654546"/>
          <c:h val="0.1675876092411525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Q  Average speed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(OZ)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352-FC46-950D-D9792C89D729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Data'!$W$15</c:f>
                <c:numCache>
                  <c:formatCode>General</c:formatCode>
                  <c:ptCount val="1"/>
                  <c:pt idx="0">
                    <c:v>0.68236519547819685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Data'!$W$14</c:f>
              <c:numCache>
                <c:formatCode>General</c:formatCode>
                <c:ptCount val="1"/>
                <c:pt idx="0">
                  <c:v>12.3476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2-FC46-950D-D9792C89D729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Data'!$W$26</c:f>
                <c:numCache>
                  <c:formatCode>General</c:formatCode>
                  <c:ptCount val="1"/>
                  <c:pt idx="0">
                    <c:v>0.86865899203568087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Data'!$W$25</c:f>
              <c:numCache>
                <c:formatCode>General</c:formatCode>
                <c:ptCount val="1"/>
                <c:pt idx="0">
                  <c:v>14.982666666666667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2-FC46-950D-D9792C89D729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Data'!$W$38</c:f>
                <c:numCache>
                  <c:formatCode>General</c:formatCode>
                  <c:ptCount val="1"/>
                  <c:pt idx="0">
                    <c:v>1.2791341255361328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Data'!$W$37</c:f>
              <c:numCache>
                <c:formatCode>General</c:formatCode>
                <c:ptCount val="1"/>
                <c:pt idx="0">
                  <c:v>13.501666666666667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2-FC46-950D-D9792C89D729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352-FC46-950D-D9792C89D729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Data'!$W$51</c:f>
                <c:numCache>
                  <c:formatCode>General</c:formatCode>
                  <c:ptCount val="1"/>
                  <c:pt idx="0">
                    <c:v>0.36965811605841575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Data'!$W$50</c:f>
              <c:numCache>
                <c:formatCode>General</c:formatCode>
                <c:ptCount val="1"/>
                <c:pt idx="0">
                  <c:v>12.559875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2-FC46-950D-D9792C89D729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Data'!$W$62</c:f>
                <c:numCache>
                  <c:formatCode>General</c:formatCode>
                  <c:ptCount val="1"/>
                  <c:pt idx="0">
                    <c:v>1.3709613561293388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Data'!$W$61</c:f>
              <c:numCache>
                <c:formatCode>General</c:formatCode>
                <c:ptCount val="1"/>
                <c:pt idx="0">
                  <c:v>14.515800000000002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2-FC46-950D-D9792C89D729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Data'!$W$75</c:f>
                <c:numCache>
                  <c:formatCode>General</c:formatCode>
                  <c:ptCount val="1"/>
                  <c:pt idx="0">
                    <c:v>0.24462673606946556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Data'!$W$74</c:f>
              <c:numCache>
                <c:formatCode>General</c:formatCode>
                <c:ptCount val="1"/>
                <c:pt idx="0">
                  <c:v>13.262200000000002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2-FC46-950D-D9792C89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outer zone speed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(m/s)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23176460837132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R  High speed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bursts (IZ)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07D-9B47-A5EF-E5D069AB16A8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Data'!$X$15</c:f>
                <c:numCache>
                  <c:formatCode>General</c:formatCode>
                  <c:ptCount val="1"/>
                  <c:pt idx="0">
                    <c:v>1.0247402304974662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Data'!$X$14</c:f>
              <c:numCache>
                <c:formatCode>General</c:formatCode>
                <c:ptCount val="1"/>
                <c:pt idx="0">
                  <c:v>25.064799999999998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D-9B47-A5EF-E5D069AB16A8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Data'!$X$26</c:f>
                <c:numCache>
                  <c:formatCode>General</c:formatCode>
                  <c:ptCount val="1"/>
                  <c:pt idx="0">
                    <c:v>0.64434988769904888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Data'!$X$25</c:f>
              <c:numCache>
                <c:formatCode>General</c:formatCode>
                <c:ptCount val="1"/>
                <c:pt idx="0">
                  <c:v>24.943666666666669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D-9B47-A5EF-E5D069AB16A8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Data'!$X$38</c:f>
                <c:numCache>
                  <c:formatCode>General</c:formatCode>
                  <c:ptCount val="1"/>
                  <c:pt idx="0">
                    <c:v>3.0488464667440724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Data'!$X$37</c:f>
              <c:numCache>
                <c:formatCode>General</c:formatCode>
                <c:ptCount val="1"/>
                <c:pt idx="0">
                  <c:v>24.177333333333333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D-9B47-A5EF-E5D069AB16A8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07D-9B47-A5EF-E5D069AB16A8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Data'!$X$51</c:f>
                <c:numCache>
                  <c:formatCode>General</c:formatCode>
                  <c:ptCount val="1"/>
                  <c:pt idx="0">
                    <c:v>1.5577392551558713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Data'!$X$50</c:f>
              <c:numCache>
                <c:formatCode>General</c:formatCode>
                <c:ptCount val="1"/>
                <c:pt idx="0">
                  <c:v>22.135874999999999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D-9B47-A5EF-E5D069AB16A8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Data'!$X$62</c:f>
                <c:numCache>
                  <c:formatCode>General</c:formatCode>
                  <c:ptCount val="1"/>
                  <c:pt idx="0">
                    <c:v>2.2112939786468986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Data'!$X$61</c:f>
              <c:numCache>
                <c:formatCode>General</c:formatCode>
                <c:ptCount val="1"/>
                <c:pt idx="0">
                  <c:v>22.833399999999997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D-9B47-A5EF-E5D069AB16A8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Data'!$X$75</c:f>
                <c:numCache>
                  <c:formatCode>General</c:formatCode>
                  <c:ptCount val="1"/>
                  <c:pt idx="0">
                    <c:v>1.8986101600907948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Data'!$X$74</c:f>
              <c:numCache>
                <c:formatCode>General</c:formatCode>
                <c:ptCount val="1"/>
                <c:pt idx="0">
                  <c:v>20.2102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D-9B47-A5EF-E5D069AB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High speed bursts (inner zone) (%-IZ duration)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06334355573974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S  High speed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bursts (OZ)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6-A24D-AB41-8155106C3254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Data'!$Y$15</c:f>
                <c:numCache>
                  <c:formatCode>General</c:formatCode>
                  <c:ptCount val="1"/>
                  <c:pt idx="0">
                    <c:v>0.92896081725764912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Data'!$Y$14</c:f>
              <c:numCache>
                <c:formatCode>General</c:formatCode>
                <c:ptCount val="1"/>
                <c:pt idx="0">
                  <c:v>23.044999999999998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6-A24D-AB41-8155106C3254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Data'!$Y$26</c:f>
                <c:numCache>
                  <c:formatCode>General</c:formatCode>
                  <c:ptCount val="1"/>
                  <c:pt idx="0">
                    <c:v>0.52185704726273252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Data'!$Y$25</c:f>
              <c:numCache>
                <c:formatCode>General</c:formatCode>
                <c:ptCount val="1"/>
                <c:pt idx="0">
                  <c:v>26.414333333333332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6-A24D-AB41-8155106C3254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Data'!$Y$38</c:f>
                <c:numCache>
                  <c:formatCode>General</c:formatCode>
                  <c:ptCount val="1"/>
                  <c:pt idx="0">
                    <c:v>0.71528184033366238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Data'!$Y$37</c:f>
              <c:numCache>
                <c:formatCode>General</c:formatCode>
                <c:ptCount val="1"/>
                <c:pt idx="0">
                  <c:v>24.430666666666667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6-A24D-AB41-8155106C3254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306-A24D-AB41-8155106C3254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Data'!$Y$51</c:f>
                <c:numCache>
                  <c:formatCode>General</c:formatCode>
                  <c:ptCount val="1"/>
                  <c:pt idx="0">
                    <c:v>0.46018573259298534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Data'!$Y$50</c:f>
              <c:numCache>
                <c:formatCode>General</c:formatCode>
                <c:ptCount val="1"/>
                <c:pt idx="0">
                  <c:v>23.694125000000003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6-A24D-AB41-8155106C3254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Data'!$Y$62</c:f>
                <c:numCache>
                  <c:formatCode>General</c:formatCode>
                  <c:ptCount val="1"/>
                  <c:pt idx="0">
                    <c:v>1.1147211938417607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Data'!$Y$61</c:f>
              <c:numCache>
                <c:formatCode>General</c:formatCode>
                <c:ptCount val="1"/>
                <c:pt idx="0">
                  <c:v>25.009799999999998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06-A24D-AB41-8155106C3254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Data'!$Y$75</c:f>
                <c:numCache>
                  <c:formatCode>General</c:formatCode>
                  <c:ptCount val="1"/>
                  <c:pt idx="0">
                    <c:v>0.37003743053912769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Data'!$Y$74</c:f>
              <c:numCache>
                <c:formatCode>General</c:formatCode>
                <c:ptCount val="1"/>
                <c:pt idx="0">
                  <c:v>23.144000000000002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06-A24D-AB41-8155106C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High speed bursts (outer zone) (%-OZ duration)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206334355573974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T  Cautious behaviour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(IZ)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60115718183529365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CE2-6743-9A85-9B35420D37C4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Data'!$AB$15</c:f>
                <c:numCache>
                  <c:formatCode>General</c:formatCode>
                  <c:ptCount val="1"/>
                  <c:pt idx="0">
                    <c:v>0.22367824301885064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Data'!$AB$14</c:f>
              <c:numCache>
                <c:formatCode>General</c:formatCode>
                <c:ptCount val="1"/>
                <c:pt idx="0">
                  <c:v>0.23998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2-6743-9A85-9B35420D37C4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Data'!$AB$26</c:f>
                <c:numCache>
                  <c:formatCode>General</c:formatCode>
                  <c:ptCount val="1"/>
                  <c:pt idx="0">
                    <c:v>0.4337488607605916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Data'!$AB$25</c:f>
              <c:numCache>
                <c:formatCode>General</c:formatCode>
                <c:ptCount val="1"/>
                <c:pt idx="0">
                  <c:v>0.46665666666666666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2-6743-9A85-9B35420D37C4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Data'!$AB$38</c:f>
                <c:numCache>
                  <c:formatCode>General</c:formatCode>
                  <c:ptCount val="1"/>
                  <c:pt idx="0">
                    <c:v>9.685549947100465E-2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Data'!$AB$37</c:f>
              <c:numCache>
                <c:formatCode>General</c:formatCode>
                <c:ptCount val="1"/>
                <c:pt idx="0">
                  <c:v>0.17776666666666666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2-6743-9A85-9B35420D37C4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CE2-6743-9A85-9B35420D37C4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Data'!$AB$51</c:f>
                <c:numCache>
                  <c:formatCode>General</c:formatCode>
                  <c:ptCount val="1"/>
                  <c:pt idx="0">
                    <c:v>5.6959154381513978E-2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Data'!$AB$50</c:f>
              <c:numCache>
                <c:formatCode>General</c:formatCode>
                <c:ptCount val="1"/>
                <c:pt idx="0">
                  <c:v>0.141675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E2-6743-9A85-9B35420D37C4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Data'!$AB$62</c:f>
                <c:numCache>
                  <c:formatCode>General</c:formatCode>
                  <c:ptCount val="1"/>
                  <c:pt idx="0">
                    <c:v>0.22310884249621304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Data'!$AB$61</c:f>
              <c:numCache>
                <c:formatCode>General</c:formatCode>
                <c:ptCount val="1"/>
                <c:pt idx="0">
                  <c:v>0.33333999999999997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E2-6743-9A85-9B35420D37C4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Data'!$AB$75</c:f>
                <c:numCache>
                  <c:formatCode>General</c:formatCode>
                  <c:ptCount val="1"/>
                  <c:pt idx="0">
                    <c:v>0.13333999999999999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Data'!$AB$74</c:f>
              <c:numCache>
                <c:formatCode>General</c:formatCode>
                <c:ptCount val="1"/>
                <c:pt idx="0">
                  <c:v>0.13333999999999999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E2-6743-9A85-9B35420D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stretch-attend posture (%-IZ duration)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197913302942395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U  Cautious behaviour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(OZ)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96197863072644"/>
          <c:y val="0.20371686697057603"/>
          <c:w val="0.60115718183529365"/>
          <c:h val="0.73455051802735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756-DA44-8664-317A3FD4A368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Data'!$AC$15</c:f>
                <c:numCache>
                  <c:formatCode>General</c:formatCode>
                  <c:ptCount val="1"/>
                  <c:pt idx="0">
                    <c:v>0.33130985889345332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Data'!$AC$14</c:f>
              <c:numCache>
                <c:formatCode>General</c:formatCode>
                <c:ptCount val="1"/>
                <c:pt idx="0">
                  <c:v>1.4665599999999999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6-DA44-8664-317A3FD4A368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Data'!$AC$26</c:f>
                <c:numCache>
                  <c:formatCode>General</c:formatCode>
                  <c:ptCount val="1"/>
                  <c:pt idx="0">
                    <c:v>0.23412405780791615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Data'!$AC$25</c:f>
              <c:numCache>
                <c:formatCode>General</c:formatCode>
                <c:ptCount val="1"/>
                <c:pt idx="0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6-DA44-8664-317A3FD4A368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Data'!$AC$38</c:f>
                <c:numCache>
                  <c:formatCode>General</c:formatCode>
                  <c:ptCount val="1"/>
                  <c:pt idx="0">
                    <c:v>0.5081880196672619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Data'!$AC$37</c:f>
              <c:numCache>
                <c:formatCode>General</c:formatCode>
                <c:ptCount val="1"/>
                <c:pt idx="0">
                  <c:v>1.2222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6-DA44-8664-317A3FD4A368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756-DA44-8664-317A3FD4A368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Data'!$AC$51</c:f>
                <c:numCache>
                  <c:formatCode>General</c:formatCode>
                  <c:ptCount val="1"/>
                  <c:pt idx="0">
                    <c:v>0.85255965014394797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Data'!$AC$50</c:f>
              <c:numCache>
                <c:formatCode>General</c:formatCode>
                <c:ptCount val="1"/>
                <c:pt idx="0">
                  <c:v>2.2749250000000001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6-DA44-8664-317A3FD4A368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Data'!$AC$62</c:f>
                <c:numCache>
                  <c:formatCode>General</c:formatCode>
                  <c:ptCount val="1"/>
                  <c:pt idx="0">
                    <c:v>0.31083357540651885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Data'!$AC$61</c:f>
              <c:numCache>
                <c:formatCode>General</c:formatCode>
                <c:ptCount val="1"/>
                <c:pt idx="0">
                  <c:v>1.2132400000000001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6-DA44-8664-317A3FD4A368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Data'!$AC$75</c:f>
                <c:numCache>
                  <c:formatCode>General</c:formatCode>
                  <c:ptCount val="1"/>
                  <c:pt idx="0">
                    <c:v>0.19842233392438444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Data'!$AC$74</c:f>
              <c:numCache>
                <c:formatCode>General</c:formatCode>
                <c:ptCount val="1"/>
                <c:pt idx="0">
                  <c:v>1.0932600000000001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6-DA44-8664-317A3FD4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Outer zone stretch-attend posture (%-OZ duration)</a:t>
                </a:r>
              </a:p>
            </c:rich>
          </c:tx>
          <c:layout>
            <c:manualLayout>
              <c:xMode val="edge"/>
              <c:yMode val="edge"/>
              <c:x val="7.3825107847069391E-4"/>
              <c:y val="0.193702776626605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B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6223372049451137E-2"/>
          <c:y val="3.7384500621632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26811195457009"/>
          <c:y val="0.19950634065478662"/>
          <c:w val="0.58589000420748949"/>
          <c:h val="0.738761044343141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152-2A43-83B7-3C1CBB599799}"/>
              </c:ext>
            </c:extLst>
          </c:dPt>
          <c:errBars>
            <c:errBarType val="plus"/>
            <c:errValType val="cust"/>
            <c:noEndCap val="0"/>
            <c:plus>
              <c:numRef>
                <c:f>'Cell Counts &amp; Behaviour Data'!$K$15</c:f>
                <c:numCache>
                  <c:formatCode>General</c:formatCode>
                  <c:ptCount val="1"/>
                  <c:pt idx="0">
                    <c:v>0.32383360649944892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Data'!$K$14</c:f>
              <c:numCache>
                <c:formatCode>General</c:formatCode>
                <c:ptCount val="1"/>
                <c:pt idx="0">
                  <c:v>0.9223808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2-2A43-83B7-3C1CBB599799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Data'!$K$26</c:f>
                <c:numCache>
                  <c:formatCode>General</c:formatCode>
                  <c:ptCount val="1"/>
                  <c:pt idx="0">
                    <c:v>0.28474810332014705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Data'!$K$25</c:f>
              <c:numCache>
                <c:formatCode>General</c:formatCode>
                <c:ptCount val="1"/>
                <c:pt idx="0">
                  <c:v>0.57539676666666673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2-2A43-83B7-3C1CBB599799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Data'!$K$38</c:f>
                <c:numCache>
                  <c:formatCode>General</c:formatCode>
                  <c:ptCount val="1"/>
                  <c:pt idx="0">
                    <c:v>0.21724150719648411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Data'!$K$37</c:f>
              <c:numCache>
                <c:formatCode>General</c:formatCode>
                <c:ptCount val="1"/>
                <c:pt idx="0">
                  <c:v>1.392857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2-2A43-83B7-3C1CBB599799}"/>
            </c:ext>
          </c:extLst>
        </c:ser>
        <c:ser>
          <c:idx val="3"/>
          <c:order val="3"/>
          <c:invertIfNegative val="0"/>
          <c:val>
            <c:numRef>
              <c:f>'Cell Counts &amp; Behaviour Data'!$D$100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152-2A43-83B7-3C1CBB599799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Data'!$K$51</c:f>
                <c:numCache>
                  <c:formatCode>General</c:formatCode>
                  <c:ptCount val="1"/>
                  <c:pt idx="0">
                    <c:v>9.8866457627702714E-2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Data'!$K$50</c:f>
              <c:numCache>
                <c:formatCode>General</c:formatCode>
                <c:ptCount val="1"/>
                <c:pt idx="0">
                  <c:v>0.55867357142857144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52-2A43-83B7-3C1CBB599799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Data'!$K$62</c:f>
                <c:numCache>
                  <c:formatCode>General</c:formatCode>
                  <c:ptCount val="1"/>
                  <c:pt idx="0">
                    <c:v>9.1298799643478312E-2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Data'!$K$61</c:f>
              <c:numCache>
                <c:formatCode>General</c:formatCode>
                <c:ptCount val="1"/>
                <c:pt idx="0">
                  <c:v>0.59285719999999997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52-2A43-83B7-3C1CBB599799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'Cell Counts &amp; Behaviour Data'!$K$75</c:f>
                <c:numCache>
                  <c:formatCode>General</c:formatCode>
                  <c:ptCount val="1"/>
                  <c:pt idx="0">
                    <c:v>0.19704447312157727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'Cell Counts &amp; Behaviour Data'!$K$74</c:f>
              <c:numCache>
                <c:formatCode>General</c:formatCode>
                <c:ptCount val="1"/>
                <c:pt idx="0">
                  <c:v>0.5071426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52-2A43-83B7-3C1CBB59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C  Daily weight gain</a:t>
            </a:r>
          </a:p>
        </c:rich>
      </c:tx>
      <c:layout>
        <c:manualLayout>
          <c:xMode val="edge"/>
          <c:yMode val="edge"/>
          <c:x val="8.2236842105263153E-3"/>
          <c:y val="3.9583333333333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8303781616917"/>
          <c:y val="0.17778333139696076"/>
          <c:w val="0.80923568256944045"/>
          <c:h val="0.68613254461014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'(WT) Growth Chart'!$B$58</c:f>
              <c:strCache>
                <c:ptCount val="1"/>
                <c:pt idx="0">
                  <c:v>Ad libitum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Chart'!$S$59:$S$80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0.17005710700484467</c:v>
                  </c:pt>
                  <c:pt idx="3">
                    <c:v>6.9806812500131599E-2</c:v>
                  </c:pt>
                  <c:pt idx="4">
                    <c:v>9.2059763197610014E-2</c:v>
                  </c:pt>
                  <c:pt idx="5">
                    <c:v>5.9190974215427294E-2</c:v>
                  </c:pt>
                  <c:pt idx="6">
                    <c:v>4.541229773656337E-2</c:v>
                  </c:pt>
                  <c:pt idx="7">
                    <c:v>6.6433371562361856E-2</c:v>
                  </c:pt>
                  <c:pt idx="8">
                    <c:v>6.3835726674018364E-2</c:v>
                  </c:pt>
                  <c:pt idx="9">
                    <c:v>7.43303437365926E-2</c:v>
                  </c:pt>
                  <c:pt idx="10">
                    <c:v>0.10378441769910772</c:v>
                  </c:pt>
                  <c:pt idx="11">
                    <c:v>8.22615601949922E-2</c:v>
                  </c:pt>
                  <c:pt idx="12">
                    <c:v>9.824804614560334E-2</c:v>
                  </c:pt>
                  <c:pt idx="13">
                    <c:v>9.6023620606003848E-2</c:v>
                  </c:pt>
                  <c:pt idx="14">
                    <c:v>3.2783788458844658E-2</c:v>
                  </c:pt>
                  <c:pt idx="15">
                    <c:v>8.3354610378962024E-2</c:v>
                  </c:pt>
                  <c:pt idx="16">
                    <c:v>0.10132602965533746</c:v>
                  </c:pt>
                  <c:pt idx="17">
                    <c:v>0.11162357021960662</c:v>
                  </c:pt>
                  <c:pt idx="18">
                    <c:v>8.0720804098359564E-2</c:v>
                  </c:pt>
                  <c:pt idx="19">
                    <c:v>8.064472350111572E-2</c:v>
                  </c:pt>
                  <c:pt idx="20">
                    <c:v>0.15316817904326152</c:v>
                  </c:pt>
                  <c:pt idx="21">
                    <c:v>0.12428006965835552</c:v>
                  </c:pt>
                </c:numCache>
              </c:numRef>
            </c:plus>
            <c:minus>
              <c:numRef>
                <c:f>'(WT) Growth Chart'!$S$59:$S$80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0.17005710700484467</c:v>
                  </c:pt>
                  <c:pt idx="3">
                    <c:v>6.9806812500131599E-2</c:v>
                  </c:pt>
                  <c:pt idx="4">
                    <c:v>9.2059763197610014E-2</c:v>
                  </c:pt>
                  <c:pt idx="5">
                    <c:v>5.9190974215427294E-2</c:v>
                  </c:pt>
                  <c:pt idx="6">
                    <c:v>4.541229773656337E-2</c:v>
                  </c:pt>
                  <c:pt idx="7">
                    <c:v>6.6433371562361856E-2</c:v>
                  </c:pt>
                  <c:pt idx="8">
                    <c:v>6.3835726674018364E-2</c:v>
                  </c:pt>
                  <c:pt idx="9">
                    <c:v>7.43303437365926E-2</c:v>
                  </c:pt>
                  <c:pt idx="10">
                    <c:v>0.10378441769910772</c:v>
                  </c:pt>
                  <c:pt idx="11">
                    <c:v>8.22615601949922E-2</c:v>
                  </c:pt>
                  <c:pt idx="12">
                    <c:v>9.824804614560334E-2</c:v>
                  </c:pt>
                  <c:pt idx="13">
                    <c:v>9.6023620606003848E-2</c:v>
                  </c:pt>
                  <c:pt idx="14">
                    <c:v>3.2783788458844658E-2</c:v>
                  </c:pt>
                  <c:pt idx="15">
                    <c:v>8.3354610378962024E-2</c:v>
                  </c:pt>
                  <c:pt idx="16">
                    <c:v>0.10132602965533746</c:v>
                  </c:pt>
                  <c:pt idx="17">
                    <c:v>0.11162357021960662</c:v>
                  </c:pt>
                  <c:pt idx="18">
                    <c:v>8.0720804098359564E-2</c:v>
                  </c:pt>
                  <c:pt idx="19">
                    <c:v>8.064472350111572E-2</c:v>
                  </c:pt>
                  <c:pt idx="20">
                    <c:v>0.15316817904326152</c:v>
                  </c:pt>
                  <c:pt idx="21">
                    <c:v>0.12428006965835552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Chart'!$Q$59:$Q$80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Chart'!$R$59:$R$80</c:f>
              <c:numCache>
                <c:formatCode>General</c:formatCode>
                <c:ptCount val="22"/>
                <c:pt idx="0">
                  <c:v>0</c:v>
                </c:pt>
                <c:pt idx="1">
                  <c:v>0.16624999999999979</c:v>
                </c:pt>
                <c:pt idx="2">
                  <c:v>0.41125000000000078</c:v>
                </c:pt>
                <c:pt idx="3">
                  <c:v>5.8749999999999858E-2</c:v>
                </c:pt>
                <c:pt idx="4">
                  <c:v>0.19000000000000039</c:v>
                </c:pt>
                <c:pt idx="5">
                  <c:v>8.4999999999999076E-2</c:v>
                </c:pt>
                <c:pt idx="6">
                  <c:v>0.23875000000000002</c:v>
                </c:pt>
                <c:pt idx="7">
                  <c:v>0.37749999999999995</c:v>
                </c:pt>
                <c:pt idx="8">
                  <c:v>0.27500000000000036</c:v>
                </c:pt>
                <c:pt idx="9">
                  <c:v>0.33000000000000052</c:v>
                </c:pt>
                <c:pt idx="10">
                  <c:v>0.23624999999999918</c:v>
                </c:pt>
                <c:pt idx="11">
                  <c:v>1.7500000000000071E-2</c:v>
                </c:pt>
                <c:pt idx="12">
                  <c:v>0.32749999999999968</c:v>
                </c:pt>
                <c:pt idx="13">
                  <c:v>4.250000000000087E-2</c:v>
                </c:pt>
                <c:pt idx="14">
                  <c:v>2.375000000000016E-2</c:v>
                </c:pt>
                <c:pt idx="15">
                  <c:v>0.24124999999999952</c:v>
                </c:pt>
                <c:pt idx="16">
                  <c:v>0.1875</c:v>
                </c:pt>
                <c:pt idx="17">
                  <c:v>-6.2500000000000444E-2</c:v>
                </c:pt>
                <c:pt idx="18">
                  <c:v>0.22125000000000039</c:v>
                </c:pt>
                <c:pt idx="19">
                  <c:v>0.17000000000000037</c:v>
                </c:pt>
                <c:pt idx="20">
                  <c:v>0.1937499999999992</c:v>
                </c:pt>
                <c:pt idx="21">
                  <c:v>9.2500000000000693E-2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C-1941-B45D-AF252DB9624A}"/>
            </c:ext>
          </c:extLst>
        </c:ser>
        <c:ser>
          <c:idx val="3"/>
          <c:order val="1"/>
          <c:tx>
            <c:strRef>
              <c:f>'(WT) Growth Chart'!$D$58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Chart'!$U$59:$U$80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0.19573807206862642</c:v>
                  </c:pt>
                  <c:pt idx="3">
                    <c:v>0.14494996057753398</c:v>
                  </c:pt>
                  <c:pt idx="4">
                    <c:v>7.8409126199879262E-2</c:v>
                  </c:pt>
                  <c:pt idx="5">
                    <c:v>9.1158221947180443E-2</c:v>
                  </c:pt>
                  <c:pt idx="6">
                    <c:v>9.2686828699042975E-2</c:v>
                  </c:pt>
                  <c:pt idx="7">
                    <c:v>8.5726933590658652E-2</c:v>
                  </c:pt>
                  <c:pt idx="8">
                    <c:v>7.3810507865943772E-2</c:v>
                  </c:pt>
                  <c:pt idx="9">
                    <c:v>4.671102271260117E-2</c:v>
                  </c:pt>
                  <c:pt idx="10">
                    <c:v>6.2847249627284912E-2</c:v>
                  </c:pt>
                  <c:pt idx="11">
                    <c:v>6.3973697161969739E-2</c:v>
                  </c:pt>
                  <c:pt idx="12">
                    <c:v>0.14436978190941269</c:v>
                  </c:pt>
                  <c:pt idx="13">
                    <c:v>0.12286752447831178</c:v>
                  </c:pt>
                  <c:pt idx="14">
                    <c:v>5.3400023408234472E-2</c:v>
                  </c:pt>
                  <c:pt idx="15">
                    <c:v>6.2847249627285065E-2</c:v>
                  </c:pt>
                  <c:pt idx="16">
                    <c:v>5.7133927873774873E-2</c:v>
                  </c:pt>
                  <c:pt idx="17">
                    <c:v>0.10446184368330044</c:v>
                  </c:pt>
                  <c:pt idx="18">
                    <c:v>8.0644723501115997E-2</c:v>
                  </c:pt>
                  <c:pt idx="19">
                    <c:v>0.10111432708996845</c:v>
                  </c:pt>
                  <c:pt idx="20">
                    <c:v>0.11072810973602983</c:v>
                  </c:pt>
                  <c:pt idx="21">
                    <c:v>0.11736694594305487</c:v>
                  </c:pt>
                </c:numCache>
              </c:numRef>
            </c:plus>
            <c:minus>
              <c:numRef>
                <c:f>'(WT) Growth Chart'!$U$59:$U$80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0.19573807206862642</c:v>
                  </c:pt>
                  <c:pt idx="3">
                    <c:v>0.14494996057753398</c:v>
                  </c:pt>
                  <c:pt idx="4">
                    <c:v>7.8409126199879262E-2</c:v>
                  </c:pt>
                  <c:pt idx="5">
                    <c:v>9.1158221947180443E-2</c:v>
                  </c:pt>
                  <c:pt idx="6">
                    <c:v>9.2686828699042975E-2</c:v>
                  </c:pt>
                  <c:pt idx="7">
                    <c:v>8.5726933590658652E-2</c:v>
                  </c:pt>
                  <c:pt idx="8">
                    <c:v>7.3810507865943772E-2</c:v>
                  </c:pt>
                  <c:pt idx="9">
                    <c:v>4.671102271260117E-2</c:v>
                  </c:pt>
                  <c:pt idx="10">
                    <c:v>6.2847249627284912E-2</c:v>
                  </c:pt>
                  <c:pt idx="11">
                    <c:v>6.3973697161969739E-2</c:v>
                  </c:pt>
                  <c:pt idx="12">
                    <c:v>0.14436978190941269</c:v>
                  </c:pt>
                  <c:pt idx="13">
                    <c:v>0.12286752447831178</c:v>
                  </c:pt>
                  <c:pt idx="14">
                    <c:v>5.3400023408234472E-2</c:v>
                  </c:pt>
                  <c:pt idx="15">
                    <c:v>6.2847249627285065E-2</c:v>
                  </c:pt>
                  <c:pt idx="16">
                    <c:v>5.7133927873774873E-2</c:v>
                  </c:pt>
                  <c:pt idx="17">
                    <c:v>0.10446184368330044</c:v>
                  </c:pt>
                  <c:pt idx="18">
                    <c:v>8.0644723501115997E-2</c:v>
                  </c:pt>
                  <c:pt idx="19">
                    <c:v>0.10111432708996845</c:v>
                  </c:pt>
                  <c:pt idx="20">
                    <c:v>0.11072810973602983</c:v>
                  </c:pt>
                  <c:pt idx="21">
                    <c:v>0.11736694594305487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Chart'!$Q$59:$Q$80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Chart'!$T$59:$T$80</c:f>
              <c:numCache>
                <c:formatCode>General</c:formatCode>
                <c:ptCount val="22"/>
                <c:pt idx="0">
                  <c:v>0</c:v>
                </c:pt>
                <c:pt idx="1">
                  <c:v>-0.15500000000000025</c:v>
                </c:pt>
                <c:pt idx="2">
                  <c:v>0.64750000000000041</c:v>
                </c:pt>
                <c:pt idx="3">
                  <c:v>0.1237499999999998</c:v>
                </c:pt>
                <c:pt idx="4">
                  <c:v>0.20124999999999904</c:v>
                </c:pt>
                <c:pt idx="5">
                  <c:v>0.15250000000000163</c:v>
                </c:pt>
                <c:pt idx="6">
                  <c:v>0.22124999999999995</c:v>
                </c:pt>
                <c:pt idx="7">
                  <c:v>0.24749999999999961</c:v>
                </c:pt>
                <c:pt idx="8">
                  <c:v>-1.1249999999999982E-2</c:v>
                </c:pt>
                <c:pt idx="9">
                  <c:v>0.23375000000000012</c:v>
                </c:pt>
                <c:pt idx="10">
                  <c:v>0.11624999999999908</c:v>
                </c:pt>
                <c:pt idx="11">
                  <c:v>0.1537500000000005</c:v>
                </c:pt>
                <c:pt idx="12">
                  <c:v>0.1537500000000005</c:v>
                </c:pt>
                <c:pt idx="13">
                  <c:v>8.0000000000000071E-2</c:v>
                </c:pt>
                <c:pt idx="14">
                  <c:v>0.12124999999999941</c:v>
                </c:pt>
                <c:pt idx="15">
                  <c:v>0.17625000000000091</c:v>
                </c:pt>
                <c:pt idx="16">
                  <c:v>0.1899999999999995</c:v>
                </c:pt>
                <c:pt idx="17">
                  <c:v>9.8750000000000338E-2</c:v>
                </c:pt>
                <c:pt idx="18">
                  <c:v>0.1549999999999998</c:v>
                </c:pt>
                <c:pt idx="19">
                  <c:v>8.249999999999913E-2</c:v>
                </c:pt>
                <c:pt idx="20">
                  <c:v>0.20500000000000007</c:v>
                </c:pt>
                <c:pt idx="21">
                  <c:v>0.26000000000000023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C-1941-B45D-AF252DB9624A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Chart'!$W$59:$W$80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0.18913277176931276</c:v>
                  </c:pt>
                  <c:pt idx="3">
                    <c:v>0.10604812755132875</c:v>
                  </c:pt>
                  <c:pt idx="4">
                    <c:v>0.10976334120018669</c:v>
                  </c:pt>
                  <c:pt idx="5">
                    <c:v>0.16443626642041523</c:v>
                  </c:pt>
                  <c:pt idx="6">
                    <c:v>0.17880306405172611</c:v>
                  </c:pt>
                  <c:pt idx="7">
                    <c:v>7.2639951128837602E-2</c:v>
                  </c:pt>
                  <c:pt idx="8">
                    <c:v>0.14862389612710322</c:v>
                  </c:pt>
                  <c:pt idx="9">
                    <c:v>0.12822883423228748</c:v>
                  </c:pt>
                  <c:pt idx="10">
                    <c:v>4.5235001460626374E-2</c:v>
                  </c:pt>
                  <c:pt idx="11">
                    <c:v>0.15508062419270827</c:v>
                  </c:pt>
                  <c:pt idx="12">
                    <c:v>8.0032080621282392E-2</c:v>
                  </c:pt>
                  <c:pt idx="13">
                    <c:v>0.17163863617662387</c:v>
                  </c:pt>
                  <c:pt idx="14">
                    <c:v>0.15802280011803002</c:v>
                  </c:pt>
                  <c:pt idx="15">
                    <c:v>0.10090549857593072</c:v>
                  </c:pt>
                  <c:pt idx="16">
                    <c:v>7.1337665366901448E-2</c:v>
                  </c:pt>
                  <c:pt idx="17">
                    <c:v>0.17844316822370693</c:v>
                  </c:pt>
                  <c:pt idx="18">
                    <c:v>7.9860369216706029E-2</c:v>
                  </c:pt>
                  <c:pt idx="19">
                    <c:v>0.1133696545440121</c:v>
                  </c:pt>
                  <c:pt idx="20">
                    <c:v>9.3358707222656642E-2</c:v>
                  </c:pt>
                  <c:pt idx="21">
                    <c:v>0.15472253391151511</c:v>
                  </c:pt>
                </c:numCache>
              </c:numRef>
            </c:plus>
            <c:minus>
              <c:numRef>
                <c:f>'(WT) Growth Chart'!$W$59:$W$80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0.18913277176931276</c:v>
                  </c:pt>
                  <c:pt idx="3">
                    <c:v>0.10604812755132875</c:v>
                  </c:pt>
                  <c:pt idx="4">
                    <c:v>0.10976334120018669</c:v>
                  </c:pt>
                  <c:pt idx="5">
                    <c:v>0.16443626642041523</c:v>
                  </c:pt>
                  <c:pt idx="6">
                    <c:v>0.17880306405172611</c:v>
                  </c:pt>
                  <c:pt idx="7">
                    <c:v>7.2639951128837602E-2</c:v>
                  </c:pt>
                  <c:pt idx="8">
                    <c:v>0.14862389612710322</c:v>
                  </c:pt>
                  <c:pt idx="9">
                    <c:v>0.12822883423228748</c:v>
                  </c:pt>
                  <c:pt idx="10">
                    <c:v>4.5235001460626374E-2</c:v>
                  </c:pt>
                  <c:pt idx="11">
                    <c:v>0.15508062419270827</c:v>
                  </c:pt>
                  <c:pt idx="12">
                    <c:v>8.0032080621282392E-2</c:v>
                  </c:pt>
                  <c:pt idx="13">
                    <c:v>0.17163863617662387</c:v>
                  </c:pt>
                  <c:pt idx="14">
                    <c:v>0.15802280011803002</c:v>
                  </c:pt>
                  <c:pt idx="15">
                    <c:v>0.10090549857593072</c:v>
                  </c:pt>
                  <c:pt idx="16">
                    <c:v>7.1337665366901448E-2</c:v>
                  </c:pt>
                  <c:pt idx="17">
                    <c:v>0.17844316822370693</c:v>
                  </c:pt>
                  <c:pt idx="18">
                    <c:v>7.9860369216706029E-2</c:v>
                  </c:pt>
                  <c:pt idx="19">
                    <c:v>0.1133696545440121</c:v>
                  </c:pt>
                  <c:pt idx="20">
                    <c:v>9.3358707222656642E-2</c:v>
                  </c:pt>
                  <c:pt idx="21">
                    <c:v>0.15472253391151511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Chart'!$Q$59:$Q$80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Chart'!$V$59:$V$80</c:f>
              <c:numCache>
                <c:formatCode>General</c:formatCode>
                <c:ptCount val="22"/>
                <c:pt idx="0">
                  <c:v>0</c:v>
                </c:pt>
                <c:pt idx="1">
                  <c:v>-1.2474999999999994</c:v>
                </c:pt>
                <c:pt idx="2">
                  <c:v>0.5462499999999999</c:v>
                </c:pt>
                <c:pt idx="3">
                  <c:v>0.49624999999999964</c:v>
                </c:pt>
                <c:pt idx="4">
                  <c:v>0.31875000000000031</c:v>
                </c:pt>
                <c:pt idx="5">
                  <c:v>0.36499999999999932</c:v>
                </c:pt>
                <c:pt idx="6">
                  <c:v>0.57750000000000035</c:v>
                </c:pt>
                <c:pt idx="7">
                  <c:v>0.35125000000000051</c:v>
                </c:pt>
                <c:pt idx="8">
                  <c:v>0.21374999999999988</c:v>
                </c:pt>
                <c:pt idx="9">
                  <c:v>0.13375000000000004</c:v>
                </c:pt>
                <c:pt idx="10">
                  <c:v>0.25375000000000014</c:v>
                </c:pt>
                <c:pt idx="11">
                  <c:v>5.9999999999999609E-2</c:v>
                </c:pt>
                <c:pt idx="12">
                  <c:v>0.20874999999999977</c:v>
                </c:pt>
                <c:pt idx="13">
                  <c:v>-0.10249999999999915</c:v>
                </c:pt>
                <c:pt idx="14">
                  <c:v>0.27374999999999927</c:v>
                </c:pt>
                <c:pt idx="15">
                  <c:v>0.19625000000000004</c:v>
                </c:pt>
                <c:pt idx="16">
                  <c:v>0.38625000000000043</c:v>
                </c:pt>
                <c:pt idx="17">
                  <c:v>-4.750000000000032E-2</c:v>
                </c:pt>
                <c:pt idx="18">
                  <c:v>8.2499999999999574E-2</c:v>
                </c:pt>
                <c:pt idx="19">
                  <c:v>3.2500000000000195E-2</c:v>
                </c:pt>
                <c:pt idx="20">
                  <c:v>0.13125000000000053</c:v>
                </c:pt>
                <c:pt idx="21">
                  <c:v>0.3162499999999997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C-1941-B45D-AF252DB9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85615"/>
        <c:axId val="1"/>
      </c:scatterChart>
      <c:valAx>
        <c:axId val="1864185615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1371166597596354"/>
              <c:y val="0.87457545931758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At val="0"/>
        <c:crossBetween val="midCat"/>
        <c:majorUnit val="3"/>
      </c:valAx>
      <c:valAx>
        <c:axId val="1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Body weight (g)</a:t>
                </a:r>
              </a:p>
            </c:rich>
          </c:tx>
          <c:layout>
            <c:manualLayout>
              <c:xMode val="edge"/>
              <c:yMode val="edge"/>
              <c:x val="3.073283602707556E-2"/>
              <c:y val="0.281355643044619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64185615"/>
        <c:crossesAt val="0"/>
        <c:crossBetween val="midCat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05220090621821"/>
          <c:y val="0.11573160854893137"/>
          <c:w val="0.1732509669843901"/>
          <c:h val="0.138893263342082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B  Food intake (loxTB-GHSR)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51805655650736"/>
          <c:y val="0.17248726343037474"/>
          <c:w val="0.75410382571864487"/>
          <c:h val="0.62817766950129728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C6DAF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intake'!$C$89:$C$118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0.15658193137960749</c:v>
                  </c:pt>
                  <c:pt idx="2">
                    <c:v>0.22433509437424629</c:v>
                  </c:pt>
                  <c:pt idx="3">
                    <c:v>0.33995279265593492</c:v>
                  </c:pt>
                  <c:pt idx="4">
                    <c:v>0.44684317960610526</c:v>
                  </c:pt>
                  <c:pt idx="5">
                    <c:v>0.69885819575774866</c:v>
                  </c:pt>
                  <c:pt idx="6">
                    <c:v>0.85972935735685496</c:v>
                  </c:pt>
                  <c:pt idx="7">
                    <c:v>0.92887892073332745</c:v>
                  </c:pt>
                  <c:pt idx="8">
                    <c:v>1.0820549437226206</c:v>
                  </c:pt>
                  <c:pt idx="9">
                    <c:v>1.3600001134713235</c:v>
                  </c:pt>
                  <c:pt idx="10">
                    <c:v>1.5127389108321567</c:v>
                  </c:pt>
                  <c:pt idx="11">
                    <c:v>1.7228460339769647</c:v>
                  </c:pt>
                  <c:pt idx="12">
                    <c:v>2.0032252543718174</c:v>
                  </c:pt>
                  <c:pt idx="13">
                    <c:v>2.2618114531018501</c:v>
                  </c:pt>
                  <c:pt idx="14">
                    <c:v>2.5597026737059942</c:v>
                  </c:pt>
                  <c:pt idx="15">
                    <c:v>2.5104543143020361</c:v>
                  </c:pt>
                  <c:pt idx="16">
                    <c:v>2.6488193270135283</c:v>
                  </c:pt>
                  <c:pt idx="17">
                    <c:v>2.793490449042014</c:v>
                  </c:pt>
                  <c:pt idx="18">
                    <c:v>2.7515954967577936</c:v>
                  </c:pt>
                  <c:pt idx="19">
                    <c:v>2.9993522963351342</c:v>
                  </c:pt>
                  <c:pt idx="20">
                    <c:v>3.1387820532457744</c:v>
                  </c:pt>
                  <c:pt idx="21">
                    <c:v>3.3243558273245419</c:v>
                  </c:pt>
                </c:numCache>
              </c:numRef>
            </c:plus>
            <c:minus>
              <c:numRef>
                <c:f>'(HOM) Food intake'!$C$89:$C$118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0.15658193137960749</c:v>
                  </c:pt>
                  <c:pt idx="2">
                    <c:v>0.22433509437424629</c:v>
                  </c:pt>
                  <c:pt idx="3">
                    <c:v>0.33995279265593492</c:v>
                  </c:pt>
                  <c:pt idx="4">
                    <c:v>0.44684317960610526</c:v>
                  </c:pt>
                  <c:pt idx="5">
                    <c:v>0.69885819575774866</c:v>
                  </c:pt>
                  <c:pt idx="6">
                    <c:v>0.85972935735685496</c:v>
                  </c:pt>
                  <c:pt idx="7">
                    <c:v>0.92887892073332745</c:v>
                  </c:pt>
                  <c:pt idx="8">
                    <c:v>1.0820549437226206</c:v>
                  </c:pt>
                  <c:pt idx="9">
                    <c:v>1.3600001134713235</c:v>
                  </c:pt>
                  <c:pt idx="10">
                    <c:v>1.5127389108321567</c:v>
                  </c:pt>
                  <c:pt idx="11">
                    <c:v>1.7228460339769647</c:v>
                  </c:pt>
                  <c:pt idx="12">
                    <c:v>2.0032252543718174</c:v>
                  </c:pt>
                  <c:pt idx="13">
                    <c:v>2.2618114531018501</c:v>
                  </c:pt>
                  <c:pt idx="14">
                    <c:v>2.5597026737059942</c:v>
                  </c:pt>
                  <c:pt idx="15">
                    <c:v>2.5104543143020361</c:v>
                  </c:pt>
                  <c:pt idx="16">
                    <c:v>2.6488193270135283</c:v>
                  </c:pt>
                  <c:pt idx="17">
                    <c:v>2.793490449042014</c:v>
                  </c:pt>
                  <c:pt idx="18">
                    <c:v>2.7515954967577936</c:v>
                  </c:pt>
                  <c:pt idx="19">
                    <c:v>2.9993522963351342</c:v>
                  </c:pt>
                  <c:pt idx="20">
                    <c:v>3.1387820532457744</c:v>
                  </c:pt>
                  <c:pt idx="21">
                    <c:v>3.3243558273245419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intake'!$A$89:$A$118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intake'!$B$89:$B$118</c:f>
              <c:numCache>
                <c:formatCode>General</c:formatCode>
                <c:ptCount val="30"/>
                <c:pt idx="0">
                  <c:v>0</c:v>
                </c:pt>
                <c:pt idx="1">
                  <c:v>3.1911111111111108</c:v>
                </c:pt>
                <c:pt idx="2">
                  <c:v>7.2288888888888891</c:v>
                </c:pt>
                <c:pt idx="3">
                  <c:v>11.081111111111113</c:v>
                </c:pt>
                <c:pt idx="4">
                  <c:v>15.592222222222224</c:v>
                </c:pt>
                <c:pt idx="5">
                  <c:v>20.093333333333334</c:v>
                </c:pt>
                <c:pt idx="6">
                  <c:v>24.581111111111113</c:v>
                </c:pt>
                <c:pt idx="7">
                  <c:v>29.177777777777781</c:v>
                </c:pt>
                <c:pt idx="8">
                  <c:v>33.431111111111107</c:v>
                </c:pt>
                <c:pt idx="9">
                  <c:v>38.065555555555555</c:v>
                </c:pt>
                <c:pt idx="10">
                  <c:v>42.401111111111113</c:v>
                </c:pt>
                <c:pt idx="11">
                  <c:v>47.068888888888893</c:v>
                </c:pt>
                <c:pt idx="12">
                  <c:v>51.875555555555565</c:v>
                </c:pt>
                <c:pt idx="13">
                  <c:v>58.037777777777784</c:v>
                </c:pt>
                <c:pt idx="14">
                  <c:v>62.636666666666684</c:v>
                </c:pt>
                <c:pt idx="15">
                  <c:v>67.194444444444443</c:v>
                </c:pt>
                <c:pt idx="16">
                  <c:v>71.527777777777786</c:v>
                </c:pt>
                <c:pt idx="17">
                  <c:v>75.993333333333339</c:v>
                </c:pt>
                <c:pt idx="18">
                  <c:v>80.733333333333348</c:v>
                </c:pt>
                <c:pt idx="19">
                  <c:v>86.015555555555551</c:v>
                </c:pt>
                <c:pt idx="20">
                  <c:v>90.143333333333345</c:v>
                </c:pt>
                <c:pt idx="21">
                  <c:v>93.993333333333339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0-439C-8D52-7E7F3C6B8B20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8C84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intake'!$E$89:$E$118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0.16265377339613113</c:v>
                  </c:pt>
                  <c:pt idx="2">
                    <c:v>0.32342993003563736</c:v>
                  </c:pt>
                  <c:pt idx="3">
                    <c:v>0.40556810904141655</c:v>
                  </c:pt>
                  <c:pt idx="4">
                    <c:v>0.53903601125395406</c:v>
                  </c:pt>
                  <c:pt idx="5">
                    <c:v>0.64708394658542967</c:v>
                  </c:pt>
                  <c:pt idx="6">
                    <c:v>0.89209624720974756</c:v>
                  </c:pt>
                  <c:pt idx="7">
                    <c:v>0.9842318206528915</c:v>
                  </c:pt>
                  <c:pt idx="8">
                    <c:v>0.92852790076550507</c:v>
                  </c:pt>
                  <c:pt idx="9">
                    <c:v>0.94525151810387031</c:v>
                  </c:pt>
                  <c:pt idx="10">
                    <c:v>0.93833103048329469</c:v>
                  </c:pt>
                  <c:pt idx="11">
                    <c:v>1.0431687793068378</c:v>
                  </c:pt>
                  <c:pt idx="12">
                    <c:v>1.1641658571084814</c:v>
                  </c:pt>
                  <c:pt idx="13">
                    <c:v>1.4658849525786135</c:v>
                  </c:pt>
                  <c:pt idx="14">
                    <c:v>2.5964741718337963</c:v>
                  </c:pt>
                  <c:pt idx="15">
                    <c:v>1.5574539408206447</c:v>
                  </c:pt>
                  <c:pt idx="16">
                    <c:v>2.0598749528620823</c:v>
                  </c:pt>
                  <c:pt idx="17">
                    <c:v>2.1871593102045126</c:v>
                  </c:pt>
                  <c:pt idx="18">
                    <c:v>2.5368399915755671</c:v>
                  </c:pt>
                  <c:pt idx="19">
                    <c:v>2.6919496283064523</c:v>
                  </c:pt>
                  <c:pt idx="20">
                    <c:v>2.9140183044331414</c:v>
                  </c:pt>
                  <c:pt idx="21">
                    <c:v>2.9954751590643154</c:v>
                  </c:pt>
                </c:numCache>
              </c:numRef>
            </c:plus>
            <c:minus>
              <c:numRef>
                <c:f>'(HOM) Food intake'!$E$89:$E$118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0.16265377339613113</c:v>
                  </c:pt>
                  <c:pt idx="2">
                    <c:v>0.32342993003563736</c:v>
                  </c:pt>
                  <c:pt idx="3">
                    <c:v>0.40556810904141655</c:v>
                  </c:pt>
                  <c:pt idx="4">
                    <c:v>0.53903601125395406</c:v>
                  </c:pt>
                  <c:pt idx="5">
                    <c:v>0.64708394658542967</c:v>
                  </c:pt>
                  <c:pt idx="6">
                    <c:v>0.89209624720974756</c:v>
                  </c:pt>
                  <c:pt idx="7">
                    <c:v>0.9842318206528915</c:v>
                  </c:pt>
                  <c:pt idx="8">
                    <c:v>0.92852790076550507</c:v>
                  </c:pt>
                  <c:pt idx="9">
                    <c:v>0.94525151810387031</c:v>
                  </c:pt>
                  <c:pt idx="10">
                    <c:v>0.93833103048329469</c:v>
                  </c:pt>
                  <c:pt idx="11">
                    <c:v>1.0431687793068378</c:v>
                  </c:pt>
                  <c:pt idx="12">
                    <c:v>1.1641658571084814</c:v>
                  </c:pt>
                  <c:pt idx="13">
                    <c:v>1.4658849525786135</c:v>
                  </c:pt>
                  <c:pt idx="14">
                    <c:v>2.5964741718337963</c:v>
                  </c:pt>
                  <c:pt idx="15">
                    <c:v>1.5574539408206447</c:v>
                  </c:pt>
                  <c:pt idx="16">
                    <c:v>2.0598749528620823</c:v>
                  </c:pt>
                  <c:pt idx="17">
                    <c:v>2.1871593102045126</c:v>
                  </c:pt>
                  <c:pt idx="18">
                    <c:v>2.5368399915755671</c:v>
                  </c:pt>
                  <c:pt idx="19">
                    <c:v>2.6919496283064523</c:v>
                  </c:pt>
                  <c:pt idx="20">
                    <c:v>2.9140183044331414</c:v>
                  </c:pt>
                  <c:pt idx="21">
                    <c:v>2.9954751590643154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intake'!$A$89:$A$110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intake'!$D$89:$D$110</c:f>
              <c:numCache>
                <c:formatCode>General</c:formatCode>
                <c:ptCount val="22"/>
                <c:pt idx="0">
                  <c:v>0</c:v>
                </c:pt>
                <c:pt idx="1">
                  <c:v>4.202500000000005</c:v>
                </c:pt>
                <c:pt idx="2">
                  <c:v>8.6437500000000043</c:v>
                </c:pt>
                <c:pt idx="3">
                  <c:v>13.386250000000002</c:v>
                </c:pt>
                <c:pt idx="4">
                  <c:v>17.977499999999999</c:v>
                </c:pt>
                <c:pt idx="5">
                  <c:v>22.606249999999996</c:v>
                </c:pt>
                <c:pt idx="6">
                  <c:v>27.344999999999985</c:v>
                </c:pt>
                <c:pt idx="7">
                  <c:v>32.068749999999987</c:v>
                </c:pt>
                <c:pt idx="8">
                  <c:v>37.473749999999988</c:v>
                </c:pt>
                <c:pt idx="9">
                  <c:v>41.685937499999994</c:v>
                </c:pt>
                <c:pt idx="10">
                  <c:v>46.143124999999976</c:v>
                </c:pt>
                <c:pt idx="11">
                  <c:v>50.056562499999991</c:v>
                </c:pt>
                <c:pt idx="12">
                  <c:v>54.059999999999974</c:v>
                </c:pt>
                <c:pt idx="13">
                  <c:v>57.933124999999976</c:v>
                </c:pt>
                <c:pt idx="14">
                  <c:v>61.583749999999974</c:v>
                </c:pt>
                <c:pt idx="15">
                  <c:v>64.964285714285694</c:v>
                </c:pt>
                <c:pt idx="16">
                  <c:v>70.28749999999998</c:v>
                </c:pt>
                <c:pt idx="17">
                  <c:v>74.561249999999987</c:v>
                </c:pt>
                <c:pt idx="18">
                  <c:v>79.124999999999972</c:v>
                </c:pt>
                <c:pt idx="19">
                  <c:v>83.028124999999974</c:v>
                </c:pt>
                <c:pt idx="20">
                  <c:v>86.457499999999982</c:v>
                </c:pt>
                <c:pt idx="21">
                  <c:v>89.909999999999968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0-439C-8D52-7E7F3C6B8B20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E8145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intake'!$G$89:$G$110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0.27722875448431644</c:v>
                  </c:pt>
                  <c:pt idx="2">
                    <c:v>0.53824503346466979</c:v>
                  </c:pt>
                  <c:pt idx="3">
                    <c:v>0.74851911411634731</c:v>
                  </c:pt>
                  <c:pt idx="4">
                    <c:v>0.99948196458507776</c:v>
                  </c:pt>
                  <c:pt idx="5">
                    <c:v>1.0169049508249663</c:v>
                  </c:pt>
                  <c:pt idx="6">
                    <c:v>1.1709241100963494</c:v>
                  </c:pt>
                  <c:pt idx="7">
                    <c:v>1.1650231810336038</c:v>
                  </c:pt>
                  <c:pt idx="8">
                    <c:v>1.294450166892432</c:v>
                  </c:pt>
                  <c:pt idx="9">
                    <c:v>1.4766186974902311</c:v>
                  </c:pt>
                  <c:pt idx="10">
                    <c:v>1.5637335131025203</c:v>
                  </c:pt>
                  <c:pt idx="11">
                    <c:v>1.8050048305396815</c:v>
                  </c:pt>
                  <c:pt idx="12">
                    <c:v>2.0046543065797766</c:v>
                  </c:pt>
                  <c:pt idx="13">
                    <c:v>1.6712789883170591</c:v>
                  </c:pt>
                  <c:pt idx="14">
                    <c:v>1.7692402638169547</c:v>
                  </c:pt>
                  <c:pt idx="15">
                    <c:v>1.8168221985749009</c:v>
                  </c:pt>
                  <c:pt idx="16">
                    <c:v>1.8218459130409912</c:v>
                  </c:pt>
                  <c:pt idx="17">
                    <c:v>1.975921725845085</c:v>
                  </c:pt>
                  <c:pt idx="18">
                    <c:v>2.1217367827580746</c:v>
                  </c:pt>
                  <c:pt idx="19">
                    <c:v>2.0153191090026059</c:v>
                  </c:pt>
                  <c:pt idx="20">
                    <c:v>2.0483336346924328</c:v>
                  </c:pt>
                  <c:pt idx="21">
                    <c:v>2.0087620565910687</c:v>
                  </c:pt>
                </c:numCache>
              </c:numRef>
            </c:plus>
            <c:minus>
              <c:numRef>
                <c:f>'(HOM) Food intake'!$G$89:$G$110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0.27722875448431644</c:v>
                  </c:pt>
                  <c:pt idx="2">
                    <c:v>0.53824503346466979</c:v>
                  </c:pt>
                  <c:pt idx="3">
                    <c:v>0.74851911411634731</c:v>
                  </c:pt>
                  <c:pt idx="4">
                    <c:v>0.99948196458507776</c:v>
                  </c:pt>
                  <c:pt idx="5">
                    <c:v>1.0169049508249663</c:v>
                  </c:pt>
                  <c:pt idx="6">
                    <c:v>1.1709241100963494</c:v>
                  </c:pt>
                  <c:pt idx="7">
                    <c:v>1.1650231810336038</c:v>
                  </c:pt>
                  <c:pt idx="8">
                    <c:v>1.294450166892432</c:v>
                  </c:pt>
                  <c:pt idx="9">
                    <c:v>1.4766186974902311</c:v>
                  </c:pt>
                  <c:pt idx="10">
                    <c:v>1.5637335131025203</c:v>
                  </c:pt>
                  <c:pt idx="11">
                    <c:v>1.8050048305396815</c:v>
                  </c:pt>
                  <c:pt idx="12">
                    <c:v>2.0046543065797766</c:v>
                  </c:pt>
                  <c:pt idx="13">
                    <c:v>1.6712789883170591</c:v>
                  </c:pt>
                  <c:pt idx="14">
                    <c:v>1.7692402638169547</c:v>
                  </c:pt>
                  <c:pt idx="15">
                    <c:v>1.8168221985749009</c:v>
                  </c:pt>
                  <c:pt idx="16">
                    <c:v>1.8218459130409912</c:v>
                  </c:pt>
                  <c:pt idx="17">
                    <c:v>1.975921725845085</c:v>
                  </c:pt>
                  <c:pt idx="18">
                    <c:v>2.1217367827580746</c:v>
                  </c:pt>
                  <c:pt idx="19">
                    <c:v>2.0153191090026059</c:v>
                  </c:pt>
                  <c:pt idx="20">
                    <c:v>2.0483336346924328</c:v>
                  </c:pt>
                  <c:pt idx="21">
                    <c:v>2.0087620565910687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Food intake'!$A$89:$A$118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intake'!$F$89:$F$110</c:f>
              <c:numCache>
                <c:formatCode>General</c:formatCode>
                <c:ptCount val="22"/>
                <c:pt idx="0">
                  <c:v>0</c:v>
                </c:pt>
                <c:pt idx="1">
                  <c:v>2.16777777777778</c:v>
                </c:pt>
                <c:pt idx="2">
                  <c:v>5.5377777777777757</c:v>
                </c:pt>
                <c:pt idx="3">
                  <c:v>9.4544444444444409</c:v>
                </c:pt>
                <c:pt idx="4">
                  <c:v>13.654444444444444</c:v>
                </c:pt>
                <c:pt idx="5">
                  <c:v>18.391111111111115</c:v>
                </c:pt>
                <c:pt idx="6">
                  <c:v>22.712222222222231</c:v>
                </c:pt>
                <c:pt idx="7">
                  <c:v>26.741111111111117</c:v>
                </c:pt>
                <c:pt idx="8">
                  <c:v>30.621111111111119</c:v>
                </c:pt>
                <c:pt idx="9">
                  <c:v>34.32083333333334</c:v>
                </c:pt>
                <c:pt idx="10">
                  <c:v>37.684999999999995</c:v>
                </c:pt>
                <c:pt idx="11">
                  <c:v>41.330277777777773</c:v>
                </c:pt>
                <c:pt idx="12">
                  <c:v>45.016666666666673</c:v>
                </c:pt>
                <c:pt idx="13">
                  <c:v>49.411111111111111</c:v>
                </c:pt>
                <c:pt idx="14">
                  <c:v>52.936666666666682</c:v>
                </c:pt>
                <c:pt idx="15">
                  <c:v>56.748888888888892</c:v>
                </c:pt>
                <c:pt idx="16">
                  <c:v>60.765555555555551</c:v>
                </c:pt>
                <c:pt idx="17">
                  <c:v>64.726666666666659</c:v>
                </c:pt>
                <c:pt idx="18">
                  <c:v>68.625555555555565</c:v>
                </c:pt>
                <c:pt idx="19">
                  <c:v>72.04000000000002</c:v>
                </c:pt>
                <c:pt idx="20">
                  <c:v>75.738888888888908</c:v>
                </c:pt>
                <c:pt idx="21">
                  <c:v>79.543333333333351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0-439C-8D52-7E7F3C6B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0287762320468434"/>
              <c:y val="0.90288775862266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Cumulative F/I (g)</a:t>
                </a:r>
              </a:p>
            </c:rich>
          </c:tx>
          <c:layout>
            <c:manualLayout>
              <c:xMode val="edge"/>
              <c:yMode val="edge"/>
              <c:x val="1.753206542513288E-2"/>
              <c:y val="0.2014286755111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66004239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053302547707853"/>
          <c:y val="0.22802890023362465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Food intake (GHSR-null)</a:t>
            </a:r>
          </a:p>
        </c:rich>
      </c:tx>
      <c:layout>
        <c:manualLayout>
          <c:xMode val="edge"/>
          <c:yMode val="edge"/>
          <c:x val="9.3984962406015032E-3"/>
          <c:y val="2.94118283291511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816179779797"/>
          <c:y val="0.17248721150045204"/>
          <c:w val="0.75283156198412438"/>
          <c:h val="0.62435425265215905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64AAFE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intake'!$C$89:$C$110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0.15658193137960749</c:v>
                  </c:pt>
                  <c:pt idx="2">
                    <c:v>0.22433509437424629</c:v>
                  </c:pt>
                  <c:pt idx="3">
                    <c:v>0.33995279265593492</c:v>
                  </c:pt>
                  <c:pt idx="4">
                    <c:v>0.44684317960610526</c:v>
                  </c:pt>
                  <c:pt idx="5">
                    <c:v>0.69885819575774866</c:v>
                  </c:pt>
                  <c:pt idx="6">
                    <c:v>0.85972935735685496</c:v>
                  </c:pt>
                  <c:pt idx="7">
                    <c:v>0.92887892073332745</c:v>
                  </c:pt>
                  <c:pt idx="8">
                    <c:v>1.0820549437226206</c:v>
                  </c:pt>
                  <c:pt idx="9">
                    <c:v>1.3600001134713235</c:v>
                  </c:pt>
                  <c:pt idx="10">
                    <c:v>1.5127389108321567</c:v>
                  </c:pt>
                  <c:pt idx="11">
                    <c:v>1.7228460339769647</c:v>
                  </c:pt>
                  <c:pt idx="12">
                    <c:v>2.0032252543718174</c:v>
                  </c:pt>
                  <c:pt idx="13">
                    <c:v>2.2618114531018501</c:v>
                  </c:pt>
                  <c:pt idx="14">
                    <c:v>2.5597026737059942</c:v>
                  </c:pt>
                  <c:pt idx="15">
                    <c:v>2.5104543143020361</c:v>
                  </c:pt>
                  <c:pt idx="16">
                    <c:v>2.6488193270135283</c:v>
                  </c:pt>
                  <c:pt idx="17">
                    <c:v>2.793490449042014</c:v>
                  </c:pt>
                  <c:pt idx="18">
                    <c:v>2.7515954967577936</c:v>
                  </c:pt>
                  <c:pt idx="19">
                    <c:v>2.9993522963351342</c:v>
                  </c:pt>
                  <c:pt idx="20">
                    <c:v>3.1387820532457744</c:v>
                  </c:pt>
                  <c:pt idx="21">
                    <c:v>3.3243558273245419</c:v>
                  </c:pt>
                </c:numCache>
              </c:numRef>
            </c:plus>
            <c:minus>
              <c:numRef>
                <c:f>'(HOM) Food intake'!$C$89:$C$110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0.15658193137960749</c:v>
                  </c:pt>
                  <c:pt idx="2">
                    <c:v>0.22433509437424629</c:v>
                  </c:pt>
                  <c:pt idx="3">
                    <c:v>0.33995279265593492</c:v>
                  </c:pt>
                  <c:pt idx="4">
                    <c:v>0.44684317960610526</c:v>
                  </c:pt>
                  <c:pt idx="5">
                    <c:v>0.69885819575774866</c:v>
                  </c:pt>
                  <c:pt idx="6">
                    <c:v>0.85972935735685496</c:v>
                  </c:pt>
                  <c:pt idx="7">
                    <c:v>0.92887892073332745</c:v>
                  </c:pt>
                  <c:pt idx="8">
                    <c:v>1.0820549437226206</c:v>
                  </c:pt>
                  <c:pt idx="9">
                    <c:v>1.3600001134713235</c:v>
                  </c:pt>
                  <c:pt idx="10">
                    <c:v>1.5127389108321567</c:v>
                  </c:pt>
                  <c:pt idx="11">
                    <c:v>1.7228460339769647</c:v>
                  </c:pt>
                  <c:pt idx="12">
                    <c:v>2.0032252543718174</c:v>
                  </c:pt>
                  <c:pt idx="13">
                    <c:v>2.2618114531018501</c:v>
                  </c:pt>
                  <c:pt idx="14">
                    <c:v>2.5597026737059942</c:v>
                  </c:pt>
                  <c:pt idx="15">
                    <c:v>2.5104543143020361</c:v>
                  </c:pt>
                  <c:pt idx="16">
                    <c:v>2.6488193270135283</c:v>
                  </c:pt>
                  <c:pt idx="17">
                    <c:v>2.793490449042014</c:v>
                  </c:pt>
                  <c:pt idx="18">
                    <c:v>2.7515954967577936</c:v>
                  </c:pt>
                  <c:pt idx="19">
                    <c:v>2.9993522963351342</c:v>
                  </c:pt>
                  <c:pt idx="20">
                    <c:v>3.1387820532457744</c:v>
                  </c:pt>
                  <c:pt idx="21">
                    <c:v>3.3243558273245419</c:v>
                  </c:pt>
                </c:numCache>
              </c:numRef>
            </c:minus>
            <c:spPr>
              <a:ln w="12700">
                <a:solidFill>
                  <a:schemeClr val="bg1"/>
                </a:solidFill>
                <a:prstDash val="solid"/>
              </a:ln>
            </c:spPr>
          </c:errBars>
          <c:xVal>
            <c:numRef>
              <c:f>'(HOM) Food intake'!$A$89:$A$110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intake'!$B$89:$B$110</c:f>
              <c:numCache>
                <c:formatCode>General</c:formatCode>
                <c:ptCount val="22"/>
                <c:pt idx="0">
                  <c:v>0</c:v>
                </c:pt>
                <c:pt idx="1">
                  <c:v>3.1911111111111108</c:v>
                </c:pt>
                <c:pt idx="2">
                  <c:v>7.2288888888888891</c:v>
                </c:pt>
                <c:pt idx="3">
                  <c:v>11.081111111111113</c:v>
                </c:pt>
                <c:pt idx="4">
                  <c:v>15.592222222222224</c:v>
                </c:pt>
                <c:pt idx="5">
                  <c:v>20.093333333333334</c:v>
                </c:pt>
                <c:pt idx="6">
                  <c:v>24.581111111111113</c:v>
                </c:pt>
                <c:pt idx="7">
                  <c:v>29.177777777777781</c:v>
                </c:pt>
                <c:pt idx="8">
                  <c:v>33.431111111111107</c:v>
                </c:pt>
                <c:pt idx="9">
                  <c:v>38.065555555555555</c:v>
                </c:pt>
                <c:pt idx="10">
                  <c:v>42.401111111111113</c:v>
                </c:pt>
                <c:pt idx="11">
                  <c:v>47.068888888888893</c:v>
                </c:pt>
                <c:pt idx="12">
                  <c:v>51.875555555555565</c:v>
                </c:pt>
                <c:pt idx="13">
                  <c:v>58.037777777777784</c:v>
                </c:pt>
                <c:pt idx="14">
                  <c:v>62.636666666666684</c:v>
                </c:pt>
                <c:pt idx="15">
                  <c:v>67.194444444444443</c:v>
                </c:pt>
                <c:pt idx="16">
                  <c:v>71.527777777777786</c:v>
                </c:pt>
                <c:pt idx="17">
                  <c:v>75.993333333333339</c:v>
                </c:pt>
                <c:pt idx="18">
                  <c:v>80.733333333333348</c:v>
                </c:pt>
                <c:pt idx="19">
                  <c:v>86.015555555555551</c:v>
                </c:pt>
                <c:pt idx="20">
                  <c:v>90.143333333333345</c:v>
                </c:pt>
                <c:pt idx="21">
                  <c:v>93.993333333333339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FF48-8FA0-1AF7F5C469D0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intake'!$E$89:$E$110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0.16265377339613113</c:v>
                  </c:pt>
                  <c:pt idx="2">
                    <c:v>0.32342993003563736</c:v>
                  </c:pt>
                  <c:pt idx="3">
                    <c:v>0.40556810904141655</c:v>
                  </c:pt>
                  <c:pt idx="4">
                    <c:v>0.53903601125395406</c:v>
                  </c:pt>
                  <c:pt idx="5">
                    <c:v>0.64708394658542967</c:v>
                  </c:pt>
                  <c:pt idx="6">
                    <c:v>0.89209624720974756</c:v>
                  </c:pt>
                  <c:pt idx="7">
                    <c:v>0.9842318206528915</c:v>
                  </c:pt>
                  <c:pt idx="8">
                    <c:v>0.92852790076550507</c:v>
                  </c:pt>
                  <c:pt idx="9">
                    <c:v>0.94525151810387031</c:v>
                  </c:pt>
                  <c:pt idx="10">
                    <c:v>0.93833103048329469</c:v>
                  </c:pt>
                  <c:pt idx="11">
                    <c:v>1.0431687793068378</c:v>
                  </c:pt>
                  <c:pt idx="12">
                    <c:v>1.1641658571084814</c:v>
                  </c:pt>
                  <c:pt idx="13">
                    <c:v>1.4658849525786135</c:v>
                  </c:pt>
                  <c:pt idx="14">
                    <c:v>2.5964741718337963</c:v>
                  </c:pt>
                  <c:pt idx="15">
                    <c:v>1.5574539408206447</c:v>
                  </c:pt>
                  <c:pt idx="16">
                    <c:v>2.0598749528620823</c:v>
                  </c:pt>
                  <c:pt idx="17">
                    <c:v>2.1871593102045126</c:v>
                  </c:pt>
                  <c:pt idx="18">
                    <c:v>2.5368399915755671</c:v>
                  </c:pt>
                  <c:pt idx="19">
                    <c:v>2.6919496283064523</c:v>
                  </c:pt>
                  <c:pt idx="20">
                    <c:v>2.9140183044331414</c:v>
                  </c:pt>
                  <c:pt idx="21">
                    <c:v>2.9954751590643154</c:v>
                  </c:pt>
                </c:numCache>
              </c:numRef>
            </c:plus>
            <c:minus>
              <c:numRef>
                <c:f>'(HOM) Food intake'!$E$89:$E$110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0.16265377339613113</c:v>
                  </c:pt>
                  <c:pt idx="2">
                    <c:v>0.32342993003563736</c:v>
                  </c:pt>
                  <c:pt idx="3">
                    <c:v>0.40556810904141655</c:v>
                  </c:pt>
                  <c:pt idx="4">
                    <c:v>0.53903601125395406</c:v>
                  </c:pt>
                  <c:pt idx="5">
                    <c:v>0.64708394658542967</c:v>
                  </c:pt>
                  <c:pt idx="6">
                    <c:v>0.89209624720974756</c:v>
                  </c:pt>
                  <c:pt idx="7">
                    <c:v>0.9842318206528915</c:v>
                  </c:pt>
                  <c:pt idx="8">
                    <c:v>0.92852790076550507</c:v>
                  </c:pt>
                  <c:pt idx="9">
                    <c:v>0.94525151810387031</c:v>
                  </c:pt>
                  <c:pt idx="10">
                    <c:v>0.93833103048329469</c:v>
                  </c:pt>
                  <c:pt idx="11">
                    <c:v>1.0431687793068378</c:v>
                  </c:pt>
                  <c:pt idx="12">
                    <c:v>1.1641658571084814</c:v>
                  </c:pt>
                  <c:pt idx="13">
                    <c:v>1.4658849525786135</c:v>
                  </c:pt>
                  <c:pt idx="14">
                    <c:v>2.5964741718337963</c:v>
                  </c:pt>
                  <c:pt idx="15">
                    <c:v>1.5574539408206447</c:v>
                  </c:pt>
                  <c:pt idx="16">
                    <c:v>2.0598749528620823</c:v>
                  </c:pt>
                  <c:pt idx="17">
                    <c:v>2.1871593102045126</c:v>
                  </c:pt>
                  <c:pt idx="18">
                    <c:v>2.5368399915755671</c:v>
                  </c:pt>
                  <c:pt idx="19">
                    <c:v>2.6919496283064523</c:v>
                  </c:pt>
                  <c:pt idx="20">
                    <c:v>2.9140183044331414</c:v>
                  </c:pt>
                  <c:pt idx="21">
                    <c:v>2.9954751590643154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'(HOM) Food intake'!$A$89:$A$110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intake'!$D$89:$D$110</c:f>
              <c:numCache>
                <c:formatCode>General</c:formatCode>
                <c:ptCount val="22"/>
                <c:pt idx="0">
                  <c:v>0</c:v>
                </c:pt>
                <c:pt idx="1">
                  <c:v>4.202500000000005</c:v>
                </c:pt>
                <c:pt idx="2">
                  <c:v>8.6437500000000043</c:v>
                </c:pt>
                <c:pt idx="3">
                  <c:v>13.386250000000002</c:v>
                </c:pt>
                <c:pt idx="4">
                  <c:v>17.977499999999999</c:v>
                </c:pt>
                <c:pt idx="5">
                  <c:v>22.606249999999996</c:v>
                </c:pt>
                <c:pt idx="6">
                  <c:v>27.344999999999985</c:v>
                </c:pt>
                <c:pt idx="7">
                  <c:v>32.068749999999987</c:v>
                </c:pt>
                <c:pt idx="8">
                  <c:v>37.473749999999988</c:v>
                </c:pt>
                <c:pt idx="9">
                  <c:v>41.685937499999994</c:v>
                </c:pt>
                <c:pt idx="10">
                  <c:v>46.143124999999976</c:v>
                </c:pt>
                <c:pt idx="11">
                  <c:v>50.056562499999991</c:v>
                </c:pt>
                <c:pt idx="12">
                  <c:v>54.059999999999974</c:v>
                </c:pt>
                <c:pt idx="13">
                  <c:v>57.933124999999976</c:v>
                </c:pt>
                <c:pt idx="14">
                  <c:v>61.583749999999974</c:v>
                </c:pt>
                <c:pt idx="15">
                  <c:v>64.964285714285694</c:v>
                </c:pt>
                <c:pt idx="16">
                  <c:v>70.28749999999998</c:v>
                </c:pt>
                <c:pt idx="17">
                  <c:v>74.561249999999987</c:v>
                </c:pt>
                <c:pt idx="18">
                  <c:v>79.124999999999972</c:v>
                </c:pt>
                <c:pt idx="19">
                  <c:v>83.028124999999974</c:v>
                </c:pt>
                <c:pt idx="20">
                  <c:v>86.457499999999982</c:v>
                </c:pt>
                <c:pt idx="21">
                  <c:v>89.909999999999968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FF48-8FA0-1AF7F5C469D0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8C84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intake'!$G$89:$G$110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0.27722875448431644</c:v>
                  </c:pt>
                  <c:pt idx="2">
                    <c:v>0.53824503346466979</c:v>
                  </c:pt>
                  <c:pt idx="3">
                    <c:v>0.74851911411634731</c:v>
                  </c:pt>
                  <c:pt idx="4">
                    <c:v>0.99948196458507776</c:v>
                  </c:pt>
                  <c:pt idx="5">
                    <c:v>1.0169049508249663</c:v>
                  </c:pt>
                  <c:pt idx="6">
                    <c:v>1.1709241100963494</c:v>
                  </c:pt>
                  <c:pt idx="7">
                    <c:v>1.1650231810336038</c:v>
                  </c:pt>
                  <c:pt idx="8">
                    <c:v>1.294450166892432</c:v>
                  </c:pt>
                  <c:pt idx="9">
                    <c:v>1.4766186974902311</c:v>
                  </c:pt>
                  <c:pt idx="10">
                    <c:v>1.5637335131025203</c:v>
                  </c:pt>
                  <c:pt idx="11">
                    <c:v>1.8050048305396815</c:v>
                  </c:pt>
                  <c:pt idx="12">
                    <c:v>2.0046543065797766</c:v>
                  </c:pt>
                  <c:pt idx="13">
                    <c:v>1.6712789883170591</c:v>
                  </c:pt>
                  <c:pt idx="14">
                    <c:v>1.7692402638169547</c:v>
                  </c:pt>
                  <c:pt idx="15">
                    <c:v>1.8168221985749009</c:v>
                  </c:pt>
                  <c:pt idx="16">
                    <c:v>1.8218459130409912</c:v>
                  </c:pt>
                  <c:pt idx="17">
                    <c:v>1.975921725845085</c:v>
                  </c:pt>
                  <c:pt idx="18">
                    <c:v>2.1217367827580746</c:v>
                  </c:pt>
                  <c:pt idx="19">
                    <c:v>2.0153191090026059</c:v>
                  </c:pt>
                  <c:pt idx="20">
                    <c:v>2.0483336346924328</c:v>
                  </c:pt>
                  <c:pt idx="21">
                    <c:v>2.0087620565910687</c:v>
                  </c:pt>
                </c:numCache>
              </c:numRef>
            </c:plus>
            <c:minus>
              <c:numRef>
                <c:f>'(HOM) Food intake'!$G$89:$G$110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0.27722875448431644</c:v>
                  </c:pt>
                  <c:pt idx="2">
                    <c:v>0.53824503346466979</c:v>
                  </c:pt>
                  <c:pt idx="3">
                    <c:v>0.74851911411634731</c:v>
                  </c:pt>
                  <c:pt idx="4">
                    <c:v>0.99948196458507776</c:v>
                  </c:pt>
                  <c:pt idx="5">
                    <c:v>1.0169049508249663</c:v>
                  </c:pt>
                  <c:pt idx="6">
                    <c:v>1.1709241100963494</c:v>
                  </c:pt>
                  <c:pt idx="7">
                    <c:v>1.1650231810336038</c:v>
                  </c:pt>
                  <c:pt idx="8">
                    <c:v>1.294450166892432</c:v>
                  </c:pt>
                  <c:pt idx="9">
                    <c:v>1.4766186974902311</c:v>
                  </c:pt>
                  <c:pt idx="10">
                    <c:v>1.5637335131025203</c:v>
                  </c:pt>
                  <c:pt idx="11">
                    <c:v>1.8050048305396815</c:v>
                  </c:pt>
                  <c:pt idx="12">
                    <c:v>2.0046543065797766</c:v>
                  </c:pt>
                  <c:pt idx="13">
                    <c:v>1.6712789883170591</c:v>
                  </c:pt>
                  <c:pt idx="14">
                    <c:v>1.7692402638169547</c:v>
                  </c:pt>
                  <c:pt idx="15">
                    <c:v>1.8168221985749009</c:v>
                  </c:pt>
                  <c:pt idx="16">
                    <c:v>1.8218459130409912</c:v>
                  </c:pt>
                  <c:pt idx="17">
                    <c:v>1.975921725845085</c:v>
                  </c:pt>
                  <c:pt idx="18">
                    <c:v>2.1217367827580746</c:v>
                  </c:pt>
                  <c:pt idx="19">
                    <c:v>2.0153191090026059</c:v>
                  </c:pt>
                  <c:pt idx="20">
                    <c:v>2.0483336346924328</c:v>
                  </c:pt>
                  <c:pt idx="21">
                    <c:v>2.0087620565910687</c:v>
                  </c:pt>
                </c:numCache>
              </c:numRef>
            </c:minus>
          </c:errBars>
          <c:xVal>
            <c:numRef>
              <c:f>'(HOM) Food intake'!$A$89:$A$110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intake'!$F$89:$F$110</c:f>
              <c:numCache>
                <c:formatCode>General</c:formatCode>
                <c:ptCount val="22"/>
                <c:pt idx="0">
                  <c:v>0</c:v>
                </c:pt>
                <c:pt idx="1">
                  <c:v>2.16777777777778</c:v>
                </c:pt>
                <c:pt idx="2">
                  <c:v>5.5377777777777757</c:v>
                </c:pt>
                <c:pt idx="3">
                  <c:v>9.4544444444444409</c:v>
                </c:pt>
                <c:pt idx="4">
                  <c:v>13.654444444444444</c:v>
                </c:pt>
                <c:pt idx="5">
                  <c:v>18.391111111111115</c:v>
                </c:pt>
                <c:pt idx="6">
                  <c:v>22.712222222222231</c:v>
                </c:pt>
                <c:pt idx="7">
                  <c:v>26.741111111111117</c:v>
                </c:pt>
                <c:pt idx="8">
                  <c:v>30.621111111111119</c:v>
                </c:pt>
                <c:pt idx="9">
                  <c:v>34.32083333333334</c:v>
                </c:pt>
                <c:pt idx="10">
                  <c:v>37.684999999999995</c:v>
                </c:pt>
                <c:pt idx="11">
                  <c:v>41.330277777777773</c:v>
                </c:pt>
                <c:pt idx="12">
                  <c:v>45.016666666666673</c:v>
                </c:pt>
                <c:pt idx="13">
                  <c:v>49.411111111111111</c:v>
                </c:pt>
                <c:pt idx="14">
                  <c:v>52.936666666666682</c:v>
                </c:pt>
                <c:pt idx="15">
                  <c:v>56.748888888888892</c:v>
                </c:pt>
                <c:pt idx="16">
                  <c:v>60.765555555555551</c:v>
                </c:pt>
                <c:pt idx="17">
                  <c:v>64.726666666666659</c:v>
                </c:pt>
                <c:pt idx="18">
                  <c:v>68.625555555555565</c:v>
                </c:pt>
                <c:pt idx="19">
                  <c:v>72.04000000000002</c:v>
                </c:pt>
                <c:pt idx="20">
                  <c:v>75.738888888888908</c:v>
                </c:pt>
                <c:pt idx="21">
                  <c:v>79.543333333333351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7-FF48-8FA0-1AF7F5C4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0968048636777543"/>
              <c:y val="0.8990643668261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Cumulative F/I (g)</a:t>
                </a:r>
              </a:p>
            </c:rich>
          </c:tx>
          <c:layout>
            <c:manualLayout>
              <c:xMode val="edge"/>
              <c:yMode val="edge"/>
              <c:x val="1.7414835068120207E-2"/>
              <c:y val="0.24628166867306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66004239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51946900188382"/>
          <c:y val="0.17538282005447209"/>
          <c:w val="0.2807106348548537"/>
          <c:h val="0.192313532923769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chemeClr val="bg1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J  Cumulative Caloric Intake (GHSR-null)</a:t>
            </a:r>
          </a:p>
        </c:rich>
      </c:tx>
      <c:layout>
        <c:manualLayout>
          <c:xMode val="edge"/>
          <c:yMode val="edge"/>
          <c:x val="1.1904866956285639E-2"/>
          <c:y val="2.8015388487397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8985337445511"/>
          <c:y val="0.16834171071081869"/>
          <c:w val="0.82747032168024948"/>
          <c:h val="0.6402102613885593"/>
        </c:manualLayout>
      </c:layout>
      <c:scatterChart>
        <c:scatterStyle val="lineMarker"/>
        <c:varyColors val="0"/>
        <c:ser>
          <c:idx val="0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intake'!$S$89:$S$110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0.56921873205354345</c:v>
                  </c:pt>
                  <c:pt idx="2">
                    <c:v>0.81552026373491771</c:v>
                  </c:pt>
                  <c:pt idx="3">
                    <c:v>1.2358226513667436</c:v>
                  </c:pt>
                  <c:pt idx="4">
                    <c:v>1.6243988427089116</c:v>
                  </c:pt>
                  <c:pt idx="5">
                    <c:v>2.5405432962124004</c:v>
                  </c:pt>
                  <c:pt idx="6">
                    <c:v>3.1253545692795659</c:v>
                  </c:pt>
                  <c:pt idx="7">
                    <c:v>3.3767324034933157</c:v>
                  </c:pt>
                  <c:pt idx="8">
                    <c:v>3.9335697142784927</c:v>
                  </c:pt>
                  <c:pt idx="9">
                    <c:v>4.9439774651012272</c:v>
                  </c:pt>
                  <c:pt idx="10">
                    <c:v>5.4992253395086754</c:v>
                  </c:pt>
                  <c:pt idx="11">
                    <c:v>6.2630229831968336</c:v>
                  </c:pt>
                  <c:pt idx="12">
                    <c:v>7.2822791829457332</c:v>
                  </c:pt>
                  <c:pt idx="13">
                    <c:v>8.3092064457527766</c:v>
                  </c:pt>
                  <c:pt idx="14">
                    <c:v>9.3889462213467283</c:v>
                  </c:pt>
                  <c:pt idx="15">
                    <c:v>9.2184281482264812</c:v>
                  </c:pt>
                  <c:pt idx="16">
                    <c:v>9.7262710166784014</c:v>
                  </c:pt>
                  <c:pt idx="17">
                    <c:v>10.256476154766565</c:v>
                  </c:pt>
                  <c:pt idx="18">
                    <c:v>10.113776586130431</c:v>
                  </c:pt>
                  <c:pt idx="19">
                    <c:v>10.989325622807277</c:v>
                  </c:pt>
                  <c:pt idx="20">
                    <c:v>11.490612028326103</c:v>
                  </c:pt>
                  <c:pt idx="21">
                    <c:v>12.174855948376582</c:v>
                  </c:pt>
                </c:numCache>
              </c:numRef>
            </c:plus>
            <c:minus>
              <c:numRef>
                <c:f>'(HOM) Food intake'!$S$89:$S$110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0.56921873205354345</c:v>
                  </c:pt>
                  <c:pt idx="2">
                    <c:v>0.81552026373491771</c:v>
                  </c:pt>
                  <c:pt idx="3">
                    <c:v>1.2358226513667436</c:v>
                  </c:pt>
                  <c:pt idx="4">
                    <c:v>1.6243988427089116</c:v>
                  </c:pt>
                  <c:pt idx="5">
                    <c:v>2.5405432962124004</c:v>
                  </c:pt>
                  <c:pt idx="6">
                    <c:v>3.1253545692795659</c:v>
                  </c:pt>
                  <c:pt idx="7">
                    <c:v>3.3767324034933157</c:v>
                  </c:pt>
                  <c:pt idx="8">
                    <c:v>3.9335697142784927</c:v>
                  </c:pt>
                  <c:pt idx="9">
                    <c:v>4.9439774651012272</c:v>
                  </c:pt>
                  <c:pt idx="10">
                    <c:v>5.4992253395086754</c:v>
                  </c:pt>
                  <c:pt idx="11">
                    <c:v>6.2630229831968336</c:v>
                  </c:pt>
                  <c:pt idx="12">
                    <c:v>7.2822791829457332</c:v>
                  </c:pt>
                  <c:pt idx="13">
                    <c:v>8.3092064457527766</c:v>
                  </c:pt>
                  <c:pt idx="14">
                    <c:v>9.3889462213467283</c:v>
                  </c:pt>
                  <c:pt idx="15">
                    <c:v>9.2184281482264812</c:v>
                  </c:pt>
                  <c:pt idx="16">
                    <c:v>9.7262710166784014</c:v>
                  </c:pt>
                  <c:pt idx="17">
                    <c:v>10.256476154766565</c:v>
                  </c:pt>
                  <c:pt idx="18">
                    <c:v>10.113776586130431</c:v>
                  </c:pt>
                  <c:pt idx="19">
                    <c:v>10.989325622807277</c:v>
                  </c:pt>
                  <c:pt idx="20">
                    <c:v>11.490612028326103</c:v>
                  </c:pt>
                  <c:pt idx="21">
                    <c:v>12.174855948376582</c:v>
                  </c:pt>
                </c:numCache>
              </c:numRef>
            </c:minus>
          </c:errBars>
          <c:xVal>
            <c:numRef>
              <c:f>'(HOM) Food intake'!$Q$89:$Q$110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intake'!$R$89:$R$110</c:f>
              <c:numCache>
                <c:formatCode>0.00</c:formatCode>
                <c:ptCount val="22"/>
                <c:pt idx="0" formatCode="General">
                  <c:v>0</c:v>
                </c:pt>
                <c:pt idx="1">
                  <c:v>11.600573607084801</c:v>
                </c:pt>
                <c:pt idx="2">
                  <c:v>26.2790152812304</c:v>
                </c:pt>
                <c:pt idx="3" formatCode="General">
                  <c:v>40.28291106666321</c:v>
                </c:pt>
                <c:pt idx="4" formatCode="General">
                  <c:v>56.682050636567205</c:v>
                </c:pt>
                <c:pt idx="5" formatCode="General">
                  <c:v>73.044837434025609</c:v>
                </c:pt>
                <c:pt idx="6" formatCode="General">
                  <c:v>89.359153868223203</c:v>
                </c:pt>
                <c:pt idx="7" formatCode="General">
                  <c:v>106.06931160238402</c:v>
                </c:pt>
                <c:pt idx="8" formatCode="General">
                  <c:v>121.53135748257922</c:v>
                </c:pt>
                <c:pt idx="9" formatCode="General">
                  <c:v>138.37884791264563</c:v>
                </c:pt>
                <c:pt idx="10" formatCode="General">
                  <c:v>154.13979436628242</c:v>
                </c:pt>
                <c:pt idx="11" formatCode="General">
                  <c:v>171.1084607045008</c:v>
                </c:pt>
                <c:pt idx="12" formatCode="General">
                  <c:v>188.58202666001924</c:v>
                </c:pt>
                <c:pt idx="13" formatCode="General">
                  <c:v>213.06512102251241</c:v>
                </c:pt>
                <c:pt idx="14" formatCode="General">
                  <c:v>229.78335715055002</c:v>
                </c:pt>
                <c:pt idx="15" formatCode="General">
                  <c:v>246.3521429918668</c:v>
                </c:pt>
                <c:pt idx="16" formatCode="General">
                  <c:v>262.10501105162689</c:v>
                </c:pt>
                <c:pt idx="17" formatCode="General">
                  <c:v>278.33854354705642</c:v>
                </c:pt>
                <c:pt idx="18" formatCode="General">
                  <c:v>295.5697576862708</c:v>
                </c:pt>
                <c:pt idx="19" formatCode="General">
                  <c:v>314.77209993142441</c:v>
                </c:pt>
                <c:pt idx="20" formatCode="General">
                  <c:v>329.77771655758045</c:v>
                </c:pt>
                <c:pt idx="21" formatCode="General">
                  <c:v>343.77353394913638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9-AD43-AC67-FBE634250B76}"/>
            </c:ext>
          </c:extLst>
        </c:ser>
        <c:ser>
          <c:idx val="1"/>
          <c:order val="1"/>
          <c:tx>
            <c:v>Grazing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intake'!$U$89:$U$110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0.59129156116876957</c:v>
                  </c:pt>
                  <c:pt idx="2">
                    <c:v>1.1757574648681859</c:v>
                  </c:pt>
                  <c:pt idx="3">
                    <c:v>1.4743525179174912</c:v>
                  </c:pt>
                  <c:pt idx="4">
                    <c:v>1.9595453457098884</c:v>
                  </c:pt>
                  <c:pt idx="5">
                    <c:v>2.3523295463420921</c:v>
                  </c:pt>
                  <c:pt idx="6">
                    <c:v>3.2430171874389693</c:v>
                  </c:pt>
                  <c:pt idx="7">
                    <c:v>3.5779555409913177</c:v>
                  </c:pt>
                  <c:pt idx="8">
                    <c:v>3.3754563485919085</c:v>
                  </c:pt>
                  <c:pt idx="9">
                    <c:v>3.4362513341487952</c:v>
                  </c:pt>
                  <c:pt idx="10">
                    <c:v>3.41109344298046</c:v>
                  </c:pt>
                  <c:pt idx="11">
                    <c:v>3.7922077256495834</c:v>
                  </c:pt>
                  <c:pt idx="12">
                    <c:v>4.2320656492401536</c:v>
                  </c:pt>
                  <c:pt idx="13">
                    <c:v>5.3813886770155621</c:v>
                  </c:pt>
                  <c:pt idx="14">
                    <c:v>6.7405560760016039</c:v>
                  </c:pt>
                  <c:pt idx="15">
                    <c:v>6.9197670643067548</c:v>
                  </c:pt>
                  <c:pt idx="16">
                    <c:v>7.554974370006363</c:v>
                  </c:pt>
                  <c:pt idx="17">
                    <c:v>8.0265216378160407</c:v>
                  </c:pt>
                  <c:pt idx="18">
                    <c:v>9.305019089548443</c:v>
                  </c:pt>
                  <c:pt idx="19">
                    <c:v>9.8644798083507297</c:v>
                  </c:pt>
                  <c:pt idx="20">
                    <c:v>10.671514902878815</c:v>
                  </c:pt>
                  <c:pt idx="21">
                    <c:v>10.970095041372405</c:v>
                  </c:pt>
                </c:numCache>
              </c:numRef>
            </c:plus>
            <c:minus>
              <c:numRef>
                <c:f>'(HOM) Food intake'!$U$89:$U$110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0.59129156116876957</c:v>
                  </c:pt>
                  <c:pt idx="2">
                    <c:v>1.1757574648681859</c:v>
                  </c:pt>
                  <c:pt idx="3">
                    <c:v>1.4743525179174912</c:v>
                  </c:pt>
                  <c:pt idx="4">
                    <c:v>1.9595453457098884</c:v>
                  </c:pt>
                  <c:pt idx="5">
                    <c:v>2.3523295463420921</c:v>
                  </c:pt>
                  <c:pt idx="6">
                    <c:v>3.2430171874389693</c:v>
                  </c:pt>
                  <c:pt idx="7">
                    <c:v>3.5779555409913177</c:v>
                  </c:pt>
                  <c:pt idx="8">
                    <c:v>3.3754563485919085</c:v>
                  </c:pt>
                  <c:pt idx="9">
                    <c:v>3.4362513341487952</c:v>
                  </c:pt>
                  <c:pt idx="10">
                    <c:v>3.41109344298046</c:v>
                  </c:pt>
                  <c:pt idx="11">
                    <c:v>3.7922077256495834</c:v>
                  </c:pt>
                  <c:pt idx="12">
                    <c:v>4.2320656492401536</c:v>
                  </c:pt>
                  <c:pt idx="13">
                    <c:v>5.3813886770155621</c:v>
                  </c:pt>
                  <c:pt idx="14">
                    <c:v>6.7405560760016039</c:v>
                  </c:pt>
                  <c:pt idx="15">
                    <c:v>6.9197670643067548</c:v>
                  </c:pt>
                  <c:pt idx="16">
                    <c:v>7.554974370006363</c:v>
                  </c:pt>
                  <c:pt idx="17">
                    <c:v>8.0265216378160407</c:v>
                  </c:pt>
                  <c:pt idx="18">
                    <c:v>9.305019089548443</c:v>
                  </c:pt>
                  <c:pt idx="19">
                    <c:v>9.8644798083507297</c:v>
                  </c:pt>
                  <c:pt idx="20">
                    <c:v>10.671514902878815</c:v>
                  </c:pt>
                  <c:pt idx="21">
                    <c:v>10.970095041372405</c:v>
                  </c:pt>
                </c:numCache>
              </c:numRef>
            </c:minus>
          </c:errBars>
          <c:xVal>
            <c:numRef>
              <c:f>'(HOM) Food intake'!$Q$89:$Q$110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Food intake'!$T$89:$T$110</c:f>
              <c:numCache>
                <c:formatCode>General</c:formatCode>
                <c:ptCount val="22"/>
                <c:pt idx="0">
                  <c:v>0</c:v>
                </c:pt>
                <c:pt idx="1">
                  <c:v>15.27725262026342</c:v>
                </c:pt>
                <c:pt idx="2">
                  <c:v>31.422427682665521</c:v>
                </c:pt>
                <c:pt idx="3">
                  <c:v>48.662730014991311</c:v>
                </c:pt>
                <c:pt idx="4">
                  <c:v>65.353196664077402</c:v>
                </c:pt>
                <c:pt idx="5">
                  <c:v>82.179986209834482</c:v>
                </c:pt>
                <c:pt idx="6">
                  <c:v>99.40665625249315</c:v>
                </c:pt>
                <c:pt idx="7">
                  <c:v>116.57879713648349</c:v>
                </c:pt>
                <c:pt idx="8">
                  <c:v>136.22747064333024</c:v>
                </c:pt>
                <c:pt idx="9">
                  <c:v>151.53994001190034</c:v>
                </c:pt>
                <c:pt idx="10">
                  <c:v>167.74305230538761</c:v>
                </c:pt>
                <c:pt idx="11">
                  <c:v>181.96948259714534</c:v>
                </c:pt>
                <c:pt idx="12">
                  <c:v>196.52308784091349</c:v>
                </c:pt>
                <c:pt idx="13">
                  <c:v>211.99574427808074</c:v>
                </c:pt>
                <c:pt idx="14">
                  <c:v>225.26677826900263</c:v>
                </c:pt>
                <c:pt idx="15">
                  <c:v>239.84878411624396</c:v>
                </c:pt>
                <c:pt idx="16">
                  <c:v>256.90732258634176</c:v>
                </c:pt>
                <c:pt idx="17">
                  <c:v>272.44358871028004</c:v>
                </c:pt>
                <c:pt idx="18">
                  <c:v>289.03408523514065</c:v>
                </c:pt>
                <c:pt idx="19">
                  <c:v>303.2230267303139</c:v>
                </c:pt>
                <c:pt idx="20">
                  <c:v>315.6897556308769</c:v>
                </c:pt>
                <c:pt idx="21">
                  <c:v>328.24055031772031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9-AD43-AC67-FBE634250B76}"/>
            </c:ext>
          </c:extLst>
        </c:ser>
        <c:ser>
          <c:idx val="2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Food intake'!$W$89:$W$110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1.0078033827145476</c:v>
                  </c:pt>
                  <c:pt idx="2">
                    <c:v>1.9566699221515478</c:v>
                  </c:pt>
                  <c:pt idx="3">
                    <c:v>2.721074502665374</c:v>
                  </c:pt>
                  <c:pt idx="4">
                    <c:v>3.6333940422042765</c:v>
                  </c:pt>
                  <c:pt idx="5">
                    <c:v>3.6967314276143939</c:v>
                  </c:pt>
                  <c:pt idx="6">
                    <c:v>4.2566337725399128</c:v>
                  </c:pt>
                  <c:pt idx="7">
                    <c:v>4.235182259396379</c:v>
                  </c:pt>
                  <c:pt idx="8">
                    <c:v>4.7056852359209582</c:v>
                  </c:pt>
                  <c:pt idx="9">
                    <c:v>5.3679183498781313</c:v>
                  </c:pt>
                  <c:pt idx="10">
                    <c:v>5.6846048567374998</c:v>
                  </c:pt>
                  <c:pt idx="11">
                    <c:v>6.5616929867817504</c:v>
                  </c:pt>
                  <c:pt idx="12">
                    <c:v>7.287474183918758</c:v>
                  </c:pt>
                  <c:pt idx="13">
                    <c:v>5.9710693538720854</c:v>
                  </c:pt>
                  <c:pt idx="14">
                    <c:v>6.3381234186324633</c:v>
                  </c:pt>
                  <c:pt idx="15">
                    <c:v>6.4950192283455701</c:v>
                  </c:pt>
                  <c:pt idx="16">
                    <c:v>6.4970420140776364</c:v>
                  </c:pt>
                  <c:pt idx="17">
                    <c:v>7.0457753403354593</c:v>
                  </c:pt>
                  <c:pt idx="18">
                    <c:v>7.5803957071277175</c:v>
                  </c:pt>
                  <c:pt idx="19">
                    <c:v>7.1882792842095427</c:v>
                  </c:pt>
                  <c:pt idx="20">
                    <c:v>7.297291750311274</c:v>
                  </c:pt>
                  <c:pt idx="21" formatCode="0.00">
                    <c:v>7.1770409430369702</c:v>
                  </c:pt>
                </c:numCache>
              </c:numRef>
            </c:plus>
            <c:minus>
              <c:numRef>
                <c:f>'(HOM) Food intake'!$W$89:$W$110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1.0078033827145476</c:v>
                  </c:pt>
                  <c:pt idx="2">
                    <c:v>1.9566699221515478</c:v>
                  </c:pt>
                  <c:pt idx="3">
                    <c:v>2.721074502665374</c:v>
                  </c:pt>
                  <c:pt idx="4">
                    <c:v>3.6333940422042765</c:v>
                  </c:pt>
                  <c:pt idx="5">
                    <c:v>3.6967314276143939</c:v>
                  </c:pt>
                  <c:pt idx="6">
                    <c:v>4.2566337725399128</c:v>
                  </c:pt>
                  <c:pt idx="7">
                    <c:v>4.235182259396379</c:v>
                  </c:pt>
                  <c:pt idx="8">
                    <c:v>4.7056852359209582</c:v>
                  </c:pt>
                  <c:pt idx="9">
                    <c:v>5.3679183498781313</c:v>
                  </c:pt>
                  <c:pt idx="10">
                    <c:v>5.6846048567374998</c:v>
                  </c:pt>
                  <c:pt idx="11">
                    <c:v>6.5616929867817504</c:v>
                  </c:pt>
                  <c:pt idx="12">
                    <c:v>7.287474183918758</c:v>
                  </c:pt>
                  <c:pt idx="13">
                    <c:v>5.9710693538720854</c:v>
                  </c:pt>
                  <c:pt idx="14">
                    <c:v>6.3381234186324633</c:v>
                  </c:pt>
                  <c:pt idx="15">
                    <c:v>6.4950192283455701</c:v>
                  </c:pt>
                  <c:pt idx="16">
                    <c:v>6.4970420140776364</c:v>
                  </c:pt>
                  <c:pt idx="17">
                    <c:v>7.0457753403354593</c:v>
                  </c:pt>
                  <c:pt idx="18">
                    <c:v>7.5803957071277175</c:v>
                  </c:pt>
                  <c:pt idx="19">
                    <c:v>7.1882792842095427</c:v>
                  </c:pt>
                  <c:pt idx="20">
                    <c:v>7.297291750311274</c:v>
                  </c:pt>
                  <c:pt idx="21" formatCode="0.00">
                    <c:v>7.1770409430369702</c:v>
                  </c:pt>
                </c:numCache>
              </c:numRef>
            </c:minus>
          </c:errBars>
          <c:xVal>
            <c:numRef>
              <c:f>'(HOM) Food intake'!$Q$89:$Q$110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Food intake'!$V$92:$V$113</c:f>
              <c:numCache>
                <c:formatCode>General</c:formatCode>
                <c:ptCount val="22"/>
                <c:pt idx="0">
                  <c:v>0</c:v>
                </c:pt>
                <c:pt idx="1">
                  <c:v>8.8837087663934931</c:v>
                </c:pt>
                <c:pt idx="2">
                  <c:v>21.298180556565889</c:v>
                </c:pt>
                <c:pt idx="3">
                  <c:v>34.580574788876973</c:v>
                </c:pt>
                <c:pt idx="4">
                  <c:v>48.558215794210163</c:v>
                </c:pt>
                <c:pt idx="5">
                  <c:v>63.944526731810392</c:v>
                </c:pt>
                <c:pt idx="6">
                  <c:v>78.830987048283575</c:v>
                </c:pt>
                <c:pt idx="7">
                  <c:v>92.131557666817486</c:v>
                </c:pt>
                <c:pt idx="8">
                  <c:v>106.91350376250956</c:v>
                </c:pt>
                <c:pt idx="9" formatCode="0.00">
                  <c:v>121.47278912697236</c:v>
                </c:pt>
                <c:pt idx="10" formatCode="0.00">
                  <c:v>135.37772458741435</c:v>
                </c:pt>
                <c:pt idx="11" formatCode="0.00">
                  <c:v>148.5147077299431</c:v>
                </c:pt>
                <c:pt idx="12" formatCode="0.00">
                  <c:v>162.23333523160136</c:v>
                </c:pt>
                <c:pt idx="13" formatCode="0.00">
                  <c:v>178.49433440309633</c:v>
                </c:pt>
                <c:pt idx="14" formatCode="0.00">
                  <c:v>190.27490472374862</c:v>
                </c:pt>
                <c:pt idx="15" formatCode="0.00">
                  <c:v>203.85266523218013</c:v>
                </c:pt>
                <c:pt idx="16" formatCode="0.00">
                  <c:v>219.1708147214448</c:v>
                </c:pt>
                <c:pt idx="17" formatCode="0.00">
                  <c:v>232.9121627058816</c:v>
                </c:pt>
                <c:pt idx="18" formatCode="0.00">
                  <c:v>246.17638055196997</c:v>
                </c:pt>
                <c:pt idx="19" formatCode="0.00">
                  <c:v>258.84986584581725</c:v>
                </c:pt>
                <c:pt idx="20">
                  <c:v>271.94595211934472</c:v>
                </c:pt>
                <c:pt idx="21">
                  <c:v>285.75091745556131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D43-AC67-FBE63425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04239"/>
        <c:axId val="1"/>
      </c:scatterChart>
      <c:valAx>
        <c:axId val="1866004239"/>
        <c:scaling>
          <c:orientation val="minMax"/>
          <c:max val="2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4202985109665649"/>
              <c:y val="0.92906636376050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crossBetween val="midCat"/>
        <c:majorUnit val="3"/>
        <c:minorUnit val="1"/>
      </c:valAx>
      <c:valAx>
        <c:axId val="1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Cumulative C/I (kcal)</a:t>
                </a:r>
              </a:p>
            </c:rich>
          </c:tx>
          <c:layout>
            <c:manualLayout>
              <c:xMode val="edge"/>
              <c:yMode val="edge"/>
              <c:x val="3.7593984962406013E-3"/>
              <c:y val="0.23705765764057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66004239"/>
        <c:crosses val="autoZero"/>
        <c:crossBetween val="midCat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689605265424972"/>
          <c:y val="0.19156739654118576"/>
          <c:w val="0.2807106348548537"/>
          <c:h val="0.185007586380469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AUCT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4C7-4CF0-8E5F-60D5F3F84FC4}"/>
            </c:ext>
          </c:extLst>
        </c:ser>
        <c:ser>
          <c:idx val="1"/>
          <c:order val="1"/>
          <c:tx>
            <c:v>AUCT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4C7-4CF0-8E5F-60D5F3F84FC4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4C7-4CF0-8E5F-60D5F3F84FC4}"/>
            </c:ext>
          </c:extLst>
        </c:ser>
        <c:ser>
          <c:idx val="3"/>
          <c:order val="3"/>
          <c:tx>
            <c:v>AUCD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4C7-4CF0-8E5F-60D5F3F84FC4}"/>
            </c:ext>
          </c:extLst>
        </c:ser>
        <c:ser>
          <c:idx val="4"/>
          <c:order val="4"/>
          <c:tx>
            <c:v>AUCD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4C7-4CF0-8E5F-60D5F3F84FC4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4C7-4CF0-8E5F-60D5F3F84FC4}"/>
            </c:ext>
          </c:extLst>
        </c:ser>
        <c:ser>
          <c:idx val="6"/>
          <c:order val="6"/>
          <c:tx>
            <c:v>AUCN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24C7-4CF0-8E5F-60D5F3F84FC4}"/>
            </c:ext>
          </c:extLst>
        </c:ser>
        <c:ser>
          <c:idx val="7"/>
          <c:order val="7"/>
          <c:tx>
            <c:v>AUCN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24C7-4CF0-8E5F-60D5F3F8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6399"/>
        <c:axId val="1"/>
      </c:barChart>
      <c:catAx>
        <c:axId val="201105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05639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OC5T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Summary'!$BC$15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'(WT) Data Summary'!$BC$14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3DE-9595-3F749C741934}"/>
            </c:ext>
          </c:extLst>
        </c:ser>
        <c:ser>
          <c:idx val="1"/>
          <c:order val="1"/>
          <c:tx>
            <c:v>OC5T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D5B-43DE-9595-3F749C741934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D5B-43DE-9595-3F749C741934}"/>
            </c:ext>
          </c:extLst>
        </c:ser>
        <c:ser>
          <c:idx val="3"/>
          <c:order val="3"/>
          <c:tx>
            <c:v>OC5D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D5B-43DE-9595-3F749C741934}"/>
            </c:ext>
          </c:extLst>
        </c:ser>
        <c:ser>
          <c:idx val="4"/>
          <c:order val="4"/>
          <c:tx>
            <c:v>OC5D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D5B-43DE-9595-3F749C741934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D5B-43DE-9595-3F749C741934}"/>
            </c:ext>
          </c:extLst>
        </c:ser>
        <c:ser>
          <c:idx val="6"/>
          <c:order val="6"/>
          <c:tx>
            <c:v>OC5N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7D5B-43DE-9595-3F749C741934}"/>
            </c:ext>
          </c:extLst>
        </c:ser>
        <c:ser>
          <c:idx val="7"/>
          <c:order val="7"/>
          <c:tx>
            <c:v>OC5N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7D5B-43DE-9595-3F749C74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10655"/>
        <c:axId val="1"/>
      </c:barChart>
      <c:catAx>
        <c:axId val="201111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Baseline (OC</a:t>
                </a:r>
                <a:r>
                  <a:rPr lang="en-US" sz="300" b="1" i="0" u="none" strike="noStrike" baseline="-2500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5</a:t>
                </a:r>
                <a:r>
                  <a:rPr lang="en-US" sz="325" b="1" i="0" u="none" strike="noStrike" baseline="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) (ng/ml)</a:t>
                </a:r>
                <a:endParaRPr lang="en-US" sz="325" b="1" i="0" u="none" strike="noStrike" baseline="0">
                  <a:solidFill>
                    <a:srgbClr val="000000"/>
                  </a:solidFill>
                  <a:latin typeface="Helv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11065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038-472D-B2E8-BFB9DDEBFF26}"/>
            </c:ext>
          </c:extLst>
        </c:ser>
        <c:ser>
          <c:idx val="1"/>
          <c:order val="1"/>
          <c:tx>
            <c:v>PeakT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038-472D-B2E8-BFB9DDEBFF26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038-472D-B2E8-BFB9DDEBFF26}"/>
            </c:ext>
          </c:extLst>
        </c:ser>
        <c:ser>
          <c:idx val="3"/>
          <c:order val="3"/>
          <c:tx>
            <c:v>PeakD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038-472D-B2E8-BFB9DDEBFF26}"/>
            </c:ext>
          </c:extLst>
        </c:ser>
        <c:ser>
          <c:idx val="4"/>
          <c:order val="4"/>
          <c:tx>
            <c:v>PeakD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038-472D-B2E8-BFB9DDEBFF26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038-472D-B2E8-BFB9DDEBFF26}"/>
            </c:ext>
          </c:extLst>
        </c:ser>
        <c:ser>
          <c:idx val="6"/>
          <c:order val="6"/>
          <c:tx>
            <c:v>PeakN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038-472D-B2E8-BFB9DDEBFF26}"/>
            </c:ext>
          </c:extLst>
        </c:ser>
        <c:ser>
          <c:idx val="7"/>
          <c:order val="7"/>
          <c:tx>
            <c:v>PeakN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038-472D-B2E8-BFB9DDEB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73471"/>
        <c:axId val="1"/>
      </c:barChart>
      <c:catAx>
        <c:axId val="191947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4734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E  Tibial EPW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Summary'!$P$15</c:f>
                <c:numCache>
                  <c:formatCode>General</c:formatCode>
                  <c:ptCount val="1"/>
                  <c:pt idx="0">
                    <c:v>6.075240662487618E-2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'(WT) Data Summary'!$P$14</c:f>
              <c:numCache>
                <c:formatCode>General</c:formatCode>
                <c:ptCount val="1"/>
                <c:pt idx="0">
                  <c:v>17.106375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205-9E9D-0E1D085A221C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50D-4205-9E9D-0E1D085A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5999"/>
        <c:axId val="1"/>
      </c:barChart>
      <c:catAx>
        <c:axId val="19198859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30"/>
          <c:min val="43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Tibial epiphyseal plate width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8599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F  Pituitary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750-47FB-A0FC-C0F77118A945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750-47FB-A0FC-C0F77118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12159"/>
        <c:axId val="1"/>
      </c:barChart>
      <c:catAx>
        <c:axId val="191991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912159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G  Liver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Summary'!$Y$15</c:f>
                <c:numCache>
                  <c:formatCode>General</c:formatCode>
                  <c:ptCount val="1"/>
                  <c:pt idx="0">
                    <c:v>4.6666237986977124E-2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'(WT) Data Summary'!$Y$14</c:f>
              <c:numCache>
                <c:formatCode>General</c:formatCode>
                <c:ptCount val="1"/>
                <c:pt idx="0">
                  <c:v>1.1161249999999998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C-43DF-9944-0BD2B8C9DA6F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2B9C-43DF-9944-0BD2B8C9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34319"/>
        <c:axId val="1"/>
      </c:barChart>
      <c:catAx>
        <c:axId val="191983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liver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34319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H  Kidney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Summary'!$AA$15</c:f>
                <c:numCache>
                  <c:formatCode>General</c:formatCode>
                  <c:ptCount val="1"/>
                  <c:pt idx="0">
                    <c:v>4.9241183946251458E-3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'(WT) Data Summary'!$AA$14</c:f>
              <c:numCache>
                <c:formatCode>General</c:formatCode>
                <c:ptCount val="1"/>
                <c:pt idx="0">
                  <c:v>0.14478750000000001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7-4755-A1D4-4322FCE9359D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C97-4755-A1D4-4322FCE9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00223"/>
        <c:axId val="1"/>
      </c:barChart>
      <c:catAx>
        <c:axId val="191970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kidney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00223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B  Weight gain</a:t>
            </a:r>
          </a:p>
        </c:rich>
      </c:tx>
      <c:layout>
        <c:manualLayout>
          <c:xMode val="edge"/>
          <c:yMode val="edge"/>
          <c:x val="9.3984962406015032E-3"/>
          <c:y val="3.9583333333333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74649113281"/>
          <c:y val="0.17778333139696076"/>
          <c:w val="0.7619287717167329"/>
          <c:h val="0.6416867117609053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plus>
            <c:min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Chart'!$H$59:$H$80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0.16624999999999979</c:v>
                </c:pt>
                <c:pt idx="2">
                  <c:v>0.57750000000000057</c:v>
                </c:pt>
                <c:pt idx="3">
                  <c:v>0.63625000000000043</c:v>
                </c:pt>
                <c:pt idx="4">
                  <c:v>0.82625000000000082</c:v>
                </c:pt>
                <c:pt idx="5">
                  <c:v>0.91124999999999989</c:v>
                </c:pt>
                <c:pt idx="6">
                  <c:v>1.1499999999999999</c:v>
                </c:pt>
                <c:pt idx="7">
                  <c:v>1.5274999999999999</c:v>
                </c:pt>
                <c:pt idx="8">
                  <c:v>1.8025000000000002</c:v>
                </c:pt>
                <c:pt idx="9">
                  <c:v>2.1325000000000007</c:v>
                </c:pt>
                <c:pt idx="10">
                  <c:v>2.3687499999999999</c:v>
                </c:pt>
                <c:pt idx="11">
                  <c:v>2.38625</c:v>
                </c:pt>
                <c:pt idx="12">
                  <c:v>2.7137499999999997</c:v>
                </c:pt>
                <c:pt idx="13">
                  <c:v>2.7562500000000005</c:v>
                </c:pt>
                <c:pt idx="14">
                  <c:v>2.7800000000000007</c:v>
                </c:pt>
                <c:pt idx="15">
                  <c:v>3.0212500000000002</c:v>
                </c:pt>
                <c:pt idx="16">
                  <c:v>3.2087500000000002</c:v>
                </c:pt>
                <c:pt idx="17">
                  <c:v>3.1462499999999998</c:v>
                </c:pt>
                <c:pt idx="18">
                  <c:v>3.3675000000000002</c:v>
                </c:pt>
                <c:pt idx="19">
                  <c:v>3.5375000000000005</c:v>
                </c:pt>
                <c:pt idx="20">
                  <c:v>3.7312499999999997</c:v>
                </c:pt>
                <c:pt idx="21">
                  <c:v>3.6300000000000012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A-41D7-9426-FB4A55C69EDC}"/>
            </c:ext>
          </c:extLst>
        </c:ser>
        <c:ser>
          <c:idx val="3"/>
          <c:order val="1"/>
          <c:tx>
            <c:strRef>
              <c:f>'(WT) Growth Chart'!$D$58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FA-41D7-9426-FB4A55C69ED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plus>
            <c:min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Chart'!$J$59:$J$80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-0.15500000000000025</c:v>
                </c:pt>
                <c:pt idx="2">
                  <c:v>0.49250000000000016</c:v>
                </c:pt>
                <c:pt idx="3">
                  <c:v>0.61624999999999996</c:v>
                </c:pt>
                <c:pt idx="4">
                  <c:v>0.81749999999999901</c:v>
                </c:pt>
                <c:pt idx="5">
                  <c:v>0.97000000000000064</c:v>
                </c:pt>
                <c:pt idx="6">
                  <c:v>1.1912500000000006</c:v>
                </c:pt>
                <c:pt idx="7">
                  <c:v>1.4387500000000002</c:v>
                </c:pt>
                <c:pt idx="8">
                  <c:v>1.4275000000000002</c:v>
                </c:pt>
                <c:pt idx="9">
                  <c:v>1.6612500000000003</c:v>
                </c:pt>
                <c:pt idx="10">
                  <c:v>1.7774999999999994</c:v>
                </c:pt>
                <c:pt idx="11">
                  <c:v>1.9312499999999999</c:v>
                </c:pt>
                <c:pt idx="12">
                  <c:v>2.0850000000000004</c:v>
                </c:pt>
                <c:pt idx="13">
                  <c:v>2.1650000000000005</c:v>
                </c:pt>
                <c:pt idx="14">
                  <c:v>2.2862499999999999</c:v>
                </c:pt>
                <c:pt idx="15">
                  <c:v>2.4625000000000008</c:v>
                </c:pt>
                <c:pt idx="16">
                  <c:v>2.6525000000000003</c:v>
                </c:pt>
                <c:pt idx="17">
                  <c:v>2.7512500000000006</c:v>
                </c:pt>
                <c:pt idx="18">
                  <c:v>2.9062500000000004</c:v>
                </c:pt>
                <c:pt idx="19">
                  <c:v>2.9887499999999996</c:v>
                </c:pt>
                <c:pt idx="20">
                  <c:v>3.1937499999999996</c:v>
                </c:pt>
                <c:pt idx="21">
                  <c:v>3.4537499999999999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A-41D7-9426-FB4A55C69EDC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plus>
            <c:min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Chart'!$L$59:$L$80</c:f>
              <c:numCache>
                <c:formatCode>General</c:formatCode>
                <c:ptCount val="22"/>
                <c:pt idx="0">
                  <c:v>6.6613381477509392E-16</c:v>
                </c:pt>
                <c:pt idx="1">
                  <c:v>-1.2474999999999994</c:v>
                </c:pt>
                <c:pt idx="2">
                  <c:v>-0.70124999999999948</c:v>
                </c:pt>
                <c:pt idx="3">
                  <c:v>-0.20499999999999985</c:v>
                </c:pt>
                <c:pt idx="4">
                  <c:v>0.11375000000000046</c:v>
                </c:pt>
                <c:pt idx="5">
                  <c:v>0.47874999999999979</c:v>
                </c:pt>
                <c:pt idx="6">
                  <c:v>1.0562500000000001</c:v>
                </c:pt>
                <c:pt idx="7">
                  <c:v>1.4075000000000006</c:v>
                </c:pt>
                <c:pt idx="8">
                  <c:v>1.6212500000000005</c:v>
                </c:pt>
                <c:pt idx="9">
                  <c:v>1.7550000000000006</c:v>
                </c:pt>
                <c:pt idx="10">
                  <c:v>2.0087500000000009</c:v>
                </c:pt>
                <c:pt idx="11">
                  <c:v>2.0687500000000005</c:v>
                </c:pt>
                <c:pt idx="12">
                  <c:v>2.2774999999999999</c:v>
                </c:pt>
                <c:pt idx="13">
                  <c:v>2.1750000000000007</c:v>
                </c:pt>
                <c:pt idx="14">
                  <c:v>2.4487500000000004</c:v>
                </c:pt>
                <c:pt idx="15">
                  <c:v>2.6450000000000005</c:v>
                </c:pt>
                <c:pt idx="16">
                  <c:v>3.0312500000000004</c:v>
                </c:pt>
                <c:pt idx="17">
                  <c:v>2.9837500000000001</c:v>
                </c:pt>
                <c:pt idx="18">
                  <c:v>3.0662499999999997</c:v>
                </c:pt>
                <c:pt idx="19">
                  <c:v>3.0987499999999999</c:v>
                </c:pt>
                <c:pt idx="20">
                  <c:v>3.2300000000000004</c:v>
                </c:pt>
                <c:pt idx="21">
                  <c:v>3.5462500000000006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A-41D7-9426-FB4A55C6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0980344562192883"/>
              <c:y val="0.87837839020122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</c:valAx>
      <c:valAx>
        <c:axId val="1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1764647840072622E-2"/>
              <c:y val="0.2398648293963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555791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546800071043751"/>
          <c:y val="0.17778324584426947"/>
          <c:w val="0.23058374282162097"/>
          <c:h val="0.155560367454068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I  Inguinal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Summary'!$AJ$15</c:f>
                <c:numCache>
                  <c:formatCode>General</c:formatCode>
                  <c:ptCount val="1"/>
                  <c:pt idx="0">
                    <c:v>4.330701753592737E-3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'(WT) Data Summary'!$AJ$14</c:f>
              <c:numCache>
                <c:formatCode>General</c:formatCode>
                <c:ptCount val="1"/>
                <c:pt idx="0">
                  <c:v>7.8362500000000002E-2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F-44AA-B780-3E9067377CA8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46F-44AA-B780-3E906737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1135"/>
        <c:axId val="1"/>
      </c:barChart>
      <c:catAx>
        <c:axId val="191973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ing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31135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J  Epididymal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Summary'!$AM$15</c:f>
                <c:numCache>
                  <c:formatCode>General</c:formatCode>
                  <c:ptCount val="1"/>
                  <c:pt idx="0">
                    <c:v>8.8265313827119891E-3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'(WT) Data Summary'!$AM$14</c:f>
              <c:numCache>
                <c:formatCode>General</c:formatCode>
                <c:ptCount val="1"/>
                <c:pt idx="0">
                  <c:v>0.1138125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F99-9709-3734116DC3C1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519-4F99-9709-3734116D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62159"/>
        <c:axId val="1"/>
      </c:barChart>
      <c:catAx>
        <c:axId val="191976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epidid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62159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Body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28631747118561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Summary'!$N$15</c:f>
                <c:numCache>
                  <c:formatCode>General</c:formatCode>
                  <c:ptCount val="1"/>
                  <c:pt idx="0">
                    <c:v>8.6602540378443893E-2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Summary'!$N$14</c:f>
              <c:numCache>
                <c:formatCode>General</c:formatCode>
                <c:ptCount val="1"/>
                <c:pt idx="0">
                  <c:v>9.0499999999999989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2-4E0B-8481-72683DBFDFB8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Summary'!$N$27</c:f>
                <c:numCache>
                  <c:formatCode>General</c:formatCode>
                  <c:ptCount val="1"/>
                  <c:pt idx="0">
                    <c:v>7.5445107765277117E-2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Summary'!$N$26</c:f>
              <c:numCache>
                <c:formatCode>General</c:formatCode>
                <c:ptCount val="1"/>
                <c:pt idx="0">
                  <c:v>8.9625000000000004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2-4E0B-8481-72683DBFDFB8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Summary'!$N$40</c:f>
                <c:numCache>
                  <c:formatCode>General</c:formatCode>
                  <c:ptCount val="1"/>
                  <c:pt idx="0">
                    <c:v>0.10680004681646922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Summary'!$N$39</c:f>
              <c:numCache>
                <c:formatCode>General</c:formatCode>
                <c:ptCount val="1"/>
                <c:pt idx="0">
                  <c:v>8.7624999999999993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2-4E0B-8481-72683DBF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Nose-anus length (cm)</a:t>
                </a:r>
              </a:p>
            </c:rich>
          </c:tx>
          <c:layout>
            <c:manualLayout>
              <c:xMode val="edge"/>
              <c:yMode val="edge"/>
              <c:x val="3.832862355620182E-2"/>
              <c:y val="0.246113523192778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Tibial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853633530183729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Summary'!$P$15</c:f>
                <c:numCache>
                  <c:formatCode>General</c:formatCode>
                  <c:ptCount val="1"/>
                  <c:pt idx="0">
                    <c:v>6.075240662487618E-2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Summary'!$P$14</c:f>
              <c:numCache>
                <c:formatCode>General</c:formatCode>
                <c:ptCount val="1"/>
                <c:pt idx="0">
                  <c:v>17.106375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8-4D47-8992-4855B716299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Summary'!$P$27</c:f>
                <c:numCache>
                  <c:formatCode>General</c:formatCode>
                  <c:ptCount val="1"/>
                  <c:pt idx="0">
                    <c:v>9.0320807205680531E-2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Summary'!$P$26</c:f>
              <c:numCache>
                <c:formatCode>General</c:formatCode>
                <c:ptCount val="1"/>
                <c:pt idx="0">
                  <c:v>17.11675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8-4D47-8992-4855B7162999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Summary'!$P$40</c:f>
                <c:numCache>
                  <c:formatCode>General</c:formatCode>
                  <c:ptCount val="1"/>
                  <c:pt idx="0">
                    <c:v>0.17485089949317217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Summary'!$P$39</c:f>
              <c:numCache>
                <c:formatCode>General</c:formatCode>
                <c:ptCount val="1"/>
                <c:pt idx="0">
                  <c:v>16.931125000000002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8-4D47-8992-4855B716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"/>
          <c:min val="1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length (mm)</a:t>
                </a:r>
              </a:p>
            </c:rich>
          </c:tx>
          <c:layout>
            <c:manualLayout>
              <c:xMode val="edge"/>
              <c:yMode val="edge"/>
              <c:x val="1.7495488845144357E-2"/>
              <c:y val="0.3380254168596572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Growth Rate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541133530183729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Summary'!$Q$15</c:f>
                <c:numCache>
                  <c:formatCode>General</c:formatCode>
                  <c:ptCount val="1"/>
                  <c:pt idx="0">
                    <c:v>1.9557711645829847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Summary'!$Q$14</c:f>
              <c:numCache>
                <c:formatCode>General</c:formatCode>
                <c:ptCount val="1"/>
                <c:pt idx="0">
                  <c:v>82.241249999999994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214C-8931-32CFE20AD6CA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Summary'!$Q$27</c:f>
                <c:numCache>
                  <c:formatCode>General</c:formatCode>
                  <c:ptCount val="1"/>
                  <c:pt idx="0">
                    <c:v>1.3502631191998942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Summary'!$Q$26</c:f>
              <c:numCache>
                <c:formatCode>General</c:formatCode>
                <c:ptCount val="1"/>
                <c:pt idx="0">
                  <c:v>79.576249999999987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214C-8931-32CFE20AD6CA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Summary'!$Q$40</c:f>
                <c:numCache>
                  <c:formatCode>General</c:formatCode>
                  <c:ptCount val="1"/>
                  <c:pt idx="0">
                    <c:v>3.2305444794846228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Summary'!$Q$39</c:f>
              <c:numCache>
                <c:formatCode>General</c:formatCode>
                <c:ptCount val="1"/>
                <c:pt idx="0">
                  <c:v>93.433750000000003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D-214C-8931-32CFE20A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epiphyseal plate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width 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Germinal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541133530183729"/>
          <c:y val="0.20764358499305238"/>
          <c:w val="0.54484153716618788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Summary'!$R$15</c:f>
                <c:numCache>
                  <c:formatCode>General</c:formatCode>
                  <c:ptCount val="1"/>
                  <c:pt idx="0">
                    <c:v>0.75188572459991443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Summary'!$R$14</c:f>
              <c:numCache>
                <c:formatCode>General</c:formatCode>
                <c:ptCount val="1"/>
                <c:pt idx="0">
                  <c:v>11.495000000000001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D84E-BF63-108EB40D654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Summary'!$R$27</c:f>
                <c:numCache>
                  <c:formatCode>General</c:formatCode>
                  <c:ptCount val="1"/>
                  <c:pt idx="0">
                    <c:v>0.67383215772602678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Summary'!$R$26</c:f>
              <c:numCache>
                <c:formatCode>General</c:formatCode>
                <c:ptCount val="1"/>
                <c:pt idx="0">
                  <c:v>10.046250000000001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D84E-BF63-108EB40D6546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Summary'!$R$40</c:f>
                <c:numCache>
                  <c:formatCode>General</c:formatCode>
                  <c:ptCount val="1"/>
                  <c:pt idx="0">
                    <c:v>0.60667418885970026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Summary'!$R$39</c:f>
              <c:numCache>
                <c:formatCode>General</c:formatCode>
                <c:ptCount val="1"/>
                <c:pt idx="0">
                  <c:v>10.764999999999999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9-D84E-BF63-108EB40D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Germinal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G  Proliferative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0078049454344"/>
          <c:y val="0.20764358499305238"/>
          <c:w val="0.487716203895565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Summary'!$S$15</c:f>
                <c:numCache>
                  <c:formatCode>General</c:formatCode>
                  <c:ptCount val="1"/>
                  <c:pt idx="0">
                    <c:v>1.5864459380280527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Summary'!$S$14</c:f>
              <c:numCache>
                <c:formatCode>General</c:formatCode>
                <c:ptCount val="1"/>
                <c:pt idx="0">
                  <c:v>40.049999999999997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F34D-A337-4B595483C39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Summary'!$S$27</c:f>
                <c:numCache>
                  <c:formatCode>General</c:formatCode>
                  <c:ptCount val="1"/>
                  <c:pt idx="0">
                    <c:v>1.4084959049588015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Summary'!$S$26</c:f>
              <c:numCache>
                <c:formatCode>General</c:formatCode>
                <c:ptCount val="1"/>
                <c:pt idx="0">
                  <c:v>39.565000000000005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7-F34D-A337-4B595483C39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Summary'!$T$40</c:f>
                <c:numCache>
                  <c:formatCode>General</c:formatCode>
                  <c:ptCount val="1"/>
                  <c:pt idx="0">
                    <c:v>2.3896643144413003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Summary'!$S$39</c:f>
              <c:numCache>
                <c:formatCode>General</c:formatCode>
                <c:ptCount val="1"/>
                <c:pt idx="0">
                  <c:v>45.66375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7-F34D-A337-4B595483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Proliferative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42437181565539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H  Hypertrophic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43151550500635"/>
          <c:y val="0.20764358499305238"/>
          <c:w val="0.49268915459641621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Summary'!$T$15</c:f>
                <c:numCache>
                  <c:formatCode>General</c:formatCode>
                  <c:ptCount val="1"/>
                  <c:pt idx="0">
                    <c:v>1.8898756927185878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Summary'!$T$14</c:f>
              <c:numCache>
                <c:formatCode>General</c:formatCode>
                <c:ptCount val="1"/>
                <c:pt idx="0">
                  <c:v>31.168750000000003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A-7D4E-AB3B-FD241D60A54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Summary'!$T$27</c:f>
                <c:numCache>
                  <c:formatCode>General</c:formatCode>
                  <c:ptCount val="1"/>
                  <c:pt idx="0">
                    <c:v>1.6201421895271082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Summary'!$T$26</c:f>
              <c:numCache>
                <c:formatCode>General</c:formatCode>
                <c:ptCount val="1"/>
                <c:pt idx="0">
                  <c:v>30.720000000000002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A-7D4E-AB3B-FD241D60A54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Summary'!$T$40</c:f>
                <c:numCache>
                  <c:formatCode>General</c:formatCode>
                  <c:ptCount val="1"/>
                  <c:pt idx="0">
                    <c:v>2.3896643144413003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Summary'!$T$39</c:f>
              <c:numCache>
                <c:formatCode>General</c:formatCode>
                <c:ptCount val="1"/>
                <c:pt idx="0">
                  <c:v>37.437500000000007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A-7D4E-AB3B-FD241D60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Hypertrophic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42437181565539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IGF-1</a:t>
            </a:r>
          </a:p>
        </c:rich>
      </c:tx>
      <c:layout>
        <c:manualLayout>
          <c:xMode val="edge"/>
          <c:yMode val="edge"/>
          <c:x val="5.9161745406824146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93696686351706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'(WT) Data Summary'!$U$14</c:f>
              <c:numCache>
                <c:formatCode>General</c:formatCode>
                <c:ptCount val="1"/>
                <c:pt idx="0">
                  <c:v>2600.4983488086027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A-584E-BAFA-D3B1FD6B2865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'(WT) Data Summary'!$U$26</c:f>
              <c:numCache>
                <c:formatCode>General</c:formatCode>
                <c:ptCount val="1"/>
                <c:pt idx="0">
                  <c:v>2702.6040079746513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A-584E-BAFA-D3B1FD6B286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'(WT) Data Summary'!$U$39</c:f>
              <c:numCache>
                <c:formatCode>General</c:formatCode>
                <c:ptCount val="1"/>
                <c:pt idx="0">
                  <c:v>3082.330509335914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A-584E-BAFA-D3B1FD6B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Plasma [IGF-1] (ng/ml)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Pituitary Weight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8398950131234"/>
          <c:y val="0.20764358499305238"/>
          <c:w val="0.56057330333708288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Summary'!$W$15</c:f>
                <c:numCache>
                  <c:formatCode>General</c:formatCode>
                  <c:ptCount val="1"/>
                  <c:pt idx="0">
                    <c:v>0.11895234282663579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Summary'!$W$14</c:f>
              <c:numCache>
                <c:formatCode>General</c:formatCode>
                <c:ptCount val="1"/>
                <c:pt idx="0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BB43-8160-1DABCAE945AC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Summary'!$W$27</c:f>
                <c:numCache>
                  <c:formatCode>General</c:formatCode>
                  <c:ptCount val="1"/>
                  <c:pt idx="0">
                    <c:v>5.9761430466719577E-2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Summary'!$W$26</c:f>
              <c:numCache>
                <c:formatCode>General</c:formatCode>
                <c:ptCount val="1"/>
                <c:pt idx="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0-BB43-8160-1DABCAE945AC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Summary'!$W$40</c:f>
                <c:numCache>
                  <c:formatCode>General</c:formatCode>
                  <c:ptCount val="1"/>
                  <c:pt idx="0">
                    <c:v>0.11140338543201589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Summary'!$W$39</c:f>
              <c:numCache>
                <c:formatCode>General</c:formatCode>
                <c:ptCount val="1"/>
                <c:pt idx="0">
                  <c:v>1.175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0-BB43-8160-1DABCAE9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Pituitary weight (mg)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 sz="1800"/>
              <a:t>K  Weight Gain (WT)</a:t>
            </a:r>
          </a:p>
        </c:rich>
      </c:tx>
      <c:layout>
        <c:manualLayout>
          <c:xMode val="edge"/>
          <c:yMode val="edge"/>
          <c:x val="2.1303184141456002E-2"/>
          <c:y val="3.5947298103982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9058336779986"/>
          <c:y val="0.15947042269535802"/>
          <c:w val="0.82844954413593042"/>
          <c:h val="0.62565024588532936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plus>
            <c:min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minus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Chart'!$H$59:$H$80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0.16624999999999979</c:v>
                </c:pt>
                <c:pt idx="2">
                  <c:v>0.57750000000000057</c:v>
                </c:pt>
                <c:pt idx="3">
                  <c:v>0.63625000000000043</c:v>
                </c:pt>
                <c:pt idx="4">
                  <c:v>0.82625000000000082</c:v>
                </c:pt>
                <c:pt idx="5">
                  <c:v>0.91124999999999989</c:v>
                </c:pt>
                <c:pt idx="6">
                  <c:v>1.1499999999999999</c:v>
                </c:pt>
                <c:pt idx="7">
                  <c:v>1.5274999999999999</c:v>
                </c:pt>
                <c:pt idx="8">
                  <c:v>1.8025000000000002</c:v>
                </c:pt>
                <c:pt idx="9">
                  <c:v>2.1325000000000007</c:v>
                </c:pt>
                <c:pt idx="10">
                  <c:v>2.3687499999999999</c:v>
                </c:pt>
                <c:pt idx="11">
                  <c:v>2.38625</c:v>
                </c:pt>
                <c:pt idx="12">
                  <c:v>2.7137499999999997</c:v>
                </c:pt>
                <c:pt idx="13">
                  <c:v>2.7562500000000005</c:v>
                </c:pt>
                <c:pt idx="14">
                  <c:v>2.7800000000000007</c:v>
                </c:pt>
                <c:pt idx="15">
                  <c:v>3.0212500000000002</c:v>
                </c:pt>
                <c:pt idx="16">
                  <c:v>3.2087500000000002</c:v>
                </c:pt>
                <c:pt idx="17">
                  <c:v>3.1462499999999998</c:v>
                </c:pt>
                <c:pt idx="18">
                  <c:v>3.3675000000000002</c:v>
                </c:pt>
                <c:pt idx="19">
                  <c:v>3.5375000000000005</c:v>
                </c:pt>
                <c:pt idx="20">
                  <c:v>3.7312499999999997</c:v>
                </c:pt>
                <c:pt idx="21">
                  <c:v>3.6300000000000012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234A-A9F9-EFC6747D24B0}"/>
            </c:ext>
          </c:extLst>
        </c:ser>
        <c:ser>
          <c:idx val="3"/>
          <c:order val="1"/>
          <c:tx>
            <c:strRef>
              <c:f>'(WT) Growth Chart'!$D$58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marker>
              <c:spPr>
                <a:solidFill>
                  <a:schemeClr val="bg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29E-234A-A9F9-EFC6747D24B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plus>
            <c:min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minus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Chart'!$J$59:$J$80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-0.15500000000000025</c:v>
                </c:pt>
                <c:pt idx="2">
                  <c:v>0.49250000000000016</c:v>
                </c:pt>
                <c:pt idx="3">
                  <c:v>0.61624999999999996</c:v>
                </c:pt>
                <c:pt idx="4">
                  <c:v>0.81749999999999901</c:v>
                </c:pt>
                <c:pt idx="5">
                  <c:v>0.97000000000000064</c:v>
                </c:pt>
                <c:pt idx="6">
                  <c:v>1.1912500000000006</c:v>
                </c:pt>
                <c:pt idx="7">
                  <c:v>1.4387500000000002</c:v>
                </c:pt>
                <c:pt idx="8">
                  <c:v>1.4275000000000002</c:v>
                </c:pt>
                <c:pt idx="9">
                  <c:v>1.6612500000000003</c:v>
                </c:pt>
                <c:pt idx="10">
                  <c:v>1.7774999999999994</c:v>
                </c:pt>
                <c:pt idx="11">
                  <c:v>1.9312499999999999</c:v>
                </c:pt>
                <c:pt idx="12">
                  <c:v>2.0850000000000004</c:v>
                </c:pt>
                <c:pt idx="13">
                  <c:v>2.1650000000000005</c:v>
                </c:pt>
                <c:pt idx="14">
                  <c:v>2.2862499999999999</c:v>
                </c:pt>
                <c:pt idx="15">
                  <c:v>2.4625000000000008</c:v>
                </c:pt>
                <c:pt idx="16">
                  <c:v>2.6525000000000003</c:v>
                </c:pt>
                <c:pt idx="17">
                  <c:v>2.7512500000000006</c:v>
                </c:pt>
                <c:pt idx="18">
                  <c:v>2.9062500000000004</c:v>
                </c:pt>
                <c:pt idx="19">
                  <c:v>2.9887499999999996</c:v>
                </c:pt>
                <c:pt idx="20">
                  <c:v>3.1937499999999996</c:v>
                </c:pt>
                <c:pt idx="21">
                  <c:v>3.4537499999999999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E-234A-A9F9-EFC6747D24B0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plus>
            <c:min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minus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Chart'!$L$59:$L$80</c:f>
              <c:numCache>
                <c:formatCode>General</c:formatCode>
                <c:ptCount val="22"/>
                <c:pt idx="0">
                  <c:v>6.6613381477509392E-16</c:v>
                </c:pt>
                <c:pt idx="1">
                  <c:v>-1.2474999999999994</c:v>
                </c:pt>
                <c:pt idx="2">
                  <c:v>-0.70124999999999948</c:v>
                </c:pt>
                <c:pt idx="3">
                  <c:v>-0.20499999999999985</c:v>
                </c:pt>
                <c:pt idx="4">
                  <c:v>0.11375000000000046</c:v>
                </c:pt>
                <c:pt idx="5">
                  <c:v>0.47874999999999979</c:v>
                </c:pt>
                <c:pt idx="6">
                  <c:v>1.0562500000000001</c:v>
                </c:pt>
                <c:pt idx="7">
                  <c:v>1.4075000000000006</c:v>
                </c:pt>
                <c:pt idx="8">
                  <c:v>1.6212500000000005</c:v>
                </c:pt>
                <c:pt idx="9">
                  <c:v>1.7550000000000006</c:v>
                </c:pt>
                <c:pt idx="10">
                  <c:v>2.0087500000000009</c:v>
                </c:pt>
                <c:pt idx="11">
                  <c:v>2.0687500000000005</c:v>
                </c:pt>
                <c:pt idx="12">
                  <c:v>2.2774999999999999</c:v>
                </c:pt>
                <c:pt idx="13">
                  <c:v>2.1750000000000007</c:v>
                </c:pt>
                <c:pt idx="14">
                  <c:v>2.4487500000000004</c:v>
                </c:pt>
                <c:pt idx="15">
                  <c:v>2.6450000000000005</c:v>
                </c:pt>
                <c:pt idx="16">
                  <c:v>3.0312500000000004</c:v>
                </c:pt>
                <c:pt idx="17">
                  <c:v>2.9837500000000001</c:v>
                </c:pt>
                <c:pt idx="18">
                  <c:v>3.0662499999999997</c:v>
                </c:pt>
                <c:pt idx="19">
                  <c:v>3.0987499999999999</c:v>
                </c:pt>
                <c:pt idx="20">
                  <c:v>3.2300000000000004</c:v>
                </c:pt>
                <c:pt idx="21">
                  <c:v>3.5462500000000006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9E-234A-A9F9-EFC6747D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(d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ays)</a:t>
                </a:r>
              </a:p>
            </c:rich>
          </c:tx>
          <c:layout>
            <c:manualLayout>
              <c:xMode val="edge"/>
              <c:yMode val="edge"/>
              <c:x val="0.44398086752313848"/>
              <c:y val="0.91464083686290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At val="-2"/>
        <c:crossBetween val="midCat"/>
        <c:majorUnit val="3"/>
      </c:valAx>
      <c:valAx>
        <c:axId val="1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8018545379196022E-2"/>
              <c:y val="0.23280167145171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32555791"/>
        <c:crossesAt val="0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622496201132752"/>
          <c:y val="0.17731430683077973"/>
          <c:w val="0.27669855572446855"/>
          <c:h val="0.173610961084738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K  Liver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49946686351706"/>
          <c:y val="0.20764358499305238"/>
          <c:w val="0.628132791994750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Summary'!$Z$15</c:f>
                <c:numCache>
                  <c:formatCode>General</c:formatCode>
                  <c:ptCount val="1"/>
                  <c:pt idx="0">
                    <c:v>0.15787087234645489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Summary'!$Z$14</c:f>
              <c:numCache>
                <c:formatCode>General</c:formatCode>
                <c:ptCount val="1"/>
                <c:pt idx="0">
                  <c:v>4.839578898342622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F-6843-AA5E-DB614E5D7D6D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Summary'!$Z$27</c:f>
                <c:numCache>
                  <c:formatCode>General</c:formatCode>
                  <c:ptCount val="1"/>
                  <c:pt idx="0">
                    <c:v>0.25286347443828072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Summary'!$Z$26</c:f>
              <c:numCache>
                <c:formatCode>General</c:formatCode>
                <c:ptCount val="1"/>
                <c:pt idx="0">
                  <c:v>4.8650815042100195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F-6843-AA5E-DB614E5D7D6D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Summary'!$Z$40</c:f>
                <c:numCache>
                  <c:formatCode>General</c:formatCode>
                  <c:ptCount val="1"/>
                  <c:pt idx="0">
                    <c:v>0.21488039826471514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Summary'!$Z$39</c:f>
              <c:numCache>
                <c:formatCode>General</c:formatCode>
                <c:ptCount val="1"/>
                <c:pt idx="0">
                  <c:v>5.0880375077537803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F-6843-AA5E-DB614E5D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Liver weight (%-BW)</a:t>
                </a:r>
              </a:p>
            </c:rich>
          </c:tx>
          <c:layout>
            <c:manualLayout>
              <c:xMode val="edge"/>
              <c:yMode val="edge"/>
              <c:x val="8.5203822178477703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L  Kidney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49946686351706"/>
          <c:y val="0.20764358499305238"/>
          <c:w val="0.628132791994750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Summary'!$AB$15</c:f>
                <c:numCache>
                  <c:formatCode>General</c:formatCode>
                  <c:ptCount val="1"/>
                  <c:pt idx="0">
                    <c:v>2.7989714702839699E-2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Summary'!$AB$14</c:f>
              <c:numCache>
                <c:formatCode>General</c:formatCode>
                <c:ptCount val="1"/>
                <c:pt idx="0">
                  <c:v>0.63097685018617178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2-C846-94F3-00632CD14B0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Summary'!$AB$27</c:f>
                <c:numCache>
                  <c:formatCode>General</c:formatCode>
                  <c:ptCount val="1"/>
                  <c:pt idx="0">
                    <c:v>2.6876229229108855E-2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Summary'!$AB$26</c:f>
              <c:numCache>
                <c:formatCode>General</c:formatCode>
                <c:ptCount val="1"/>
                <c:pt idx="0">
                  <c:v>0.62371027474229457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2-C846-94F3-00632CD14B0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Summary'!$AB$40</c:f>
                <c:numCache>
                  <c:formatCode>General</c:formatCode>
                  <c:ptCount val="1"/>
                  <c:pt idx="0">
                    <c:v>1.8587640217737511E-2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Summary'!$AB$39</c:f>
              <c:numCache>
                <c:formatCode>General</c:formatCode>
                <c:ptCount val="1"/>
                <c:pt idx="0">
                  <c:v>0.61416467883721892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2-C846-94F3-00632CD1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Kidney weight (%-BW)</a:t>
                </a:r>
              </a:p>
            </c:rich>
          </c:tx>
          <c:layout>
            <c:manualLayout>
              <c:xMode val="edge"/>
              <c:yMode val="edge"/>
              <c:x val="6.9578822178477703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M  Adrenal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83989501312334"/>
          <c:y val="0.20764358499305238"/>
          <c:w val="0.5798235003233291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Summary'!$AC$15</c:f>
                <c:numCache>
                  <c:formatCode>General</c:formatCode>
                  <c:ptCount val="1"/>
                  <c:pt idx="0">
                    <c:v>0.18992479714726232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Summary'!$AC$14</c:f>
              <c:numCache>
                <c:formatCode>General</c:formatCode>
                <c:ptCount val="1"/>
                <c:pt idx="0">
                  <c:v>2.8499999999999996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F54D-B6CB-762395B5C7D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Summary'!$AC$27</c:f>
                <c:numCache>
                  <c:formatCode>General</c:formatCode>
                  <c:ptCount val="1"/>
                  <c:pt idx="0">
                    <c:v>0.21297216451250814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Summary'!$AC$26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B-F54D-B6CB-762395B5C7D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Summary'!$AC$40</c:f>
                <c:numCache>
                  <c:formatCode>General</c:formatCode>
                  <c:ptCount val="1"/>
                  <c:pt idx="0">
                    <c:v>0.15555201243130468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Summary'!$AC$39</c:f>
              <c:numCache>
                <c:formatCode>General</c:formatCode>
                <c:ptCount val="1"/>
                <c:pt idx="0">
                  <c:v>2.6249999999999996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B-F54D-B6CB-762395B5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Adrenal weight (µg)</a:t>
                </a:r>
              </a:p>
            </c:rich>
          </c:tx>
          <c:layout>
            <c:manualLayout>
              <c:xMode val="edge"/>
              <c:yMode val="edge"/>
              <c:x val="6.9578822178477703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N  Subcutaneous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25700532372723"/>
          <c:y val="0.20764358499305238"/>
          <c:w val="0.47860881762249352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Summary'!$AK$15</c:f>
                <c:numCache>
                  <c:formatCode>General</c:formatCode>
                  <c:ptCount val="1"/>
                  <c:pt idx="0">
                    <c:v>1.9601171203157585E-2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Summary'!$AK$14</c:f>
              <c:numCache>
                <c:formatCode>General</c:formatCode>
                <c:ptCount val="1"/>
                <c:pt idx="0">
                  <c:v>0.34077459911008046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7-DC4C-9DD5-CDF895A53DD5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Summary'!$AK$27</c:f>
                <c:numCache>
                  <c:formatCode>General</c:formatCode>
                  <c:ptCount val="1"/>
                  <c:pt idx="0">
                    <c:v>3.7744345007987748E-2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Summary'!$AK$26</c:f>
              <c:numCache>
                <c:formatCode>0.0000000</c:formatCode>
                <c:ptCount val="1"/>
                <c:pt idx="0">
                  <c:v>0.46797224363917744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7-DC4C-9DD5-CDF895A53DD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Summary'!$AK$40</c:f>
                <c:numCache>
                  <c:formatCode>General</c:formatCode>
                  <c:ptCount val="1"/>
                  <c:pt idx="0">
                    <c:v>4.0040552371603887E-2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Summary'!$AK$39</c:f>
              <c:numCache>
                <c:formatCode>General</c:formatCode>
                <c:ptCount val="1"/>
                <c:pt idx="0">
                  <c:v>0.4419910094476226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7-DC4C-9DD5-CDF895A5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Inguinal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386719372563E-3"/>
              <c:y val="0.314448529411764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O  Epididymal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25700532372723"/>
          <c:y val="0.20764358499305238"/>
          <c:w val="0.47860881762249352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Summary'!$AN$15</c:f>
                <c:numCache>
                  <c:formatCode>General</c:formatCode>
                  <c:ptCount val="1"/>
                  <c:pt idx="0">
                    <c:v>2.9463031613618733E-2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Summary'!$AN$14</c:f>
              <c:numCache>
                <c:formatCode>General</c:formatCode>
                <c:ptCount val="1"/>
                <c:pt idx="0">
                  <c:v>0.49051798266701774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8-7E4F-86AF-788295474D0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Summary'!$AN$27</c:f>
                <c:numCache>
                  <c:formatCode>General</c:formatCode>
                  <c:ptCount val="1"/>
                  <c:pt idx="0">
                    <c:v>2.7406516595724614E-2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Summary'!$AN$26</c:f>
              <c:numCache>
                <c:formatCode>General</c:formatCode>
                <c:ptCount val="1"/>
                <c:pt idx="0">
                  <c:v>0.57982696390036192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8-7E4F-86AF-788295474D0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Summary'!$AN$40</c:f>
                <c:numCache>
                  <c:formatCode>General</c:formatCode>
                  <c:ptCount val="1"/>
                  <c:pt idx="0">
                    <c:v>3.3406746327390616E-2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Summary'!$AN$39</c:f>
              <c:numCache>
                <c:formatCode>General</c:formatCode>
                <c:ptCount val="1"/>
                <c:pt idx="0">
                  <c:v>0.51960853143047514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8-7E4F-86AF-78829547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Epididymal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386719372632E-3"/>
              <c:y val="0.27033088235294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P  Retroperitoneal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109133245503845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93026747142987"/>
          <c:y val="0.20764358499305238"/>
          <c:w val="0.4552624161279451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Summary'!$AP$15</c:f>
                <c:numCache>
                  <c:formatCode>General</c:formatCode>
                  <c:ptCount val="1"/>
                  <c:pt idx="0">
                    <c:v>1.8267848415023703E-3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Summary'!$AQ$14</c:f>
              <c:numCache>
                <c:formatCode>General</c:formatCode>
                <c:ptCount val="1"/>
                <c:pt idx="0">
                  <c:v>8.7040057911382265E-2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1-314A-B9BC-86CBC84707CD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Summary'!$AQ$27</c:f>
                <c:numCache>
                  <c:formatCode>0.0000000</c:formatCode>
                  <c:ptCount val="1"/>
                  <c:pt idx="0">
                    <c:v>2.8299670519608251E-2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Summary'!$AQ$26</c:f>
              <c:numCache>
                <c:formatCode>General</c:formatCode>
                <c:ptCount val="1"/>
                <c:pt idx="0">
                  <c:v>0.16038778272486592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1-314A-B9BC-86CBC84707CD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Summary'!$AQ$40</c:f>
                <c:numCache>
                  <c:formatCode>General</c:formatCode>
                  <c:ptCount val="1"/>
                  <c:pt idx="0">
                    <c:v>1.8429388786419938E-2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Summary'!$AQ$39</c:f>
              <c:numCache>
                <c:formatCode>General</c:formatCode>
                <c:ptCount val="1"/>
                <c:pt idx="0">
                  <c:v>0.117488229091101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1-314A-B9BC-86CBC847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Retroperitoneal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485952388239E-3"/>
              <c:y val="0.2151838235294117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Q  Interscapular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0546585373326388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93026747142987"/>
          <c:y val="0.20764358499305238"/>
          <c:w val="0.4552624161279451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Summary'!$AX$15</c:f>
                <c:numCache>
                  <c:formatCode>General</c:formatCode>
                  <c:ptCount val="1"/>
                  <c:pt idx="0">
                    <c:v>1.6384761524987076E-2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Summary'!$AX$14</c:f>
              <c:numCache>
                <c:formatCode>0.0000000</c:formatCode>
                <c:ptCount val="1"/>
                <c:pt idx="0">
                  <c:v>0.40884660350330909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0-8E43-9A32-6DAAAE517F2A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Summary'!$AX$27</c:f>
                <c:numCache>
                  <c:formatCode>General</c:formatCode>
                  <c:ptCount val="1"/>
                  <c:pt idx="0">
                    <c:v>3.3355979517734134E-2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Summary'!$AX$26</c:f>
              <c:numCache>
                <c:formatCode>General</c:formatCode>
                <c:ptCount val="1"/>
                <c:pt idx="0">
                  <c:v>0.53194245322864031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0-8E43-9A32-6DAAAE517F2A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Summary'!$AX$40</c:f>
                <c:numCache>
                  <c:formatCode>General</c:formatCode>
                  <c:ptCount val="1"/>
                  <c:pt idx="0">
                    <c:v>2.6019726579928501E-2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Summary'!$AX$39</c:f>
              <c:numCache>
                <c:formatCode>General</c:formatCode>
                <c:ptCount val="1"/>
                <c:pt idx="0">
                  <c:v>0.43541893626825712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0-8E43-9A32-6DAAAE51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Interscapular BAT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485952388239E-3"/>
              <c:y val="0.215183823529411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Body weight gain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8192114810243"/>
          <c:y val="0.21213801645580818"/>
          <c:w val="0.70928662078713467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5A7-CC48-B06E-65DE4547F136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Summary'!$K$15</c:f>
                <c:numCache>
                  <c:formatCode>General</c:formatCode>
                  <c:ptCount val="1"/>
                  <c:pt idx="0">
                    <c:v>0.35364902647762397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Summary'!$K$14</c:f>
              <c:numCache>
                <c:formatCode>General</c:formatCode>
                <c:ptCount val="1"/>
                <c:pt idx="0">
                  <c:v>3.8237500000000004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7-CC48-B06E-65DE4547F136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Summary'!$K$27</c:f>
                <c:numCache>
                  <c:formatCode>General</c:formatCode>
                  <c:ptCount val="1"/>
                  <c:pt idx="0">
                    <c:v>0.47422093065514115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Summary'!$K$26</c:f>
              <c:numCache>
                <c:formatCode>General</c:formatCode>
                <c:ptCount val="1"/>
                <c:pt idx="0">
                  <c:v>3.4537499999999999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7-CC48-B06E-65DE4547F136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Summary'!$K$40</c:f>
                <c:numCache>
                  <c:formatCode>General</c:formatCode>
                  <c:ptCount val="1"/>
                  <c:pt idx="0">
                    <c:v>0.88920497697180434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Summary'!$K$39</c:f>
              <c:numCache>
                <c:formatCode>General</c:formatCode>
                <c:ptCount val="1"/>
                <c:pt idx="0">
                  <c:v>3.5462500000000006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7-CC48-B06E-65DE4547F136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05A7-CC48-B06E-65DE4547F136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Summary'!$K$14</c:f>
                <c:numCache>
                  <c:formatCode>General</c:formatCode>
                  <c:ptCount val="1"/>
                  <c:pt idx="0">
                    <c:v>0.73626329663735746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Summary'!$K$13</c:f>
              <c:numCache>
                <c:formatCode>General</c:formatCode>
                <c:ptCount val="1"/>
                <c:pt idx="0">
                  <c:v>3.2744444444444447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7-CC48-B06E-65DE4547F136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Summary'!$K$25</c:f>
                <c:numCache>
                  <c:formatCode>General</c:formatCode>
                  <c:ptCount val="1"/>
                  <c:pt idx="0">
                    <c:v>0.54036611266278134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Summary'!$K$24</c:f>
              <c:numCache>
                <c:formatCode>General</c:formatCode>
                <c:ptCount val="1"/>
                <c:pt idx="0">
                  <c:v>3.9274999999999989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7-CC48-B06E-65DE4547F136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Summary'!$K$38</c:f>
                <c:numCache>
                  <c:formatCode>General</c:formatCode>
                  <c:ptCount val="1"/>
                  <c:pt idx="0">
                    <c:v>0.61894050253559274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Summary'!$K$37</c:f>
              <c:numCache>
                <c:formatCode>General</c:formatCode>
                <c:ptCount val="1"/>
                <c:pt idx="0">
                  <c:v>3.1788888888888889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7-CC48-B06E-65DE4547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2.3870683652991904E-2"/>
              <c:y val="0.282124037866053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Retroperitoneal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4120697200098"/>
          <c:y val="0.21215473185072148"/>
          <c:w val="0.70928662078713467"/>
          <c:h val="0.72177652351484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477-FE4E-B1CB-7974701EECB2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Summary'!$AQ$15</c:f>
                <c:numCache>
                  <c:formatCode>General</c:formatCode>
                  <c:ptCount val="1"/>
                  <c:pt idx="0">
                    <c:v>6.8316227098915716E-3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Summary'!$AQ$14</c:f>
              <c:numCache>
                <c:formatCode>General</c:formatCode>
                <c:ptCount val="1"/>
                <c:pt idx="0">
                  <c:v>8.7040057911382265E-2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7-FE4E-B1CB-7974701EECB2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Summary'!$AQ$27</c:f>
                <c:numCache>
                  <c:formatCode>0.0000000</c:formatCode>
                  <c:ptCount val="1"/>
                  <c:pt idx="0">
                    <c:v>2.8299670519608251E-2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Summary'!$AQ$26</c:f>
              <c:numCache>
                <c:formatCode>General</c:formatCode>
                <c:ptCount val="1"/>
                <c:pt idx="0">
                  <c:v>0.16038778272486592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7-FE4E-B1CB-7974701EECB2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Summary'!$AQ$40</c:f>
                <c:numCache>
                  <c:formatCode>General</c:formatCode>
                  <c:ptCount val="1"/>
                  <c:pt idx="0">
                    <c:v>1.8429388786419938E-2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Summary'!$AQ$39</c:f>
              <c:numCache>
                <c:formatCode>General</c:formatCode>
                <c:ptCount val="1"/>
                <c:pt idx="0">
                  <c:v>0.117488229091101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7-FE4E-B1CB-7974701EECB2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C477-FE4E-B1CB-7974701EECB2}"/>
            </c:ext>
          </c:extLst>
        </c:ser>
        <c:ser>
          <c:idx val="4"/>
          <c:order val="4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Summary'!$AQ$14</c:f>
                <c:numCache>
                  <c:formatCode>General</c:formatCode>
                  <c:ptCount val="1"/>
                  <c:pt idx="0">
                    <c:v>6.7833635916900439E-3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Summary'!$AQ$13</c:f>
              <c:numCache>
                <c:formatCode>General</c:formatCode>
                <c:ptCount val="1"/>
                <c:pt idx="0">
                  <c:v>8.7251353220645159E-2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7-FE4E-B1CB-7974701EECB2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Summary'!$AQ$25</c:f>
                <c:numCache>
                  <c:formatCode>General</c:formatCode>
                  <c:ptCount val="1"/>
                  <c:pt idx="0">
                    <c:v>1.1030277825782321E-2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Summary'!$AQ$24</c:f>
              <c:numCache>
                <c:formatCode>General</c:formatCode>
                <c:ptCount val="1"/>
                <c:pt idx="0">
                  <c:v>8.5534295884762704E-2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7-FE4E-B1CB-7974701EECB2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Summary'!$AQ$38</c:f>
                <c:numCache>
                  <c:formatCode>General</c:formatCode>
                  <c:ptCount val="1"/>
                  <c:pt idx="0">
                    <c:v>1.2790276103494355E-2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Summary'!$AQ$37</c:f>
              <c:numCache>
                <c:formatCode>General</c:formatCode>
                <c:ptCount val="1"/>
                <c:pt idx="0">
                  <c:v>9.5213841155759288E-2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77-FE4E-B1CB-7974701E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Retroperitoneal WAT weight (%-BW)</a:t>
                </a:r>
              </a:p>
            </c:rich>
          </c:tx>
          <c:layout>
            <c:manualLayout>
              <c:xMode val="edge"/>
              <c:yMode val="edge"/>
              <c:x val="2.9653817938736112E-2"/>
              <c:y val="0.260429960952586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0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A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AE4-F44E-A78E-1270C6F5869B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Summary'!$BH$15</c:f>
                <c:numCache>
                  <c:formatCode>General</c:formatCode>
                  <c:ptCount val="1"/>
                  <c:pt idx="0">
                    <c:v>1.2040649723344414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Summary'!$BH$14</c:f>
              <c:numCache>
                <c:formatCode>General</c:formatCode>
                <c:ptCount val="1"/>
                <c:pt idx="0">
                  <c:v>18.443997400000001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4-F44E-A78E-1270C6F5869B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Summary'!$BH$27</c:f>
                <c:numCache>
                  <c:formatCode>General</c:formatCode>
                  <c:ptCount val="1"/>
                  <c:pt idx="0">
                    <c:v>4.5033428493842154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Summary'!$BH$26</c:f>
              <c:numCache>
                <c:formatCode>General</c:formatCode>
                <c:ptCount val="1"/>
                <c:pt idx="0">
                  <c:v>18.865080000000003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4-F44E-A78E-1270C6F5869B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Summary'!$BH$40</c:f>
                <c:numCache>
                  <c:formatCode>General</c:formatCode>
                  <c:ptCount val="1"/>
                  <c:pt idx="0">
                    <c:v>3.1379983004032015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Summary'!$BH$39</c:f>
              <c:numCache>
                <c:formatCode>General</c:formatCode>
                <c:ptCount val="1"/>
                <c:pt idx="0">
                  <c:v>30.09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4-F44E-A78E-1270C6F5869B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AE4-F44E-A78E-1270C6F5869B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Summary'!$BH$14</c:f>
                <c:numCache>
                  <c:formatCode>General</c:formatCode>
                  <c:ptCount val="1"/>
                  <c:pt idx="0">
                    <c:v>2.9473843967918922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Summary'!$BH$13</c:f>
              <c:numCache>
                <c:formatCode>General</c:formatCode>
                <c:ptCount val="1"/>
                <c:pt idx="0">
                  <c:v>17.061224085714287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4-F44E-A78E-1270C6F5869B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Summary'!$BH$25</c:f>
                <c:numCache>
                  <c:formatCode>General</c:formatCode>
                  <c:ptCount val="1"/>
                  <c:pt idx="0">
                    <c:v>3.0067616130913972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Summary'!$BH$24</c:f>
              <c:numCache>
                <c:formatCode>General</c:formatCode>
                <c:ptCount val="1"/>
                <c:pt idx="0">
                  <c:v>19.328570000000003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4-F44E-A78E-1270C6F5869B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Summary'!$BH$38</c:f>
                <c:numCache>
                  <c:formatCode>General</c:formatCode>
                  <c:ptCount val="1"/>
                  <c:pt idx="0">
                    <c:v>2.0510402238864045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Summary'!$BH$37</c:f>
              <c:numCache>
                <c:formatCode>General</c:formatCode>
                <c:ptCount val="1"/>
                <c:pt idx="0">
                  <c:v>20.106000000000002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E4-F44E-A78E-1270C6F5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Helv"/>
                <a:ea typeface="Helv"/>
                <a:cs typeface="Helv"/>
              </a:defRPr>
            </a:pPr>
            <a:r>
              <a:rPr lang="en-US" sz="1800">
                <a:solidFill>
                  <a:schemeClr val="bg1"/>
                </a:solidFill>
              </a:rPr>
              <a:t>Weight Gain (WT)</a:t>
            </a:r>
          </a:p>
        </c:rich>
      </c:tx>
      <c:layout>
        <c:manualLayout>
          <c:xMode val="edge"/>
          <c:yMode val="edge"/>
          <c:x val="3.4461152882205512E-2"/>
          <c:y val="3.233709916695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1322892503162"/>
          <c:y val="0.1743721132174447"/>
          <c:w val="0.78561390644467255"/>
          <c:h val="0.70146264549901438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64AAFE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plus>
            <c:min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Chart'!$H$59:$H$80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0.16624999999999979</c:v>
                </c:pt>
                <c:pt idx="2">
                  <c:v>0.57750000000000057</c:v>
                </c:pt>
                <c:pt idx="3">
                  <c:v>0.63625000000000043</c:v>
                </c:pt>
                <c:pt idx="4">
                  <c:v>0.82625000000000082</c:v>
                </c:pt>
                <c:pt idx="5">
                  <c:v>0.91124999999999989</c:v>
                </c:pt>
                <c:pt idx="6">
                  <c:v>1.1499999999999999</c:v>
                </c:pt>
                <c:pt idx="7">
                  <c:v>1.5274999999999999</c:v>
                </c:pt>
                <c:pt idx="8">
                  <c:v>1.8025000000000002</c:v>
                </c:pt>
                <c:pt idx="9">
                  <c:v>2.1325000000000007</c:v>
                </c:pt>
                <c:pt idx="10">
                  <c:v>2.3687499999999999</c:v>
                </c:pt>
                <c:pt idx="11">
                  <c:v>2.38625</c:v>
                </c:pt>
                <c:pt idx="12">
                  <c:v>2.7137499999999997</c:v>
                </c:pt>
                <c:pt idx="13">
                  <c:v>2.7562500000000005</c:v>
                </c:pt>
                <c:pt idx="14">
                  <c:v>2.7800000000000007</c:v>
                </c:pt>
                <c:pt idx="15">
                  <c:v>3.0212500000000002</c:v>
                </c:pt>
                <c:pt idx="16">
                  <c:v>3.2087500000000002</c:v>
                </c:pt>
                <c:pt idx="17">
                  <c:v>3.1462499999999998</c:v>
                </c:pt>
                <c:pt idx="18">
                  <c:v>3.3675000000000002</c:v>
                </c:pt>
                <c:pt idx="19">
                  <c:v>3.5375000000000005</c:v>
                </c:pt>
                <c:pt idx="20">
                  <c:v>3.7312499999999997</c:v>
                </c:pt>
                <c:pt idx="21">
                  <c:v>3.6300000000000012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9-1548-B752-5ED067FEF5BA}"/>
            </c:ext>
          </c:extLst>
        </c:ser>
        <c:ser>
          <c:idx val="3"/>
          <c:order val="1"/>
          <c:tx>
            <c:strRef>
              <c:f>'(WT) Growth Chart'!$D$58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1-FF69-1548-B752-5ED067FEF5B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plus>
            <c:min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Chart'!$J$59:$J$80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-0.15500000000000025</c:v>
                </c:pt>
                <c:pt idx="2">
                  <c:v>0.49250000000000016</c:v>
                </c:pt>
                <c:pt idx="3">
                  <c:v>0.61624999999999996</c:v>
                </c:pt>
                <c:pt idx="4">
                  <c:v>0.81749999999999901</c:v>
                </c:pt>
                <c:pt idx="5">
                  <c:v>0.97000000000000064</c:v>
                </c:pt>
                <c:pt idx="6">
                  <c:v>1.1912500000000006</c:v>
                </c:pt>
                <c:pt idx="7">
                  <c:v>1.4387500000000002</c:v>
                </c:pt>
                <c:pt idx="8">
                  <c:v>1.4275000000000002</c:v>
                </c:pt>
                <c:pt idx="9">
                  <c:v>1.6612500000000003</c:v>
                </c:pt>
                <c:pt idx="10">
                  <c:v>1.7774999999999994</c:v>
                </c:pt>
                <c:pt idx="11">
                  <c:v>1.9312499999999999</c:v>
                </c:pt>
                <c:pt idx="12">
                  <c:v>2.0850000000000004</c:v>
                </c:pt>
                <c:pt idx="13">
                  <c:v>2.1650000000000005</c:v>
                </c:pt>
                <c:pt idx="14">
                  <c:v>2.2862499999999999</c:v>
                </c:pt>
                <c:pt idx="15">
                  <c:v>2.4625000000000008</c:v>
                </c:pt>
                <c:pt idx="16">
                  <c:v>2.6525000000000003</c:v>
                </c:pt>
                <c:pt idx="17">
                  <c:v>2.7512500000000006</c:v>
                </c:pt>
                <c:pt idx="18">
                  <c:v>2.9062500000000004</c:v>
                </c:pt>
                <c:pt idx="19">
                  <c:v>2.9887499999999996</c:v>
                </c:pt>
                <c:pt idx="20">
                  <c:v>3.1937499999999996</c:v>
                </c:pt>
                <c:pt idx="21">
                  <c:v>3.4537499999999999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9-1548-B752-5ED067FEF5BA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chemeClr val="bg1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8C841"/>
              </a:solidFill>
              <a:ln>
                <a:solidFill>
                  <a:schemeClr val="bg1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plus>
            <c:min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Chart'!$L$59:$L$80</c:f>
              <c:numCache>
                <c:formatCode>General</c:formatCode>
                <c:ptCount val="22"/>
                <c:pt idx="0">
                  <c:v>6.6613381477509392E-16</c:v>
                </c:pt>
                <c:pt idx="1">
                  <c:v>-1.2474999999999994</c:v>
                </c:pt>
                <c:pt idx="2">
                  <c:v>-0.70124999999999948</c:v>
                </c:pt>
                <c:pt idx="3">
                  <c:v>-0.20499999999999985</c:v>
                </c:pt>
                <c:pt idx="4">
                  <c:v>0.11375000000000046</c:v>
                </c:pt>
                <c:pt idx="5">
                  <c:v>0.47874999999999979</c:v>
                </c:pt>
                <c:pt idx="6">
                  <c:v>1.0562500000000001</c:v>
                </c:pt>
                <c:pt idx="7">
                  <c:v>1.4075000000000006</c:v>
                </c:pt>
                <c:pt idx="8">
                  <c:v>1.6212500000000005</c:v>
                </c:pt>
                <c:pt idx="9">
                  <c:v>1.7550000000000006</c:v>
                </c:pt>
                <c:pt idx="10">
                  <c:v>2.0087500000000009</c:v>
                </c:pt>
                <c:pt idx="11">
                  <c:v>2.0687500000000005</c:v>
                </c:pt>
                <c:pt idx="12">
                  <c:v>2.2774999999999999</c:v>
                </c:pt>
                <c:pt idx="13">
                  <c:v>2.1750000000000007</c:v>
                </c:pt>
                <c:pt idx="14">
                  <c:v>2.4487500000000004</c:v>
                </c:pt>
                <c:pt idx="15">
                  <c:v>2.6450000000000005</c:v>
                </c:pt>
                <c:pt idx="16">
                  <c:v>3.0312500000000004</c:v>
                </c:pt>
                <c:pt idx="17">
                  <c:v>2.9837500000000001</c:v>
                </c:pt>
                <c:pt idx="18">
                  <c:v>3.0662499999999997</c:v>
                </c:pt>
                <c:pt idx="19">
                  <c:v>3.0987499999999999</c:v>
                </c:pt>
                <c:pt idx="20">
                  <c:v>3.2300000000000004</c:v>
                </c:pt>
                <c:pt idx="21">
                  <c:v>3.5462500000000006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9-1548-B752-5ED067FE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400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(d</a:t>
                </a: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ays)</a:t>
                </a:r>
              </a:p>
            </c:rich>
          </c:tx>
          <c:layout>
            <c:manualLayout>
              <c:xMode val="edge"/>
              <c:yMode val="edge"/>
              <c:x val="0.44178788750669157"/>
              <c:y val="0.90381063688779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At val="0"/>
        <c:crossBetween val="midCat"/>
        <c:majorUnit val="3"/>
      </c:valAx>
      <c:valAx>
        <c:axId val="1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8018516494841083E-2"/>
              <c:y val="0.283343118997421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32555791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118789220398456"/>
          <c:y val="0.17702902811740326"/>
          <c:w val="0.27669855572446855"/>
          <c:h val="0.155560367454068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chemeClr val="bg1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B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(upper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B3C-F34F-94DD-2024EA899EB0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Summary'!$BI$15</c:f>
                <c:numCache>
                  <c:formatCode>General</c:formatCode>
                  <c:ptCount val="1"/>
                  <c:pt idx="0">
                    <c:v>2.1150413707537741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Summary'!$BI$14</c:f>
              <c:numCache>
                <c:formatCode>General</c:formatCode>
                <c:ptCount val="1"/>
                <c:pt idx="0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C-F34F-94DD-2024EA899EB0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Summary'!$BI$27</c:f>
                <c:numCache>
                  <c:formatCode>General</c:formatCode>
                  <c:ptCount val="1"/>
                  <c:pt idx="0">
                    <c:v>3.327890162264973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Summary'!$BI$26</c:f>
              <c:numCache>
                <c:formatCode>General</c:formatCode>
                <c:ptCount val="1"/>
                <c:pt idx="0">
                  <c:v>11.861110000000002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C-F34F-94DD-2024EA899EB0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Summary'!$BI$40</c:f>
                <c:numCache>
                  <c:formatCode>General</c:formatCode>
                  <c:ptCount val="1"/>
                  <c:pt idx="0">
                    <c:v>1.3431472162218272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Summary'!$BI$39</c:f>
              <c:numCache>
                <c:formatCode>General</c:formatCode>
                <c:ptCount val="1"/>
                <c:pt idx="0">
                  <c:v>20.723333333333333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C-F34F-94DD-2024EA899EB0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B3C-F34F-94DD-2024EA899EB0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Summary'!$BI$14</c:f>
                <c:numCache>
                  <c:formatCode>General</c:formatCode>
                  <c:ptCount val="1"/>
                  <c:pt idx="0">
                    <c:v>2.3372464757563294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Summary'!$BI$13</c:f>
              <c:numCache>
                <c:formatCode>General</c:formatCode>
                <c:ptCount val="1"/>
                <c:pt idx="0">
                  <c:v>13.77142857142857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C-F34F-94DD-2024EA899EB0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Summary'!$BI$25</c:f>
                <c:numCache>
                  <c:formatCode>General</c:formatCode>
                  <c:ptCount val="1"/>
                  <c:pt idx="0">
                    <c:v>2.3439641706591883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Summary'!$BI$24</c:f>
              <c:numCache>
                <c:formatCode>General</c:formatCode>
                <c:ptCount val="1"/>
                <c:pt idx="0">
                  <c:v>15.116667999999999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C-F34F-94DD-2024EA899EB0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Summary'!$BI$38</c:f>
                <c:numCache>
                  <c:formatCode>General</c:formatCode>
                  <c:ptCount val="1"/>
                  <c:pt idx="0">
                    <c:v>2.175599687442523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Summary'!$BI$37</c:f>
              <c:numCache>
                <c:formatCode>General</c:formatCode>
                <c:ptCount val="1"/>
                <c:pt idx="0">
                  <c:v>17.818000000000001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C-F34F-94DD-2024EA89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(lower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FFB-D241-A06B-15764432CED8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Summary'!$BJ$15</c:f>
                <c:numCache>
                  <c:formatCode>General</c:formatCode>
                  <c:ptCount val="1"/>
                  <c:pt idx="0">
                    <c:v>1.4911069713471268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Summary'!$BJ$14</c:f>
              <c:numCache>
                <c:formatCode>General</c:formatCode>
                <c:ptCount val="1"/>
                <c:pt idx="0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B-D241-A06B-15764432CED8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Summary'!$BJ$27</c:f>
                <c:numCache>
                  <c:formatCode>General</c:formatCode>
                  <c:ptCount val="1"/>
                  <c:pt idx="0">
                    <c:v>2.2174184188926671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Summary'!$BJ$26</c:f>
              <c:numCache>
                <c:formatCode>General</c:formatCode>
                <c:ptCount val="1"/>
                <c:pt idx="0">
                  <c:v>9.3166666666666664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B-D241-A06B-15764432CED8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Summary'!$BJ$40</c:f>
                <c:numCache>
                  <c:formatCode>General</c:formatCode>
                  <c:ptCount val="1"/>
                  <c:pt idx="0">
                    <c:v>1.5221512554422605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Summary'!$BJ$39</c:f>
              <c:numCache>
                <c:formatCode>General</c:formatCode>
                <c:ptCount val="1"/>
                <c:pt idx="0">
                  <c:v>11.516666666666666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B-D241-A06B-15764432CED8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3FFB-D241-A06B-15764432CED8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Summary'!$BJ$14</c:f>
                <c:numCache>
                  <c:formatCode>General</c:formatCode>
                  <c:ptCount val="1"/>
                  <c:pt idx="0">
                    <c:v>1.3963265703826107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Summary'!$BJ$13</c:f>
              <c:numCache>
                <c:formatCode>General</c:formatCode>
                <c:ptCount val="1"/>
                <c:pt idx="0">
                  <c:v>7.2857142857142856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B-D241-A06B-15764432CED8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Summary'!$BJ$25</c:f>
                <c:numCache>
                  <c:formatCode>General</c:formatCode>
                  <c:ptCount val="1"/>
                  <c:pt idx="0">
                    <c:v>1.4374978260853111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Summary'!$BJ$24</c:f>
              <c:numCache>
                <c:formatCode>General</c:formatCode>
                <c:ptCount val="1"/>
                <c:pt idx="0">
                  <c:v>7.5200000000000005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B-D241-A06B-15764432CED8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Summary'!$BJ$38</c:f>
                <c:numCache>
                  <c:formatCode>General</c:formatCode>
                  <c:ptCount val="1"/>
                  <c:pt idx="0">
                    <c:v>1.4919450392021822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Summary'!$BJ$37</c:f>
              <c:numCache>
                <c:formatCode>General</c:formatCode>
                <c:ptCount val="1"/>
                <c:pt idx="0">
                  <c:v>8.4700000000000006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FB-D241-A06B-15764432C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(upper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CE-3F43-8AB7-B66B4DFF3F41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Summary'!$BK$15</c:f>
                <c:numCache>
                  <c:formatCode>General</c:formatCode>
                  <c:ptCount val="1"/>
                  <c:pt idx="0">
                    <c:v>1.403963184070014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Summary'!$BK$14</c:f>
              <c:numCache>
                <c:formatCode>General</c:formatCode>
                <c:ptCount val="1"/>
                <c:pt idx="0">
                  <c:v>12.066667999999998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E-3F43-8AB7-B66B4DFF3F41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Summary'!$BK$27</c:f>
                <c:numCache>
                  <c:formatCode>General</c:formatCode>
                  <c:ptCount val="1"/>
                  <c:pt idx="0">
                    <c:v>2.62702025726868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Summary'!$BK$26</c:f>
              <c:numCache>
                <c:formatCode>General</c:formatCode>
                <c:ptCount val="1"/>
                <c:pt idx="0">
                  <c:v>11.22222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E-3F43-8AB7-B66B4DFF3F41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Summary'!$BK$40</c:f>
                <c:numCache>
                  <c:formatCode>General</c:formatCode>
                  <c:ptCount val="1"/>
                  <c:pt idx="0">
                    <c:v>5.8290117325133073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Summary'!$BK$39</c:f>
              <c:numCache>
                <c:formatCode>General</c:formatCode>
                <c:ptCount val="1"/>
                <c:pt idx="0">
                  <c:v>19.803333333333331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CE-3F43-8AB7-B66B4DFF3F41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FCE-3F43-8AB7-B66B4DFF3F41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Summary'!$BL$14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Summary'!$BK$13</c:f>
              <c:numCache>
                <c:formatCode>General</c:formatCode>
                <c:ptCount val="1"/>
                <c:pt idx="0">
                  <c:v>9.0952385714285704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CE-3F43-8AB7-B66B4DFF3F41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Summary'!$BK$25</c:f>
                <c:numCache>
                  <c:formatCode>General</c:formatCode>
                  <c:ptCount val="1"/>
                  <c:pt idx="0">
                    <c:v>2.3247453385026944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Summary'!$BK$24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E-3F43-8AB7-B66B4DFF3F41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Summary'!$BK$38</c:f>
                <c:numCache>
                  <c:formatCode>General</c:formatCode>
                  <c:ptCount val="1"/>
                  <c:pt idx="0">
                    <c:v>1.2489995996796805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Summary'!$BK$37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CE-3F43-8AB7-B66B4DFF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New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neurones (lower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0821661124"/>
          <c:y val="0.21213801645580818"/>
          <c:w val="0.6662116743458634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F14-6948-A075-CCAA7A015D3A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Summary'!$BL$15</c:f>
                <c:numCache>
                  <c:formatCode>General</c:formatCode>
                  <c:ptCount val="1"/>
                  <c:pt idx="0">
                    <c:v>1.0022198472510908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Summary'!$BL$14</c:f>
              <c:numCache>
                <c:formatCode>General</c:formatCode>
                <c:ptCount val="1"/>
                <c:pt idx="0">
                  <c:v>5.0666679999999999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4-6948-A075-CCAA7A015D3A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Summary'!$BL$27</c:f>
                <c:numCache>
                  <c:formatCode>General</c:formatCode>
                  <c:ptCount val="1"/>
                  <c:pt idx="0">
                    <c:v>1.7320508075688765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Summary'!$BL$26</c:f>
              <c:numCache>
                <c:formatCode>General</c:formatCode>
                <c:ptCount val="1"/>
                <c:pt idx="0">
                  <c:v>5.6666699999999999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4-6948-A075-CCAA7A015D3A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Summary'!$BL$40</c:f>
                <c:numCache>
                  <c:formatCode>General</c:formatCode>
                  <c:ptCount val="1"/>
                  <c:pt idx="0">
                    <c:v>2.057206844242935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Summary'!$BL$39</c:f>
              <c:numCache>
                <c:formatCode>General</c:formatCode>
                <c:ptCount val="1"/>
                <c:pt idx="0">
                  <c:v>10.780000000000001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4-6948-A075-CCAA7A015D3A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F14-6948-A075-CCAA7A015D3A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Summary'!$BL$14</c:f>
                <c:numCache>
                  <c:formatCode>General</c:formatCode>
                  <c:ptCount val="1"/>
                  <c:pt idx="0">
                    <c:v>1.4176839138248296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Summary'!$BL$13</c:f>
              <c:numCache>
                <c:formatCode>General</c:formatCode>
                <c:ptCount val="1"/>
                <c:pt idx="0">
                  <c:v>4.8095228571428574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4-6948-A075-CCAA7A015D3A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Summary'!$BL$25</c:f>
                <c:numCache>
                  <c:formatCode>General</c:formatCode>
                  <c:ptCount val="1"/>
                  <c:pt idx="0">
                    <c:v>1.5405620835701495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Summary'!$BL$24</c:f>
              <c:numCache>
                <c:formatCode>General</c:formatCode>
                <c:ptCount val="1"/>
                <c:pt idx="0">
                  <c:v>6.1333320000000002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14-6948-A075-CCAA7A015D3A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Summary'!$BL$38</c:f>
                <c:numCache>
                  <c:formatCode>General</c:formatCode>
                  <c:ptCount val="1"/>
                  <c:pt idx="0">
                    <c:v>0.96464812237416486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Summary'!$BL$37</c:f>
              <c:numCache>
                <c:formatCode>General</c:formatCode>
                <c:ptCount val="1"/>
                <c:pt idx="0">
                  <c:v>4.9659999999999993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14-6948-A075-CCAA7A01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BrdU+/NeuN+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G  OIP discrimination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B22-2542-B42E-26BC5C13B29E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Summary'!$BM$15</c:f>
                <c:numCache>
                  <c:formatCode>General</c:formatCode>
                  <c:ptCount val="1"/>
                  <c:pt idx="0">
                    <c:v>0.19589282784216472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Summary'!$BM$14</c:f>
              <c:numCache>
                <c:formatCode>General</c:formatCode>
                <c:ptCount val="1"/>
                <c:pt idx="0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2-2542-B42E-26BC5C13B29E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Summary'!$BM$27</c:f>
                <c:numCache>
                  <c:formatCode>General</c:formatCode>
                  <c:ptCount val="1"/>
                  <c:pt idx="0">
                    <c:v>0.12414149633024045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Summary'!$BM$26</c:f>
              <c:numCache>
                <c:formatCode>General</c:formatCode>
                <c:ptCount val="1"/>
                <c:pt idx="0">
                  <c:v>0.23666666666666666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2-2542-B42E-26BC5C13B29E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Summary'!$BM$40</c:f>
                <c:numCache>
                  <c:formatCode>General</c:formatCode>
                  <c:ptCount val="1"/>
                  <c:pt idx="0">
                    <c:v>0.10682280239308045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Summary'!$BM$39</c:f>
              <c:numCache>
                <c:formatCode>General</c:formatCode>
                <c:ptCount val="1"/>
                <c:pt idx="0">
                  <c:v>0.25666666666666665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2-2542-B42E-26BC5C13B29E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B22-2542-B42E-26BC5C13B29E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Summary'!$BM$14</c:f>
                <c:numCache>
                  <c:formatCode>General</c:formatCode>
                  <c:ptCount val="1"/>
                  <c:pt idx="0">
                    <c:v>4.7582165776685698E-2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Summary'!$BM$13</c:f>
              <c:numCache>
                <c:formatCode>General</c:formatCode>
                <c:ptCount val="1"/>
                <c:pt idx="0">
                  <c:v>0.10375000000000001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2-2542-B42E-26BC5C13B29E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Summary'!$BM$25</c:f>
                <c:numCache>
                  <c:formatCode>General</c:formatCode>
                  <c:ptCount val="1"/>
                  <c:pt idx="0">
                    <c:v>9.5634721728041855E-2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Summary'!$BM$24</c:f>
              <c:numCache>
                <c:formatCode>General</c:formatCode>
                <c:ptCount val="1"/>
                <c:pt idx="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2-2542-B42E-26BC5C13B29E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Summary'!$BM$38</c:f>
                <c:numCache>
                  <c:formatCode>General</c:formatCode>
                  <c:ptCount val="1"/>
                  <c:pt idx="0">
                    <c:v>6.8731361109758346E-2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Summary'!$BM$37</c:f>
              <c:numCache>
                <c:formatCode>General</c:formatCode>
                <c:ptCount val="1"/>
                <c:pt idx="0">
                  <c:v>5.7999999999999996E-2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2-2542-B42E-26BC5C13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Discrimination ratio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(repositioned:unmoved)</a:t>
                </a:r>
              </a:p>
            </c:rich>
          </c:tx>
          <c:layout>
            <c:manualLayout>
              <c:xMode val="edge"/>
              <c:yMode val="edge"/>
              <c:x val="7.3814667807811207E-4"/>
              <c:y val="0.231597590251998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H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duration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301-274E-BCD4-F3AAC432D544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Summary'!$BN$15</c:f>
                <c:numCache>
                  <c:formatCode>General</c:formatCode>
                  <c:ptCount val="1"/>
                  <c:pt idx="0">
                    <c:v>2.1633980242780089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Summary'!$BN$14</c:f>
              <c:numCache>
                <c:formatCode>General</c:formatCode>
                <c:ptCount val="1"/>
                <c:pt idx="0">
                  <c:v>13.010406771467169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1-274E-BCD4-F3AAC432D544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Summary'!$BN$27</c:f>
                <c:numCache>
                  <c:formatCode>General</c:formatCode>
                  <c:ptCount val="1"/>
                  <c:pt idx="0">
                    <c:v>2.953165469600465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Summary'!$BN$26</c:f>
              <c:numCache>
                <c:formatCode>General</c:formatCode>
                <c:ptCount val="1"/>
                <c:pt idx="0">
                  <c:v>13.39486100446257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1-274E-BCD4-F3AAC432D544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Summary'!$BN$40</c:f>
                <c:numCache>
                  <c:formatCode>General</c:formatCode>
                  <c:ptCount val="1"/>
                  <c:pt idx="0">
                    <c:v>2.1780946177409528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Summary'!$BN$39</c:f>
              <c:numCache>
                <c:formatCode>General</c:formatCode>
                <c:ptCount val="1"/>
                <c:pt idx="0">
                  <c:v>18.522978920258424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1-274E-BCD4-F3AAC432D544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301-274E-BCD4-F3AAC432D544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Summary'!$BN$14</c:f>
                <c:numCache>
                  <c:formatCode>General</c:formatCode>
                  <c:ptCount val="1"/>
                  <c:pt idx="0">
                    <c:v>1.0389478574205642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Summary'!$BN$13</c:f>
              <c:numCache>
                <c:formatCode>General</c:formatCode>
                <c:ptCount val="1"/>
                <c:pt idx="0">
                  <c:v>13.032405146256659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1-274E-BCD4-F3AAC432D544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Summary'!$BN$25</c:f>
                <c:numCache>
                  <c:formatCode>General</c:formatCode>
                  <c:ptCount val="1"/>
                  <c:pt idx="0">
                    <c:v>1.1301389997319606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Summary'!$BN$24</c:f>
              <c:numCache>
                <c:formatCode>General</c:formatCode>
                <c:ptCount val="1"/>
                <c:pt idx="0">
                  <c:v>10.821350337206733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1-274E-BCD4-F3AAC432D544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Summary'!$BN$38</c:f>
                <c:numCache>
                  <c:formatCode>General</c:formatCode>
                  <c:ptCount val="1"/>
                  <c:pt idx="0">
                    <c:v>0.91605885608535109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Summary'!$BN$37</c:f>
              <c:numCache>
                <c:formatCode>General</c:formatCode>
                <c:ptCount val="1"/>
                <c:pt idx="0">
                  <c:v>8.4124201245978174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1-274E-BCD4-F3AAC432D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Duration in inner zone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(%-total)</a:t>
                </a:r>
              </a:p>
            </c:rich>
          </c:tx>
          <c:layout>
            <c:manualLayout>
              <c:xMode val="edge"/>
              <c:yMode val="edge"/>
              <c:x val="1.5195982224375595E-2"/>
              <c:y val="0.24001864567547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entries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250-3747-8596-1CB9CBA75939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Summary'!$BO$15</c:f>
                <c:numCache>
                  <c:formatCode>General</c:formatCode>
                  <c:ptCount val="1"/>
                  <c:pt idx="0">
                    <c:v>5.6515484603779171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Summary'!$BO$14</c:f>
              <c:numCache>
                <c:formatCode>General</c:formatCode>
                <c:ptCount val="1"/>
                <c:pt idx="0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0-3747-8596-1CB9CBA75939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Summary'!$BO$27</c:f>
                <c:numCache>
                  <c:formatCode>General</c:formatCode>
                  <c:ptCount val="1"/>
                  <c:pt idx="0">
                    <c:v>7.6666666666666705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Summary'!$BO$26</c:f>
              <c:numCache>
                <c:formatCode>General</c:formatCode>
                <c:ptCount val="1"/>
                <c:pt idx="0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0-3747-8596-1CB9CBA75939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Summary'!$BO$40</c:f>
                <c:numCache>
                  <c:formatCode>General</c:formatCode>
                  <c:ptCount val="1"/>
                  <c:pt idx="0">
                    <c:v>7.9372539331937721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Summary'!$BO$39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0-3747-8596-1CB9CBA75939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250-3747-8596-1CB9CBA75939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Summary'!$BO$14</c:f>
                <c:numCache>
                  <c:formatCode>General</c:formatCode>
                  <c:ptCount val="1"/>
                  <c:pt idx="0">
                    <c:v>2.598076211353316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Summary'!$BO$13</c:f>
              <c:numCache>
                <c:formatCode>General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50-3747-8596-1CB9CBA75939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Summary'!$BO$25</c:f>
                <c:numCache>
                  <c:formatCode>General</c:formatCode>
                  <c:ptCount val="1"/>
                  <c:pt idx="0">
                    <c:v>5.9782940710540498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Summary'!$BO$24</c:f>
              <c:numCache>
                <c:formatCode>General</c:formatCode>
                <c:ptCount val="1"/>
                <c:pt idx="0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0-3747-8596-1CB9CBA75939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Summary'!$BO$38</c:f>
                <c:numCache>
                  <c:formatCode>General</c:formatCode>
                  <c:ptCount val="1"/>
                  <c:pt idx="0">
                    <c:v>1.0770329614269007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Summary'!$BO$37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50-3747-8596-1CB9CBA7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entry frequency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(events/session)</a:t>
                </a:r>
              </a:p>
            </c:rich>
          </c:tx>
          <c:layout>
            <c:manualLayout>
              <c:xMode val="edge"/>
              <c:yMode val="edge"/>
              <c:x val="1.5195982224375595E-2"/>
              <c:y val="0.183536571417014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OF inner zone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movement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817109971990502"/>
          <c:y val="0.21213798993385494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2F8-4A43-8A1C-9D10A496070D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Summary'!$BP$15</c:f>
                <c:numCache>
                  <c:formatCode>General</c:formatCode>
                  <c:ptCount val="1"/>
                  <c:pt idx="0">
                    <c:v>0.24912695177567284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Summary'!$BP$14</c:f>
              <c:numCache>
                <c:formatCode>General</c:formatCode>
                <c:ptCount val="1"/>
                <c:pt idx="0">
                  <c:v>3.9586712000000004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8-4A43-8A1C-9D10A496070D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Summary'!$BP$27</c:f>
                <c:numCache>
                  <c:formatCode>General</c:formatCode>
                  <c:ptCount val="1"/>
                  <c:pt idx="0">
                    <c:v>1.6294860036254104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Summary'!$BP$26</c:f>
              <c:numCache>
                <c:formatCode>General</c:formatCode>
                <c:ptCount val="1"/>
                <c:pt idx="0">
                  <c:v>5.3277633333333334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8-4A43-8A1C-9D10A496070D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Summary'!$BP$40</c:f>
                <c:numCache>
                  <c:formatCode>General</c:formatCode>
                  <c:ptCount val="1"/>
                  <c:pt idx="0">
                    <c:v>0.53731457378460723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Summary'!$BP$39</c:f>
              <c:numCache>
                <c:formatCode>General</c:formatCode>
                <c:ptCount val="1"/>
                <c:pt idx="0">
                  <c:v>3.4274079999999998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8-4A43-8A1C-9D10A496070D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2F8-4A43-8A1C-9D10A496070D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Summary'!$BP$14</c:f>
                <c:numCache>
                  <c:formatCode>General</c:formatCode>
                  <c:ptCount val="1"/>
                  <c:pt idx="0">
                    <c:v>0.39441736735042837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Summary'!$BP$13</c:f>
              <c:numCache>
                <c:formatCode>General</c:formatCode>
                <c:ptCount val="1"/>
                <c:pt idx="0">
                  <c:v>3.1417929999999998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8-4A43-8A1C-9D10A496070D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Summary'!$BP$25</c:f>
                <c:numCache>
                  <c:formatCode>General</c:formatCode>
                  <c:ptCount val="1"/>
                  <c:pt idx="0">
                    <c:v>1.8210867373263693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Summary'!$BP$24</c:f>
              <c:numCache>
                <c:formatCode>General</c:formatCode>
                <c:ptCount val="1"/>
                <c:pt idx="0">
                  <c:v>6.226604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F8-4A43-8A1C-9D10A496070D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Summary'!$BP$38</c:f>
                <c:numCache>
                  <c:formatCode>General</c:formatCode>
                  <c:ptCount val="1"/>
                  <c:pt idx="0">
                    <c:v>1.6482258502067169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Summary'!$BP$37</c:f>
              <c:numCache>
                <c:formatCode>General</c:formatCode>
                <c:ptCount val="1"/>
                <c:pt idx="0">
                  <c:v>6.9657344000000005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F8-4A43-8A1C-9D10A496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Inner zone movement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(movement:stationary ratio)</a:t>
                </a:r>
              </a:p>
            </c:rich>
          </c:tx>
          <c:layout>
            <c:manualLayout>
              <c:xMode val="edge"/>
              <c:yMode val="edge"/>
              <c:x val="1.5195985684234879E-2"/>
              <c:y val="0.242483959381337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(whole DG)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8915971969558"/>
          <c:y val="0.21213801645580818"/>
          <c:w val="0.68326251650128578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65A-3149-A951-DE5CEC9D50FC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Summary'!$BR$15</c:f>
                <c:numCache>
                  <c:formatCode>General</c:formatCode>
                  <c:ptCount val="1"/>
                  <c:pt idx="0">
                    <c:v>0.32383360649944892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Summary'!$BR$14</c:f>
              <c:numCache>
                <c:formatCode>General</c:formatCode>
                <c:ptCount val="1"/>
                <c:pt idx="0">
                  <c:v>0.9223808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A-3149-A951-DE5CEC9D50FC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Summary'!$BR$27</c:f>
                <c:numCache>
                  <c:formatCode>General</c:formatCode>
                  <c:ptCount val="1"/>
                  <c:pt idx="0">
                    <c:v>0.28474810332014705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Summary'!$BR$26</c:f>
              <c:numCache>
                <c:formatCode>General</c:formatCode>
                <c:ptCount val="1"/>
                <c:pt idx="0">
                  <c:v>0.57539676666666673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A-3149-A951-DE5CEC9D50FC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Summary'!$BR$40</c:f>
                <c:numCache>
                  <c:formatCode>General</c:formatCode>
                  <c:ptCount val="1"/>
                  <c:pt idx="0">
                    <c:v>0.21724150719648411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Summary'!$BR$39</c:f>
              <c:numCache>
                <c:formatCode>General</c:formatCode>
                <c:ptCount val="1"/>
                <c:pt idx="0">
                  <c:v>1.392857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A-3149-A951-DE5CEC9D50FC}"/>
            </c:ext>
          </c:extLst>
        </c:ser>
        <c:ser>
          <c:idx val="3"/>
          <c:order val="3"/>
          <c:invertIfNegative val="0"/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65A-3149-A951-DE5CEC9D50FC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Summary'!$BR$14</c:f>
                <c:numCache>
                  <c:formatCode>General</c:formatCode>
                  <c:ptCount val="1"/>
                  <c:pt idx="0">
                    <c:v>9.8866457627702714E-2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Summary'!$BR$13</c:f>
              <c:numCache>
                <c:formatCode>General</c:formatCode>
                <c:ptCount val="1"/>
                <c:pt idx="0">
                  <c:v>0.55867357142857144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A-3149-A951-DE5CEC9D50FC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Summary'!$BR$25</c:f>
                <c:numCache>
                  <c:formatCode>General</c:formatCode>
                  <c:ptCount val="1"/>
                  <c:pt idx="0">
                    <c:v>9.1298799643478312E-2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Summary'!$BR$24</c:f>
              <c:numCache>
                <c:formatCode>General</c:formatCode>
                <c:ptCount val="1"/>
                <c:pt idx="0">
                  <c:v>0.59285719999999997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A-3149-A951-DE5CEC9D50FC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Summary'!$BR$38</c:f>
                <c:numCache>
                  <c:formatCode>General</c:formatCode>
                  <c:ptCount val="1"/>
                  <c:pt idx="0">
                    <c:v>0.19704447312157727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Summary'!$BR$37</c:f>
              <c:numCache>
                <c:formatCode>General</c:formatCode>
                <c:ptCount val="1"/>
                <c:pt idx="0">
                  <c:v>0.5071426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A-3149-A951-DE5CEC9D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(upper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031994006501"/>
          <c:y val="0.21213798993385494"/>
          <c:w val="0.64969801702651286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185-1144-A263-AB1FE057A696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Summary'!$BS$15</c:f>
                <c:numCache>
                  <c:formatCode>General</c:formatCode>
                  <c:ptCount val="1"/>
                  <c:pt idx="0">
                    <c:v>0.35483235478180397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Summary'!$BS$14</c:f>
              <c:numCache>
                <c:formatCode>General</c:formatCode>
                <c:ptCount val="1"/>
                <c:pt idx="0">
                  <c:v>0.71599999999999997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5-1144-A263-AB1FE057A696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Summary'!$BS$27</c:f>
                <c:numCache>
                  <c:formatCode>General</c:formatCode>
                  <c:ptCount val="1"/>
                  <c:pt idx="0">
                    <c:v>0.12108061542671118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Summary'!$BS$26</c:f>
              <c:numCache>
                <c:formatCode>General</c:formatCode>
                <c:ptCount val="1"/>
                <c:pt idx="0">
                  <c:v>0.4722223333333333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5-1144-A263-AB1FE057A696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Summary'!$BS$40</c:f>
                <c:numCache>
                  <c:formatCode>General</c:formatCode>
                  <c:ptCount val="1"/>
                  <c:pt idx="0">
                    <c:v>0.21702534414210706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Summary'!$BS$39</c:f>
              <c:numCache>
                <c:formatCode>General</c:formatCode>
                <c:ptCount val="1"/>
                <c:pt idx="0">
                  <c:v>0.36000000000000004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5-1144-A263-AB1FE057A696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185-1144-A263-AB1FE057A696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Summary'!$BS$14</c:f>
                <c:numCache>
                  <c:formatCode>General</c:formatCode>
                  <c:ptCount val="1"/>
                  <c:pt idx="0">
                    <c:v>9.6157467226426901E-2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Summary'!$BS$13</c:f>
              <c:numCache>
                <c:formatCode>General</c:formatCode>
                <c:ptCount val="1"/>
                <c:pt idx="0">
                  <c:v>0.45285714285714285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5-1144-A263-AB1FE057A696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Summary'!$BS$25</c:f>
                <c:numCache>
                  <c:formatCode>General</c:formatCode>
                  <c:ptCount val="1"/>
                  <c:pt idx="0">
                    <c:v>0.18333327272729302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Summary'!$BS$24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5-1144-A263-AB1FE057A696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Summary'!$BS$38</c:f>
                <c:numCache>
                  <c:formatCode>General</c:formatCode>
                  <c:ptCount val="1"/>
                  <c:pt idx="0">
                    <c:v>6.1237243569579443E-2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Summary'!$BS$37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85-1144-A263-AB1FE05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C  Weight Gain (WT)</a:t>
            </a:r>
          </a:p>
        </c:rich>
      </c:tx>
      <c:layout>
        <c:manualLayout>
          <c:xMode val="edge"/>
          <c:yMode val="edge"/>
          <c:x val="9.3984962406015032E-3"/>
          <c:y val="3.9583333333333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74649113281"/>
          <c:y val="0.17778333139696076"/>
          <c:w val="0.7619287717167329"/>
          <c:h val="0.6416867117609053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C5DBF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plus>
            <c:minus>
              <c:numRef>
                <c:f>'(WT) Growth Chart'!$I$59:$I$80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0.1238653863214878</c:v>
                  </c:pt>
                  <c:pt idx="2">
                    <c:v>0.1600641612425644</c:v>
                  </c:pt>
                  <c:pt idx="3">
                    <c:v>0.14763537976089211</c:v>
                  </c:pt>
                  <c:pt idx="4">
                    <c:v>0.13785263223560748</c:v>
                  </c:pt>
                  <c:pt idx="5">
                    <c:v>0.13625655292236663</c:v>
                  </c:pt>
                  <c:pt idx="6">
                    <c:v>0.16401219466856701</c:v>
                  </c:pt>
                  <c:pt idx="7">
                    <c:v>0.15124188289907381</c:v>
                  </c:pt>
                  <c:pt idx="8">
                    <c:v>0.18575857988259903</c:v>
                  </c:pt>
                  <c:pt idx="9">
                    <c:v>0.23722916888828921</c:v>
                  </c:pt>
                  <c:pt idx="10">
                    <c:v>0.23727197700408817</c:v>
                  </c:pt>
                  <c:pt idx="11">
                    <c:v>0.24521810627043275</c:v>
                  </c:pt>
                  <c:pt idx="12">
                    <c:v>0.30297299207779455</c:v>
                  </c:pt>
                  <c:pt idx="13">
                    <c:v>0.2983582308711647</c:v>
                  </c:pt>
                  <c:pt idx="14">
                    <c:v>0.29159046623646645</c:v>
                  </c:pt>
                  <c:pt idx="15">
                    <c:v>0.30634619480487851</c:v>
                  </c:pt>
                  <c:pt idx="16">
                    <c:v>0.33192855029358354</c:v>
                  </c:pt>
                  <c:pt idx="17">
                    <c:v>0.34719250269637369</c:v>
                  </c:pt>
                  <c:pt idx="18">
                    <c:v>0.3440709540611806</c:v>
                  </c:pt>
                  <c:pt idx="19">
                    <c:v>0.36034581604738691</c:v>
                  </c:pt>
                  <c:pt idx="20">
                    <c:v>0.40151693390725773</c:v>
                  </c:pt>
                  <c:pt idx="21">
                    <c:v>0.33021637927706932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Chart'!$H$59:$H$80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0.16624999999999979</c:v>
                </c:pt>
                <c:pt idx="2">
                  <c:v>0.57750000000000057</c:v>
                </c:pt>
                <c:pt idx="3">
                  <c:v>0.63625000000000043</c:v>
                </c:pt>
                <c:pt idx="4">
                  <c:v>0.82625000000000082</c:v>
                </c:pt>
                <c:pt idx="5">
                  <c:v>0.91124999999999989</c:v>
                </c:pt>
                <c:pt idx="6">
                  <c:v>1.1499999999999999</c:v>
                </c:pt>
                <c:pt idx="7">
                  <c:v>1.5274999999999999</c:v>
                </c:pt>
                <c:pt idx="8">
                  <c:v>1.8025000000000002</c:v>
                </c:pt>
                <c:pt idx="9">
                  <c:v>2.1325000000000007</c:v>
                </c:pt>
                <c:pt idx="10">
                  <c:v>2.3687499999999999</c:v>
                </c:pt>
                <c:pt idx="11">
                  <c:v>2.38625</c:v>
                </c:pt>
                <c:pt idx="12">
                  <c:v>2.7137499999999997</c:v>
                </c:pt>
                <c:pt idx="13">
                  <c:v>2.7562500000000005</c:v>
                </c:pt>
                <c:pt idx="14">
                  <c:v>2.7800000000000007</c:v>
                </c:pt>
                <c:pt idx="15">
                  <c:v>3.0212500000000002</c:v>
                </c:pt>
                <c:pt idx="16">
                  <c:v>3.2087500000000002</c:v>
                </c:pt>
                <c:pt idx="17">
                  <c:v>3.1462499999999998</c:v>
                </c:pt>
                <c:pt idx="18">
                  <c:v>3.3675000000000002</c:v>
                </c:pt>
                <c:pt idx="19">
                  <c:v>3.5375000000000005</c:v>
                </c:pt>
                <c:pt idx="20">
                  <c:v>3.7312499999999997</c:v>
                </c:pt>
                <c:pt idx="21">
                  <c:v>3.6300000000000012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A-41D7-9426-FB4A55C69EDC}"/>
            </c:ext>
          </c:extLst>
        </c:ser>
        <c:ser>
          <c:idx val="3"/>
          <c:order val="1"/>
          <c:tx>
            <c:strRef>
              <c:f>'(WT) Growth Chart'!$D$58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36C94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marker>
              <c:spPr>
                <a:solidFill>
                  <a:srgbClr val="36C94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FA-41D7-9426-FB4A55C69ED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plus>
            <c:minus>
              <c:numRef>
                <c:f>'(WT) Growth Chart'!$K$59:$K$80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0.1379311422413371</c:v>
                  </c:pt>
                  <c:pt idx="2">
                    <c:v>0.22386020829335182</c:v>
                  </c:pt>
                  <c:pt idx="3">
                    <c:v>0.21399213520260829</c:v>
                  </c:pt>
                  <c:pt idx="4">
                    <c:v>0.24346274282291536</c:v>
                  </c:pt>
                  <c:pt idx="5">
                    <c:v>0.16889345754054524</c:v>
                  </c:pt>
                  <c:pt idx="6">
                    <c:v>0.25036000864469432</c:v>
                  </c:pt>
                  <c:pt idx="7">
                    <c:v>0.23959368507657158</c:v>
                  </c:pt>
                  <c:pt idx="8">
                    <c:v>0.2380482394089781</c:v>
                  </c:pt>
                  <c:pt idx="9">
                    <c:v>0.23249759983400109</c:v>
                  </c:pt>
                  <c:pt idx="10">
                    <c:v>0.23751503711795358</c:v>
                  </c:pt>
                  <c:pt idx="11">
                    <c:v>0.25922575310224971</c:v>
                  </c:pt>
                  <c:pt idx="12">
                    <c:v>0.23808011856755848</c:v>
                  </c:pt>
                  <c:pt idx="13">
                    <c:v>0.32108632573099166</c:v>
                  </c:pt>
                  <c:pt idx="14">
                    <c:v>0.31253535514287878</c:v>
                  </c:pt>
                  <c:pt idx="15">
                    <c:v>0.3495392375276748</c:v>
                  </c:pt>
                  <c:pt idx="16">
                    <c:v>0.33483871383953506</c:v>
                  </c:pt>
                  <c:pt idx="17">
                    <c:v>0.3124753561711473</c:v>
                  </c:pt>
                  <c:pt idx="18">
                    <c:v>0.31682542229796806</c:v>
                  </c:pt>
                  <c:pt idx="19">
                    <c:v>0.36126977207384187</c:v>
                  </c:pt>
                  <c:pt idx="20">
                    <c:v>0.42592310464616578</c:v>
                  </c:pt>
                  <c:pt idx="21">
                    <c:v>0.47422093065514115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Chart'!$J$59:$J$80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-0.15500000000000025</c:v>
                </c:pt>
                <c:pt idx="2">
                  <c:v>0.49250000000000016</c:v>
                </c:pt>
                <c:pt idx="3">
                  <c:v>0.61624999999999996</c:v>
                </c:pt>
                <c:pt idx="4">
                  <c:v>0.81749999999999901</c:v>
                </c:pt>
                <c:pt idx="5">
                  <c:v>0.97000000000000064</c:v>
                </c:pt>
                <c:pt idx="6">
                  <c:v>1.1912500000000006</c:v>
                </c:pt>
                <c:pt idx="7">
                  <c:v>1.4387500000000002</c:v>
                </c:pt>
                <c:pt idx="8">
                  <c:v>1.4275000000000002</c:v>
                </c:pt>
                <c:pt idx="9">
                  <c:v>1.6612500000000003</c:v>
                </c:pt>
                <c:pt idx="10">
                  <c:v>1.7774999999999994</c:v>
                </c:pt>
                <c:pt idx="11">
                  <c:v>1.9312499999999999</c:v>
                </c:pt>
                <c:pt idx="12">
                  <c:v>2.0850000000000004</c:v>
                </c:pt>
                <c:pt idx="13">
                  <c:v>2.1650000000000005</c:v>
                </c:pt>
                <c:pt idx="14">
                  <c:v>2.2862499999999999</c:v>
                </c:pt>
                <c:pt idx="15">
                  <c:v>2.4625000000000008</c:v>
                </c:pt>
                <c:pt idx="16">
                  <c:v>2.6525000000000003</c:v>
                </c:pt>
                <c:pt idx="17">
                  <c:v>2.7512500000000006</c:v>
                </c:pt>
                <c:pt idx="18">
                  <c:v>2.9062500000000004</c:v>
                </c:pt>
                <c:pt idx="19">
                  <c:v>2.9887499999999996</c:v>
                </c:pt>
                <c:pt idx="20">
                  <c:v>3.1937499999999996</c:v>
                </c:pt>
                <c:pt idx="21">
                  <c:v>3.4537499999999999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A-41D7-9426-FB4A55C69EDC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E8115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plus>
            <c:minus>
              <c:numRef>
                <c:f>'(WT) Growth Chart'!$M$59:$M$80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0.23004463852540807</c:v>
                  </c:pt>
                  <c:pt idx="2">
                    <c:v>8.1293944160329673E-2</c:v>
                  </c:pt>
                  <c:pt idx="3">
                    <c:v>0.14523380165394387</c:v>
                  </c:pt>
                  <c:pt idx="4">
                    <c:v>0.16395706646209854</c:v>
                  </c:pt>
                  <c:pt idx="5">
                    <c:v>0.23376145884823923</c:v>
                  </c:pt>
                  <c:pt idx="6">
                    <c:v>0.31211225945162707</c:v>
                  </c:pt>
                  <c:pt idx="7">
                    <c:v>0.3261668613280192</c:v>
                  </c:pt>
                  <c:pt idx="8">
                    <c:v>0.4351987948873805</c:v>
                  </c:pt>
                  <c:pt idx="9">
                    <c:v>0.49647687329248857</c:v>
                  </c:pt>
                  <c:pt idx="10">
                    <c:v>0.51874311527272998</c:v>
                  </c:pt>
                  <c:pt idx="11">
                    <c:v>0.63412323469946574</c:v>
                  </c:pt>
                  <c:pt idx="12">
                    <c:v>0.6082901974269469</c:v>
                  </c:pt>
                  <c:pt idx="13">
                    <c:v>0.57682010069988765</c:v>
                  </c:pt>
                  <c:pt idx="14">
                    <c:v>0.6845943467797968</c:v>
                  </c:pt>
                  <c:pt idx="15">
                    <c:v>0.74145127958619084</c:v>
                  </c:pt>
                  <c:pt idx="16">
                    <c:v>0.74681331932991857</c:v>
                  </c:pt>
                  <c:pt idx="17">
                    <c:v>0.87469369638748362</c:v>
                  </c:pt>
                  <c:pt idx="18">
                    <c:v>0.91216175237728503</c:v>
                  </c:pt>
                  <c:pt idx="19">
                    <c:v>0.92143218783897174</c:v>
                  </c:pt>
                  <c:pt idx="20">
                    <c:v>0.92765641730730686</c:v>
                  </c:pt>
                  <c:pt idx="21">
                    <c:v>0.88920497697180434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'(WT) Growth Chart'!$A$59:$A$80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'(WT) Growth Chart'!$L$59:$L$80</c:f>
              <c:numCache>
                <c:formatCode>General</c:formatCode>
                <c:ptCount val="22"/>
                <c:pt idx="0">
                  <c:v>6.6613381477509392E-16</c:v>
                </c:pt>
                <c:pt idx="1">
                  <c:v>-1.2474999999999994</c:v>
                </c:pt>
                <c:pt idx="2">
                  <c:v>-0.70124999999999948</c:v>
                </c:pt>
                <c:pt idx="3">
                  <c:v>-0.20499999999999985</c:v>
                </c:pt>
                <c:pt idx="4">
                  <c:v>0.11375000000000046</c:v>
                </c:pt>
                <c:pt idx="5">
                  <c:v>0.47874999999999979</c:v>
                </c:pt>
                <c:pt idx="6">
                  <c:v>1.0562500000000001</c:v>
                </c:pt>
                <c:pt idx="7">
                  <c:v>1.4075000000000006</c:v>
                </c:pt>
                <c:pt idx="8">
                  <c:v>1.6212500000000005</c:v>
                </c:pt>
                <c:pt idx="9">
                  <c:v>1.7550000000000006</c:v>
                </c:pt>
                <c:pt idx="10">
                  <c:v>2.0087500000000009</c:v>
                </c:pt>
                <c:pt idx="11">
                  <c:v>2.0687500000000005</c:v>
                </c:pt>
                <c:pt idx="12">
                  <c:v>2.2774999999999999</c:v>
                </c:pt>
                <c:pt idx="13">
                  <c:v>2.1750000000000007</c:v>
                </c:pt>
                <c:pt idx="14">
                  <c:v>2.4487500000000004</c:v>
                </c:pt>
                <c:pt idx="15">
                  <c:v>2.6450000000000005</c:v>
                </c:pt>
                <c:pt idx="16">
                  <c:v>3.0312500000000004</c:v>
                </c:pt>
                <c:pt idx="17">
                  <c:v>2.9837500000000001</c:v>
                </c:pt>
                <c:pt idx="18">
                  <c:v>3.0662499999999997</c:v>
                </c:pt>
                <c:pt idx="19">
                  <c:v>3.0987499999999999</c:v>
                </c:pt>
                <c:pt idx="20">
                  <c:v>3.2300000000000004</c:v>
                </c:pt>
                <c:pt idx="21">
                  <c:v>3.5462500000000006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A-41D7-9426-FB4A55C6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0980344293995496"/>
              <c:y val="0.75175435781728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3"/>
      </c:valAx>
      <c:valAx>
        <c:axId val="1"/>
        <c:scaling>
          <c:orientation val="minMax"/>
          <c:max val="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1.1764647840072622E-2"/>
              <c:y val="0.2398648293963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555791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546800071043751"/>
          <c:y val="0.17778324584426947"/>
          <c:w val="0.23058374282162097"/>
          <c:h val="0.155560367454068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(lower rostral)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8407843349482"/>
          <c:y val="0.22055904535732962"/>
          <c:w val="0.65235479641067062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37E-E349-B890-83DC3583F149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Summary'!$BT$15</c:f>
                <c:numCache>
                  <c:formatCode>General</c:formatCode>
                  <c:ptCount val="1"/>
                  <c:pt idx="0">
                    <c:v>0.18371173070873836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Summary'!$BT$14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E-E349-B890-83DC3583F149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Summary'!$BT$27</c:f>
                <c:numCache>
                  <c:formatCode>General</c:formatCode>
                  <c:ptCount val="1"/>
                  <c:pt idx="0">
                    <c:v>6.666666666666668E-2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Summary'!$BT$26</c:f>
              <c:numCache>
                <c:formatCode>General</c:formatCode>
                <c:ptCount val="1"/>
                <c:pt idx="0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E-E349-B890-83DC3583F149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Summary'!$BT$40</c:f>
                <c:numCache>
                  <c:formatCode>General</c:formatCode>
                  <c:ptCount val="1"/>
                  <c:pt idx="0">
                    <c:v>0.33291640592396982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Summary'!$BT$39</c:f>
              <c:numCache>
                <c:formatCode>General</c:formatCode>
                <c:ptCount val="1"/>
                <c:pt idx="0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E-E349-B890-83DC3583F149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37E-E349-B890-83DC3583F149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Summary'!$BT$14</c:f>
                <c:numCache>
                  <c:formatCode>General</c:formatCode>
                  <c:ptCount val="1"/>
                  <c:pt idx="0">
                    <c:v>8.8255966632622113E-2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Summary'!$BT$13</c:f>
              <c:numCache>
                <c:formatCode>General</c:formatCode>
                <c:ptCount val="1"/>
                <c:pt idx="0">
                  <c:v>0.29285714285714282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7E-E349-B890-83DC3583F149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Summary'!$BT$25</c:f>
                <c:numCache>
                  <c:formatCode>General</c:formatCode>
                  <c:ptCount val="1"/>
                  <c:pt idx="0">
                    <c:v>8.7177978870813494E-2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Summary'!$BT$24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7E-E349-B890-83DC3583F149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Summary'!$BT$38</c:f>
                <c:numCache>
                  <c:formatCode>General</c:formatCode>
                  <c:ptCount val="1"/>
                  <c:pt idx="0">
                    <c:v>0.30331501776206204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Summary'!$BT$37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7E-E349-B890-83DC358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(upper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56266694428808"/>
          <c:y val="0.21213798993385494"/>
          <c:w val="0.63881096225538614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6AC-174D-91C2-DBCFF671CE05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Summary'!$BU$15</c:f>
                <c:numCache>
                  <c:formatCode>General</c:formatCode>
                  <c:ptCount val="1"/>
                  <c:pt idx="0">
                    <c:v>0.19436509174463401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Summary'!$BU$14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C-174D-91C2-DBCFF671CE05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Summary'!$BU$27</c:f>
                <c:numCache>
                  <c:formatCode>General</c:formatCode>
                  <c:ptCount val="1"/>
                  <c:pt idx="0">
                    <c:v>0.44444443333333333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Summary'!$BU$26</c:f>
              <c:numCache>
                <c:formatCode>General</c:formatCode>
                <c:ptCount val="1"/>
                <c:pt idx="0">
                  <c:v>0.44444443333333333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C-174D-91C2-DBCFF671CE05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Summary'!$BU$40</c:f>
                <c:numCache>
                  <c:formatCode>General</c:formatCode>
                  <c:ptCount val="1"/>
                  <c:pt idx="0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Summary'!$BU$39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C-174D-91C2-DBCFF671CE05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6AC-174D-91C2-DBCFF671CE05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Summary'!$BU$14</c:f>
                <c:numCache>
                  <c:formatCode>General</c:formatCode>
                  <c:ptCount val="1"/>
                  <c:pt idx="0">
                    <c:v>6.734323359719617E-2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Summary'!$BU$13</c:f>
              <c:numCache>
                <c:formatCode>General</c:formatCode>
                <c:ptCount val="1"/>
                <c:pt idx="0">
                  <c:v>0.14285657142857142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C-174D-91C2-DBCFF671CE05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Summary'!$BU$25</c:f>
                <c:numCache>
                  <c:formatCode>General</c:formatCode>
                  <c:ptCount val="1"/>
                  <c:pt idx="0">
                    <c:v>0.13333339999999999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Summary'!$BU$24</c:f>
              <c:numCache>
                <c:formatCode>General</c:formatCode>
                <c:ptCount val="1"/>
                <c:pt idx="0">
                  <c:v>0.13333339999999999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C-174D-91C2-DBCFF671CE05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Summary'!$BU$38</c:f>
                <c:numCache>
                  <c:formatCode>General</c:formatCode>
                  <c:ptCount val="1"/>
                  <c:pt idx="0">
                    <c:v>0.1856232744027537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Summary'!$BU$37</c:f>
              <c:numCache>
                <c:formatCode>General</c:formatCode>
                <c:ptCount val="1"/>
                <c:pt idx="0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C-174D-91C2-DBCFF671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Other new cells 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(lower caudal)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5544122168652"/>
          <c:y val="0.21213798993385494"/>
          <c:w val="0.6551261591988623"/>
          <c:h val="0.72612937459738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6DAF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0B0-1648-8DF9-81B185A3A96A}"/>
              </c:ext>
            </c:extLst>
          </c:dPt>
          <c:errBars>
            <c:errBarType val="plus"/>
            <c:errValType val="cust"/>
            <c:noEndCap val="0"/>
            <c:plus>
              <c:numRef>
                <c:f>'(WT) Data Summary'!$BV$15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Summary'!$BV$14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0-1648-8DF9-81B185A3A96A}"/>
            </c:ext>
          </c:extLst>
        </c:ser>
        <c:ser>
          <c:idx val="1"/>
          <c:order val="1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Summary'!$BV$27</c:f>
                <c:numCache>
                  <c:formatCode>General</c:formatCode>
                  <c:ptCount val="1"/>
                  <c:pt idx="0">
                    <c:v>0.22222333333333336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Summary'!$BV$26</c:f>
              <c:numCache>
                <c:formatCode>General</c:formatCode>
                <c:ptCount val="1"/>
                <c:pt idx="0">
                  <c:v>0.22222333333333333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0-1648-8DF9-81B185A3A96A}"/>
            </c:ext>
          </c:extLst>
        </c:ser>
        <c:ser>
          <c:idx val="2"/>
          <c:order val="2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Summary'!$BV$40</c:f>
                <c:numCache>
                  <c:formatCode>General</c:formatCode>
                  <c:ptCount val="1"/>
                  <c:pt idx="0">
                    <c:v>0.41666666666666669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'(WT) Data Summary'!$BV$39</c:f>
              <c:numCache>
                <c:formatCode>General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0-1648-8DF9-81B185A3A96A}"/>
            </c:ext>
          </c:extLst>
        </c:ser>
        <c:ser>
          <c:idx val="3"/>
          <c:order val="3"/>
          <c:invertIfNegative val="0"/>
          <c:errBars>
            <c:errBarType val="both"/>
            <c:errValType val="percentage"/>
            <c:noEndCap val="0"/>
            <c:val val="5"/>
          </c:errBars>
          <c:val>
            <c:numRef>
              <c:f>'(WT) Data Summary'!$D$66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00B0-1648-8DF9-81B185A3A96A}"/>
            </c:ext>
          </c:extLst>
        </c:ser>
        <c:ser>
          <c:idx val="4"/>
          <c:order val="4"/>
          <c:spPr>
            <a:solidFill>
              <a:srgbClr val="BDD7E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Summary'!$BV$14</c:f>
                <c:numCache>
                  <c:formatCode>General</c:formatCode>
                  <c:ptCount val="1"/>
                  <c:pt idx="0">
                    <c:v>0.11983914641554087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Summary'!$BV$13</c:f>
              <c:numCache>
                <c:formatCode>General</c:formatCode>
                <c:ptCount val="1"/>
                <c:pt idx="0">
                  <c:v>0.23809571428571427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0-1648-8DF9-81B185A3A96A}"/>
            </c:ext>
          </c:extLst>
        </c:ser>
        <c:ser>
          <c:idx val="5"/>
          <c:order val="5"/>
          <c:spPr>
            <a:solidFill>
              <a:srgbClr val="38C84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Summary'!$BV$25</c:f>
                <c:numCache>
                  <c:formatCode>General</c:formatCode>
                  <c:ptCount val="1"/>
                  <c:pt idx="0">
                    <c:v>0.13333375000351561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Summary'!$BV$24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0-1648-8DF9-81B185A3A96A}"/>
            </c:ext>
          </c:extLst>
        </c:ser>
        <c:ser>
          <c:idx val="6"/>
          <c:order val="6"/>
          <c:spPr>
            <a:solidFill>
              <a:srgbClr val="E8145C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Summary'!$BV$38</c:f>
                <c:numCache>
                  <c:formatCode>General</c:formatCode>
                  <c:ptCount val="1"/>
                  <c:pt idx="0">
                    <c:v>6.6000000000000003E-2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Summary'!$BV$37</c:f>
              <c:numCache>
                <c:formatCode>General</c:formatCode>
                <c:ptCount val="1"/>
                <c:pt idx="0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0-1648-8DF9-81B185A3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BrdU+/NeuN- cells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(cells per section)</a:t>
                </a:r>
              </a:p>
            </c:rich>
          </c:tx>
          <c:layout>
            <c:manualLayout>
              <c:xMode val="edge"/>
              <c:yMode val="edge"/>
              <c:x val="7.3814651001506801E-4"/>
              <c:y val="0.29475550592805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Caloric Intake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8117336880476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Summary'!$M$15</c:f>
                <c:numCache>
                  <c:formatCode>General</c:formatCode>
                  <c:ptCount val="1"/>
                  <c:pt idx="0">
                    <c:v>10.341755792889071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Summary'!$M$14</c:f>
              <c:numCache>
                <c:formatCode>General</c:formatCode>
                <c:ptCount val="1"/>
                <c:pt idx="0">
                  <c:v>322.88236515967344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E-314B-93C1-E8E4D8F5255F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Summary'!$M$27</c:f>
                <c:numCache>
                  <c:formatCode>General</c:formatCode>
                  <c:ptCount val="1"/>
                  <c:pt idx="0">
                    <c:v>14.037099982778873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Summary'!$M$26</c:f>
              <c:numCache>
                <c:formatCode>General</c:formatCode>
                <c:ptCount val="1"/>
                <c:pt idx="0">
                  <c:v>321.92335651565645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E-314B-93C1-E8E4D8F5255F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Summary'!$M$40</c:f>
                <c:numCache>
                  <c:formatCode>General</c:formatCode>
                  <c:ptCount val="1"/>
                  <c:pt idx="0">
                    <c:v>9.3712857694015135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Summary'!$M$39</c:f>
              <c:numCache>
                <c:formatCode>General</c:formatCode>
                <c:ptCount val="1"/>
                <c:pt idx="0">
                  <c:v>280.44677729901355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E-314B-93C1-E8E4D8F5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Cumulative caloric intake (kcal)</a:t>
                </a:r>
              </a:p>
            </c:rich>
          </c:tx>
          <c:layout>
            <c:manualLayout>
              <c:xMode val="edge"/>
              <c:yMode val="edge"/>
              <c:x val="1.7856291383106235E-3"/>
              <c:y val="0.222113385826771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Abdominal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8117336880476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Summary'!$AU$15</c:f>
                <c:numCache>
                  <c:formatCode>0.000000</c:formatCode>
                  <c:ptCount val="1"/>
                  <c:pt idx="0">
                    <c:v>4.1131569129507599E-2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Summary'!$AU$14</c:f>
              <c:numCache>
                <c:formatCode>0.000000</c:formatCode>
                <c:ptCount val="1"/>
                <c:pt idx="0">
                  <c:v>0.91833263968848045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1-CC43-A03D-33A101C5A44B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Summary'!$AU$27</c:f>
                <c:numCache>
                  <c:formatCode>General</c:formatCode>
                  <c:ptCount val="1"/>
                  <c:pt idx="0">
                    <c:v>8.4266723166227173E-2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Summary'!$AU$26</c:f>
              <c:numCache>
                <c:formatCode>General</c:formatCode>
                <c:ptCount val="1"/>
                <c:pt idx="0">
                  <c:v>1.2081869902644053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1-CC43-A03D-33A101C5A44B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Summary'!$AU$40</c:f>
                <c:numCache>
                  <c:formatCode>General</c:formatCode>
                  <c:ptCount val="1"/>
                  <c:pt idx="0">
                    <c:v>8.1161995913826751E-2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Summary'!$AU$39</c:f>
              <c:numCache>
                <c:formatCode>General</c:formatCode>
                <c:ptCount val="1"/>
                <c:pt idx="0">
                  <c:v>1.0790877699691988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1-CC43-A03D-33A101C5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Abdominal WAT weight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1.7857610196216984E-3"/>
              <c:y val="0.280232725152366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Storage Efficiency 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49935500447555647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Summary'!$AV$15</c:f>
                <c:numCache>
                  <c:formatCode>General</c:formatCode>
                  <c:ptCount val="1"/>
                  <c:pt idx="0">
                    <c:v>5.2682598978045704E-2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Summary'!$AV$14</c:f>
              <c:numCache>
                <c:formatCode>General</c:formatCode>
                <c:ptCount val="1"/>
                <c:pt idx="0">
                  <c:v>0.66722463774007601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8-D844-9146-DB7D5CA0C5FD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Summary'!$AV$27</c:f>
                <c:numCache>
                  <c:formatCode>General</c:formatCode>
                  <c:ptCount val="1"/>
                  <c:pt idx="0">
                    <c:v>7.5183611424036317E-2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Summary'!$AV$26</c:f>
              <c:numCache>
                <c:formatCode>General</c:formatCode>
                <c:ptCount val="1"/>
                <c:pt idx="0">
                  <c:v>0.86717859581559276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8-D844-9146-DB7D5CA0C5FD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Summary'!$AV$40</c:f>
                <c:numCache>
                  <c:formatCode>General</c:formatCode>
                  <c:ptCount val="1"/>
                  <c:pt idx="0">
                    <c:v>5.0948475283091967E-2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Summary'!$AV$39</c:f>
              <c:numCache>
                <c:formatCode>General</c:formatCode>
                <c:ptCount val="1"/>
                <c:pt idx="0">
                  <c:v>0.86776198918374026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8-D844-9146-DB7D5CA0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Abdominal lipid storage efficiency (mg/kcal)</a:t>
                </a:r>
              </a:p>
            </c:rich>
          </c:tx>
          <c:layout>
            <c:manualLayout>
              <c:xMode val="edge"/>
              <c:yMode val="edge"/>
              <c:x val="1.7856291383106235E-3"/>
              <c:y val="0.214113385826771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531544752578"/>
          <c:y val="0.20764348013544365"/>
          <c:w val="0.6224712931331911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Summary'!$N$15</c:f>
                <c:numCache>
                  <c:formatCode>General</c:formatCode>
                  <c:ptCount val="1"/>
                  <c:pt idx="0">
                    <c:v>8.6602540378443893E-2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Summary'!$N$14</c:f>
              <c:numCache>
                <c:formatCode>General</c:formatCode>
                <c:ptCount val="1"/>
                <c:pt idx="0">
                  <c:v>9.0499999999999989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1-A641-B78D-49E9FEC5CB59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Summary'!$N$27</c:f>
                <c:numCache>
                  <c:formatCode>General</c:formatCode>
                  <c:ptCount val="1"/>
                  <c:pt idx="0">
                    <c:v>7.5445107765277117E-2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Summary'!$N$26</c:f>
              <c:numCache>
                <c:formatCode>General</c:formatCode>
                <c:ptCount val="1"/>
                <c:pt idx="0">
                  <c:v>8.9625000000000004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1-A641-B78D-49E9FEC5CB59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Summary'!$N$40</c:f>
                <c:numCache>
                  <c:formatCode>General</c:formatCode>
                  <c:ptCount val="1"/>
                  <c:pt idx="0">
                    <c:v>0.10680004681646922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Summary'!$N$39</c:f>
              <c:numCache>
                <c:formatCode>General</c:formatCode>
                <c:ptCount val="1"/>
                <c:pt idx="0">
                  <c:v>8.7624999999999993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1-A641-B78D-49E9FEC5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Nose-anus length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(cm)</a:t>
                </a:r>
              </a:p>
            </c:rich>
          </c:tx>
          <c:layout>
            <c:manualLayout>
              <c:xMode val="edge"/>
              <c:yMode val="edge"/>
              <c:x val="1.7856750359446683E-3"/>
              <c:y val="0.338113385826771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Tibial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531544752578"/>
          <c:y val="0.20764348013544365"/>
          <c:w val="0.6224712931331911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Summary'!$P$15</c:f>
                <c:numCache>
                  <c:formatCode>General</c:formatCode>
                  <c:ptCount val="1"/>
                  <c:pt idx="0">
                    <c:v>6.075240662487618E-2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Summary'!$P$14</c:f>
              <c:numCache>
                <c:formatCode>General</c:formatCode>
                <c:ptCount val="1"/>
                <c:pt idx="0">
                  <c:v>17.106375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024B-99EE-7A8BEA4BC0B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Summary'!$P$27</c:f>
                <c:numCache>
                  <c:formatCode>General</c:formatCode>
                  <c:ptCount val="1"/>
                  <c:pt idx="0">
                    <c:v>9.0320807205680531E-2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Summary'!$P$26</c:f>
              <c:numCache>
                <c:formatCode>General</c:formatCode>
                <c:ptCount val="1"/>
                <c:pt idx="0">
                  <c:v>17.11675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024B-99EE-7A8BEA4BC0B8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Summary'!$P$40</c:f>
                <c:numCache>
                  <c:formatCode>General</c:formatCode>
                  <c:ptCount val="1"/>
                  <c:pt idx="0">
                    <c:v>0.17485089949317217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Summary'!$P$39</c:f>
              <c:numCache>
                <c:formatCode>General</c:formatCode>
                <c:ptCount val="1"/>
                <c:pt idx="0">
                  <c:v>16.931125000000002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5-024B-99EE-7A8BEA4B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length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(mm)</a:t>
                </a:r>
              </a:p>
            </c:rich>
          </c:tx>
          <c:layout>
            <c:manualLayout>
              <c:xMode val="edge"/>
              <c:yMode val="edge"/>
              <c:x val="1.7858270930622439E-3"/>
              <c:y val="0.378113385826771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Growth Rate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531544752578"/>
          <c:y val="0.20764348013544365"/>
          <c:w val="0.6224712931331911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Summary'!$Q$15</c:f>
                <c:numCache>
                  <c:formatCode>General</c:formatCode>
                  <c:ptCount val="1"/>
                  <c:pt idx="0">
                    <c:v>1.9557711645829847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Summary'!$Q$14</c:f>
              <c:numCache>
                <c:formatCode>General</c:formatCode>
                <c:ptCount val="1"/>
                <c:pt idx="0">
                  <c:v>82.241249999999994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2D45-8D6E-F171F920E4A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Summary'!$Q$27</c:f>
                <c:numCache>
                  <c:formatCode>General</c:formatCode>
                  <c:ptCount val="1"/>
                  <c:pt idx="0">
                    <c:v>1.3502631191998942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Summary'!$Q$26</c:f>
              <c:numCache>
                <c:formatCode>General</c:formatCode>
                <c:ptCount val="1"/>
                <c:pt idx="0">
                  <c:v>79.576249999999987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2D45-8D6E-F171F920E4A8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Summary'!$R$40</c:f>
                <c:numCache>
                  <c:formatCode>General</c:formatCode>
                  <c:ptCount val="1"/>
                  <c:pt idx="0">
                    <c:v>0.60667418885970026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Summary'!$Q$39</c:f>
              <c:numCache>
                <c:formatCode>General</c:formatCode>
                <c:ptCount val="1"/>
                <c:pt idx="0">
                  <c:v>93.433750000000003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2D45-8D6E-F171F920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epiphyseal plate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width (µm)</a:t>
                </a:r>
              </a:p>
            </c:rich>
          </c:tx>
          <c:layout>
            <c:manualLayout>
              <c:xMode val="edge"/>
              <c:yMode val="edge"/>
              <c:x val="1.7858270930622439E-3"/>
              <c:y val="0.270113385826771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Interscapular BAT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4685965724872632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F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Summary'!$AX$15</c:f>
                <c:numCache>
                  <c:formatCode>General</c:formatCode>
                  <c:ptCount val="1"/>
                  <c:pt idx="0">
                    <c:v>1.6384761524987076E-2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Summary'!$AX$14</c:f>
              <c:numCache>
                <c:formatCode>0.0000000</c:formatCode>
                <c:ptCount val="1"/>
                <c:pt idx="0">
                  <c:v>0.40884660350330909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7-644F-A029-4268F89CE33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Summary'!$AX$27</c:f>
                <c:numCache>
                  <c:formatCode>General</c:formatCode>
                  <c:ptCount val="1"/>
                  <c:pt idx="0">
                    <c:v>3.3355979517734134E-2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Summary'!$AX$26</c:f>
              <c:numCache>
                <c:formatCode>General</c:formatCode>
                <c:ptCount val="1"/>
                <c:pt idx="0">
                  <c:v>0.53194245322864031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7-644F-A029-4268F89CE33A}"/>
            </c:ext>
          </c:extLst>
        </c:ser>
        <c:ser>
          <c:idx val="2"/>
          <c:order val="2"/>
          <c:spPr>
            <a:solidFill>
              <a:srgbClr val="39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Summary'!$AX$40</c:f>
                <c:numCache>
                  <c:formatCode>General</c:formatCode>
                  <c:ptCount val="1"/>
                  <c:pt idx="0">
                    <c:v>2.6019726579928501E-2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Summary'!$AX$39</c:f>
              <c:numCache>
                <c:formatCode>General</c:formatCode>
                <c:ptCount val="1"/>
                <c:pt idx="0">
                  <c:v>0.43541893626825712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7-644F-A029-4268F89C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Interscapular BAT weight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1.7857610196216984E-3"/>
              <c:y val="0.280232725152366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A  Growth Chart</a:t>
            </a:r>
          </a:p>
        </c:rich>
      </c:tx>
      <c:layout>
        <c:manualLayout>
          <c:xMode val="edge"/>
          <c:yMode val="edge"/>
          <c:x val="9.3984962406015032E-3"/>
          <c:y val="4.3749999999999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74649113281"/>
          <c:y val="0.18056119595003828"/>
          <c:w val="0.76944780564814796"/>
          <c:h val="0.63613098265475021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Chart'!$C$57:$C$78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0.55554805550492992</c:v>
                  </c:pt>
                  <c:pt idx="2">
                    <c:v>0.48228078241458011</c:v>
                  </c:pt>
                  <c:pt idx="3">
                    <c:v>0.47138225949636808</c:v>
                  </c:pt>
                  <c:pt idx="4">
                    <c:v>0.46358539639756385</c:v>
                  </c:pt>
                  <c:pt idx="5">
                    <c:v>0.44495144692815286</c:v>
                  </c:pt>
                  <c:pt idx="6">
                    <c:v>0.44800414735734612</c:v>
                  </c:pt>
                  <c:pt idx="7">
                    <c:v>0.50991042544285048</c:v>
                  </c:pt>
                  <c:pt idx="8">
                    <c:v>0.48604443987238904</c:v>
                  </c:pt>
                  <c:pt idx="9">
                    <c:v>0.50518973333458261</c:v>
                  </c:pt>
                  <c:pt idx="10">
                    <c:v>0.52322185649216835</c:v>
                  </c:pt>
                  <c:pt idx="11">
                    <c:v>0.53086698247905739</c:v>
                  </c:pt>
                  <c:pt idx="12">
                    <c:v>0.53636925276216385</c:v>
                  </c:pt>
                  <c:pt idx="13">
                    <c:v>0.56444526465382239</c:v>
                  </c:pt>
                  <c:pt idx="14">
                    <c:v>0.48830773539279965</c:v>
                  </c:pt>
                  <c:pt idx="15">
                    <c:v>0.54230930539319488</c:v>
                  </c:pt>
                  <c:pt idx="16">
                    <c:v>0.53756337553450306</c:v>
                  </c:pt>
                  <c:pt idx="17">
                    <c:v>0.55483592280472249</c:v>
                  </c:pt>
                  <c:pt idx="18">
                    <c:v>0.50371520956357785</c:v>
                  </c:pt>
                  <c:pt idx="19">
                    <c:v>0.57606128574854909</c:v>
                  </c:pt>
                  <c:pt idx="20">
                    <c:v>0.65073130750556452</c:v>
                  </c:pt>
                  <c:pt idx="21">
                    <c:v>0.61143526756293143</c:v>
                  </c:pt>
                </c:numCache>
              </c:numRef>
            </c:plus>
            <c:minus>
              <c:numRef>
                <c:f>'(HOM) Growth Chart'!$C$57:$C$78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0.55554805550492992</c:v>
                  </c:pt>
                  <c:pt idx="2">
                    <c:v>0.48228078241458011</c:v>
                  </c:pt>
                  <c:pt idx="3">
                    <c:v>0.47138225949636808</c:v>
                  </c:pt>
                  <c:pt idx="4">
                    <c:v>0.46358539639756385</c:v>
                  </c:pt>
                  <c:pt idx="5">
                    <c:v>0.44495144692815286</c:v>
                  </c:pt>
                  <c:pt idx="6">
                    <c:v>0.44800414735734612</c:v>
                  </c:pt>
                  <c:pt idx="7">
                    <c:v>0.50991042544285048</c:v>
                  </c:pt>
                  <c:pt idx="8">
                    <c:v>0.48604443987238904</c:v>
                  </c:pt>
                  <c:pt idx="9">
                    <c:v>0.50518973333458261</c:v>
                  </c:pt>
                  <c:pt idx="10">
                    <c:v>0.52322185649216835</c:v>
                  </c:pt>
                  <c:pt idx="11">
                    <c:v>0.53086698247905739</c:v>
                  </c:pt>
                  <c:pt idx="12">
                    <c:v>0.53636925276216385</c:v>
                  </c:pt>
                  <c:pt idx="13">
                    <c:v>0.56444526465382239</c:v>
                  </c:pt>
                  <c:pt idx="14">
                    <c:v>0.48830773539279965</c:v>
                  </c:pt>
                  <c:pt idx="15">
                    <c:v>0.54230930539319488</c:v>
                  </c:pt>
                  <c:pt idx="16">
                    <c:v>0.53756337553450306</c:v>
                  </c:pt>
                  <c:pt idx="17">
                    <c:v>0.55483592280472249</c:v>
                  </c:pt>
                  <c:pt idx="18">
                    <c:v>0.50371520956357785</c:v>
                  </c:pt>
                  <c:pt idx="19">
                    <c:v>0.57606128574854909</c:v>
                  </c:pt>
                  <c:pt idx="20">
                    <c:v>0.65073130750556452</c:v>
                  </c:pt>
                  <c:pt idx="21">
                    <c:v>0.61143526756293143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Chart'!$A$57:$A$80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Chart'!$B$57:$B$78</c:f>
              <c:numCache>
                <c:formatCode>General</c:formatCode>
                <c:ptCount val="22"/>
                <c:pt idx="0">
                  <c:v>18.391111111111112</c:v>
                </c:pt>
                <c:pt idx="1">
                  <c:v>18.564444444444447</c:v>
                </c:pt>
                <c:pt idx="2">
                  <c:v>18.854444444444443</c:v>
                </c:pt>
                <c:pt idx="3">
                  <c:v>18.968888888888888</c:v>
                </c:pt>
                <c:pt idx="4">
                  <c:v>19.105555555555561</c:v>
                </c:pt>
                <c:pt idx="5">
                  <c:v>19.391111111111112</c:v>
                </c:pt>
                <c:pt idx="6">
                  <c:v>19.402222222222221</c:v>
                </c:pt>
                <c:pt idx="7">
                  <c:v>19.37555555555555</c:v>
                </c:pt>
                <c:pt idx="8">
                  <c:v>19.675555555555555</c:v>
                </c:pt>
                <c:pt idx="9">
                  <c:v>19.953333333333333</c:v>
                </c:pt>
                <c:pt idx="10">
                  <c:v>20.149999999999999</c:v>
                </c:pt>
                <c:pt idx="11">
                  <c:v>20.285555555555558</c:v>
                </c:pt>
                <c:pt idx="12">
                  <c:v>20.344444444444445</c:v>
                </c:pt>
                <c:pt idx="13">
                  <c:v>20.518888888888892</c:v>
                </c:pt>
                <c:pt idx="14">
                  <c:v>20.573333333333331</c:v>
                </c:pt>
                <c:pt idx="15">
                  <c:v>20.867777777777778</c:v>
                </c:pt>
                <c:pt idx="16">
                  <c:v>21.052222222222223</c:v>
                </c:pt>
                <c:pt idx="17">
                  <c:v>21.031111111111109</c:v>
                </c:pt>
                <c:pt idx="18">
                  <c:v>21.281111111111112</c:v>
                </c:pt>
                <c:pt idx="19">
                  <c:v>21.28222222222222</c:v>
                </c:pt>
                <c:pt idx="20">
                  <c:v>21.512222222222221</c:v>
                </c:pt>
                <c:pt idx="21">
                  <c:v>21.665555555555557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C-4EFA-B24B-2AB2FEC4046F}"/>
            </c:ext>
          </c:extLst>
        </c:ser>
        <c:ser>
          <c:idx val="3"/>
          <c:order val="1"/>
          <c:tx>
            <c:strRef>
              <c:f>'(HOM) Growth Chart'!$D$56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Chart'!$E$57:$E$78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0.68374428699624246</c:v>
                  </c:pt>
                  <c:pt idx="2">
                    <c:v>0.74262189355398833</c:v>
                  </c:pt>
                  <c:pt idx="3">
                    <c:v>0.68261576726170448</c:v>
                  </c:pt>
                  <c:pt idx="4">
                    <c:v>0.68943817706883603</c:v>
                  </c:pt>
                  <c:pt idx="5">
                    <c:v>0.6559970600979419</c:v>
                  </c:pt>
                  <c:pt idx="6">
                    <c:v>0.65559950753925544</c:v>
                  </c:pt>
                  <c:pt idx="7">
                    <c:v>0.62170273098506323</c:v>
                  </c:pt>
                  <c:pt idx="8">
                    <c:v>0.62576167873354838</c:v>
                  </c:pt>
                  <c:pt idx="9">
                    <c:v>0.57469867881227243</c:v>
                  </c:pt>
                  <c:pt idx="10">
                    <c:v>0.58464255716023339</c:v>
                  </c:pt>
                  <c:pt idx="11">
                    <c:v>0.54045615654080337</c:v>
                  </c:pt>
                  <c:pt idx="12">
                    <c:v>0.50227495849242909</c:v>
                  </c:pt>
                  <c:pt idx="13">
                    <c:v>0.51265067471496995</c:v>
                  </c:pt>
                  <c:pt idx="14">
                    <c:v>0.46602709148717952</c:v>
                  </c:pt>
                  <c:pt idx="15">
                    <c:v>0.49074196740387754</c:v>
                  </c:pt>
                  <c:pt idx="16">
                    <c:v>0.5266655129206772</c:v>
                  </c:pt>
                  <c:pt idx="17">
                    <c:v>0.54218720409625532</c:v>
                  </c:pt>
                  <c:pt idx="18">
                    <c:v>0.54369026765508432</c:v>
                  </c:pt>
                  <c:pt idx="19">
                    <c:v>0.50367555281152987</c:v>
                  </c:pt>
                  <c:pt idx="20">
                    <c:v>0.59528785803892503</c:v>
                  </c:pt>
                  <c:pt idx="21">
                    <c:v>0.58896398143568296</c:v>
                  </c:pt>
                </c:numCache>
              </c:numRef>
            </c:plus>
            <c:minus>
              <c:numRef>
                <c:f>'(HOM) Growth Chart'!$E$57:$E$78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0.68374428699624246</c:v>
                  </c:pt>
                  <c:pt idx="2">
                    <c:v>0.74262189355398833</c:v>
                  </c:pt>
                  <c:pt idx="3">
                    <c:v>0.68261576726170448</c:v>
                  </c:pt>
                  <c:pt idx="4">
                    <c:v>0.68943817706883603</c:v>
                  </c:pt>
                  <c:pt idx="5">
                    <c:v>0.6559970600979419</c:v>
                  </c:pt>
                  <c:pt idx="6">
                    <c:v>0.65559950753925544</c:v>
                  </c:pt>
                  <c:pt idx="7">
                    <c:v>0.62170273098506323</c:v>
                  </c:pt>
                  <c:pt idx="8">
                    <c:v>0.62576167873354838</c:v>
                  </c:pt>
                  <c:pt idx="9">
                    <c:v>0.57469867881227243</c:v>
                  </c:pt>
                  <c:pt idx="10">
                    <c:v>0.58464255716023339</c:v>
                  </c:pt>
                  <c:pt idx="11">
                    <c:v>0.54045615654080337</c:v>
                  </c:pt>
                  <c:pt idx="12">
                    <c:v>0.50227495849242909</c:v>
                  </c:pt>
                  <c:pt idx="13">
                    <c:v>0.51265067471496995</c:v>
                  </c:pt>
                  <c:pt idx="14">
                    <c:v>0.46602709148717952</c:v>
                  </c:pt>
                  <c:pt idx="15">
                    <c:v>0.49074196740387754</c:v>
                  </c:pt>
                  <c:pt idx="16">
                    <c:v>0.5266655129206772</c:v>
                  </c:pt>
                  <c:pt idx="17">
                    <c:v>0.54218720409625532</c:v>
                  </c:pt>
                  <c:pt idx="18">
                    <c:v>0.54369026765508432</c:v>
                  </c:pt>
                  <c:pt idx="19">
                    <c:v>0.50367555281152987</c:v>
                  </c:pt>
                  <c:pt idx="20">
                    <c:v>0.59528785803892503</c:v>
                  </c:pt>
                  <c:pt idx="21">
                    <c:v>0.58896398143568296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Chart'!$A$57:$A$80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Chart'!$D$57:$D$78</c:f>
              <c:numCache>
                <c:formatCode>General</c:formatCode>
                <c:ptCount val="22"/>
                <c:pt idx="0">
                  <c:v>18.588749999999997</c:v>
                </c:pt>
                <c:pt idx="1">
                  <c:v>18.942500000000003</c:v>
                </c:pt>
                <c:pt idx="2">
                  <c:v>19.428750000000001</c:v>
                </c:pt>
                <c:pt idx="3">
                  <c:v>19.999999999999996</c:v>
                </c:pt>
                <c:pt idx="4">
                  <c:v>20.035</c:v>
                </c:pt>
                <c:pt idx="5">
                  <c:v>20.34</c:v>
                </c:pt>
                <c:pt idx="6">
                  <c:v>20.395</c:v>
                </c:pt>
                <c:pt idx="7">
                  <c:v>20.574999999999996</c:v>
                </c:pt>
                <c:pt idx="8">
                  <c:v>20.697499999999998</c:v>
                </c:pt>
                <c:pt idx="9">
                  <c:v>20.93</c:v>
                </c:pt>
                <c:pt idx="10">
                  <c:v>21.116250000000001</c:v>
                </c:pt>
                <c:pt idx="11">
                  <c:v>21.134999999999998</c:v>
                </c:pt>
                <c:pt idx="12">
                  <c:v>21.278750000000002</c:v>
                </c:pt>
                <c:pt idx="13">
                  <c:v>21.335000000000001</c:v>
                </c:pt>
                <c:pt idx="14">
                  <c:v>21.287499999999998</c:v>
                </c:pt>
                <c:pt idx="15">
                  <c:v>21.5975</c:v>
                </c:pt>
                <c:pt idx="16">
                  <c:v>21.811249999999998</c:v>
                </c:pt>
                <c:pt idx="17">
                  <c:v>21.837500000000002</c:v>
                </c:pt>
                <c:pt idx="18">
                  <c:v>21.9725</c:v>
                </c:pt>
                <c:pt idx="19">
                  <c:v>21.86375</c:v>
                </c:pt>
                <c:pt idx="20">
                  <c:v>22.043749999999999</c:v>
                </c:pt>
                <c:pt idx="21" formatCode="0.00">
                  <c:v>22.04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C-4EFA-B24B-2AB2FEC4046F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Chart'!$G$57:$G$78</c:f>
                <c:numCache>
                  <c:formatCode>General</c:formatCode>
                  <c:ptCount val="22"/>
                  <c:pt idx="0">
                    <c:v>0.34574970302641955</c:v>
                  </c:pt>
                  <c:pt idx="1">
                    <c:v>0.49174062628322174</c:v>
                  </c:pt>
                  <c:pt idx="2">
                    <c:v>0.58661483469625453</c:v>
                  </c:pt>
                  <c:pt idx="3">
                    <c:v>0.64707515019509143</c:v>
                  </c:pt>
                  <c:pt idx="4">
                    <c:v>0.73705722180458344</c:v>
                  </c:pt>
                  <c:pt idx="5">
                    <c:v>0.62646328703284748</c:v>
                  </c:pt>
                  <c:pt idx="6">
                    <c:v>0.56552105398472985</c:v>
                  </c:pt>
                  <c:pt idx="7">
                    <c:v>0.5478886014901726</c:v>
                  </c:pt>
                  <c:pt idx="8">
                    <c:v>0.59459169664088452</c:v>
                  </c:pt>
                  <c:pt idx="9">
                    <c:v>0.57632068825809601</c:v>
                  </c:pt>
                  <c:pt idx="10">
                    <c:v>0.48852890505212548</c:v>
                  </c:pt>
                  <c:pt idx="11">
                    <c:v>0.5052289085157341</c:v>
                  </c:pt>
                  <c:pt idx="12">
                    <c:v>0.46453870167849637</c:v>
                  </c:pt>
                  <c:pt idx="13">
                    <c:v>0.37032683441213687</c:v>
                  </c:pt>
                  <c:pt idx="14">
                    <c:v>0.33540886562948397</c:v>
                  </c:pt>
                  <c:pt idx="15">
                    <c:v>0.36521000563276684</c:v>
                  </c:pt>
                  <c:pt idx="16">
                    <c:v>0.40655785039067405</c:v>
                  </c:pt>
                  <c:pt idx="17">
                    <c:v>0.35979129615057998</c:v>
                  </c:pt>
                  <c:pt idx="18">
                    <c:v>0.48912823325936583</c:v>
                  </c:pt>
                  <c:pt idx="19">
                    <c:v>0.34225323487983883</c:v>
                  </c:pt>
                  <c:pt idx="20">
                    <c:v>0.37792667467191499</c:v>
                  </c:pt>
                  <c:pt idx="21">
                    <c:v>0.42150241483802409</c:v>
                  </c:pt>
                </c:numCache>
              </c:numRef>
            </c:plus>
            <c:minus>
              <c:numRef>
                <c:f>'(HOM) Growth Chart'!$G$57:$G$78</c:f>
                <c:numCache>
                  <c:formatCode>General</c:formatCode>
                  <c:ptCount val="22"/>
                  <c:pt idx="0">
                    <c:v>0.34574970302641955</c:v>
                  </c:pt>
                  <c:pt idx="1">
                    <c:v>0.49174062628322174</c:v>
                  </c:pt>
                  <c:pt idx="2">
                    <c:v>0.58661483469625453</c:v>
                  </c:pt>
                  <c:pt idx="3">
                    <c:v>0.64707515019509143</c:v>
                  </c:pt>
                  <c:pt idx="4">
                    <c:v>0.73705722180458344</c:v>
                  </c:pt>
                  <c:pt idx="5">
                    <c:v>0.62646328703284748</c:v>
                  </c:pt>
                  <c:pt idx="6">
                    <c:v>0.56552105398472985</c:v>
                  </c:pt>
                  <c:pt idx="7">
                    <c:v>0.5478886014901726</c:v>
                  </c:pt>
                  <c:pt idx="8">
                    <c:v>0.59459169664088452</c:v>
                  </c:pt>
                  <c:pt idx="9">
                    <c:v>0.57632068825809601</c:v>
                  </c:pt>
                  <c:pt idx="10">
                    <c:v>0.48852890505212548</c:v>
                  </c:pt>
                  <c:pt idx="11">
                    <c:v>0.5052289085157341</c:v>
                  </c:pt>
                  <c:pt idx="12">
                    <c:v>0.46453870167849637</c:v>
                  </c:pt>
                  <c:pt idx="13">
                    <c:v>0.37032683441213687</c:v>
                  </c:pt>
                  <c:pt idx="14">
                    <c:v>0.33540886562948397</c:v>
                  </c:pt>
                  <c:pt idx="15">
                    <c:v>0.36521000563276684</c:v>
                  </c:pt>
                  <c:pt idx="16">
                    <c:v>0.40655785039067405</c:v>
                  </c:pt>
                  <c:pt idx="17">
                    <c:v>0.35979129615057998</c:v>
                  </c:pt>
                  <c:pt idx="18">
                    <c:v>0.48912823325936583</c:v>
                  </c:pt>
                  <c:pt idx="19">
                    <c:v>0.34225323487983883</c:v>
                  </c:pt>
                  <c:pt idx="20">
                    <c:v>0.37792667467191499</c:v>
                  </c:pt>
                  <c:pt idx="21">
                    <c:v>0.42150241483802409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Chart'!$A$57:$A$80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Chart'!$F$57:$F$78</c:f>
              <c:numCache>
                <c:formatCode>General</c:formatCode>
                <c:ptCount val="22"/>
                <c:pt idx="0">
                  <c:v>18.353750000000002</c:v>
                </c:pt>
                <c:pt idx="1">
                  <c:v>17.092499999999998</c:v>
                </c:pt>
                <c:pt idx="2">
                  <c:v>17.317500000000003</c:v>
                </c:pt>
                <c:pt idx="3">
                  <c:v>18.077500000000001</c:v>
                </c:pt>
                <c:pt idx="4">
                  <c:v>18.563749999999999</c:v>
                </c:pt>
                <c:pt idx="5">
                  <c:v>19.217499999999998</c:v>
                </c:pt>
                <c:pt idx="6">
                  <c:v>19.34375</c:v>
                </c:pt>
                <c:pt idx="7">
                  <c:v>19.556250000000002</c:v>
                </c:pt>
                <c:pt idx="8">
                  <c:v>19.690000000000001</c:v>
                </c:pt>
                <c:pt idx="9">
                  <c:v>19.892499999999998</c:v>
                </c:pt>
                <c:pt idx="10">
                  <c:v>19.786249999999999</c:v>
                </c:pt>
                <c:pt idx="11">
                  <c:v>20.017499999999998</c:v>
                </c:pt>
                <c:pt idx="12">
                  <c:v>20.193749999999998</c:v>
                </c:pt>
                <c:pt idx="13">
                  <c:v>20.337499999999999</c:v>
                </c:pt>
                <c:pt idx="14">
                  <c:v>20.542499999999997</c:v>
                </c:pt>
                <c:pt idx="15">
                  <c:v>20.896250000000002</c:v>
                </c:pt>
                <c:pt idx="16">
                  <c:v>21.07</c:v>
                </c:pt>
                <c:pt idx="17">
                  <c:v>21.223749999999999</c:v>
                </c:pt>
                <c:pt idx="18">
                  <c:v>21.504999999999995</c:v>
                </c:pt>
                <c:pt idx="19">
                  <c:v>21.548749999999998</c:v>
                </c:pt>
                <c:pt idx="20">
                  <c:v>21.754999999999999</c:v>
                </c:pt>
                <c:pt idx="21" formatCode="0.00">
                  <c:v>21.955000000000002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C-4EFA-B24B-2AB2FEC4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08927"/>
        <c:axId val="1"/>
      </c:scatterChart>
      <c:valAx>
        <c:axId val="1832608927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1371183865174749"/>
              <c:y val="0.87457545931758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At val="-1"/>
        <c:crossBetween val="midCat"/>
        <c:majorUnit val="1"/>
      </c:val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Body weight (g)</a:t>
                </a:r>
              </a:p>
            </c:rich>
          </c:tx>
          <c:layout>
            <c:manualLayout>
              <c:xMode val="edge"/>
              <c:yMode val="edge"/>
              <c:x val="3.0732934698952104E-2"/>
              <c:y val="0.28135564304461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32608927"/>
        <c:crossesAt val="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103191048487359"/>
          <c:y val="6.1116579177602798E-2"/>
          <c:w val="0.23058374282162097"/>
          <c:h val="0.158338363954505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Abdominal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8117336880476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Summary'!$AU$15</c:f>
                <c:numCache>
                  <c:formatCode>0.000000</c:formatCode>
                  <c:ptCount val="1"/>
                  <c:pt idx="0">
                    <c:v>4.1131569129507599E-2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Summary'!$AU$14</c:f>
              <c:numCache>
                <c:formatCode>0.000000</c:formatCode>
                <c:ptCount val="1"/>
                <c:pt idx="0">
                  <c:v>0.91833263968848045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AB43-BA8F-ACBB5744F473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Summary'!$AU$27</c:f>
                <c:numCache>
                  <c:formatCode>General</c:formatCode>
                  <c:ptCount val="1"/>
                  <c:pt idx="0">
                    <c:v>8.4266723166227173E-2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Summary'!$AU$26</c:f>
              <c:numCache>
                <c:formatCode>General</c:formatCode>
                <c:ptCount val="1"/>
                <c:pt idx="0">
                  <c:v>1.2081869902644053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9-AB43-BA8F-ACBB5744F473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'(WT) Data Summary'!$AU$40</c:f>
                <c:numCache>
                  <c:formatCode>General</c:formatCode>
                  <c:ptCount val="1"/>
                  <c:pt idx="0">
                    <c:v>8.1161995913826751E-2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'(WT) Data Summary'!$AU$39</c:f>
              <c:numCache>
                <c:formatCode>General</c:formatCode>
                <c:ptCount val="1"/>
                <c:pt idx="0">
                  <c:v>1.0790877699691988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9-AB43-BA8F-ACBB5744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Abdominal WAT weight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1.7857610196216984E-3"/>
              <c:y val="0.280232725152366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AUCT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77F-487C-9080-A9D2464CF3A5}"/>
            </c:ext>
          </c:extLst>
        </c:ser>
        <c:ser>
          <c:idx val="1"/>
          <c:order val="1"/>
          <c:tx>
            <c:v>AUCT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77F-487C-9080-A9D2464CF3A5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77F-487C-9080-A9D2464CF3A5}"/>
            </c:ext>
          </c:extLst>
        </c:ser>
        <c:ser>
          <c:idx val="3"/>
          <c:order val="3"/>
          <c:tx>
            <c:v>AUCD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77F-487C-9080-A9D2464CF3A5}"/>
            </c:ext>
          </c:extLst>
        </c:ser>
        <c:ser>
          <c:idx val="4"/>
          <c:order val="4"/>
          <c:tx>
            <c:v>AUCD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77F-487C-9080-A9D2464CF3A5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77F-487C-9080-A9D2464CF3A5}"/>
            </c:ext>
          </c:extLst>
        </c:ser>
        <c:ser>
          <c:idx val="6"/>
          <c:order val="6"/>
          <c:tx>
            <c:v>AUCN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477F-487C-9080-A9D2464CF3A5}"/>
            </c:ext>
          </c:extLst>
        </c:ser>
        <c:ser>
          <c:idx val="7"/>
          <c:order val="7"/>
          <c:tx>
            <c:v>AUCN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477F-487C-9080-A9D2464C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56399"/>
        <c:axId val="1"/>
      </c:barChart>
      <c:catAx>
        <c:axId val="201105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05639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OC5T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Summary'!$BC$14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'(HOM) Data Summary'!$BC$13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A1A-AB94-17544993B4BF}"/>
            </c:ext>
          </c:extLst>
        </c:ser>
        <c:ser>
          <c:idx val="1"/>
          <c:order val="1"/>
          <c:tx>
            <c:v>OC5T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65DA-4A1A-AB94-17544993B4BF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5DA-4A1A-AB94-17544993B4BF}"/>
            </c:ext>
          </c:extLst>
        </c:ser>
        <c:ser>
          <c:idx val="3"/>
          <c:order val="3"/>
          <c:tx>
            <c:v>OC5D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5DA-4A1A-AB94-17544993B4BF}"/>
            </c:ext>
          </c:extLst>
        </c:ser>
        <c:ser>
          <c:idx val="4"/>
          <c:order val="4"/>
          <c:tx>
            <c:v>OC5D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5DA-4A1A-AB94-17544993B4BF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5DA-4A1A-AB94-17544993B4BF}"/>
            </c:ext>
          </c:extLst>
        </c:ser>
        <c:ser>
          <c:idx val="6"/>
          <c:order val="6"/>
          <c:tx>
            <c:v>OC5N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65DA-4A1A-AB94-17544993B4BF}"/>
            </c:ext>
          </c:extLst>
        </c:ser>
        <c:ser>
          <c:idx val="7"/>
          <c:order val="7"/>
          <c:tx>
            <c:v>OC5N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65DA-4A1A-AB94-17544993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10655"/>
        <c:axId val="1"/>
      </c:barChart>
      <c:catAx>
        <c:axId val="201111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 pitchFamily="2" charset="0"/>
                    <a:cs typeface="Calibri" pitchFamily="2" charset="0"/>
                  </a:rPr>
                  <a:t>Baseline (OC</a:t>
                </a:r>
                <a:r>
                  <a:rPr lang="en-US" sz="300" b="1" i="0" u="none" strike="noStrike" baseline="-2500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5</a:t>
                </a:r>
                <a:r>
                  <a:rPr lang="en-US" sz="325" b="1" i="0" u="none" strike="noStrike" baseline="0">
                    <a:solidFill>
                      <a:srgbClr val="000000"/>
                    </a:solidFill>
                    <a:latin typeface="Helv" charset="0"/>
                    <a:cs typeface="Calibri" pitchFamily="2" charset="0"/>
                  </a:rPr>
                  <a:t>) (ng/ml)</a:t>
                </a:r>
                <a:endParaRPr lang="en-US" sz="325" b="1" i="0" u="none" strike="noStrike" baseline="0">
                  <a:solidFill>
                    <a:srgbClr val="000000"/>
                  </a:solidFill>
                  <a:latin typeface="Helv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1111065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PeakT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9EE-4F3D-8DAC-7F2060DDFE21}"/>
            </c:ext>
          </c:extLst>
        </c:ser>
        <c:ser>
          <c:idx val="1"/>
          <c:order val="1"/>
          <c:tx>
            <c:v>PeakT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9EE-4F3D-8DAC-7F2060DDFE21}"/>
            </c:ext>
          </c:extLst>
        </c:ser>
        <c:ser>
          <c:idx val="2"/>
          <c:order val="2"/>
          <c:tx>
            <c:v>Space 1</c:v>
          </c:tx>
          <c:spPr>
            <a:solidFill>
              <a:srgbClr val="FFF58C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9EE-4F3D-8DAC-7F2060DDFE21}"/>
            </c:ext>
          </c:extLst>
        </c:ser>
        <c:ser>
          <c:idx val="3"/>
          <c:order val="3"/>
          <c:tx>
            <c:v>PeakD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EE-4F3D-8DAC-7F2060DDFE21}"/>
            </c:ext>
          </c:extLst>
        </c:ser>
        <c:ser>
          <c:idx val="4"/>
          <c:order val="4"/>
          <c:tx>
            <c:v>PeakD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9EE-4F3D-8DAC-7F2060DDFE21}"/>
            </c:ext>
          </c:extLst>
        </c:ser>
        <c:ser>
          <c:idx val="5"/>
          <c:order val="5"/>
          <c:tx>
            <c:v>Space 2</c:v>
          </c:tx>
          <c:spPr>
            <a:solidFill>
              <a:srgbClr val="FEA74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9EE-4F3D-8DAC-7F2060DDFE21}"/>
            </c:ext>
          </c:extLst>
        </c:ser>
        <c:ser>
          <c:idx val="6"/>
          <c:order val="6"/>
          <c:tx>
            <c:v>PeakN (Nighttime)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9EE-4F3D-8DAC-7F2060DDFE21}"/>
            </c:ext>
          </c:extLst>
        </c:ser>
        <c:ser>
          <c:idx val="7"/>
          <c:order val="7"/>
          <c:tx>
            <c:v>PeakN (Daytime)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9EE-4F3D-8DAC-7F2060DD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473471"/>
        <c:axId val="1"/>
      </c:barChart>
      <c:catAx>
        <c:axId val="191947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47347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E  Tibial EPW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Summary'!$P$14</c:f>
                <c:numCache>
                  <c:formatCode>General</c:formatCode>
                  <c:ptCount val="1"/>
                  <c:pt idx="0">
                    <c:v>0.1059889203387217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'(HOM) Data Summary'!$P$13</c:f>
              <c:numCache>
                <c:formatCode>General</c:formatCode>
                <c:ptCount val="1"/>
                <c:pt idx="0">
                  <c:v>16.94188888888889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9-4314-9DB4-857D14742C33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3C9-4314-9DB4-857D1474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5999"/>
        <c:axId val="1"/>
      </c:barChart>
      <c:catAx>
        <c:axId val="19198859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30"/>
          <c:min val="43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Tibial epiphyseal plate width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85999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F  Pituitary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C0D-4412-A50A-D5D478F72142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C0D-4412-A50A-D5D478F7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12159"/>
        <c:axId val="1"/>
      </c:barChart>
      <c:catAx>
        <c:axId val="191991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912159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G  Liver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Summary'!$Y$14</c:f>
                <c:numCache>
                  <c:formatCode>General</c:formatCode>
                  <c:ptCount val="1"/>
                  <c:pt idx="0">
                    <c:v>5.3162480968405042E-2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'(HOM) Data Summary'!$Y$13</c:f>
              <c:numCache>
                <c:formatCode>General</c:formatCode>
                <c:ptCount val="1"/>
                <c:pt idx="0">
                  <c:v>1.0235222222222222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8-479F-BE7E-6DB43A0F3AA1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2B8-479F-BE7E-6DB43A0F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34319"/>
        <c:axId val="1"/>
      </c:barChart>
      <c:catAx>
        <c:axId val="191983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liver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834319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H  Kidney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Summary'!$AA$14</c:f>
                <c:numCache>
                  <c:formatCode>General</c:formatCode>
                  <c:ptCount val="1"/>
                  <c:pt idx="0">
                    <c:v>5.0892861319966421E-3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'(HOM) Data Summary'!$AA$13</c:f>
              <c:numCache>
                <c:formatCode>General</c:formatCode>
                <c:ptCount val="1"/>
                <c:pt idx="0">
                  <c:v>0.15083333333333332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7-45A4-AB41-B2134102F9AE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E57-45A4-AB41-B2134102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00223"/>
        <c:axId val="1"/>
      </c:barChart>
      <c:catAx>
        <c:axId val="191970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kidney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00223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I  Inguinal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Summary'!$AJ$14</c:f>
                <c:numCache>
                  <c:formatCode>General</c:formatCode>
                  <c:ptCount val="1"/>
                  <c:pt idx="0">
                    <c:v>6.1185232826633578E-3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'(HOM) Data Summary'!$AJ$13</c:f>
              <c:numCache>
                <c:formatCode>General</c:formatCode>
                <c:ptCount val="1"/>
                <c:pt idx="0">
                  <c:v>8.1677777777777794E-2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3BE-B0C5-48B7576C37E2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3EE-43BE-B0C5-48B7576C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1135"/>
        <c:axId val="1"/>
      </c:barChart>
      <c:catAx>
        <c:axId val="1919731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ing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31135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J  Epididymal WAT weight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N-A length (N-T)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Summary'!$AM$14</c:f>
                <c:numCache>
                  <c:formatCode>General</c:formatCode>
                  <c:ptCount val="1"/>
                  <c:pt idx="0">
                    <c:v>6.7496593421125899E-3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Ref>
              <c:f>'(HOM) Data Summary'!$AM$13</c:f>
              <c:numCache>
                <c:formatCode>General</c:formatCode>
                <c:ptCount val="1"/>
                <c:pt idx="0">
                  <c:v>0.10298888888888889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899-A77E-D2D819D70C65}"/>
            </c:ext>
          </c:extLst>
        </c:ser>
        <c:ser>
          <c:idx val="1"/>
          <c:order val="1"/>
          <c:tx>
            <c:v>N-A length (D-T)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A44-4899-A77E-D2D819D7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62159"/>
        <c:axId val="1"/>
      </c:barChart>
      <c:catAx>
        <c:axId val="19197621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3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Proportionate epidid WAT weight (%-BW)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919762159"/>
        <c:crosses val="autoZero"/>
        <c:crossBetween val="between"/>
        <c:majorUnit val="0.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0" orientation="landscape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/>
              <a:t>C  Daily weight gain</a:t>
            </a:r>
          </a:p>
        </c:rich>
      </c:tx>
      <c:layout>
        <c:manualLayout>
          <c:xMode val="edge"/>
          <c:yMode val="edge"/>
          <c:x val="8.2236842105263153E-3"/>
          <c:y val="3.95833333333333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8303781616917"/>
          <c:y val="0.17778333139696076"/>
          <c:w val="0.80923568256944045"/>
          <c:h val="0.68613254461014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'(HOM) Growth Chart'!$B$56</c:f>
              <c:strCache>
                <c:ptCount val="1"/>
                <c:pt idx="0">
                  <c:v>Ad libitum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Chart'!$S$57:$S$78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0.12840906856172163</c:v>
                  </c:pt>
                  <c:pt idx="2">
                    <c:v>0.10518502216993103</c:v>
                  </c:pt>
                  <c:pt idx="3">
                    <c:v>8.9831804425936648E-2</c:v>
                  </c:pt>
                  <c:pt idx="4">
                    <c:v>9.3407708461347105E-2</c:v>
                  </c:pt>
                  <c:pt idx="5">
                    <c:v>0.10385768990828947</c:v>
                  </c:pt>
                  <c:pt idx="6">
                    <c:v>0.10515127257174216</c:v>
                  </c:pt>
                  <c:pt idx="7">
                    <c:v>0.10747092630102333</c:v>
                  </c:pt>
                  <c:pt idx="8">
                    <c:v>0.12271240089466666</c:v>
                  </c:pt>
                  <c:pt idx="9">
                    <c:v>0.10209986638605091</c:v>
                  </c:pt>
                  <c:pt idx="10">
                    <c:v>9.6479704256042062E-2</c:v>
                  </c:pt>
                  <c:pt idx="11">
                    <c:v>4.658060848056584E-2</c:v>
                  </c:pt>
                  <c:pt idx="12">
                    <c:v>8.7296500573308511E-2</c:v>
                  </c:pt>
                  <c:pt idx="13">
                    <c:v>0.11590358913902819</c:v>
                  </c:pt>
                  <c:pt idx="14">
                    <c:v>0.11170535537633429</c:v>
                  </c:pt>
                  <c:pt idx="15">
                    <c:v>9.7995338765438575E-2</c:v>
                  </c:pt>
                  <c:pt idx="16">
                    <c:v>3.7605817779489882E-2</c:v>
                  </c:pt>
                  <c:pt idx="17">
                    <c:v>7.2292700654362566E-2</c:v>
                  </c:pt>
                  <c:pt idx="18">
                    <c:v>0.12834415538785626</c:v>
                  </c:pt>
                  <c:pt idx="19">
                    <c:v>0.1030297212302842</c:v>
                  </c:pt>
                  <c:pt idx="20">
                    <c:v>0.15822803516163325</c:v>
                  </c:pt>
                  <c:pt idx="21">
                    <c:v>8.1189079725457317E-2</c:v>
                  </c:pt>
                </c:numCache>
              </c:numRef>
            </c:plus>
            <c:minus>
              <c:numRef>
                <c:f>'(HOM) Growth Chart'!$S$57:$S$78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0.12840906856172163</c:v>
                  </c:pt>
                  <c:pt idx="2">
                    <c:v>0.10518502216993103</c:v>
                  </c:pt>
                  <c:pt idx="3">
                    <c:v>8.9831804425936648E-2</c:v>
                  </c:pt>
                  <c:pt idx="4">
                    <c:v>9.3407708461347105E-2</c:v>
                  </c:pt>
                  <c:pt idx="5">
                    <c:v>0.10385768990828947</c:v>
                  </c:pt>
                  <c:pt idx="6">
                    <c:v>0.10515127257174216</c:v>
                  </c:pt>
                  <c:pt idx="7">
                    <c:v>0.10747092630102333</c:v>
                  </c:pt>
                  <c:pt idx="8">
                    <c:v>0.12271240089466666</c:v>
                  </c:pt>
                  <c:pt idx="9">
                    <c:v>0.10209986638605091</c:v>
                  </c:pt>
                  <c:pt idx="10">
                    <c:v>9.6479704256042062E-2</c:v>
                  </c:pt>
                  <c:pt idx="11">
                    <c:v>4.658060848056584E-2</c:v>
                  </c:pt>
                  <c:pt idx="12">
                    <c:v>8.7296500573308511E-2</c:v>
                  </c:pt>
                  <c:pt idx="13">
                    <c:v>0.11590358913902819</c:v>
                  </c:pt>
                  <c:pt idx="14">
                    <c:v>0.11170535537633429</c:v>
                  </c:pt>
                  <c:pt idx="15">
                    <c:v>9.7995338765438575E-2</c:v>
                  </c:pt>
                  <c:pt idx="16">
                    <c:v>3.7605817779489882E-2</c:v>
                  </c:pt>
                  <c:pt idx="17">
                    <c:v>7.2292700654362566E-2</c:v>
                  </c:pt>
                  <c:pt idx="18">
                    <c:v>0.12834415538785626</c:v>
                  </c:pt>
                  <c:pt idx="19">
                    <c:v>0.1030297212302842</c:v>
                  </c:pt>
                  <c:pt idx="20">
                    <c:v>0.15822803516163325</c:v>
                  </c:pt>
                  <c:pt idx="21">
                    <c:v>8.1189079725457317E-2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Chart'!$Q$57:$Q$78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Chart'!$R$57:$R$78</c:f>
              <c:numCache>
                <c:formatCode>General</c:formatCode>
                <c:ptCount val="22"/>
                <c:pt idx="0">
                  <c:v>0</c:v>
                </c:pt>
                <c:pt idx="1">
                  <c:v>0.17333333333333437</c:v>
                </c:pt>
                <c:pt idx="2">
                  <c:v>0.28999999999999954</c:v>
                </c:pt>
                <c:pt idx="3">
                  <c:v>0.11444444444444457</c:v>
                </c:pt>
                <c:pt idx="4">
                  <c:v>0.13666666666666671</c:v>
                </c:pt>
                <c:pt idx="5">
                  <c:v>0.28555555555555517</c:v>
                </c:pt>
                <c:pt idx="6">
                  <c:v>1.1111111111111269E-2</c:v>
                </c:pt>
                <c:pt idx="7">
                  <c:v>-2.6666666666666887E-2</c:v>
                </c:pt>
                <c:pt idx="8">
                  <c:v>0.30000000000000032</c:v>
                </c:pt>
                <c:pt idx="9">
                  <c:v>0.27777777777777779</c:v>
                </c:pt>
                <c:pt idx="10">
                  <c:v>0.19666666666666621</c:v>
                </c:pt>
                <c:pt idx="11">
                  <c:v>0.13555555555555582</c:v>
                </c:pt>
                <c:pt idx="12">
                  <c:v>5.8888888888889018E-2</c:v>
                </c:pt>
                <c:pt idx="13">
                  <c:v>0.17444444444444449</c:v>
                </c:pt>
                <c:pt idx="14">
                  <c:v>5.4444444444444268E-2</c:v>
                </c:pt>
                <c:pt idx="15">
                  <c:v>0.29444444444444429</c:v>
                </c:pt>
                <c:pt idx="16">
                  <c:v>0.18444444444444447</c:v>
                </c:pt>
                <c:pt idx="17">
                  <c:v>-2.1111111111110858E-2</c:v>
                </c:pt>
                <c:pt idx="18">
                  <c:v>0.25</c:v>
                </c:pt>
                <c:pt idx="19">
                  <c:v>1.1111111111112848E-3</c:v>
                </c:pt>
                <c:pt idx="20">
                  <c:v>0.22999999999999965</c:v>
                </c:pt>
                <c:pt idx="21">
                  <c:v>0.15333333333333321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5-472F-806E-B49E5EAF956C}"/>
            </c:ext>
          </c:extLst>
        </c:ser>
        <c:ser>
          <c:idx val="3"/>
          <c:order val="1"/>
          <c:tx>
            <c:strRef>
              <c:f>'(HOM) Growth Chart'!$D$56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Chart'!$U$57:$U$78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0.3296856592704201</c:v>
                  </c:pt>
                  <c:pt idx="2">
                    <c:v>0.16118908040824945</c:v>
                  </c:pt>
                  <c:pt idx="3">
                    <c:v>0.14152785566301582</c:v>
                  </c:pt>
                  <c:pt idx="4">
                    <c:v>9.6787691071009513E-2</c:v>
                  </c:pt>
                  <c:pt idx="5">
                    <c:v>7.9327530800202592E-2</c:v>
                  </c:pt>
                  <c:pt idx="6">
                    <c:v>8.2440454701733695E-2</c:v>
                  </c:pt>
                  <c:pt idx="7">
                    <c:v>7.2972597596632091E-2</c:v>
                  </c:pt>
                  <c:pt idx="8">
                    <c:v>3.6290002558752851E-2</c:v>
                  </c:pt>
                  <c:pt idx="9">
                    <c:v>6.8210545895987337E-2</c:v>
                  </c:pt>
                  <c:pt idx="10">
                    <c:v>6.0176451849065095E-2</c:v>
                  </c:pt>
                  <c:pt idx="11">
                    <c:v>7.9853381268421786E-2</c:v>
                  </c:pt>
                  <c:pt idx="12">
                    <c:v>5.6881377193494433E-2</c:v>
                  </c:pt>
                  <c:pt idx="13">
                    <c:v>8.9181546377519974E-2</c:v>
                  </c:pt>
                  <c:pt idx="14">
                    <c:v>6.6028943869877371E-2</c:v>
                  </c:pt>
                  <c:pt idx="15">
                    <c:v>9.1573545774499193E-2</c:v>
                  </c:pt>
                  <c:pt idx="16">
                    <c:v>7.4903211355913185E-2</c:v>
                  </c:pt>
                  <c:pt idx="17">
                    <c:v>6.9280421373677681E-2</c:v>
                  </c:pt>
                  <c:pt idx="18">
                    <c:v>0.16700085542980247</c:v>
                  </c:pt>
                  <c:pt idx="19">
                    <c:v>9.1757395575818024E-2</c:v>
                  </c:pt>
                  <c:pt idx="20">
                    <c:v>0.13693063937629157</c:v>
                  </c:pt>
                  <c:pt idx="21">
                    <c:v>6.742555418491461E-2</c:v>
                  </c:pt>
                </c:numCache>
              </c:numRef>
            </c:plus>
            <c:minus>
              <c:numRef>
                <c:f>'(HOM) Growth Chart'!$U$57:$U$78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0.3296856592704201</c:v>
                  </c:pt>
                  <c:pt idx="2">
                    <c:v>0.16118908040824945</c:v>
                  </c:pt>
                  <c:pt idx="3">
                    <c:v>0.14152785566301582</c:v>
                  </c:pt>
                  <c:pt idx="4">
                    <c:v>9.6787691071009513E-2</c:v>
                  </c:pt>
                  <c:pt idx="5">
                    <c:v>7.9327530800202592E-2</c:v>
                  </c:pt>
                  <c:pt idx="6">
                    <c:v>8.2440454701733695E-2</c:v>
                  </c:pt>
                  <c:pt idx="7">
                    <c:v>7.2972597596632091E-2</c:v>
                  </c:pt>
                  <c:pt idx="8">
                    <c:v>3.6290002558752851E-2</c:v>
                  </c:pt>
                  <c:pt idx="9">
                    <c:v>6.8210545895987337E-2</c:v>
                  </c:pt>
                  <c:pt idx="10">
                    <c:v>6.0176451849065095E-2</c:v>
                  </c:pt>
                  <c:pt idx="11">
                    <c:v>7.9853381268421786E-2</c:v>
                  </c:pt>
                  <c:pt idx="12">
                    <c:v>5.6881377193494433E-2</c:v>
                  </c:pt>
                  <c:pt idx="13">
                    <c:v>8.9181546377519974E-2</c:v>
                  </c:pt>
                  <c:pt idx="14">
                    <c:v>6.6028943869877371E-2</c:v>
                  </c:pt>
                  <c:pt idx="15">
                    <c:v>9.1573545774499193E-2</c:v>
                  </c:pt>
                  <c:pt idx="16">
                    <c:v>7.4903211355913185E-2</c:v>
                  </c:pt>
                  <c:pt idx="17">
                    <c:v>6.9280421373677681E-2</c:v>
                  </c:pt>
                  <c:pt idx="18">
                    <c:v>0.16700085542980247</c:v>
                  </c:pt>
                  <c:pt idx="19">
                    <c:v>9.1757395575818024E-2</c:v>
                  </c:pt>
                  <c:pt idx="20">
                    <c:v>0.13693063937629157</c:v>
                  </c:pt>
                  <c:pt idx="21">
                    <c:v>6.742555418491461E-2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Chart'!$Q$57:$Q$78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Chart'!$T$57:$T$78</c:f>
              <c:numCache>
                <c:formatCode>General</c:formatCode>
                <c:ptCount val="22"/>
                <c:pt idx="0">
                  <c:v>0</c:v>
                </c:pt>
                <c:pt idx="1">
                  <c:v>0.35374999999999845</c:v>
                </c:pt>
                <c:pt idx="2">
                  <c:v>0.4862500000000014</c:v>
                </c:pt>
                <c:pt idx="3">
                  <c:v>0.57124999999999959</c:v>
                </c:pt>
                <c:pt idx="4">
                  <c:v>3.5000000000000142E-2</c:v>
                </c:pt>
                <c:pt idx="5">
                  <c:v>0.30500000000000016</c:v>
                </c:pt>
                <c:pt idx="6">
                  <c:v>5.4999999999999716E-2</c:v>
                </c:pt>
                <c:pt idx="7">
                  <c:v>0.18000000000000016</c:v>
                </c:pt>
                <c:pt idx="8">
                  <c:v>0.12250000000000005</c:v>
                </c:pt>
                <c:pt idx="9">
                  <c:v>0.23249999999999948</c:v>
                </c:pt>
                <c:pt idx="10">
                  <c:v>0.18625000000000025</c:v>
                </c:pt>
                <c:pt idx="11">
                  <c:v>1.8750000000000711E-2</c:v>
                </c:pt>
                <c:pt idx="12">
                  <c:v>0.14374999999999982</c:v>
                </c:pt>
                <c:pt idx="13">
                  <c:v>5.6249999999999467E-2</c:v>
                </c:pt>
                <c:pt idx="14">
                  <c:v>-4.7499999999999876E-2</c:v>
                </c:pt>
                <c:pt idx="15">
                  <c:v>0.31000000000000005</c:v>
                </c:pt>
                <c:pt idx="16">
                  <c:v>0.21374999999999966</c:v>
                </c:pt>
                <c:pt idx="17">
                  <c:v>2.6250000000000551E-2</c:v>
                </c:pt>
                <c:pt idx="18">
                  <c:v>0.13499999999999934</c:v>
                </c:pt>
                <c:pt idx="19">
                  <c:v>-0.10875000000000012</c:v>
                </c:pt>
                <c:pt idx="20">
                  <c:v>0.1800000000000006</c:v>
                </c:pt>
                <c:pt idx="21">
                  <c:v>-3.7500000000010303E-3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5-472F-806E-B49E5EAF956C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Chart'!$W$57:$W$78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0.30844331211053105</c:v>
                  </c:pt>
                  <c:pt idx="2">
                    <c:v>0.20746772554510037</c:v>
                  </c:pt>
                  <c:pt idx="3">
                    <c:v>0.28071973822403612</c:v>
                  </c:pt>
                  <c:pt idx="4">
                    <c:v>0.15534451919156048</c:v>
                  </c:pt>
                  <c:pt idx="5">
                    <c:v>0.18457419626960672</c:v>
                  </c:pt>
                  <c:pt idx="6">
                    <c:v>0.1308070757697328</c:v>
                  </c:pt>
                  <c:pt idx="7">
                    <c:v>0.12064928512013637</c:v>
                  </c:pt>
                  <c:pt idx="8">
                    <c:v>0.17845505136348172</c:v>
                  </c:pt>
                  <c:pt idx="9">
                    <c:v>9.18412839009312E-2</c:v>
                  </c:pt>
                  <c:pt idx="10">
                    <c:v>0.16217205920168326</c:v>
                  </c:pt>
                  <c:pt idx="11">
                    <c:v>8.8144311460565367E-2</c:v>
                  </c:pt>
                  <c:pt idx="12">
                    <c:v>9.0729926941760214E-2</c:v>
                  </c:pt>
                  <c:pt idx="13">
                    <c:v>0.20522581204266555</c:v>
                  </c:pt>
                  <c:pt idx="14">
                    <c:v>0.10046321288340884</c:v>
                  </c:pt>
                  <c:pt idx="15">
                    <c:v>0.1191328415197566</c:v>
                  </c:pt>
                  <c:pt idx="16">
                    <c:v>4.3627379181950907E-2</c:v>
                  </c:pt>
                  <c:pt idx="17">
                    <c:v>0.10893867049203161</c:v>
                  </c:pt>
                  <c:pt idx="18">
                    <c:v>0.23871259991282989</c:v>
                  </c:pt>
                  <c:pt idx="19">
                    <c:v>0.2640544958634759</c:v>
                  </c:pt>
                  <c:pt idx="20">
                    <c:v>0.12062245556161724</c:v>
                  </c:pt>
                  <c:pt idx="21">
                    <c:v>0.15671858308992706</c:v>
                  </c:pt>
                </c:numCache>
              </c:numRef>
            </c:plus>
            <c:minus>
              <c:numRef>
                <c:f>'(HOM) Growth Chart'!$W$57:$W$78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0.30844331211053105</c:v>
                  </c:pt>
                  <c:pt idx="2">
                    <c:v>0.20746772554510037</c:v>
                  </c:pt>
                  <c:pt idx="3">
                    <c:v>0.28071973822403612</c:v>
                  </c:pt>
                  <c:pt idx="4">
                    <c:v>0.15534451919156048</c:v>
                  </c:pt>
                  <c:pt idx="5">
                    <c:v>0.18457419626960672</c:v>
                  </c:pt>
                  <c:pt idx="6">
                    <c:v>0.1308070757697328</c:v>
                  </c:pt>
                  <c:pt idx="7">
                    <c:v>0.12064928512013637</c:v>
                  </c:pt>
                  <c:pt idx="8">
                    <c:v>0.17845505136348172</c:v>
                  </c:pt>
                  <c:pt idx="9">
                    <c:v>9.18412839009312E-2</c:v>
                  </c:pt>
                  <c:pt idx="10">
                    <c:v>0.16217205920168326</c:v>
                  </c:pt>
                  <c:pt idx="11">
                    <c:v>8.8144311460565367E-2</c:v>
                  </c:pt>
                  <c:pt idx="12">
                    <c:v>9.0729926941760214E-2</c:v>
                  </c:pt>
                  <c:pt idx="13">
                    <c:v>0.20522581204266555</c:v>
                  </c:pt>
                  <c:pt idx="14">
                    <c:v>0.10046321288340884</c:v>
                  </c:pt>
                  <c:pt idx="15">
                    <c:v>0.1191328415197566</c:v>
                  </c:pt>
                  <c:pt idx="16">
                    <c:v>4.3627379181950907E-2</c:v>
                  </c:pt>
                  <c:pt idx="17">
                    <c:v>0.10893867049203161</c:v>
                  </c:pt>
                  <c:pt idx="18">
                    <c:v>0.23871259991282989</c:v>
                  </c:pt>
                  <c:pt idx="19">
                    <c:v>0.2640544958634759</c:v>
                  </c:pt>
                  <c:pt idx="20">
                    <c:v>0.12062245556161724</c:v>
                  </c:pt>
                  <c:pt idx="21">
                    <c:v>0.15671858308992706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'(HOM) Growth Chart'!$Q$57:$Q$78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Chart'!$V$57:$V$78</c:f>
              <c:numCache>
                <c:formatCode>General</c:formatCode>
                <c:ptCount val="22"/>
                <c:pt idx="0">
                  <c:v>0</c:v>
                </c:pt>
                <c:pt idx="1">
                  <c:v>-1.26125</c:v>
                </c:pt>
                <c:pt idx="2">
                  <c:v>0.22499999999999942</c:v>
                </c:pt>
                <c:pt idx="3">
                  <c:v>0.76000000000000023</c:v>
                </c:pt>
                <c:pt idx="4">
                  <c:v>0.48624999999999963</c:v>
                </c:pt>
                <c:pt idx="5">
                  <c:v>0.65375000000000072</c:v>
                </c:pt>
                <c:pt idx="6">
                  <c:v>0.12624999999999975</c:v>
                </c:pt>
                <c:pt idx="7">
                  <c:v>0.21249999999999991</c:v>
                </c:pt>
                <c:pt idx="8">
                  <c:v>0.13375000000000048</c:v>
                </c:pt>
                <c:pt idx="9">
                  <c:v>0.20249999999999968</c:v>
                </c:pt>
                <c:pt idx="10">
                  <c:v>-0.10625000000000018</c:v>
                </c:pt>
                <c:pt idx="11">
                  <c:v>0.23125000000000018</c:v>
                </c:pt>
                <c:pt idx="12">
                  <c:v>0.17624999999999957</c:v>
                </c:pt>
                <c:pt idx="13">
                  <c:v>0.14375000000000115</c:v>
                </c:pt>
                <c:pt idx="14">
                  <c:v>0.20499999999999963</c:v>
                </c:pt>
                <c:pt idx="15">
                  <c:v>0.35374999999999979</c:v>
                </c:pt>
                <c:pt idx="16">
                  <c:v>0.17375000000000007</c:v>
                </c:pt>
                <c:pt idx="17">
                  <c:v>0.15375000000000005</c:v>
                </c:pt>
                <c:pt idx="18">
                  <c:v>0.28124999999999956</c:v>
                </c:pt>
                <c:pt idx="19">
                  <c:v>4.3750000000000622E-2</c:v>
                </c:pt>
                <c:pt idx="20">
                  <c:v>0.20625000000000027</c:v>
                </c:pt>
                <c:pt idx="21">
                  <c:v>0.19999999999999929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5-472F-806E-B49E5EAF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85615"/>
        <c:axId val="1"/>
      </c:scatterChart>
      <c:valAx>
        <c:axId val="1864185615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1371166597596354"/>
              <c:y val="0.87457545931758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At val="0"/>
        <c:crossBetween val="midCat"/>
        <c:majorUnit val="3"/>
      </c:valAx>
      <c:valAx>
        <c:axId val="1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Body weight (g)</a:t>
                </a:r>
              </a:p>
            </c:rich>
          </c:tx>
          <c:layout>
            <c:manualLayout>
              <c:xMode val="edge"/>
              <c:yMode val="edge"/>
              <c:x val="3.073283602707556E-2"/>
              <c:y val="0.281355643044619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864185615"/>
        <c:crossesAt val="0"/>
        <c:crossBetween val="midCat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05220090621821"/>
          <c:y val="0.11573160854893137"/>
          <c:w val="0.1732509669843901"/>
          <c:h val="0.138893263342082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C  Body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28631747118561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Summary'!$N$14</c:f>
                <c:numCache>
                  <c:formatCode>General</c:formatCode>
                  <c:ptCount val="1"/>
                  <c:pt idx="0">
                    <c:v>0.11426091000668408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Summary'!$N$13</c:f>
              <c:numCache>
                <c:formatCode>General</c:formatCode>
                <c:ptCount val="1"/>
                <c:pt idx="0">
                  <c:v>8.7666666666666675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6-4215-A1B4-75101C07B13A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Summary'!$N$25</c:f>
                <c:numCache>
                  <c:formatCode>General</c:formatCode>
                  <c:ptCount val="1"/>
                  <c:pt idx="0">
                    <c:v>0.14236522448567668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Summary'!$N$24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6-4215-A1B4-75101C07B13A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Summary'!$N$38</c:f>
                <c:numCache>
                  <c:formatCode>General</c:formatCode>
                  <c:ptCount val="1"/>
                  <c:pt idx="0">
                    <c:v>5.5555555555555615E-2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Summary'!$N$37</c:f>
              <c:numCache>
                <c:formatCode>General</c:formatCode>
                <c:ptCount val="1"/>
                <c:pt idx="0">
                  <c:v>8.7444444444444454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6-4215-A1B4-75101C07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Nose-anus length (cm)</a:t>
                </a:r>
              </a:p>
            </c:rich>
          </c:tx>
          <c:layout>
            <c:manualLayout>
              <c:xMode val="edge"/>
              <c:yMode val="edge"/>
              <c:x val="3.832862355620182E-2"/>
              <c:y val="0.246113523192778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D  Tibial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853633530183729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Summary'!$P$14</c:f>
                <c:numCache>
                  <c:formatCode>General</c:formatCode>
                  <c:ptCount val="1"/>
                  <c:pt idx="0">
                    <c:v>0.1059889203387217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Summary'!$P$13</c:f>
              <c:numCache>
                <c:formatCode>General</c:formatCode>
                <c:ptCount val="1"/>
                <c:pt idx="0">
                  <c:v>16.94188888888889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A-4EAA-91D6-3B82FE24CC4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Summary'!$P$25</c:f>
                <c:numCache>
                  <c:formatCode>General</c:formatCode>
                  <c:ptCount val="1"/>
                  <c:pt idx="0">
                    <c:v>0.13285919097243637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Summary'!$P$24</c:f>
              <c:numCache>
                <c:formatCode>General</c:formatCode>
                <c:ptCount val="1"/>
                <c:pt idx="0">
                  <c:v>16.856571428571428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A-4EAA-91D6-3B82FE24CC4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Summary'!$P$38</c:f>
                <c:numCache>
                  <c:formatCode>General</c:formatCode>
                  <c:ptCount val="1"/>
                  <c:pt idx="0">
                    <c:v>8.3760571472103293E-2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Summary'!$P$37</c:f>
              <c:numCache>
                <c:formatCode>General</c:formatCode>
                <c:ptCount val="1"/>
                <c:pt idx="0">
                  <c:v>16.978999999999999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A-4EAA-91D6-3B82FE24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"/>
          <c:min val="1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length (mm)</a:t>
                </a:r>
              </a:p>
            </c:rich>
          </c:tx>
          <c:layout>
            <c:manualLayout>
              <c:xMode val="edge"/>
              <c:yMode val="edge"/>
              <c:x val="1.7495488845144357E-2"/>
              <c:y val="0.3380254168596572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E  Growth Rate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541133530183729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Summary'!$Q$14</c:f>
                <c:numCache>
                  <c:formatCode>General</c:formatCode>
                  <c:ptCount val="1"/>
                  <c:pt idx="0">
                    <c:v>1.3087525867532539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Summary'!$Q$13</c:f>
              <c:numCache>
                <c:formatCode>General</c:formatCode>
                <c:ptCount val="1"/>
                <c:pt idx="0">
                  <c:v>83.723333333333343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D-4CC6-B36A-6BB65E3CF003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Summary'!$Q$25</c:f>
                <c:numCache>
                  <c:formatCode>General</c:formatCode>
                  <c:ptCount val="1"/>
                  <c:pt idx="0">
                    <c:v>3.2424452364089538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Summary'!$Q$24</c:f>
              <c:numCache>
                <c:formatCode>General</c:formatCode>
                <c:ptCount val="1"/>
                <c:pt idx="0">
                  <c:v>88.046666666666667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D-4CC6-B36A-6BB65E3CF003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Summary'!$Q$38</c:f>
                <c:numCache>
                  <c:formatCode>General</c:formatCode>
                  <c:ptCount val="1"/>
                  <c:pt idx="0">
                    <c:v>3.0294317816453398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Summary'!$Q$37</c:f>
              <c:numCache>
                <c:formatCode>General</c:formatCode>
                <c:ptCount val="1"/>
                <c:pt idx="0">
                  <c:v>87.436250000000001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D-4CC6-B36A-6BB65E3C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epiphyseal plate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width 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  Germinal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541133530183729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Summary'!$R$14</c:f>
                <c:numCache>
                  <c:formatCode>General</c:formatCode>
                  <c:ptCount val="1"/>
                  <c:pt idx="0">
                    <c:v>0.77137643530138622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Summary'!$R$13</c:f>
              <c:numCache>
                <c:formatCode>General</c:formatCode>
                <c:ptCount val="1"/>
                <c:pt idx="0">
                  <c:v>11.407777777777776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A-4B50-A66E-AA3EF865B49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Summary'!$R$25</c:f>
                <c:numCache>
                  <c:formatCode>General</c:formatCode>
                  <c:ptCount val="1"/>
                  <c:pt idx="0">
                    <c:v>1.583392455036549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Summary'!$R$24</c:f>
              <c:numCache>
                <c:formatCode>General</c:formatCode>
                <c:ptCount val="1"/>
                <c:pt idx="0">
                  <c:v>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A-4B50-A66E-AA3EF865B49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Summary'!$R$38</c:f>
                <c:numCache>
                  <c:formatCode>General</c:formatCode>
                  <c:ptCount val="1"/>
                  <c:pt idx="0">
                    <c:v>0.82557109562324915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Summary'!$R$37</c:f>
              <c:numCache>
                <c:formatCode>General</c:formatCode>
                <c:ptCount val="1"/>
                <c:pt idx="0">
                  <c:v>10.40625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A-4B50-A66E-AA3EF865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Germinal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G  Proliferative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0078049454344"/>
          <c:y val="0.20764358499305238"/>
          <c:w val="0.5256109269236083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Summary'!$S$14</c:f>
                <c:numCache>
                  <c:formatCode>General</c:formatCode>
                  <c:ptCount val="1"/>
                  <c:pt idx="0">
                    <c:v>1.496258296180472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Summary'!$S$13</c:f>
              <c:numCache>
                <c:formatCode>General</c:formatCode>
                <c:ptCount val="1"/>
                <c:pt idx="0">
                  <c:v>44.063333333333333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EF8-A68B-B8B52FDE01E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Summary'!$S$25</c:f>
                <c:numCache>
                  <c:formatCode>General</c:formatCode>
                  <c:ptCount val="1"/>
                  <c:pt idx="0">
                    <c:v>1.555877922946113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Summary'!$S$24</c:f>
              <c:numCache>
                <c:formatCode>General</c:formatCode>
                <c:ptCount val="1"/>
                <c:pt idx="0">
                  <c:v>46.538333333333334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8-4EF8-A68B-B8B52FDE01E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Summary'!$S$38</c:f>
                <c:numCache>
                  <c:formatCode>General</c:formatCode>
                  <c:ptCount val="1"/>
                  <c:pt idx="0">
                    <c:v>1.5398121406754228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Summary'!$S$37</c:f>
              <c:numCache>
                <c:formatCode>General</c:formatCode>
                <c:ptCount val="1"/>
                <c:pt idx="0">
                  <c:v>44.129999999999995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8-4EF8-A68B-B8B52FDE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Proliferative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42437181565539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H  Hypertrophic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Zone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43151550500635"/>
          <c:y val="0.20764358499305238"/>
          <c:w val="0.49268915459641621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Summary'!$T$14</c:f>
                <c:numCache>
                  <c:formatCode>General</c:formatCode>
                  <c:ptCount val="1"/>
                  <c:pt idx="0">
                    <c:v>0.9381005895155291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Summary'!$T$13</c:f>
              <c:numCache>
                <c:formatCode>General</c:formatCode>
                <c:ptCount val="1"/>
                <c:pt idx="0">
                  <c:v>28.437777777777782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4-4B77-A001-D0E151C6F31E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Summary'!$T$25</c:f>
                <c:numCache>
                  <c:formatCode>General</c:formatCode>
                  <c:ptCount val="1"/>
                  <c:pt idx="0">
                    <c:v>2.1348329364769176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Summary'!$T$24</c:f>
              <c:numCache>
                <c:formatCode>General</c:formatCode>
                <c:ptCount val="1"/>
                <c:pt idx="0">
                  <c:v>31.034999999999997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4-4B77-A001-D0E151C6F31E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Summary'!$T$38</c:f>
                <c:numCache>
                  <c:formatCode>General</c:formatCode>
                  <c:ptCount val="1"/>
                  <c:pt idx="0">
                    <c:v>2.3109064007131739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Summary'!$T$37</c:f>
              <c:numCache>
                <c:formatCode>General</c:formatCode>
                <c:ptCount val="1"/>
                <c:pt idx="0">
                  <c:v>33.162500000000001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4-4B77-A001-D0E151C6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Hypertrophic zone width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(µm)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42437181565539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I  IGF-1</a:t>
            </a:r>
          </a:p>
        </c:rich>
      </c:tx>
      <c:layout>
        <c:manualLayout>
          <c:xMode val="edge"/>
          <c:yMode val="edge"/>
          <c:x val="5.9161745406824146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93696686351706"/>
          <c:y val="0.20764358499305238"/>
          <c:w val="0.61771612532808395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'(HOM) Data Summary'!$U$13</c:f>
              <c:numCache>
                <c:formatCode>General</c:formatCode>
                <c:ptCount val="1"/>
                <c:pt idx="0">
                  <c:v>2185.6886118464945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46E5-BF6F-0B4CFF0B984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'(HOM) Data Summary'!$U$24</c:f>
              <c:numCache>
                <c:formatCode>General</c:formatCode>
                <c:ptCount val="1"/>
                <c:pt idx="0">
                  <c:v>1865.5093710154129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A-46E5-BF6F-0B4CFF0B984B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'(HOM) Data Summary'!$U$37</c:f>
              <c:numCache>
                <c:formatCode>General</c:formatCode>
                <c:ptCount val="1"/>
                <c:pt idx="0">
                  <c:v>1956.4046861548775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A-46E5-BF6F-0B4CFF0B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Plasma [IGF-1] (ng/ml)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J  Pituitary Weight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8398950131234"/>
          <c:y val="0.20764358499305238"/>
          <c:w val="0.56057330333708288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Summary'!$W$14</c:f>
                <c:numCache>
                  <c:formatCode>General</c:formatCode>
                  <c:ptCount val="1"/>
                  <c:pt idx="0">
                    <c:v>6.0348780506667886E-2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Summary'!$W$13</c:f>
              <c:numCache>
                <c:formatCode>General</c:formatCode>
                <c:ptCount val="1"/>
                <c:pt idx="0">
                  <c:v>1.2555555555555555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E27-8095-AF13FA0E276A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Summary'!$W$25</c:f>
                <c:numCache>
                  <c:formatCode>General</c:formatCode>
                  <c:ptCount val="1"/>
                  <c:pt idx="0">
                    <c:v>8.0039052967909877E-2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Summary'!$W$24</c:f>
              <c:numCache>
                <c:formatCode>General</c:formatCode>
                <c:ptCount val="1"/>
                <c:pt idx="0">
                  <c:v>1.2375000000000003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E27-8095-AF13FA0E276A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Summary'!$W$38</c:f>
                <c:numCache>
                  <c:formatCode>General</c:formatCode>
                  <c:ptCount val="1"/>
                  <c:pt idx="0">
                    <c:v>4.6049274850812331E-2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Summary'!$W$37</c:f>
              <c:numCache>
                <c:formatCode>General</c:formatCode>
                <c:ptCount val="1"/>
                <c:pt idx="0">
                  <c:v>1.0625000000000002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E27-8095-AF13FA0E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Pituitary weight (mg)</a:t>
                </a:r>
              </a:p>
            </c:rich>
          </c:tx>
          <c:layout>
            <c:manualLayout>
              <c:xMode val="edge"/>
              <c:yMode val="edge"/>
              <c:x val="3.8328822178477689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K  Liver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49946686351706"/>
          <c:y val="0.20764358499305238"/>
          <c:w val="0.628132791994750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Summary'!$Z$14</c:f>
                <c:numCache>
                  <c:formatCode>General</c:formatCode>
                  <c:ptCount val="1"/>
                  <c:pt idx="0">
                    <c:v>0.17130363349493494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Summary'!$Z$13</c:f>
              <c:numCache>
                <c:formatCode>General</c:formatCode>
                <c:ptCount val="1"/>
                <c:pt idx="0">
                  <c:v>4.7141362595640945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85D-A891-17C56C1E20E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Summary'!$Z$25</c:f>
                <c:numCache>
                  <c:formatCode>General</c:formatCode>
                  <c:ptCount val="1"/>
                  <c:pt idx="0">
                    <c:v>0.11308043362880507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Summary'!$Z$24</c:f>
              <c:numCache>
                <c:formatCode>General</c:formatCode>
                <c:ptCount val="1"/>
                <c:pt idx="0">
                  <c:v>4.8068003545734976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85D-A891-17C56C1E20E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Summary'!$Z$38</c:f>
                <c:numCache>
                  <c:formatCode>General</c:formatCode>
                  <c:ptCount val="1"/>
                  <c:pt idx="0">
                    <c:v>0.25048973644877953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Summary'!$Z$37</c:f>
              <c:numCache>
                <c:formatCode>General</c:formatCode>
                <c:ptCount val="1"/>
                <c:pt idx="0">
                  <c:v>4.9935932781454611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5-485D-A891-17C56C1E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Liver weight (%-BW)</a:t>
                </a:r>
              </a:p>
            </c:rich>
          </c:tx>
          <c:layout>
            <c:manualLayout>
              <c:xMode val="edge"/>
              <c:yMode val="edge"/>
              <c:x val="8.5203822178477703E-2"/>
              <c:y val="0.312290122742010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L  Kidney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49946686351706"/>
          <c:y val="0.20764358499305238"/>
          <c:w val="0.6281327919947506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Summary'!$AB$14</c:f>
                <c:numCache>
                  <c:formatCode>General</c:formatCode>
                  <c:ptCount val="1"/>
                  <c:pt idx="0">
                    <c:v>1.8876350802788724E-2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Summary'!$AB$13</c:f>
              <c:numCache>
                <c:formatCode>General</c:formatCode>
                <c:ptCount val="1"/>
                <c:pt idx="0">
                  <c:v>0.69750178953163788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C86-828F-7C5768BB8B2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Summary'!$AB$25</c:f>
                <c:numCache>
                  <c:formatCode>General</c:formatCode>
                  <c:ptCount val="1"/>
                  <c:pt idx="0">
                    <c:v>1.9204398802261158E-2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Summary'!$AB$24</c:f>
              <c:numCache>
                <c:formatCode>General</c:formatCode>
                <c:ptCount val="1"/>
                <c:pt idx="0">
                  <c:v>0.64440205583694543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C86-828F-7C5768BB8B2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Summary'!$AB$38</c:f>
                <c:numCache>
                  <c:formatCode>General</c:formatCode>
                  <c:ptCount val="1"/>
                  <c:pt idx="0">
                    <c:v>4.1644298022810493E-2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Summary'!$AB$37</c:f>
              <c:numCache>
                <c:formatCode>General</c:formatCode>
                <c:ptCount val="1"/>
                <c:pt idx="0">
                  <c:v>0.67604796692360181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C-4C86-828F-7C5768BB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Kidney weight (%-BW)</a:t>
                </a:r>
              </a:p>
            </c:rich>
          </c:tx>
          <c:layout>
            <c:manualLayout>
              <c:xMode val="edge"/>
              <c:yMode val="edge"/>
              <c:x val="6.9578822178477703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r>
              <a:rPr lang="en-US" sz="1800"/>
              <a:t>L  Weight Gain (GHS-R-null)</a:t>
            </a:r>
          </a:p>
        </c:rich>
      </c:tx>
      <c:layout>
        <c:manualLayout>
          <c:xMode val="edge"/>
          <c:yMode val="edge"/>
          <c:x val="2.1343884156270605E-2"/>
          <c:y val="3.233717599173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0565763607004"/>
          <c:y val="0.15919944175666934"/>
          <c:w val="0.8306692298375451"/>
          <c:h val="0.62542020379066332"/>
        </c:manualLayout>
      </c:layout>
      <c:scatterChart>
        <c:scatterStyle val="lineMarker"/>
        <c:varyColors val="0"/>
        <c:ser>
          <c:idx val="1"/>
          <c:order val="0"/>
          <c:tx>
            <c:v>Ad libitum-fed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plus>
            <c:minus>
              <c:numRef>
                <c:f>'(HOM) Growth Chart'!$I$57:$I$78</c:f>
                <c:numCache>
                  <c:formatCode>General</c:formatCode>
                  <c:ptCount val="22"/>
                  <c:pt idx="0">
                    <c:v>0.55449287252318435</c:v>
                  </c:pt>
                  <c:pt idx="1">
                    <c:v>0.12840906856172163</c:v>
                  </c:pt>
                  <c:pt idx="2">
                    <c:v>0.19001461932060815</c:v>
                  </c:pt>
                  <c:pt idx="3">
                    <c:v>0.20607292248792899</c:v>
                  </c:pt>
                  <c:pt idx="4">
                    <c:v>0.24000642995501822</c:v>
                  </c:pt>
                  <c:pt idx="5">
                    <c:v>0.30754403478743247</c:v>
                  </c:pt>
                  <c:pt idx="6">
                    <c:v>0.32772975166050577</c:v>
                  </c:pt>
                  <c:pt idx="7">
                    <c:v>0.36378454822994383</c:v>
                  </c:pt>
                  <c:pt idx="8">
                    <c:v>0.41694361166546495</c:v>
                  </c:pt>
                  <c:pt idx="9">
                    <c:v>0.41612223690807809</c:v>
                  </c:pt>
                  <c:pt idx="10">
                    <c:v>0.48545066245604435</c:v>
                  </c:pt>
                  <c:pt idx="11">
                    <c:v>0.47761011269976977</c:v>
                  </c:pt>
                  <c:pt idx="12">
                    <c:v>0.53565121321828657</c:v>
                  </c:pt>
                  <c:pt idx="13">
                    <c:v>0.60678061607914191</c:v>
                  </c:pt>
                  <c:pt idx="14">
                    <c:v>0.56579289933532373</c:v>
                  </c:pt>
                  <c:pt idx="15">
                    <c:v>0.60383266629827936</c:v>
                  </c:pt>
                  <c:pt idx="16">
                    <c:v>0.60072050360944906</c:v>
                  </c:pt>
                  <c:pt idx="17">
                    <c:v>0.59130270495651305</c:v>
                  </c:pt>
                  <c:pt idx="18">
                    <c:v>0.59841689295822675</c:v>
                  </c:pt>
                  <c:pt idx="19">
                    <c:v>0.65073130750556452</c:v>
                  </c:pt>
                  <c:pt idx="20">
                    <c:v>0.74425474365756683</c:v>
                  </c:pt>
                  <c:pt idx="21">
                    <c:v>0.73626329663735746</c:v>
                  </c:pt>
                </c:numCache>
              </c:numRef>
            </c:minus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Chart'!$H$57:$H$78</c:f>
              <c:numCache>
                <c:formatCode>General</c:formatCode>
                <c:ptCount val="22"/>
                <c:pt idx="0">
                  <c:v>1.1842378929335002E-15</c:v>
                </c:pt>
                <c:pt idx="1">
                  <c:v>0.17333333333333437</c:v>
                </c:pt>
                <c:pt idx="2">
                  <c:v>0.46333333333333393</c:v>
                </c:pt>
                <c:pt idx="3">
                  <c:v>0.5777777777777785</c:v>
                </c:pt>
                <c:pt idx="4">
                  <c:v>0.71444444444444521</c:v>
                </c:pt>
                <c:pt idx="5">
                  <c:v>1.0000000000000004</c:v>
                </c:pt>
                <c:pt idx="6">
                  <c:v>1.0111111111111117</c:v>
                </c:pt>
                <c:pt idx="7">
                  <c:v>0.98444444444444479</c:v>
                </c:pt>
                <c:pt idx="8">
                  <c:v>1.2844444444444452</c:v>
                </c:pt>
                <c:pt idx="9">
                  <c:v>1.5622222222222228</c:v>
                </c:pt>
                <c:pt idx="10">
                  <c:v>1.7588888888888892</c:v>
                </c:pt>
                <c:pt idx="11">
                  <c:v>1.8944444444444448</c:v>
                </c:pt>
                <c:pt idx="12">
                  <c:v>1.953333333333334</c:v>
                </c:pt>
                <c:pt idx="13">
                  <c:v>2.1277777777777782</c:v>
                </c:pt>
                <c:pt idx="14">
                  <c:v>2.1822222222222227</c:v>
                </c:pt>
                <c:pt idx="15">
                  <c:v>2.476666666666667</c:v>
                </c:pt>
                <c:pt idx="16">
                  <c:v>2.6611111111111114</c:v>
                </c:pt>
                <c:pt idx="17">
                  <c:v>2.6400000000000006</c:v>
                </c:pt>
                <c:pt idx="18">
                  <c:v>2.8900000000000006</c:v>
                </c:pt>
                <c:pt idx="19">
                  <c:v>2.8911111111111119</c:v>
                </c:pt>
                <c:pt idx="20">
                  <c:v>3.1211111111111114</c:v>
                </c:pt>
                <c:pt idx="21">
                  <c:v>3.2744444444444447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E96-8834-900C94D028B6}"/>
            </c:ext>
          </c:extLst>
        </c:ser>
        <c:ser>
          <c:idx val="3"/>
          <c:order val="1"/>
          <c:tx>
            <c:strRef>
              <c:f>'(HOM) Growth Chart'!$D$56</c:f>
              <c:strCache>
                <c:ptCount val="1"/>
                <c:pt idx="0">
                  <c:v>Grazing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marker>
              <c:spPr>
                <a:solidFill>
                  <a:schemeClr val="bg1"/>
                </a:solidFill>
                <a:ln>
                  <a:solidFill>
                    <a:schemeClr val="tx1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56-4E96-8834-900C94D028B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plus>
            <c:minus>
              <c:numRef>
                <c:f>'(HOM) Growth Chart'!$K$57:$K$78</c:f>
                <c:numCache>
                  <c:formatCode>General</c:formatCode>
                  <c:ptCount val="22"/>
                  <c:pt idx="0">
                    <c:v>0.51747131563015136</c:v>
                  </c:pt>
                  <c:pt idx="1">
                    <c:v>0.3296856592704201</c:v>
                  </c:pt>
                  <c:pt idx="2">
                    <c:v>0.3380828300875392</c:v>
                  </c:pt>
                  <c:pt idx="3">
                    <c:v>0.32621989461536094</c:v>
                  </c:pt>
                  <c:pt idx="4">
                    <c:v>0.33760150589965443</c:v>
                  </c:pt>
                  <c:pt idx="5">
                    <c:v>0.32523858001253686</c:v>
                  </c:pt>
                  <c:pt idx="6">
                    <c:v>0.37805865710797548</c:v>
                  </c:pt>
                  <c:pt idx="7">
                    <c:v>0.35671085479498871</c:v>
                  </c:pt>
                  <c:pt idx="8">
                    <c:v>0.37281476394355134</c:v>
                  </c:pt>
                  <c:pt idx="9">
                    <c:v>0.32650441639979622</c:v>
                  </c:pt>
                  <c:pt idx="10">
                    <c:v>0.36604912824061497</c:v>
                  </c:pt>
                  <c:pt idx="11">
                    <c:v>0.32705906795038031</c:v>
                  </c:pt>
                  <c:pt idx="12">
                    <c:v>0.31838880095164851</c:v>
                  </c:pt>
                  <c:pt idx="13">
                    <c:v>0.36896543343710181</c:v>
                  </c:pt>
                  <c:pt idx="14">
                    <c:v>0.32285245137236124</c:v>
                  </c:pt>
                  <c:pt idx="15">
                    <c:v>0.36376227274337886</c:v>
                  </c:pt>
                  <c:pt idx="16">
                    <c:v>0.35681002348188384</c:v>
                  </c:pt>
                  <c:pt idx="17">
                    <c:v>0.39336659337787455</c:v>
                  </c:pt>
                  <c:pt idx="18">
                    <c:v>0.31876960724008802</c:v>
                  </c:pt>
                  <c:pt idx="19">
                    <c:v>0.33459463747730811</c:v>
                  </c:pt>
                  <c:pt idx="20">
                    <c:v>0.3931511886575661</c:v>
                  </c:pt>
                  <c:pt idx="21">
                    <c:v>0.37259915986025993</c:v>
                  </c:pt>
                </c:numCache>
              </c:numRef>
            </c:minus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Chart'!$J$57:$J$78</c:f>
              <c:numCache>
                <c:formatCode>General</c:formatCode>
                <c:ptCount val="22"/>
                <c:pt idx="0">
                  <c:v>-3.1086244689504383E-15</c:v>
                </c:pt>
                <c:pt idx="1">
                  <c:v>0.35374999999999845</c:v>
                </c:pt>
                <c:pt idx="2">
                  <c:v>0.83999999999999986</c:v>
                </c:pt>
                <c:pt idx="3">
                  <c:v>1.4112499999999994</c:v>
                </c:pt>
                <c:pt idx="4">
                  <c:v>1.4462499999999996</c:v>
                </c:pt>
                <c:pt idx="5">
                  <c:v>1.7512499999999998</c:v>
                </c:pt>
                <c:pt idx="6">
                  <c:v>1.8062499999999995</c:v>
                </c:pt>
                <c:pt idx="7">
                  <c:v>1.9862499999999996</c:v>
                </c:pt>
                <c:pt idx="8">
                  <c:v>2.1087499999999997</c:v>
                </c:pt>
                <c:pt idx="9">
                  <c:v>2.3412499999999992</c:v>
                </c:pt>
                <c:pt idx="10">
                  <c:v>2.5274999999999994</c:v>
                </c:pt>
                <c:pt idx="11">
                  <c:v>2.5462500000000001</c:v>
                </c:pt>
                <c:pt idx="12">
                  <c:v>2.69</c:v>
                </c:pt>
                <c:pt idx="13">
                  <c:v>2.7462499999999994</c:v>
                </c:pt>
                <c:pt idx="14">
                  <c:v>2.6987499999999995</c:v>
                </c:pt>
                <c:pt idx="15">
                  <c:v>3.0087499999999996</c:v>
                </c:pt>
                <c:pt idx="16">
                  <c:v>3.2224999999999993</c:v>
                </c:pt>
                <c:pt idx="17">
                  <c:v>3.2487499999999998</c:v>
                </c:pt>
                <c:pt idx="18">
                  <c:v>3.3837499999999991</c:v>
                </c:pt>
                <c:pt idx="19">
                  <c:v>3.274999999999999</c:v>
                </c:pt>
                <c:pt idx="20">
                  <c:v>3.4549999999999996</c:v>
                </c:pt>
                <c:pt idx="21">
                  <c:v>3.4512499999999986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6-4E96-8834-900C94D028B6}"/>
            </c:ext>
          </c:extLst>
        </c:ser>
        <c:ser>
          <c:idx val="0"/>
          <c:order val="2"/>
          <c:tx>
            <c:v>Meal-fed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plus>
            <c:minus>
              <c:numRef>
                <c:f>'(HOM) Growth Chart'!$M$57:$M$78</c:f>
                <c:numCache>
                  <c:formatCode>General</c:formatCode>
                  <c:ptCount val="22"/>
                  <c:pt idx="0">
                    <c:v>0.3635879609628776</c:v>
                  </c:pt>
                  <c:pt idx="1">
                    <c:v>0.30844331211053105</c:v>
                  </c:pt>
                  <c:pt idx="2">
                    <c:v>0.41108713666152513</c:v>
                  </c:pt>
                  <c:pt idx="3">
                    <c:v>0.50913420031320977</c:v>
                  </c:pt>
                  <c:pt idx="4">
                    <c:v>0.64627227786967401</c:v>
                  </c:pt>
                  <c:pt idx="5">
                    <c:v>0.54342149354148417</c:v>
                  </c:pt>
                  <c:pt idx="6">
                    <c:v>0.48519510067011756</c:v>
                  </c:pt>
                  <c:pt idx="7">
                    <c:v>0.49688583770750172</c:v>
                  </c:pt>
                  <c:pt idx="8">
                    <c:v>0.61874278495071877</c:v>
                  </c:pt>
                  <c:pt idx="9">
                    <c:v>0.60284870614441888</c:v>
                  </c:pt>
                  <c:pt idx="10">
                    <c:v>0.50777789717271371</c:v>
                  </c:pt>
                  <c:pt idx="11">
                    <c:v>0.53851627346414932</c:v>
                  </c:pt>
                  <c:pt idx="12">
                    <c:v>0.50044266119392466</c:v>
                  </c:pt>
                  <c:pt idx="13">
                    <c:v>0.42835206439496565</c:v>
                  </c:pt>
                  <c:pt idx="14">
                    <c:v>0.40914299587238273</c:v>
                  </c:pt>
                  <c:pt idx="15">
                    <c:v>0.502936910272338</c:v>
                  </c:pt>
                  <c:pt idx="16">
                    <c:v>0.53432847541831197</c:v>
                  </c:pt>
                  <c:pt idx="17">
                    <c:v>0.48044250436446645</c:v>
                  </c:pt>
                  <c:pt idx="18">
                    <c:v>0.57782670876063069</c:v>
                  </c:pt>
                  <c:pt idx="19">
                    <c:v>0.4649846387631687</c:v>
                  </c:pt>
                  <c:pt idx="20">
                    <c:v>0.5546216132901528</c:v>
                  </c:pt>
                  <c:pt idx="21">
                    <c:v>0.51301433250655171</c:v>
                  </c:pt>
                </c:numCache>
              </c:numRef>
            </c:minus>
          </c:errBars>
          <c:xVal>
            <c:numRef>
              <c:f>'(HOM) Growth Chart'!$A$57:$A$78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'(HOM) Growth Chart'!$L$57:$L$78</c:f>
              <c:numCache>
                <c:formatCode>General</c:formatCode>
                <c:ptCount val="22"/>
                <c:pt idx="0">
                  <c:v>1.3322676295501878E-15</c:v>
                </c:pt>
                <c:pt idx="1">
                  <c:v>-1.26125</c:v>
                </c:pt>
                <c:pt idx="2">
                  <c:v>-1.0362500000000006</c:v>
                </c:pt>
                <c:pt idx="3">
                  <c:v>-0.27625000000000033</c:v>
                </c:pt>
                <c:pt idx="4">
                  <c:v>0.2099999999999993</c:v>
                </c:pt>
                <c:pt idx="5">
                  <c:v>0.86375000000000002</c:v>
                </c:pt>
                <c:pt idx="6">
                  <c:v>0.98999999999999977</c:v>
                </c:pt>
                <c:pt idx="7">
                  <c:v>1.2024999999999997</c:v>
                </c:pt>
                <c:pt idx="8">
                  <c:v>1.3362500000000002</c:v>
                </c:pt>
                <c:pt idx="9">
                  <c:v>1.5387499999999998</c:v>
                </c:pt>
                <c:pt idx="10">
                  <c:v>1.4324999999999997</c:v>
                </c:pt>
                <c:pt idx="11">
                  <c:v>1.6637499999999998</c:v>
                </c:pt>
                <c:pt idx="12">
                  <c:v>1.8399999999999994</c:v>
                </c:pt>
                <c:pt idx="13">
                  <c:v>1.9837500000000006</c:v>
                </c:pt>
                <c:pt idx="14">
                  <c:v>2.1887500000000002</c:v>
                </c:pt>
                <c:pt idx="15">
                  <c:v>2.5425</c:v>
                </c:pt>
                <c:pt idx="16">
                  <c:v>2.7162500000000001</c:v>
                </c:pt>
                <c:pt idx="17">
                  <c:v>2.87</c:v>
                </c:pt>
                <c:pt idx="18">
                  <c:v>3.1512499999999997</c:v>
                </c:pt>
                <c:pt idx="19">
                  <c:v>3.1950000000000003</c:v>
                </c:pt>
                <c:pt idx="20">
                  <c:v>3.4012500000000006</c:v>
                </c:pt>
                <c:pt idx="21">
                  <c:v>3.6012499999999998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6-4E96-8834-900C94D0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55791"/>
        <c:axId val="1"/>
      </c:scatterChart>
      <c:valAx>
        <c:axId val="1832555791"/>
        <c:scaling>
          <c:orientation val="minMax"/>
          <c:max val="2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(d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ays)</a:t>
                </a:r>
              </a:p>
            </c:rich>
          </c:tx>
          <c:layout>
            <c:manualLayout>
              <c:xMode val="edge"/>
              <c:yMode val="edge"/>
              <c:x val="0.44182512385654332"/>
              <c:y val="0.9147843726117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"/>
        <c:crossesAt val="-2"/>
        <c:crossBetween val="midCat"/>
        <c:majorUnit val="3"/>
      </c:valAx>
      <c:valAx>
        <c:axId val="1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Helv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∆ Body weight (g)</a:t>
                </a:r>
              </a:p>
            </c:rich>
          </c:tx>
          <c:layout>
            <c:manualLayout>
              <c:xMode val="edge"/>
              <c:yMode val="edge"/>
              <c:x val="2.0203302607952948E-2"/>
              <c:y val="0.250841260642650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1832555791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838361298439779"/>
          <c:y val="0.18038749457595174"/>
          <c:w val="0.25917938761070836"/>
          <c:h val="0.173616746844952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Helv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M  Adrenal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Weight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83989501312334"/>
          <c:y val="0.20764358499305238"/>
          <c:w val="0.57982350032332919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Summary'!$AC$14</c:f>
                <c:numCache>
                  <c:formatCode>General</c:formatCode>
                  <c:ptCount val="1"/>
                  <c:pt idx="0">
                    <c:v>0.13944333775567883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Summary'!$AC$13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1E8-8F11-525B98B4FD5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Summary'!$AC$25</c:f>
                <c:numCache>
                  <c:formatCode>General</c:formatCode>
                  <c:ptCount val="1"/>
                  <c:pt idx="0">
                    <c:v>0.25031230493126005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Summary'!$AC$24</c:f>
              <c:numCache>
                <c:formatCode>General</c:formatCode>
                <c:ptCount val="1"/>
                <c:pt idx="0">
                  <c:v>2.6875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1E8-8F11-525B98B4FD5B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Summary'!$AC$38</c:f>
                <c:numCache>
                  <c:formatCode>General</c:formatCode>
                  <c:ptCount val="1"/>
                  <c:pt idx="0">
                    <c:v>0.18240505732646717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Summary'!$AC$37</c:f>
              <c:numCache>
                <c:formatCode>General</c:formatCode>
                <c:ptCount val="1"/>
                <c:pt idx="0">
                  <c:v>2.6222222222222218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41E8-8F11-525B98B4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Adrenal weight (µg)</a:t>
                </a:r>
              </a:p>
            </c:rich>
          </c:tx>
          <c:layout>
            <c:manualLayout>
              <c:xMode val="edge"/>
              <c:yMode val="edge"/>
              <c:x val="6.9578822178477703E-2"/>
              <c:y val="0.290231299212598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N  Subcutaneous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25700532372723"/>
          <c:y val="0.20764358499305238"/>
          <c:w val="0.47860881762249352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Summary'!$AK$14</c:f>
                <c:numCache>
                  <c:formatCode>General</c:formatCode>
                  <c:ptCount val="1"/>
                  <c:pt idx="0">
                    <c:v>2.9430479387506338E-2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Summary'!$AK$13</c:f>
              <c:numCache>
                <c:formatCode>General</c:formatCode>
                <c:ptCount val="1"/>
                <c:pt idx="0">
                  <c:v>0.37895542225988005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5-4773-9D53-3B51F0B1CF45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Summary'!$AK$25</c:f>
                <c:numCache>
                  <c:formatCode>General</c:formatCode>
                  <c:ptCount val="1"/>
                  <c:pt idx="0">
                    <c:v>3.1236539948956876E-2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Summary'!$AK$24</c:f>
              <c:numCache>
                <c:formatCode>General</c:formatCode>
                <c:ptCount val="1"/>
                <c:pt idx="0">
                  <c:v>0.34642431966155535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5-4773-9D53-3B51F0B1CF4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Summary'!$AK$38</c:f>
                <c:numCache>
                  <c:formatCode>General</c:formatCode>
                  <c:ptCount val="1"/>
                  <c:pt idx="0">
                    <c:v>2.977641850548331E-2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Summary'!$AK$37</c:f>
              <c:numCache>
                <c:formatCode>General</c:formatCode>
                <c:ptCount val="1"/>
                <c:pt idx="0">
                  <c:v>0.43145014674434523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5-4773-9D53-3B51F0B1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Inguinal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386719372563E-3"/>
              <c:y val="0.314448529411764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O  Epididymal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25700532372723"/>
          <c:y val="0.20764358499305238"/>
          <c:w val="0.47860881762249352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Summary'!$AN$14</c:f>
                <c:numCache>
                  <c:formatCode>General</c:formatCode>
                  <c:ptCount val="1"/>
                  <c:pt idx="0">
                    <c:v>2.8819317971914921E-2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Summary'!$AN$13</c:f>
              <c:numCache>
                <c:formatCode>General</c:formatCode>
                <c:ptCount val="1"/>
                <c:pt idx="0">
                  <c:v>0.47545443298229362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A4C-A73B-F145368B2695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Summary'!$AN$25</c:f>
                <c:numCache>
                  <c:formatCode>General</c:formatCode>
                  <c:ptCount val="1"/>
                  <c:pt idx="0">
                    <c:v>3.8485314771684223E-2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Summary'!$AN$24</c:f>
              <c:numCache>
                <c:formatCode>General</c:formatCode>
                <c:ptCount val="1"/>
                <c:pt idx="0">
                  <c:v>0.4667731379133721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A-4A4C-A73B-F145368B269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Summary'!$AN$38</c:f>
                <c:numCache>
                  <c:formatCode>General</c:formatCode>
                  <c:ptCount val="1"/>
                  <c:pt idx="0">
                    <c:v>1.9668418374893356E-2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Summary'!$AN$37</c:f>
              <c:numCache>
                <c:formatCode>General</c:formatCode>
                <c:ptCount val="1"/>
                <c:pt idx="0">
                  <c:v>0.42915956387102033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A-4A4C-A73B-F145368B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Epididymal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386719372632E-3"/>
              <c:y val="0.27033088235294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P  Retroperitoneal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WAT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109133245503845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93026747142987"/>
          <c:y val="0.20764358499305238"/>
          <c:w val="0.4552624161279451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Summary'!$AP$14</c:f>
                <c:numCache>
                  <c:formatCode>General</c:formatCode>
                  <c:ptCount val="1"/>
                  <c:pt idx="0">
                    <c:v>1.3792890457061341E-3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Summary'!$AQ$13</c:f>
              <c:numCache>
                <c:formatCode>General</c:formatCode>
                <c:ptCount val="1"/>
                <c:pt idx="0">
                  <c:v>8.7251353220645159E-2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A-4D9B-BD75-878565D1D3B1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Summary'!$AQ$25</c:f>
                <c:numCache>
                  <c:formatCode>General</c:formatCode>
                  <c:ptCount val="1"/>
                  <c:pt idx="0">
                    <c:v>1.1030277825782321E-2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Summary'!$AQ$24</c:f>
              <c:numCache>
                <c:formatCode>General</c:formatCode>
                <c:ptCount val="1"/>
                <c:pt idx="0">
                  <c:v>8.5534295884762704E-2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A-4D9B-BD75-878565D1D3B1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Summary'!$AQ$38</c:f>
                <c:numCache>
                  <c:formatCode>General</c:formatCode>
                  <c:ptCount val="1"/>
                  <c:pt idx="0">
                    <c:v>1.2790276103494355E-2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Summary'!$AQ$37</c:f>
              <c:numCache>
                <c:formatCode>General</c:formatCode>
                <c:ptCount val="1"/>
                <c:pt idx="0">
                  <c:v>9.5213841155759288E-2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A-4D9B-BD75-878565D1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Retroperitoneal WAT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485952388239E-3"/>
              <c:y val="0.2151838235294117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Q  Interscapular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BAT</a:t>
            </a:r>
            <a:endParaRPr lang="en-US" sz="1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0546585373326388E-2"/>
          <c:y val="3.7384784622510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93026747142987"/>
          <c:y val="0.20764358499305238"/>
          <c:w val="0.4552624161279451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Summary'!$AX$14</c:f>
                <c:numCache>
                  <c:formatCode>General</c:formatCode>
                  <c:ptCount val="1"/>
                  <c:pt idx="0">
                    <c:v>1.896803354472501E-2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Summary'!$AX$13</c:f>
              <c:numCache>
                <c:formatCode>General</c:formatCode>
                <c:ptCount val="1"/>
                <c:pt idx="0">
                  <c:v>0.43058441654055168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5-4EFC-BBA6-4F2DF9E051D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Summary'!$AX$25</c:f>
                <c:numCache>
                  <c:formatCode>General</c:formatCode>
                  <c:ptCount val="1"/>
                  <c:pt idx="0">
                    <c:v>3.7670169602731243E-2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Summary'!$AX$24</c:f>
              <c:numCache>
                <c:formatCode>General</c:formatCode>
                <c:ptCount val="1"/>
                <c:pt idx="0">
                  <c:v>0.42629870966087891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5-4EFC-BBA6-4F2DF9E051D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Summary'!$AX$38</c:f>
                <c:numCache>
                  <c:formatCode>General</c:formatCode>
                  <c:ptCount val="1"/>
                  <c:pt idx="0">
                    <c:v>1.9221710341340102E-2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'(HOM) Data Summary'!$AX$37</c:f>
              <c:numCache>
                <c:formatCode>General</c:formatCode>
                <c:ptCount val="1"/>
                <c:pt idx="0">
                  <c:v>0.42499807695003544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5-4EFC-BBA6-4F2DF9E0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FFFFFF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Interscapular BAT weight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8.8501485952388239E-3"/>
              <c:y val="0.215183823529411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Caloric Intake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8117336880476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Summary'!$M$14</c:f>
                <c:numCache>
                  <c:formatCode>General</c:formatCode>
                  <c:ptCount val="1"/>
                  <c:pt idx="0">
                    <c:v>12.130609790275889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Summary'!$M$13</c:f>
              <c:numCache>
                <c:formatCode>General</c:formatCode>
                <c:ptCount val="1"/>
                <c:pt idx="0">
                  <c:v>343.87037528553896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CB4B-95F0-85A8D405B56A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Summary'!$M$25</c:f>
                <c:numCache>
                  <c:formatCode>General</c:formatCode>
                  <c:ptCount val="1"/>
                  <c:pt idx="0">
                    <c:v>10.885585249169619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Summary'!$M$24</c:f>
              <c:numCache>
                <c:formatCode>General</c:formatCode>
                <c:ptCount val="1"/>
                <c:pt idx="0">
                  <c:v>332.99882323979801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CB4B-95F0-85A8D405B56A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Summary'!$M$38</c:f>
                <c:numCache>
                  <c:formatCode>General</c:formatCode>
                  <c:ptCount val="1"/>
                  <c:pt idx="0">
                    <c:v>7.0762189406192126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Summary'!$M$37</c:f>
              <c:numCache>
                <c:formatCode>General</c:formatCode>
                <c:ptCount val="1"/>
                <c:pt idx="0">
                  <c:v>291.63175789537934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4-CB4B-95F0-85A8D405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Cumulative caloric intake (kcal)</a:t>
                </a:r>
              </a:p>
            </c:rich>
          </c:tx>
          <c:layout>
            <c:manualLayout>
              <c:xMode val="edge"/>
              <c:yMode val="edge"/>
              <c:x val="1.7856291383106235E-3"/>
              <c:y val="0.222113385826771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Abdominal WAT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581173368804763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Summary'!$AU$14</c:f>
                <c:numCache>
                  <c:formatCode>General</c:formatCode>
                  <c:ptCount val="1"/>
                  <c:pt idx="0">
                    <c:v>5.8934383106487152E-2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Summary'!$AU$13</c:f>
              <c:numCache>
                <c:formatCode>General</c:formatCode>
                <c:ptCount val="1"/>
                <c:pt idx="0">
                  <c:v>0.94166120846281887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3441-9F0F-922B2A89FE54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Summary'!$AU$25</c:f>
                <c:numCache>
                  <c:formatCode>General</c:formatCode>
                  <c:ptCount val="1"/>
                  <c:pt idx="0">
                    <c:v>7.3156400566944557E-2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Summary'!$AU$24</c:f>
              <c:numCache>
                <c:formatCode>General</c:formatCode>
                <c:ptCount val="1"/>
                <c:pt idx="0">
                  <c:v>0.89873175345969003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3441-9F0F-922B2A89FE54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Summary'!$AU$38</c:f>
                <c:numCache>
                  <c:formatCode>General</c:formatCode>
                  <c:ptCount val="1"/>
                  <c:pt idx="0">
                    <c:v>4.8060882206292198E-2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Summary'!$AU$37</c:f>
              <c:numCache>
                <c:formatCode>General</c:formatCode>
                <c:ptCount val="1"/>
                <c:pt idx="0">
                  <c:v>0.95582355177112488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3441-9F0F-922B2A89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Abdominal WAT weight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(%-BW)</a:t>
                </a:r>
              </a:p>
            </c:rich>
          </c:tx>
          <c:layout>
            <c:manualLayout>
              <c:xMode val="edge"/>
              <c:yMode val="edge"/>
              <c:x val="1.7856380690977501E-3"/>
              <c:y val="0.274672472702349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Storage Efficiency 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515170448659867"/>
          <c:y val="0.20764348013544365"/>
          <c:w val="0.49935500447555647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Summary'!$AV$14</c:f>
                <c:numCache>
                  <c:formatCode>General</c:formatCode>
                  <c:ptCount val="1"/>
                  <c:pt idx="0">
                    <c:v>3.1005015767192969E-2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Summary'!$AV$13</c:f>
              <c:numCache>
                <c:formatCode>General</c:formatCode>
                <c:ptCount val="1"/>
                <c:pt idx="0">
                  <c:v>0.59087703934670044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5A4B-B72E-9353A64528F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Summary'!$AV$25</c:f>
                <c:numCache>
                  <c:formatCode>General</c:formatCode>
                  <c:ptCount val="1"/>
                  <c:pt idx="0">
                    <c:v>5.4567872661636894E-2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Summary'!$AV$24</c:f>
              <c:numCache>
                <c:formatCode>General</c:formatCode>
                <c:ptCount val="1"/>
                <c:pt idx="0">
                  <c:v>0.61200756642536047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F-5A4B-B72E-9353A64528F2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Summary'!$AV$38</c:f>
                <c:numCache>
                  <c:formatCode>General</c:formatCode>
                  <c:ptCount val="1"/>
                  <c:pt idx="0">
                    <c:v>2.8575222869619818E-2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Summary'!$AV$37</c:f>
              <c:numCache>
                <c:formatCode>General</c:formatCode>
                <c:ptCount val="1"/>
                <c:pt idx="0">
                  <c:v>0.71384868053729722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F-5A4B-B72E-9353A645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Abdominal lipid storage efficiency (mg/kcal)</a:t>
                </a:r>
              </a:p>
            </c:rich>
          </c:tx>
          <c:layout>
            <c:manualLayout>
              <c:xMode val="edge"/>
              <c:yMode val="edge"/>
              <c:x val="1.7856291383106235E-3"/>
              <c:y val="0.214113385826771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531544752578"/>
          <c:y val="0.20764348013544365"/>
          <c:w val="0.6224712931331911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Summary'!$N$14</c:f>
                <c:numCache>
                  <c:formatCode>General</c:formatCode>
                  <c:ptCount val="1"/>
                  <c:pt idx="0">
                    <c:v>0.11426091000668408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Summary'!$N$13</c:f>
              <c:numCache>
                <c:formatCode>General</c:formatCode>
                <c:ptCount val="1"/>
                <c:pt idx="0">
                  <c:v>8.7666666666666675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534D-B21A-98A697860CD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Summary'!$N$25</c:f>
                <c:numCache>
                  <c:formatCode>General</c:formatCode>
                  <c:ptCount val="1"/>
                  <c:pt idx="0">
                    <c:v>0.14236522448567668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Summary'!$N$24</c:f>
              <c:numCache>
                <c:formatCode>General</c:formatCode>
                <c:ptCount val="1"/>
                <c:pt idx="0">
                  <c:v>8.7750000000000004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534D-B21A-98A697860CD2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Summary'!$N$38</c:f>
                <c:numCache>
                  <c:formatCode>General</c:formatCode>
                  <c:ptCount val="1"/>
                  <c:pt idx="0">
                    <c:v>5.5555555555555615E-2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Summary'!$N$37</c:f>
              <c:numCache>
                <c:formatCode>General</c:formatCode>
                <c:ptCount val="1"/>
                <c:pt idx="0">
                  <c:v>8.7444444444444454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5-534D-B21A-98A69786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Nose-anus length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(cm)</a:t>
                </a:r>
              </a:p>
            </c:rich>
          </c:tx>
          <c:layout>
            <c:manualLayout>
              <c:xMode val="edge"/>
              <c:yMode val="edge"/>
              <c:x val="1.7856750359446683E-3"/>
              <c:y val="0.338113385826771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Tibial Length</a:t>
            </a:r>
          </a:p>
        </c:rich>
      </c:tx>
      <c:layout>
        <c:manualLayout>
          <c:xMode val="edge"/>
          <c:yMode val="edge"/>
          <c:x val="3.832853651914201E-2"/>
          <c:y val="3.7384649348737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531544752578"/>
          <c:y val="0.20764348013544365"/>
          <c:w val="0.62247129313319116"/>
          <c:h val="0.73378473830477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4AAFE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Summary'!$P$14</c:f>
                <c:numCache>
                  <c:formatCode>General</c:formatCode>
                  <c:ptCount val="1"/>
                  <c:pt idx="0">
                    <c:v>0.1059889203387217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Summary'!$P$13</c:f>
              <c:numCache>
                <c:formatCode>General</c:formatCode>
                <c:ptCount val="1"/>
                <c:pt idx="0">
                  <c:v>16.94188888888889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8-9A4E-994D-5678A95D5575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Summary'!$P$25</c:f>
                <c:numCache>
                  <c:formatCode>General</c:formatCode>
                  <c:ptCount val="1"/>
                  <c:pt idx="0">
                    <c:v>0.13285919097243637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Summary'!$P$24</c:f>
              <c:numCache>
                <c:formatCode>General</c:formatCode>
                <c:ptCount val="1"/>
                <c:pt idx="0">
                  <c:v>16.856571428571428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9A4E-994D-5678A95D5575}"/>
            </c:ext>
          </c:extLst>
        </c:ser>
        <c:ser>
          <c:idx val="2"/>
          <c:order val="2"/>
          <c:spPr>
            <a:solidFill>
              <a:srgbClr val="38C841"/>
            </a:solidFill>
            <a:ln>
              <a:solidFill>
                <a:schemeClr val="bg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'(HOM) Data Summary'!$P$38</c:f>
                <c:numCache>
                  <c:formatCode>General</c:formatCode>
                  <c:ptCount val="1"/>
                  <c:pt idx="0">
                    <c:v>8.3760571472103293E-2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'(HOM) Data Summary'!$P$37</c:f>
              <c:numCache>
                <c:formatCode>General</c:formatCode>
                <c:ptCount val="1"/>
                <c:pt idx="0">
                  <c:v>16.978999999999999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8-9A4E-994D-5678A95D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58575"/>
        <c:axId val="1"/>
      </c:barChart>
      <c:catAx>
        <c:axId val="20076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Tibial length</a:t>
                </a:r>
              </a:p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 sz="1400" b="1" i="0" u="none" strike="noStrike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(mm)</a:t>
                </a:r>
              </a:p>
            </c:rich>
          </c:tx>
          <c:layout>
            <c:manualLayout>
              <c:xMode val="edge"/>
              <c:yMode val="edge"/>
              <c:x val="1.7858270930622439E-3"/>
              <c:y val="0.378113385826771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/>
                </a:solidFill>
                <a:latin typeface="Arial" panose="020B0604020202020204" pitchFamily="34" charset="0"/>
                <a:ea typeface="Helv"/>
                <a:cs typeface="Arial" panose="020B0604020202020204" pitchFamily="34" charset="0"/>
              </a:defRPr>
            </a:pPr>
            <a:endParaRPr lang="en-US"/>
          </a:p>
        </c:txPr>
        <c:crossAx val="2007658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18" Type="http://schemas.openxmlformats.org/officeDocument/2006/relationships/chart" Target="../charts/chart88.xml"/><Relationship Id="rId26" Type="http://schemas.openxmlformats.org/officeDocument/2006/relationships/chart" Target="../charts/chart96.xml"/><Relationship Id="rId3" Type="http://schemas.openxmlformats.org/officeDocument/2006/relationships/chart" Target="../charts/chart73.xml"/><Relationship Id="rId21" Type="http://schemas.openxmlformats.org/officeDocument/2006/relationships/chart" Target="../charts/chart91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17" Type="http://schemas.openxmlformats.org/officeDocument/2006/relationships/chart" Target="../charts/chart87.xml"/><Relationship Id="rId25" Type="http://schemas.openxmlformats.org/officeDocument/2006/relationships/chart" Target="../charts/chart95.xml"/><Relationship Id="rId2" Type="http://schemas.openxmlformats.org/officeDocument/2006/relationships/chart" Target="../charts/chart72.xml"/><Relationship Id="rId16" Type="http://schemas.openxmlformats.org/officeDocument/2006/relationships/chart" Target="../charts/chart86.xml"/><Relationship Id="rId20" Type="http://schemas.openxmlformats.org/officeDocument/2006/relationships/chart" Target="../charts/chart90.xml"/><Relationship Id="rId29" Type="http://schemas.openxmlformats.org/officeDocument/2006/relationships/chart" Target="../charts/chart99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24" Type="http://schemas.openxmlformats.org/officeDocument/2006/relationships/chart" Target="../charts/chart94.xml"/><Relationship Id="rId32" Type="http://schemas.openxmlformats.org/officeDocument/2006/relationships/chart" Target="../charts/chart102.xml"/><Relationship Id="rId5" Type="http://schemas.openxmlformats.org/officeDocument/2006/relationships/chart" Target="../charts/chart75.xml"/><Relationship Id="rId15" Type="http://schemas.openxmlformats.org/officeDocument/2006/relationships/chart" Target="../charts/chart85.xml"/><Relationship Id="rId23" Type="http://schemas.openxmlformats.org/officeDocument/2006/relationships/chart" Target="../charts/chart93.xml"/><Relationship Id="rId28" Type="http://schemas.openxmlformats.org/officeDocument/2006/relationships/chart" Target="../charts/chart98.xml"/><Relationship Id="rId10" Type="http://schemas.openxmlformats.org/officeDocument/2006/relationships/chart" Target="../charts/chart80.xml"/><Relationship Id="rId19" Type="http://schemas.openxmlformats.org/officeDocument/2006/relationships/chart" Target="../charts/chart89.xml"/><Relationship Id="rId31" Type="http://schemas.openxmlformats.org/officeDocument/2006/relationships/chart" Target="../charts/chart101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Relationship Id="rId14" Type="http://schemas.openxmlformats.org/officeDocument/2006/relationships/chart" Target="../charts/chart84.xml"/><Relationship Id="rId22" Type="http://schemas.openxmlformats.org/officeDocument/2006/relationships/chart" Target="../charts/chart92.xml"/><Relationship Id="rId27" Type="http://schemas.openxmlformats.org/officeDocument/2006/relationships/chart" Target="../charts/chart97.xml"/><Relationship Id="rId30" Type="http://schemas.openxmlformats.org/officeDocument/2006/relationships/chart" Target="../charts/chart100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15.xml"/><Relationship Id="rId18" Type="http://schemas.openxmlformats.org/officeDocument/2006/relationships/chart" Target="../charts/chart120.xml"/><Relationship Id="rId26" Type="http://schemas.openxmlformats.org/officeDocument/2006/relationships/chart" Target="../charts/chart128.xml"/><Relationship Id="rId39" Type="http://schemas.openxmlformats.org/officeDocument/2006/relationships/chart" Target="../charts/chart141.xml"/><Relationship Id="rId21" Type="http://schemas.openxmlformats.org/officeDocument/2006/relationships/chart" Target="../charts/chart123.xml"/><Relationship Id="rId34" Type="http://schemas.openxmlformats.org/officeDocument/2006/relationships/chart" Target="../charts/chart136.xml"/><Relationship Id="rId42" Type="http://schemas.openxmlformats.org/officeDocument/2006/relationships/chart" Target="../charts/chart144.xml"/><Relationship Id="rId47" Type="http://schemas.openxmlformats.org/officeDocument/2006/relationships/chart" Target="../charts/chart149.xml"/><Relationship Id="rId50" Type="http://schemas.openxmlformats.org/officeDocument/2006/relationships/chart" Target="../charts/chart152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29" Type="http://schemas.openxmlformats.org/officeDocument/2006/relationships/chart" Target="../charts/chart131.xml"/><Relationship Id="rId11" Type="http://schemas.openxmlformats.org/officeDocument/2006/relationships/chart" Target="../charts/chart113.xml"/><Relationship Id="rId24" Type="http://schemas.openxmlformats.org/officeDocument/2006/relationships/chart" Target="../charts/chart126.xml"/><Relationship Id="rId32" Type="http://schemas.openxmlformats.org/officeDocument/2006/relationships/chart" Target="../charts/chart134.xml"/><Relationship Id="rId37" Type="http://schemas.openxmlformats.org/officeDocument/2006/relationships/chart" Target="../charts/chart139.xml"/><Relationship Id="rId40" Type="http://schemas.openxmlformats.org/officeDocument/2006/relationships/chart" Target="../charts/chart142.xml"/><Relationship Id="rId45" Type="http://schemas.openxmlformats.org/officeDocument/2006/relationships/chart" Target="../charts/chart147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23" Type="http://schemas.openxmlformats.org/officeDocument/2006/relationships/chart" Target="../charts/chart125.xml"/><Relationship Id="rId28" Type="http://schemas.openxmlformats.org/officeDocument/2006/relationships/chart" Target="../charts/chart130.xml"/><Relationship Id="rId36" Type="http://schemas.openxmlformats.org/officeDocument/2006/relationships/chart" Target="../charts/chart138.xml"/><Relationship Id="rId49" Type="http://schemas.openxmlformats.org/officeDocument/2006/relationships/chart" Target="../charts/chart151.xml"/><Relationship Id="rId10" Type="http://schemas.openxmlformats.org/officeDocument/2006/relationships/chart" Target="../charts/chart112.xml"/><Relationship Id="rId19" Type="http://schemas.openxmlformats.org/officeDocument/2006/relationships/chart" Target="../charts/chart121.xml"/><Relationship Id="rId31" Type="http://schemas.openxmlformats.org/officeDocument/2006/relationships/chart" Target="../charts/chart133.xml"/><Relationship Id="rId44" Type="http://schemas.openxmlformats.org/officeDocument/2006/relationships/chart" Target="../charts/chart146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Relationship Id="rId22" Type="http://schemas.openxmlformats.org/officeDocument/2006/relationships/chart" Target="../charts/chart124.xml"/><Relationship Id="rId27" Type="http://schemas.openxmlformats.org/officeDocument/2006/relationships/chart" Target="../charts/chart129.xml"/><Relationship Id="rId30" Type="http://schemas.openxmlformats.org/officeDocument/2006/relationships/chart" Target="../charts/chart132.xml"/><Relationship Id="rId35" Type="http://schemas.openxmlformats.org/officeDocument/2006/relationships/chart" Target="../charts/chart137.xml"/><Relationship Id="rId43" Type="http://schemas.openxmlformats.org/officeDocument/2006/relationships/chart" Target="../charts/chart145.xml"/><Relationship Id="rId48" Type="http://schemas.openxmlformats.org/officeDocument/2006/relationships/chart" Target="../charts/chart150.xml"/><Relationship Id="rId8" Type="http://schemas.openxmlformats.org/officeDocument/2006/relationships/chart" Target="../charts/chart110.xml"/><Relationship Id="rId51" Type="http://schemas.openxmlformats.org/officeDocument/2006/relationships/chart" Target="../charts/chart153.xml"/><Relationship Id="rId3" Type="http://schemas.openxmlformats.org/officeDocument/2006/relationships/chart" Target="../charts/chart105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5" Type="http://schemas.openxmlformats.org/officeDocument/2006/relationships/chart" Target="../charts/chart127.xml"/><Relationship Id="rId33" Type="http://schemas.openxmlformats.org/officeDocument/2006/relationships/chart" Target="../charts/chart135.xml"/><Relationship Id="rId38" Type="http://schemas.openxmlformats.org/officeDocument/2006/relationships/chart" Target="../charts/chart140.xml"/><Relationship Id="rId46" Type="http://schemas.openxmlformats.org/officeDocument/2006/relationships/chart" Target="../charts/chart148.xml"/><Relationship Id="rId20" Type="http://schemas.openxmlformats.org/officeDocument/2006/relationships/chart" Target="../charts/chart122.xml"/><Relationship Id="rId41" Type="http://schemas.openxmlformats.org/officeDocument/2006/relationships/chart" Target="../charts/chart143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6.xml"/><Relationship Id="rId18" Type="http://schemas.openxmlformats.org/officeDocument/2006/relationships/chart" Target="../charts/chart171.xml"/><Relationship Id="rId26" Type="http://schemas.openxmlformats.org/officeDocument/2006/relationships/chart" Target="../charts/chart179.xml"/><Relationship Id="rId39" Type="http://schemas.openxmlformats.org/officeDocument/2006/relationships/chart" Target="../charts/chart192.xml"/><Relationship Id="rId21" Type="http://schemas.openxmlformats.org/officeDocument/2006/relationships/chart" Target="../charts/chart174.xml"/><Relationship Id="rId34" Type="http://schemas.openxmlformats.org/officeDocument/2006/relationships/chart" Target="../charts/chart187.xml"/><Relationship Id="rId42" Type="http://schemas.openxmlformats.org/officeDocument/2006/relationships/chart" Target="../charts/chart195.xml"/><Relationship Id="rId7" Type="http://schemas.openxmlformats.org/officeDocument/2006/relationships/chart" Target="../charts/chart160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20" Type="http://schemas.openxmlformats.org/officeDocument/2006/relationships/chart" Target="../charts/chart173.xml"/><Relationship Id="rId29" Type="http://schemas.openxmlformats.org/officeDocument/2006/relationships/chart" Target="../charts/chart182.xml"/><Relationship Id="rId41" Type="http://schemas.openxmlformats.org/officeDocument/2006/relationships/chart" Target="../charts/chart194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24" Type="http://schemas.openxmlformats.org/officeDocument/2006/relationships/chart" Target="../charts/chart177.xml"/><Relationship Id="rId32" Type="http://schemas.openxmlformats.org/officeDocument/2006/relationships/chart" Target="../charts/chart185.xml"/><Relationship Id="rId37" Type="http://schemas.openxmlformats.org/officeDocument/2006/relationships/chart" Target="../charts/chart190.xml"/><Relationship Id="rId40" Type="http://schemas.openxmlformats.org/officeDocument/2006/relationships/chart" Target="../charts/chart193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23" Type="http://schemas.openxmlformats.org/officeDocument/2006/relationships/chart" Target="../charts/chart176.xml"/><Relationship Id="rId28" Type="http://schemas.openxmlformats.org/officeDocument/2006/relationships/chart" Target="../charts/chart181.xml"/><Relationship Id="rId36" Type="http://schemas.openxmlformats.org/officeDocument/2006/relationships/chart" Target="../charts/chart189.xml"/><Relationship Id="rId10" Type="http://schemas.openxmlformats.org/officeDocument/2006/relationships/chart" Target="../charts/chart163.xml"/><Relationship Id="rId19" Type="http://schemas.openxmlformats.org/officeDocument/2006/relationships/chart" Target="../charts/chart172.xml"/><Relationship Id="rId31" Type="http://schemas.openxmlformats.org/officeDocument/2006/relationships/chart" Target="../charts/chart184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Relationship Id="rId22" Type="http://schemas.openxmlformats.org/officeDocument/2006/relationships/chart" Target="../charts/chart175.xml"/><Relationship Id="rId27" Type="http://schemas.openxmlformats.org/officeDocument/2006/relationships/chart" Target="../charts/chart180.xml"/><Relationship Id="rId30" Type="http://schemas.openxmlformats.org/officeDocument/2006/relationships/chart" Target="../charts/chart183.xml"/><Relationship Id="rId35" Type="http://schemas.openxmlformats.org/officeDocument/2006/relationships/chart" Target="../charts/chart188.xml"/><Relationship Id="rId8" Type="http://schemas.openxmlformats.org/officeDocument/2006/relationships/chart" Target="../charts/chart161.xml"/><Relationship Id="rId3" Type="http://schemas.openxmlformats.org/officeDocument/2006/relationships/chart" Target="../charts/chart156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5" Type="http://schemas.openxmlformats.org/officeDocument/2006/relationships/chart" Target="../charts/chart178.xml"/><Relationship Id="rId33" Type="http://schemas.openxmlformats.org/officeDocument/2006/relationships/chart" Target="../charts/chart186.xml"/><Relationship Id="rId38" Type="http://schemas.openxmlformats.org/officeDocument/2006/relationships/chart" Target="../charts/chart1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7</xdr:col>
      <xdr:colOff>0</xdr:colOff>
      <xdr:row>116</xdr:row>
      <xdr:rowOff>0</xdr:rowOff>
    </xdr:to>
    <xdr:graphicFrame macro="">
      <xdr:nvGraphicFramePr>
        <xdr:cNvPr id="105567" name="Chart 34">
          <a:extLst>
            <a:ext uri="{FF2B5EF4-FFF2-40B4-BE49-F238E27FC236}">
              <a16:creationId xmlns:a16="http://schemas.microsoft.com/office/drawing/2014/main" id="{14589D49-01F3-D042-A16F-B74175FB3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85</xdr:row>
      <xdr:rowOff>142875</xdr:rowOff>
    </xdr:from>
    <xdr:to>
      <xdr:col>24</xdr:col>
      <xdr:colOff>0</xdr:colOff>
      <xdr:row>115</xdr:row>
      <xdr:rowOff>142875</xdr:rowOff>
    </xdr:to>
    <xdr:graphicFrame macro="">
      <xdr:nvGraphicFramePr>
        <xdr:cNvPr id="105569" name="Chart 214">
          <a:extLst>
            <a:ext uri="{FF2B5EF4-FFF2-40B4-BE49-F238E27FC236}">
              <a16:creationId xmlns:a16="http://schemas.microsoft.com/office/drawing/2014/main" id="{3874B886-1821-CB4C-83E2-F5B5D8B5B798}"/>
            </a:ext>
            <a:ext uri="{147F2762-F138-4A5C-976F-8EAC2B608ADB}">
              <a16:predDERef xmlns:a16="http://schemas.microsoft.com/office/drawing/2014/main" pred="{14589D49-01F3-D042-A16F-B74175FB3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15</xdr:col>
      <xdr:colOff>0</xdr:colOff>
      <xdr:row>116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BE15F-8593-406A-9D6C-626C06514E68}"/>
            </a:ext>
            <a:ext uri="{147F2762-F138-4A5C-976F-8EAC2B608ADB}">
              <a16:predDERef xmlns:a16="http://schemas.microsoft.com/office/drawing/2014/main" pred="{3874B886-1821-CB4C-83E2-F5B5D8B5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33</xdr:col>
      <xdr:colOff>0</xdr:colOff>
      <xdr:row>79</xdr:row>
      <xdr:rowOff>12700</xdr:rowOff>
    </xdr:to>
    <xdr:graphicFrame macro="">
      <xdr:nvGraphicFramePr>
        <xdr:cNvPr id="6" name="Chart 35">
          <a:extLst>
            <a:ext uri="{FF2B5EF4-FFF2-40B4-BE49-F238E27FC236}">
              <a16:creationId xmlns:a16="http://schemas.microsoft.com/office/drawing/2014/main" id="{B790723B-6657-2E4C-AB81-55B61A77E153}"/>
            </a:ext>
            <a:ext uri="{147F2762-F138-4A5C-976F-8EAC2B608ADB}">
              <a16:predDERef xmlns:a16="http://schemas.microsoft.com/office/drawing/2014/main" pred="{6B7BE15F-8593-406A-9D6C-626C0651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86</xdr:row>
      <xdr:rowOff>0</xdr:rowOff>
    </xdr:from>
    <xdr:to>
      <xdr:col>38</xdr:col>
      <xdr:colOff>10583</xdr:colOff>
      <xdr:row>108</xdr:row>
      <xdr:rowOff>87157</xdr:rowOff>
    </xdr:to>
    <xdr:graphicFrame macro="">
      <xdr:nvGraphicFramePr>
        <xdr:cNvPr id="9" name="Chart 35">
          <a:extLst>
            <a:ext uri="{FF2B5EF4-FFF2-40B4-BE49-F238E27FC236}">
              <a16:creationId xmlns:a16="http://schemas.microsoft.com/office/drawing/2014/main" id="{ED56F887-9A74-FD4B-8491-A9FCBC2385D5}"/>
            </a:ext>
            <a:ext uri="{147F2762-F138-4A5C-976F-8EAC2B608ADB}">
              <a16:predDERef xmlns:a16="http://schemas.microsoft.com/office/drawing/2014/main" pred="{6B7BE15F-8593-406A-9D6C-626C0651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117</xdr:row>
      <xdr:rowOff>0</xdr:rowOff>
    </xdr:from>
    <xdr:to>
      <xdr:col>15</xdr:col>
      <xdr:colOff>0</xdr:colOff>
      <xdr:row>147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E7E8BA-D438-1C4E-A262-8F06996FC9C1}"/>
            </a:ext>
            <a:ext uri="{147F2762-F138-4A5C-976F-8EAC2B608ADB}">
              <a16:predDERef xmlns:a16="http://schemas.microsoft.com/office/drawing/2014/main" pred="{3874B886-1821-CB4C-83E2-F5B5D8B5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0</xdr:rowOff>
    </xdr:from>
    <xdr:to>
      <xdr:col>7</xdr:col>
      <xdr:colOff>0</xdr:colOff>
      <xdr:row>114</xdr:row>
      <xdr:rowOff>0</xdr:rowOff>
    </xdr:to>
    <xdr:graphicFrame macro="">
      <xdr:nvGraphicFramePr>
        <xdr:cNvPr id="2" name="Chart 34">
          <a:extLst>
            <a:ext uri="{FF2B5EF4-FFF2-40B4-BE49-F238E27FC236}">
              <a16:creationId xmlns:a16="http://schemas.microsoft.com/office/drawing/2014/main" id="{91BF34E3-87A6-42A3-A7FE-B9D5F88B8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83</xdr:row>
      <xdr:rowOff>142875</xdr:rowOff>
    </xdr:from>
    <xdr:to>
      <xdr:col>24</xdr:col>
      <xdr:colOff>0</xdr:colOff>
      <xdr:row>113</xdr:row>
      <xdr:rowOff>142875</xdr:rowOff>
    </xdr:to>
    <xdr:graphicFrame macro="">
      <xdr:nvGraphicFramePr>
        <xdr:cNvPr id="4" name="Chart 214">
          <a:extLst>
            <a:ext uri="{FF2B5EF4-FFF2-40B4-BE49-F238E27FC236}">
              <a16:creationId xmlns:a16="http://schemas.microsoft.com/office/drawing/2014/main" id="{CA91AAD0-7817-4859-9B55-9962AB921596}"/>
            </a:ext>
            <a:ext uri="{147F2762-F138-4A5C-976F-8EAC2B608ADB}">
              <a16:predDERef xmlns:a16="http://schemas.microsoft.com/office/drawing/2014/main" pred="{91BF34E3-87A6-42A3-A7FE-B9D5F88B8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9769</xdr:colOff>
      <xdr:row>55</xdr:row>
      <xdr:rowOff>0</xdr:rowOff>
    </xdr:from>
    <xdr:to>
      <xdr:col>33</xdr:col>
      <xdr:colOff>0</xdr:colOff>
      <xdr:row>78</xdr:row>
      <xdr:rowOff>11546</xdr:rowOff>
    </xdr:to>
    <xdr:graphicFrame macro="">
      <xdr:nvGraphicFramePr>
        <xdr:cNvPr id="6" name="Chart 35">
          <a:extLst>
            <a:ext uri="{FF2B5EF4-FFF2-40B4-BE49-F238E27FC236}">
              <a16:creationId xmlns:a16="http://schemas.microsoft.com/office/drawing/2014/main" id="{4A77B323-49ED-47D3-BFC0-6F6C7A4CCFA9}"/>
            </a:ext>
            <a:ext uri="{147F2762-F138-4A5C-976F-8EAC2B608ADB}">
              <a16:predDERef xmlns:a16="http://schemas.microsoft.com/office/drawing/2014/main" pred="{CA91AAD0-7817-4859-9B55-9962AB921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0</xdr:colOff>
      <xdr:row>114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999FBC-C40A-44B5-B83F-F57DA3579E6D}"/>
            </a:ext>
            <a:ext uri="{147F2762-F138-4A5C-976F-8EAC2B608ADB}">
              <a16:predDERef xmlns:a16="http://schemas.microsoft.com/office/drawing/2014/main" pred="{4A77B323-49ED-47D3-BFC0-6F6C7A4CC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722586</xdr:colOff>
      <xdr:row>83</xdr:row>
      <xdr:rowOff>153276</xdr:rowOff>
    </xdr:from>
    <xdr:to>
      <xdr:col>31</xdr:col>
      <xdr:colOff>725714</xdr:colOff>
      <xdr:row>106</xdr:row>
      <xdr:rowOff>5474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E8C84-ADD5-0246-8247-E0859E834B40}"/>
            </a:ext>
            <a:ext uri="{147F2762-F138-4A5C-976F-8EAC2B608ADB}">
              <a16:predDERef xmlns:a16="http://schemas.microsoft.com/office/drawing/2014/main" pred="{D020C555-618D-4EAE-B327-F1C9104F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116</xdr:row>
      <xdr:rowOff>0</xdr:rowOff>
    </xdr:from>
    <xdr:to>
      <xdr:col>15</xdr:col>
      <xdr:colOff>0</xdr:colOff>
      <xdr:row>146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0C5D6F-F8BF-0E4B-94DB-E9D3A041036E}"/>
            </a:ext>
            <a:ext uri="{147F2762-F138-4A5C-976F-8EAC2B608ADB}">
              <a16:predDERef xmlns:a16="http://schemas.microsoft.com/office/drawing/2014/main" pred="{4A77B323-49ED-47D3-BFC0-6F6C7A4CC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0</xdr:rowOff>
    </xdr:from>
    <xdr:to>
      <xdr:col>7</xdr:col>
      <xdr:colOff>0</xdr:colOff>
      <xdr:row>144</xdr:row>
      <xdr:rowOff>0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6CEC48F0-1C84-4EF6-8073-26E8FD105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116</xdr:row>
      <xdr:rowOff>0</xdr:rowOff>
    </xdr:from>
    <xdr:to>
      <xdr:col>18</xdr:col>
      <xdr:colOff>0</xdr:colOff>
      <xdr:row>144</xdr:row>
      <xdr:rowOff>0</xdr:rowOff>
    </xdr:to>
    <xdr:graphicFrame macro="">
      <xdr:nvGraphicFramePr>
        <xdr:cNvPr id="3" name="Chart 15">
          <a:extLst>
            <a:ext uri="{FF2B5EF4-FFF2-40B4-BE49-F238E27FC236}">
              <a16:creationId xmlns:a16="http://schemas.microsoft.com/office/drawing/2014/main" id="{169EBCF7-F6B0-4A7B-8FE5-8A4D4B97EA36}"/>
            </a:ext>
            <a:ext uri="{147F2762-F138-4A5C-976F-8EAC2B608ADB}">
              <a16:predDERef xmlns:a16="http://schemas.microsoft.com/office/drawing/2014/main" pred="{6CEC48F0-1C84-4EF6-8073-26E8FD105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116</xdr:row>
      <xdr:rowOff>0</xdr:rowOff>
    </xdr:from>
    <xdr:to>
      <xdr:col>29</xdr:col>
      <xdr:colOff>704850</xdr:colOff>
      <xdr:row>137</xdr:row>
      <xdr:rowOff>9525</xdr:rowOff>
    </xdr:to>
    <xdr:graphicFrame macro="">
      <xdr:nvGraphicFramePr>
        <xdr:cNvPr id="4" name="Chart 15">
          <a:extLst>
            <a:ext uri="{FF2B5EF4-FFF2-40B4-BE49-F238E27FC236}">
              <a16:creationId xmlns:a16="http://schemas.microsoft.com/office/drawing/2014/main" id="{D020C555-618D-4EAE-B327-F1C9104F43B8}"/>
            </a:ext>
            <a:ext uri="{147F2762-F138-4A5C-976F-8EAC2B608ADB}">
              <a16:predDERef xmlns:a16="http://schemas.microsoft.com/office/drawing/2014/main" pred="{169EBCF7-F6B0-4A7B-8FE5-8A4D4B97E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209550</xdr:colOff>
      <xdr:row>140</xdr:row>
      <xdr:rowOff>161925</xdr:rowOff>
    </xdr:from>
    <xdr:to>
      <xdr:col>28</xdr:col>
      <xdr:colOff>152400</xdr:colOff>
      <xdr:row>160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C4CFD6-C5EB-4143-B750-AD9E69437899}"/>
            </a:ext>
            <a:ext uri="{147F2762-F138-4A5C-976F-8EAC2B608ADB}">
              <a16:predDERef xmlns:a16="http://schemas.microsoft.com/office/drawing/2014/main" pred="{D020C555-618D-4EAE-B327-F1C9104F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141</xdr:row>
      <xdr:rowOff>0</xdr:rowOff>
    </xdr:from>
    <xdr:to>
      <xdr:col>36</xdr:col>
      <xdr:colOff>0</xdr:colOff>
      <xdr:row>161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17BB0F-FBE5-B84F-B634-8BD9290C09DA}"/>
            </a:ext>
            <a:ext uri="{147F2762-F138-4A5C-976F-8EAC2B608ADB}">
              <a16:predDERef xmlns:a16="http://schemas.microsoft.com/office/drawing/2014/main" pred="{D020C555-618D-4EAE-B327-F1C9104F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2113" name="Chart 15">
          <a:extLst>
            <a:ext uri="{FF2B5EF4-FFF2-40B4-BE49-F238E27FC236}">
              <a16:creationId xmlns:a16="http://schemas.microsoft.com/office/drawing/2014/main" id="{591EDA5F-4FB0-884F-B7AB-911A56DB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18</xdr:col>
      <xdr:colOff>0</xdr:colOff>
      <xdr:row>141</xdr:row>
      <xdr:rowOff>0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612B3997-0606-B141-9287-9979FFE08A6A}"/>
            </a:ext>
            <a:ext uri="{147F2762-F138-4A5C-976F-8EAC2B608ADB}">
              <a16:predDERef xmlns:a16="http://schemas.microsoft.com/office/drawing/2014/main" pred="{591EDA5F-4FB0-884F-B7AB-911A56DB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28</xdr:col>
      <xdr:colOff>0</xdr:colOff>
      <xdr:row>157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0A5C9-DE47-4989-88EB-5E823E80A8E8}"/>
            </a:ext>
            <a:ext uri="{147F2762-F138-4A5C-976F-8EAC2B608ADB}">
              <a16:predDERef xmlns:a16="http://schemas.microsoft.com/office/drawing/2014/main" pred="{4687E39B-9F47-BA4A-A5CC-ECAD1EE07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137</xdr:row>
      <xdr:rowOff>0</xdr:rowOff>
    </xdr:from>
    <xdr:to>
      <xdr:col>36</xdr:col>
      <xdr:colOff>8466</xdr:colOff>
      <xdr:row>157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71225E-2A1F-7045-BE1C-4AEDB2CE58C5}"/>
            </a:ext>
            <a:ext uri="{147F2762-F138-4A5C-976F-8EAC2B608ADB}">
              <a16:predDERef xmlns:a16="http://schemas.microsoft.com/office/drawing/2014/main" pred="{D020C555-618D-4EAE-B327-F1C9104F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113</xdr:row>
      <xdr:rowOff>0</xdr:rowOff>
    </xdr:from>
    <xdr:to>
      <xdr:col>27</xdr:col>
      <xdr:colOff>12700</xdr:colOff>
      <xdr:row>134</xdr:row>
      <xdr:rowOff>9525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3C2DE90F-C5FC-DB46-BFFF-E75DC903FEBB}"/>
            </a:ext>
            <a:ext uri="{147F2762-F138-4A5C-976F-8EAC2B608ADB}">
              <a16:predDERef xmlns:a16="http://schemas.microsoft.com/office/drawing/2014/main" pred="{169EBCF7-F6B0-4A7B-8FE5-8A4D4B97E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49</xdr:row>
      <xdr:rowOff>0</xdr:rowOff>
    </xdr:from>
    <xdr:to>
      <xdr:col>34</xdr:col>
      <xdr:colOff>0</xdr:colOff>
      <xdr:row>68</xdr:row>
      <xdr:rowOff>0</xdr:rowOff>
    </xdr:to>
    <xdr:graphicFrame macro="">
      <xdr:nvGraphicFramePr>
        <xdr:cNvPr id="2" name="Chart -1023">
          <a:extLst>
            <a:ext uri="{FF2B5EF4-FFF2-40B4-BE49-F238E27FC236}">
              <a16:creationId xmlns:a16="http://schemas.microsoft.com/office/drawing/2014/main" id="{7BEAECAF-808D-406C-B863-39DB34D6D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49</xdr:row>
      <xdr:rowOff>0</xdr:rowOff>
    </xdr:from>
    <xdr:to>
      <xdr:col>34</xdr:col>
      <xdr:colOff>0</xdr:colOff>
      <xdr:row>68</xdr:row>
      <xdr:rowOff>12700</xdr:rowOff>
    </xdr:to>
    <xdr:graphicFrame macro="">
      <xdr:nvGraphicFramePr>
        <xdr:cNvPr id="3" name="Chart -1022">
          <a:extLst>
            <a:ext uri="{FF2B5EF4-FFF2-40B4-BE49-F238E27FC236}">
              <a16:creationId xmlns:a16="http://schemas.microsoft.com/office/drawing/2014/main" id="{10677776-D413-4643-BF04-1C7206D29DBD}"/>
            </a:ext>
            <a:ext uri="{147F2762-F138-4A5C-976F-8EAC2B608ADB}">
              <a16:predDERef xmlns:a16="http://schemas.microsoft.com/office/drawing/2014/main" pred="{7BEAECAF-808D-406C-B863-39DB34D6D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49</xdr:row>
      <xdr:rowOff>0</xdr:rowOff>
    </xdr:from>
    <xdr:to>
      <xdr:col>34</xdr:col>
      <xdr:colOff>0</xdr:colOff>
      <xdr:row>68</xdr:row>
      <xdr:rowOff>12700</xdr:rowOff>
    </xdr:to>
    <xdr:graphicFrame macro="">
      <xdr:nvGraphicFramePr>
        <xdr:cNvPr id="4" name="Chart -1021">
          <a:extLst>
            <a:ext uri="{FF2B5EF4-FFF2-40B4-BE49-F238E27FC236}">
              <a16:creationId xmlns:a16="http://schemas.microsoft.com/office/drawing/2014/main" id="{64A5BC04-D966-4B2B-A54C-F78D8FDD28D0}"/>
            </a:ext>
            <a:ext uri="{147F2762-F138-4A5C-976F-8EAC2B608ADB}">
              <a16:predDERef xmlns:a16="http://schemas.microsoft.com/office/drawing/2014/main" pred="{10677776-D413-4643-BF04-1C7206D29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0</xdr:colOff>
      <xdr:row>66</xdr:row>
      <xdr:rowOff>139700</xdr:rowOff>
    </xdr:to>
    <xdr:graphicFrame macro="">
      <xdr:nvGraphicFramePr>
        <xdr:cNvPr id="5" name="Chart -1018">
          <a:extLst>
            <a:ext uri="{FF2B5EF4-FFF2-40B4-BE49-F238E27FC236}">
              <a16:creationId xmlns:a16="http://schemas.microsoft.com/office/drawing/2014/main" id="{2E1D9B82-DE5C-4586-907E-A8FAD22C1C5E}"/>
            </a:ext>
            <a:ext uri="{147F2762-F138-4A5C-976F-8EAC2B608ADB}">
              <a16:predDERef xmlns:a16="http://schemas.microsoft.com/office/drawing/2014/main" pred="{64A5BC04-D966-4B2B-A54C-F78D8FDD2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0</xdr:colOff>
      <xdr:row>66</xdr:row>
      <xdr:rowOff>152400</xdr:rowOff>
    </xdr:to>
    <xdr:graphicFrame macro="">
      <xdr:nvGraphicFramePr>
        <xdr:cNvPr id="6" name="Chart -1017">
          <a:extLst>
            <a:ext uri="{FF2B5EF4-FFF2-40B4-BE49-F238E27FC236}">
              <a16:creationId xmlns:a16="http://schemas.microsoft.com/office/drawing/2014/main" id="{C90967FB-6937-4540-88C0-FF26CC01AE19}"/>
            </a:ext>
            <a:ext uri="{147F2762-F138-4A5C-976F-8EAC2B608ADB}">
              <a16:predDERef xmlns:a16="http://schemas.microsoft.com/office/drawing/2014/main" pred="{2E1D9B82-DE5C-4586-907E-A8FAD22C1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0</xdr:colOff>
      <xdr:row>66</xdr:row>
      <xdr:rowOff>165100</xdr:rowOff>
    </xdr:to>
    <xdr:graphicFrame macro="">
      <xdr:nvGraphicFramePr>
        <xdr:cNvPr id="7" name="Chart -1016">
          <a:extLst>
            <a:ext uri="{FF2B5EF4-FFF2-40B4-BE49-F238E27FC236}">
              <a16:creationId xmlns:a16="http://schemas.microsoft.com/office/drawing/2014/main" id="{54DCAD8C-9199-4123-A0E8-C15B41BD65AC}"/>
            </a:ext>
            <a:ext uri="{147F2762-F138-4A5C-976F-8EAC2B608ADB}">
              <a16:predDERef xmlns:a16="http://schemas.microsoft.com/office/drawing/2014/main" pred="{C90967FB-6937-4540-88C0-FF26CC01A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0</xdr:colOff>
      <xdr:row>67</xdr:row>
      <xdr:rowOff>0</xdr:rowOff>
    </xdr:to>
    <xdr:graphicFrame macro="">
      <xdr:nvGraphicFramePr>
        <xdr:cNvPr id="8" name="Chart -1015">
          <a:extLst>
            <a:ext uri="{FF2B5EF4-FFF2-40B4-BE49-F238E27FC236}">
              <a16:creationId xmlns:a16="http://schemas.microsoft.com/office/drawing/2014/main" id="{42462F8A-CA47-4A3B-B13C-C6EC838DC1F8}"/>
            </a:ext>
            <a:ext uri="{147F2762-F138-4A5C-976F-8EAC2B608ADB}">
              <a16:predDERef xmlns:a16="http://schemas.microsoft.com/office/drawing/2014/main" pred="{54DCAD8C-9199-4123-A0E8-C15B41BD6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0</xdr:colOff>
      <xdr:row>67</xdr:row>
      <xdr:rowOff>12700</xdr:rowOff>
    </xdr:to>
    <xdr:graphicFrame macro="">
      <xdr:nvGraphicFramePr>
        <xdr:cNvPr id="9" name="Chart -1014">
          <a:extLst>
            <a:ext uri="{FF2B5EF4-FFF2-40B4-BE49-F238E27FC236}">
              <a16:creationId xmlns:a16="http://schemas.microsoft.com/office/drawing/2014/main" id="{A7EFC3EE-524A-474C-94A9-CFA2E23ACBDA}"/>
            </a:ext>
            <a:ext uri="{147F2762-F138-4A5C-976F-8EAC2B608ADB}">
              <a16:predDERef xmlns:a16="http://schemas.microsoft.com/office/drawing/2014/main" pred="{42462F8A-CA47-4A3B-B13C-C6EC838DC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0</xdr:colOff>
      <xdr:row>67</xdr:row>
      <xdr:rowOff>25400</xdr:rowOff>
    </xdr:to>
    <xdr:graphicFrame macro="">
      <xdr:nvGraphicFramePr>
        <xdr:cNvPr id="10" name="Chart -1013">
          <a:extLst>
            <a:ext uri="{FF2B5EF4-FFF2-40B4-BE49-F238E27FC236}">
              <a16:creationId xmlns:a16="http://schemas.microsoft.com/office/drawing/2014/main" id="{F630B620-E109-48CE-BB8B-1029D90AD1A4}"/>
            </a:ext>
            <a:ext uri="{147F2762-F138-4A5C-976F-8EAC2B608ADB}">
              <a16:predDERef xmlns:a16="http://schemas.microsoft.com/office/drawing/2014/main" pred="{A7EFC3EE-524A-474C-94A9-CFA2E23A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3</xdr:col>
      <xdr:colOff>203200</xdr:colOff>
      <xdr:row>65</xdr:row>
      <xdr:rowOff>0</xdr:rowOff>
    </xdr:to>
    <xdr:graphicFrame macro="">
      <xdr:nvGraphicFramePr>
        <xdr:cNvPr id="11" name="Chart -1023">
          <a:extLst>
            <a:ext uri="{FF2B5EF4-FFF2-40B4-BE49-F238E27FC236}">
              <a16:creationId xmlns:a16="http://schemas.microsoft.com/office/drawing/2014/main" id="{01120FC3-F0D2-44E2-A191-BDB2407B4F70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7</xdr:col>
      <xdr:colOff>266700</xdr:colOff>
      <xdr:row>65</xdr:row>
      <xdr:rowOff>0</xdr:rowOff>
    </xdr:to>
    <xdr:graphicFrame macro="">
      <xdr:nvGraphicFramePr>
        <xdr:cNvPr id="42" name="Chart -1023">
          <a:extLst>
            <a:ext uri="{FF2B5EF4-FFF2-40B4-BE49-F238E27FC236}">
              <a16:creationId xmlns:a16="http://schemas.microsoft.com/office/drawing/2014/main" id="{D41A0261-E9AD-9C47-A11B-3BB0AC00FCE3}"/>
            </a:ext>
            <a:ext uri="{147F2762-F138-4A5C-976F-8EAC2B608ADB}">
              <a16:predDERef xmlns:a16="http://schemas.microsoft.com/office/drawing/2014/main" pred="{01120FC3-F0D2-44E2-A191-BDB2407B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11</xdr:col>
      <xdr:colOff>266700</xdr:colOff>
      <xdr:row>65</xdr:row>
      <xdr:rowOff>0</xdr:rowOff>
    </xdr:to>
    <xdr:graphicFrame macro="">
      <xdr:nvGraphicFramePr>
        <xdr:cNvPr id="43" name="Chart -1023">
          <a:extLst>
            <a:ext uri="{FF2B5EF4-FFF2-40B4-BE49-F238E27FC236}">
              <a16:creationId xmlns:a16="http://schemas.microsoft.com/office/drawing/2014/main" id="{9561E9BC-0044-C843-A192-316E469E179F}"/>
            </a:ext>
            <a:ext uri="{147F2762-F138-4A5C-976F-8EAC2B608ADB}">
              <a16:predDERef xmlns:a16="http://schemas.microsoft.com/office/drawing/2014/main" pred="{D41A0261-E9AD-9C47-A11B-3BB0AC00F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719666</xdr:colOff>
      <xdr:row>48</xdr:row>
      <xdr:rowOff>0</xdr:rowOff>
    </xdr:from>
    <xdr:to>
      <xdr:col>15</xdr:col>
      <xdr:colOff>455082</xdr:colOff>
      <xdr:row>65</xdr:row>
      <xdr:rowOff>0</xdr:rowOff>
    </xdr:to>
    <xdr:graphicFrame macro="">
      <xdr:nvGraphicFramePr>
        <xdr:cNvPr id="44" name="Chart -1023">
          <a:extLst>
            <a:ext uri="{FF2B5EF4-FFF2-40B4-BE49-F238E27FC236}">
              <a16:creationId xmlns:a16="http://schemas.microsoft.com/office/drawing/2014/main" id="{07DB463B-BC8B-2244-AC86-27D20EBC2340}"/>
            </a:ext>
            <a:ext uri="{147F2762-F138-4A5C-976F-8EAC2B608ADB}">
              <a16:predDERef xmlns:a16="http://schemas.microsoft.com/office/drawing/2014/main" pred="{9561E9BC-0044-C843-A192-316E469E1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20</xdr:col>
      <xdr:colOff>137584</xdr:colOff>
      <xdr:row>65</xdr:row>
      <xdr:rowOff>0</xdr:rowOff>
    </xdr:to>
    <xdr:graphicFrame macro="">
      <xdr:nvGraphicFramePr>
        <xdr:cNvPr id="45" name="Chart -1023">
          <a:extLst>
            <a:ext uri="{FF2B5EF4-FFF2-40B4-BE49-F238E27FC236}">
              <a16:creationId xmlns:a16="http://schemas.microsoft.com/office/drawing/2014/main" id="{7944F0EE-C86C-F14E-BB72-3B7584539595}"/>
            </a:ext>
            <a:ext uri="{147F2762-F138-4A5C-976F-8EAC2B608ADB}">
              <a16:predDERef xmlns:a16="http://schemas.microsoft.com/office/drawing/2014/main" pred="{07DB463B-BC8B-2244-AC86-27D20EBC2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25</xdr:col>
      <xdr:colOff>190500</xdr:colOff>
      <xdr:row>65</xdr:row>
      <xdr:rowOff>0</xdr:rowOff>
    </xdr:to>
    <xdr:graphicFrame macro="">
      <xdr:nvGraphicFramePr>
        <xdr:cNvPr id="47" name="Chart -1023">
          <a:extLst>
            <a:ext uri="{FF2B5EF4-FFF2-40B4-BE49-F238E27FC236}">
              <a16:creationId xmlns:a16="http://schemas.microsoft.com/office/drawing/2014/main" id="{9458EA5A-A1EC-C842-B3BC-3B935B4DD952}"/>
            </a:ext>
            <a:ext uri="{147F2762-F138-4A5C-976F-8EAC2B608ADB}">
              <a16:predDERef xmlns:a16="http://schemas.microsoft.com/office/drawing/2014/main" pred="{7944F0EE-C86C-F14E-BB72-3B7584539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29</xdr:col>
      <xdr:colOff>266700</xdr:colOff>
      <xdr:row>65</xdr:row>
      <xdr:rowOff>0</xdr:rowOff>
    </xdr:to>
    <xdr:graphicFrame macro="">
      <xdr:nvGraphicFramePr>
        <xdr:cNvPr id="50" name="Chart -1023">
          <a:extLst>
            <a:ext uri="{FF2B5EF4-FFF2-40B4-BE49-F238E27FC236}">
              <a16:creationId xmlns:a16="http://schemas.microsoft.com/office/drawing/2014/main" id="{3A806109-61A0-774C-93F3-2A1CD7AC9427}"/>
            </a:ext>
            <a:ext uri="{147F2762-F138-4A5C-976F-8EAC2B608ADB}">
              <a16:predDERef xmlns:a16="http://schemas.microsoft.com/office/drawing/2014/main" pred="{9458EA5A-A1EC-C842-B3BC-3B935B4DD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48</xdr:row>
      <xdr:rowOff>0</xdr:rowOff>
    </xdr:from>
    <xdr:to>
      <xdr:col>33</xdr:col>
      <xdr:colOff>495300</xdr:colOff>
      <xdr:row>65</xdr:row>
      <xdr:rowOff>0</xdr:rowOff>
    </xdr:to>
    <xdr:graphicFrame macro="">
      <xdr:nvGraphicFramePr>
        <xdr:cNvPr id="51" name="Chart -1023">
          <a:extLst>
            <a:ext uri="{FF2B5EF4-FFF2-40B4-BE49-F238E27FC236}">
              <a16:creationId xmlns:a16="http://schemas.microsoft.com/office/drawing/2014/main" id="{B270B7BE-0D09-B74D-B7FD-0008C1894400}"/>
            </a:ext>
            <a:ext uri="{147F2762-F138-4A5C-976F-8EAC2B608ADB}">
              <a16:predDERef xmlns:a16="http://schemas.microsoft.com/office/drawing/2014/main" pred="{3A806109-61A0-774C-93F3-2A1CD7AC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48</xdr:row>
      <xdr:rowOff>0</xdr:rowOff>
    </xdr:from>
    <xdr:to>
      <xdr:col>37</xdr:col>
      <xdr:colOff>266700</xdr:colOff>
      <xdr:row>65</xdr:row>
      <xdr:rowOff>0</xdr:rowOff>
    </xdr:to>
    <xdr:graphicFrame macro="">
      <xdr:nvGraphicFramePr>
        <xdr:cNvPr id="53" name="Chart -1023">
          <a:extLst>
            <a:ext uri="{FF2B5EF4-FFF2-40B4-BE49-F238E27FC236}">
              <a16:creationId xmlns:a16="http://schemas.microsoft.com/office/drawing/2014/main" id="{9B1F82B0-0D03-D147-A536-7D755604A5C6}"/>
            </a:ext>
            <a:ext uri="{147F2762-F138-4A5C-976F-8EAC2B608ADB}">
              <a16:predDERef xmlns:a16="http://schemas.microsoft.com/office/drawing/2014/main" pred="{B270B7BE-0D09-B74D-B7FD-0008C189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0</xdr:colOff>
      <xdr:row>48</xdr:row>
      <xdr:rowOff>0</xdr:rowOff>
    </xdr:from>
    <xdr:to>
      <xdr:col>41</xdr:col>
      <xdr:colOff>266700</xdr:colOff>
      <xdr:row>65</xdr:row>
      <xdr:rowOff>0</xdr:rowOff>
    </xdr:to>
    <xdr:graphicFrame macro="">
      <xdr:nvGraphicFramePr>
        <xdr:cNvPr id="54" name="Chart -1023">
          <a:extLst>
            <a:ext uri="{FF2B5EF4-FFF2-40B4-BE49-F238E27FC236}">
              <a16:creationId xmlns:a16="http://schemas.microsoft.com/office/drawing/2014/main" id="{43378410-FC59-1241-BB4B-999160E34B8D}"/>
            </a:ext>
            <a:ext uri="{147F2762-F138-4A5C-976F-8EAC2B608ADB}">
              <a16:predDERef xmlns:a16="http://schemas.microsoft.com/office/drawing/2014/main" pred="{9B1F82B0-0D03-D147-A536-7D755604A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0</xdr:colOff>
      <xdr:row>48</xdr:row>
      <xdr:rowOff>0</xdr:rowOff>
    </xdr:from>
    <xdr:to>
      <xdr:col>45</xdr:col>
      <xdr:colOff>457200</xdr:colOff>
      <xdr:row>65</xdr:row>
      <xdr:rowOff>0</xdr:rowOff>
    </xdr:to>
    <xdr:graphicFrame macro="">
      <xdr:nvGraphicFramePr>
        <xdr:cNvPr id="55" name="Chart -1023">
          <a:extLst>
            <a:ext uri="{FF2B5EF4-FFF2-40B4-BE49-F238E27FC236}">
              <a16:creationId xmlns:a16="http://schemas.microsoft.com/office/drawing/2014/main" id="{BE5A5FDA-C3D3-A346-BE4A-338215226A26}"/>
            </a:ext>
            <a:ext uri="{147F2762-F138-4A5C-976F-8EAC2B608ADB}">
              <a16:predDERef xmlns:a16="http://schemas.microsoft.com/office/drawing/2014/main" pred="{43378410-FC59-1241-BB4B-999160E34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50</xdr:col>
      <xdr:colOff>241300</xdr:colOff>
      <xdr:row>65</xdr:row>
      <xdr:rowOff>0</xdr:rowOff>
    </xdr:to>
    <xdr:graphicFrame macro="">
      <xdr:nvGraphicFramePr>
        <xdr:cNvPr id="22" name="Chart -1023">
          <a:extLst>
            <a:ext uri="{FF2B5EF4-FFF2-40B4-BE49-F238E27FC236}">
              <a16:creationId xmlns:a16="http://schemas.microsoft.com/office/drawing/2014/main" id="{FFB0D2B3-E354-2A47-BC2A-27BDA2439903}"/>
            </a:ext>
            <a:ext uri="{147F2762-F138-4A5C-976F-8EAC2B608ADB}">
              <a16:predDERef xmlns:a16="http://schemas.microsoft.com/office/drawing/2014/main" pred="{BE5A5FDA-C3D3-A346-BE4A-33821522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0</xdr:colOff>
      <xdr:row>48</xdr:row>
      <xdr:rowOff>0</xdr:rowOff>
    </xdr:from>
    <xdr:to>
      <xdr:col>55</xdr:col>
      <xdr:colOff>241300</xdr:colOff>
      <xdr:row>65</xdr:row>
      <xdr:rowOff>0</xdr:rowOff>
    </xdr:to>
    <xdr:graphicFrame macro="">
      <xdr:nvGraphicFramePr>
        <xdr:cNvPr id="23" name="Chart -1023">
          <a:extLst>
            <a:ext uri="{FF2B5EF4-FFF2-40B4-BE49-F238E27FC236}">
              <a16:creationId xmlns:a16="http://schemas.microsoft.com/office/drawing/2014/main" id="{339A5AF2-F155-304E-8812-0DD585059204}"/>
            </a:ext>
            <a:ext uri="{147F2762-F138-4A5C-976F-8EAC2B608ADB}">
              <a16:predDERef xmlns:a16="http://schemas.microsoft.com/office/drawing/2014/main" pred="{FFB0D2B3-E354-2A47-BC2A-27BDA2439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0</xdr:colOff>
      <xdr:row>48</xdr:row>
      <xdr:rowOff>0</xdr:rowOff>
    </xdr:from>
    <xdr:to>
      <xdr:col>60</xdr:col>
      <xdr:colOff>368300</xdr:colOff>
      <xdr:row>65</xdr:row>
      <xdr:rowOff>0</xdr:rowOff>
    </xdr:to>
    <xdr:graphicFrame macro="">
      <xdr:nvGraphicFramePr>
        <xdr:cNvPr id="24" name="Chart -1023">
          <a:extLst>
            <a:ext uri="{FF2B5EF4-FFF2-40B4-BE49-F238E27FC236}">
              <a16:creationId xmlns:a16="http://schemas.microsoft.com/office/drawing/2014/main" id="{D15C79E9-9B7E-6447-B32F-07EFE953723A}"/>
            </a:ext>
            <a:ext uri="{147F2762-F138-4A5C-976F-8EAC2B608ADB}">
              <a16:predDERef xmlns:a16="http://schemas.microsoft.com/office/drawing/2014/main" pred="{339A5AF2-F155-304E-8812-0DD585059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65</xdr:col>
      <xdr:colOff>368300</xdr:colOff>
      <xdr:row>65</xdr:row>
      <xdr:rowOff>0</xdr:rowOff>
    </xdr:to>
    <xdr:graphicFrame macro="">
      <xdr:nvGraphicFramePr>
        <xdr:cNvPr id="25" name="Chart -1023">
          <a:extLst>
            <a:ext uri="{FF2B5EF4-FFF2-40B4-BE49-F238E27FC236}">
              <a16:creationId xmlns:a16="http://schemas.microsoft.com/office/drawing/2014/main" id="{08ACAE10-CD27-664A-8A8E-15A9928A6BEC}"/>
            </a:ext>
            <a:ext uri="{147F2762-F138-4A5C-976F-8EAC2B608ADB}">
              <a16:predDERef xmlns:a16="http://schemas.microsoft.com/office/drawing/2014/main" pred="{D15C79E9-9B7E-6447-B32F-07EFE9537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10582</xdr:colOff>
      <xdr:row>81</xdr:row>
      <xdr:rowOff>201082</xdr:rowOff>
    </xdr:to>
    <xdr:graphicFrame macro="">
      <xdr:nvGraphicFramePr>
        <xdr:cNvPr id="26" name="Chart -1023">
          <a:extLst>
            <a:ext uri="{FF2B5EF4-FFF2-40B4-BE49-F238E27FC236}">
              <a16:creationId xmlns:a16="http://schemas.microsoft.com/office/drawing/2014/main" id="{235DA6DA-FEF4-254B-B015-AAB1C74AD1F5}"/>
            </a:ext>
            <a:ext uri="{147F2762-F138-4A5C-976F-8EAC2B608ADB}">
              <a16:predDERef xmlns:a16="http://schemas.microsoft.com/office/drawing/2014/main" pred="{08ACAE10-CD27-664A-8A8E-15A9928A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13</xdr:col>
      <xdr:colOff>74082</xdr:colOff>
      <xdr:row>82</xdr:row>
      <xdr:rowOff>10583</xdr:rowOff>
    </xdr:to>
    <xdr:graphicFrame macro="">
      <xdr:nvGraphicFramePr>
        <xdr:cNvPr id="27" name="Chart -1023">
          <a:extLst>
            <a:ext uri="{FF2B5EF4-FFF2-40B4-BE49-F238E27FC236}">
              <a16:creationId xmlns:a16="http://schemas.microsoft.com/office/drawing/2014/main" id="{6D10A71E-3B30-8844-8A7F-920174E036A5}"/>
            </a:ext>
            <a:ext uri="{147F2762-F138-4A5C-976F-8EAC2B608ADB}">
              <a16:predDERef xmlns:a16="http://schemas.microsoft.com/office/drawing/2014/main" pred="{235DA6DA-FEF4-254B-B015-AAB1C74A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0</xdr:colOff>
      <xdr:row>2</xdr:row>
      <xdr:rowOff>0</xdr:rowOff>
    </xdr:from>
    <xdr:to>
      <xdr:col>81</xdr:col>
      <xdr:colOff>74082</xdr:colOff>
      <xdr:row>17</xdr:row>
      <xdr:rowOff>201083</xdr:rowOff>
    </xdr:to>
    <xdr:graphicFrame macro="">
      <xdr:nvGraphicFramePr>
        <xdr:cNvPr id="28" name="Chart -1023">
          <a:extLst>
            <a:ext uri="{FF2B5EF4-FFF2-40B4-BE49-F238E27FC236}">
              <a16:creationId xmlns:a16="http://schemas.microsoft.com/office/drawing/2014/main" id="{E142735B-D7C5-7949-B385-609DAD448371}"/>
            </a:ext>
            <a:ext uri="{147F2762-F138-4A5C-976F-8EAC2B608ADB}">
              <a16:predDERef xmlns:a16="http://schemas.microsoft.com/office/drawing/2014/main" pred="{6D10A71E-3B30-8844-8A7F-920174E0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719666</xdr:colOff>
      <xdr:row>19</xdr:row>
      <xdr:rowOff>0</xdr:rowOff>
    </xdr:from>
    <xdr:to>
      <xdr:col>81</xdr:col>
      <xdr:colOff>190500</xdr:colOff>
      <xdr:row>39</xdr:row>
      <xdr:rowOff>201082</xdr:rowOff>
    </xdr:to>
    <xdr:graphicFrame macro="">
      <xdr:nvGraphicFramePr>
        <xdr:cNvPr id="29" name="Chart -1023">
          <a:extLst>
            <a:ext uri="{FF2B5EF4-FFF2-40B4-BE49-F238E27FC236}">
              <a16:creationId xmlns:a16="http://schemas.microsoft.com/office/drawing/2014/main" id="{626C471F-A599-C944-B798-0D0962D62C69}"/>
            </a:ext>
            <a:ext uri="{147F2762-F138-4A5C-976F-8EAC2B608ADB}">
              <a16:predDERef xmlns:a16="http://schemas.microsoft.com/office/drawing/2014/main" pred="{E142735B-D7C5-7949-B385-609DAD448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75</xdr:col>
      <xdr:colOff>0</xdr:colOff>
      <xdr:row>41</xdr:row>
      <xdr:rowOff>0</xdr:rowOff>
    </xdr:from>
    <xdr:to>
      <xdr:col>81</xdr:col>
      <xdr:colOff>190501</xdr:colOff>
      <xdr:row>56</xdr:row>
      <xdr:rowOff>158749</xdr:rowOff>
    </xdr:to>
    <xdr:graphicFrame macro="">
      <xdr:nvGraphicFramePr>
        <xdr:cNvPr id="30" name="Chart -1023">
          <a:extLst>
            <a:ext uri="{FF2B5EF4-FFF2-40B4-BE49-F238E27FC236}">
              <a16:creationId xmlns:a16="http://schemas.microsoft.com/office/drawing/2014/main" id="{F2706404-A40E-F846-B381-A5288A73FBD1}"/>
            </a:ext>
            <a:ext uri="{147F2762-F138-4A5C-976F-8EAC2B608ADB}">
              <a16:predDERef xmlns:a16="http://schemas.microsoft.com/office/drawing/2014/main" pred="{626C471F-A599-C944-B798-0D0962D6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75</xdr:col>
      <xdr:colOff>0</xdr:colOff>
      <xdr:row>58</xdr:row>
      <xdr:rowOff>0</xdr:rowOff>
    </xdr:from>
    <xdr:to>
      <xdr:col>81</xdr:col>
      <xdr:colOff>190501</xdr:colOff>
      <xdr:row>72</xdr:row>
      <xdr:rowOff>201082</xdr:rowOff>
    </xdr:to>
    <xdr:graphicFrame macro="">
      <xdr:nvGraphicFramePr>
        <xdr:cNvPr id="31" name="Chart -1023">
          <a:extLst>
            <a:ext uri="{FF2B5EF4-FFF2-40B4-BE49-F238E27FC236}">
              <a16:creationId xmlns:a16="http://schemas.microsoft.com/office/drawing/2014/main" id="{B3052BDC-381D-8946-8BB4-D9857B7F310A}"/>
            </a:ext>
            <a:ext uri="{147F2762-F138-4A5C-976F-8EAC2B608ADB}">
              <a16:predDERef xmlns:a16="http://schemas.microsoft.com/office/drawing/2014/main" pred="{F2706404-A40E-F846-B381-A5288A73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75</xdr:col>
      <xdr:colOff>0</xdr:colOff>
      <xdr:row>74</xdr:row>
      <xdr:rowOff>0</xdr:rowOff>
    </xdr:from>
    <xdr:to>
      <xdr:col>81</xdr:col>
      <xdr:colOff>190501</xdr:colOff>
      <xdr:row>88</xdr:row>
      <xdr:rowOff>201082</xdr:rowOff>
    </xdr:to>
    <xdr:graphicFrame macro="">
      <xdr:nvGraphicFramePr>
        <xdr:cNvPr id="32" name="Chart -1023">
          <a:extLst>
            <a:ext uri="{FF2B5EF4-FFF2-40B4-BE49-F238E27FC236}">
              <a16:creationId xmlns:a16="http://schemas.microsoft.com/office/drawing/2014/main" id="{49005601-5D05-EC41-A14D-E21E0C47BEB0}"/>
            </a:ext>
            <a:ext uri="{147F2762-F138-4A5C-976F-8EAC2B608ADB}">
              <a16:predDERef xmlns:a16="http://schemas.microsoft.com/office/drawing/2014/main" pred="{B3052BDC-381D-8946-8BB4-D9857B7F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88</xdr:col>
      <xdr:colOff>0</xdr:colOff>
      <xdr:row>2</xdr:row>
      <xdr:rowOff>0</xdr:rowOff>
    </xdr:from>
    <xdr:to>
      <xdr:col>93</xdr:col>
      <xdr:colOff>211664</xdr:colOff>
      <xdr:row>17</xdr:row>
      <xdr:rowOff>201083</xdr:rowOff>
    </xdr:to>
    <xdr:graphicFrame macro="">
      <xdr:nvGraphicFramePr>
        <xdr:cNvPr id="39" name="Chart -1023">
          <a:extLst>
            <a:ext uri="{FF2B5EF4-FFF2-40B4-BE49-F238E27FC236}">
              <a16:creationId xmlns:a16="http://schemas.microsoft.com/office/drawing/2014/main" id="{88A0A8EB-1076-1C48-9B45-E1E8F33FA800}"/>
            </a:ext>
            <a:ext uri="{147F2762-F138-4A5C-976F-8EAC2B608ADB}">
              <a16:predDERef xmlns:a16="http://schemas.microsoft.com/office/drawing/2014/main" pred="{49005601-5D05-EC41-A14D-E21E0C47B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88</xdr:col>
      <xdr:colOff>0</xdr:colOff>
      <xdr:row>19</xdr:row>
      <xdr:rowOff>0</xdr:rowOff>
    </xdr:from>
    <xdr:to>
      <xdr:col>93</xdr:col>
      <xdr:colOff>211664</xdr:colOff>
      <xdr:row>39</xdr:row>
      <xdr:rowOff>201082</xdr:rowOff>
    </xdr:to>
    <xdr:graphicFrame macro="">
      <xdr:nvGraphicFramePr>
        <xdr:cNvPr id="40" name="Chart -1023">
          <a:extLst>
            <a:ext uri="{FF2B5EF4-FFF2-40B4-BE49-F238E27FC236}">
              <a16:creationId xmlns:a16="http://schemas.microsoft.com/office/drawing/2014/main" id="{CF32670A-9C43-E948-8559-80A7999B505A}"/>
            </a:ext>
            <a:ext uri="{147F2762-F138-4A5C-976F-8EAC2B608ADB}">
              <a16:predDERef xmlns:a16="http://schemas.microsoft.com/office/drawing/2014/main" pred="{88A0A8EB-1076-1C48-9B45-E1E8F33FA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88</xdr:col>
      <xdr:colOff>0</xdr:colOff>
      <xdr:row>41</xdr:row>
      <xdr:rowOff>0</xdr:rowOff>
    </xdr:from>
    <xdr:to>
      <xdr:col>93</xdr:col>
      <xdr:colOff>211664</xdr:colOff>
      <xdr:row>56</xdr:row>
      <xdr:rowOff>158749</xdr:rowOff>
    </xdr:to>
    <xdr:graphicFrame macro="">
      <xdr:nvGraphicFramePr>
        <xdr:cNvPr id="41" name="Chart -1023">
          <a:extLst>
            <a:ext uri="{FF2B5EF4-FFF2-40B4-BE49-F238E27FC236}">
              <a16:creationId xmlns:a16="http://schemas.microsoft.com/office/drawing/2014/main" id="{BD0A9B66-1045-E04E-B29E-7F5140CC04A4}"/>
            </a:ext>
            <a:ext uri="{147F2762-F138-4A5C-976F-8EAC2B608ADB}">
              <a16:predDERef xmlns:a16="http://schemas.microsoft.com/office/drawing/2014/main" pred="{CF32670A-9C43-E948-8559-80A7999B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88</xdr:col>
      <xdr:colOff>0</xdr:colOff>
      <xdr:row>58</xdr:row>
      <xdr:rowOff>0</xdr:rowOff>
    </xdr:from>
    <xdr:to>
      <xdr:col>93</xdr:col>
      <xdr:colOff>211664</xdr:colOff>
      <xdr:row>72</xdr:row>
      <xdr:rowOff>201082</xdr:rowOff>
    </xdr:to>
    <xdr:graphicFrame macro="">
      <xdr:nvGraphicFramePr>
        <xdr:cNvPr id="46" name="Chart -1023">
          <a:extLst>
            <a:ext uri="{FF2B5EF4-FFF2-40B4-BE49-F238E27FC236}">
              <a16:creationId xmlns:a16="http://schemas.microsoft.com/office/drawing/2014/main" id="{0FC100DE-00D4-E443-B70E-12D9302FB76D}"/>
            </a:ext>
            <a:ext uri="{147F2762-F138-4A5C-976F-8EAC2B608ADB}">
              <a16:predDERef xmlns:a16="http://schemas.microsoft.com/office/drawing/2014/main" pred="{BD0A9B66-1045-E04E-B29E-7F5140CC0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82</xdr:col>
      <xdr:colOff>0</xdr:colOff>
      <xdr:row>2</xdr:row>
      <xdr:rowOff>0</xdr:rowOff>
    </xdr:from>
    <xdr:to>
      <xdr:col>87</xdr:col>
      <xdr:colOff>444499</xdr:colOff>
      <xdr:row>17</xdr:row>
      <xdr:rowOff>201083</xdr:rowOff>
    </xdr:to>
    <xdr:graphicFrame macro="">
      <xdr:nvGraphicFramePr>
        <xdr:cNvPr id="48" name="Chart -1023">
          <a:extLst>
            <a:ext uri="{FF2B5EF4-FFF2-40B4-BE49-F238E27FC236}">
              <a16:creationId xmlns:a16="http://schemas.microsoft.com/office/drawing/2014/main" id="{76BE28A9-8F5B-DE42-8536-2CFD63BF7C76}"/>
            </a:ext>
            <a:ext uri="{147F2762-F138-4A5C-976F-8EAC2B608ADB}">
              <a16:predDERef xmlns:a16="http://schemas.microsoft.com/office/drawing/2014/main" pred="{0FC100DE-00D4-E443-B70E-12D9302FB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82</xdr:col>
      <xdr:colOff>0</xdr:colOff>
      <xdr:row>19</xdr:row>
      <xdr:rowOff>0</xdr:rowOff>
    </xdr:from>
    <xdr:to>
      <xdr:col>87</xdr:col>
      <xdr:colOff>666750</xdr:colOff>
      <xdr:row>39</xdr:row>
      <xdr:rowOff>201082</xdr:rowOff>
    </xdr:to>
    <xdr:graphicFrame macro="">
      <xdr:nvGraphicFramePr>
        <xdr:cNvPr id="49" name="Chart -1023">
          <a:extLst>
            <a:ext uri="{FF2B5EF4-FFF2-40B4-BE49-F238E27FC236}">
              <a16:creationId xmlns:a16="http://schemas.microsoft.com/office/drawing/2014/main" id="{30953083-1A8E-D941-9E04-9DC0CC09CC91}"/>
            </a:ext>
            <a:ext uri="{147F2762-F138-4A5C-976F-8EAC2B608ADB}">
              <a16:predDERef xmlns:a16="http://schemas.microsoft.com/office/drawing/2014/main" pred="{76BE28A9-8F5B-DE42-8536-2CFD63BF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82</xdr:col>
      <xdr:colOff>0</xdr:colOff>
      <xdr:row>41</xdr:row>
      <xdr:rowOff>0</xdr:rowOff>
    </xdr:from>
    <xdr:to>
      <xdr:col>87</xdr:col>
      <xdr:colOff>635000</xdr:colOff>
      <xdr:row>56</xdr:row>
      <xdr:rowOff>158749</xdr:rowOff>
    </xdr:to>
    <xdr:graphicFrame macro="">
      <xdr:nvGraphicFramePr>
        <xdr:cNvPr id="52" name="Chart -1023">
          <a:extLst>
            <a:ext uri="{FF2B5EF4-FFF2-40B4-BE49-F238E27FC236}">
              <a16:creationId xmlns:a16="http://schemas.microsoft.com/office/drawing/2014/main" id="{1B5A8856-3579-9B45-BE83-B1009DABE6B4}"/>
            </a:ext>
            <a:ext uri="{147F2762-F138-4A5C-976F-8EAC2B608ADB}">
              <a16:predDERef xmlns:a16="http://schemas.microsoft.com/office/drawing/2014/main" pred="{30953083-1A8E-D941-9E04-9DC0CC09C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81</xdr:col>
      <xdr:colOff>719666</xdr:colOff>
      <xdr:row>58</xdr:row>
      <xdr:rowOff>0</xdr:rowOff>
    </xdr:from>
    <xdr:to>
      <xdr:col>87</xdr:col>
      <xdr:colOff>730249</xdr:colOff>
      <xdr:row>72</xdr:row>
      <xdr:rowOff>201082</xdr:rowOff>
    </xdr:to>
    <xdr:graphicFrame macro="">
      <xdr:nvGraphicFramePr>
        <xdr:cNvPr id="56" name="Chart -1023">
          <a:extLst>
            <a:ext uri="{FF2B5EF4-FFF2-40B4-BE49-F238E27FC236}">
              <a16:creationId xmlns:a16="http://schemas.microsoft.com/office/drawing/2014/main" id="{D380E81A-94E8-1943-AFBE-95DAACF109E8}"/>
            </a:ext>
            <a:ext uri="{147F2762-F138-4A5C-976F-8EAC2B608ADB}">
              <a16:predDERef xmlns:a16="http://schemas.microsoft.com/office/drawing/2014/main" pred="{1B5A8856-3579-9B45-BE83-B1009DABE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82</xdr:col>
      <xdr:colOff>0</xdr:colOff>
      <xdr:row>74</xdr:row>
      <xdr:rowOff>0</xdr:rowOff>
    </xdr:from>
    <xdr:to>
      <xdr:col>87</xdr:col>
      <xdr:colOff>635000</xdr:colOff>
      <xdr:row>88</xdr:row>
      <xdr:rowOff>201082</xdr:rowOff>
    </xdr:to>
    <xdr:graphicFrame macro="">
      <xdr:nvGraphicFramePr>
        <xdr:cNvPr id="57" name="Chart -1023">
          <a:extLst>
            <a:ext uri="{FF2B5EF4-FFF2-40B4-BE49-F238E27FC236}">
              <a16:creationId xmlns:a16="http://schemas.microsoft.com/office/drawing/2014/main" id="{1C96CF3D-58BA-8D49-A46B-33B0424B8EA8}"/>
            </a:ext>
            <a:ext uri="{147F2762-F138-4A5C-976F-8EAC2B608ADB}">
              <a16:predDERef xmlns:a16="http://schemas.microsoft.com/office/drawing/2014/main" pred="{D380E81A-94E8-1943-AFBE-95DAACF10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19</xdr:col>
      <xdr:colOff>273756</xdr:colOff>
      <xdr:row>83</xdr:row>
      <xdr:rowOff>14111</xdr:rowOff>
    </xdr:to>
    <xdr:graphicFrame macro="">
      <xdr:nvGraphicFramePr>
        <xdr:cNvPr id="58" name="Chart -1023">
          <a:extLst>
            <a:ext uri="{FF2B5EF4-FFF2-40B4-BE49-F238E27FC236}">
              <a16:creationId xmlns:a16="http://schemas.microsoft.com/office/drawing/2014/main" id="{0A1ABCAD-020F-034C-BF83-E274A7A0FD7D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0</xdr:colOff>
      <xdr:row>67</xdr:row>
      <xdr:rowOff>0</xdr:rowOff>
    </xdr:from>
    <xdr:to>
      <xdr:col>24</xdr:col>
      <xdr:colOff>273756</xdr:colOff>
      <xdr:row>83</xdr:row>
      <xdr:rowOff>14111</xdr:rowOff>
    </xdr:to>
    <xdr:graphicFrame macro="">
      <xdr:nvGraphicFramePr>
        <xdr:cNvPr id="59" name="Chart -1023">
          <a:extLst>
            <a:ext uri="{FF2B5EF4-FFF2-40B4-BE49-F238E27FC236}">
              <a16:creationId xmlns:a16="http://schemas.microsoft.com/office/drawing/2014/main" id="{74625FE5-745F-634F-B3F3-17ED39649E50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67</xdr:row>
      <xdr:rowOff>0</xdr:rowOff>
    </xdr:from>
    <xdr:to>
      <xdr:col>28</xdr:col>
      <xdr:colOff>479778</xdr:colOff>
      <xdr:row>83</xdr:row>
      <xdr:rowOff>14111</xdr:rowOff>
    </xdr:to>
    <xdr:graphicFrame macro="">
      <xdr:nvGraphicFramePr>
        <xdr:cNvPr id="60" name="Chart -1023">
          <a:extLst>
            <a:ext uri="{FF2B5EF4-FFF2-40B4-BE49-F238E27FC236}">
              <a16:creationId xmlns:a16="http://schemas.microsoft.com/office/drawing/2014/main" id="{DEB2E6B5-6E2B-2B43-AC32-88D34DF4A744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30</xdr:col>
      <xdr:colOff>0</xdr:colOff>
      <xdr:row>67</xdr:row>
      <xdr:rowOff>0</xdr:rowOff>
    </xdr:from>
    <xdr:to>
      <xdr:col>33</xdr:col>
      <xdr:colOff>310444</xdr:colOff>
      <xdr:row>83</xdr:row>
      <xdr:rowOff>14111</xdr:rowOff>
    </xdr:to>
    <xdr:graphicFrame macro="">
      <xdr:nvGraphicFramePr>
        <xdr:cNvPr id="61" name="Chart -1023">
          <a:extLst>
            <a:ext uri="{FF2B5EF4-FFF2-40B4-BE49-F238E27FC236}">
              <a16:creationId xmlns:a16="http://schemas.microsoft.com/office/drawing/2014/main" id="{6D969AFA-9EBC-544C-A386-00CA6D109A79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0</xdr:colOff>
      <xdr:row>67</xdr:row>
      <xdr:rowOff>0</xdr:rowOff>
    </xdr:from>
    <xdr:to>
      <xdr:col>37</xdr:col>
      <xdr:colOff>310444</xdr:colOff>
      <xdr:row>83</xdr:row>
      <xdr:rowOff>14111</xdr:rowOff>
    </xdr:to>
    <xdr:graphicFrame macro="">
      <xdr:nvGraphicFramePr>
        <xdr:cNvPr id="62" name="Chart -1023">
          <a:extLst>
            <a:ext uri="{FF2B5EF4-FFF2-40B4-BE49-F238E27FC236}">
              <a16:creationId xmlns:a16="http://schemas.microsoft.com/office/drawing/2014/main" id="{DAE1ADC5-B7DF-1F45-84E3-121D544678F6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38</xdr:col>
      <xdr:colOff>0</xdr:colOff>
      <xdr:row>67</xdr:row>
      <xdr:rowOff>0</xdr:rowOff>
    </xdr:from>
    <xdr:to>
      <xdr:col>41</xdr:col>
      <xdr:colOff>310444</xdr:colOff>
      <xdr:row>83</xdr:row>
      <xdr:rowOff>14111</xdr:rowOff>
    </xdr:to>
    <xdr:graphicFrame macro="">
      <xdr:nvGraphicFramePr>
        <xdr:cNvPr id="63" name="Chart -1023">
          <a:extLst>
            <a:ext uri="{FF2B5EF4-FFF2-40B4-BE49-F238E27FC236}">
              <a16:creationId xmlns:a16="http://schemas.microsoft.com/office/drawing/2014/main" id="{13DC4B39-CC0E-B74C-88B1-B8E4EECF17EF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67</xdr:row>
      <xdr:rowOff>0</xdr:rowOff>
    </xdr:from>
    <xdr:to>
      <xdr:col>46</xdr:col>
      <xdr:colOff>419100</xdr:colOff>
      <xdr:row>83</xdr:row>
      <xdr:rowOff>14111</xdr:rowOff>
    </xdr:to>
    <xdr:graphicFrame macro="">
      <xdr:nvGraphicFramePr>
        <xdr:cNvPr id="12" name="Chart -1023">
          <a:extLst>
            <a:ext uri="{FF2B5EF4-FFF2-40B4-BE49-F238E27FC236}">
              <a16:creationId xmlns:a16="http://schemas.microsoft.com/office/drawing/2014/main" id="{A057E9D0-171E-4E4C-AA6C-924573C95780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43</xdr:col>
      <xdr:colOff>0</xdr:colOff>
      <xdr:row>84</xdr:row>
      <xdr:rowOff>0</xdr:rowOff>
    </xdr:from>
    <xdr:to>
      <xdr:col>46</xdr:col>
      <xdr:colOff>273756</xdr:colOff>
      <xdr:row>100</xdr:row>
      <xdr:rowOff>14111</xdr:rowOff>
    </xdr:to>
    <xdr:graphicFrame macro="">
      <xdr:nvGraphicFramePr>
        <xdr:cNvPr id="13" name="Chart -1023">
          <a:extLst>
            <a:ext uri="{FF2B5EF4-FFF2-40B4-BE49-F238E27FC236}">
              <a16:creationId xmlns:a16="http://schemas.microsoft.com/office/drawing/2014/main" id="{CD9552C9-ADD1-D64B-A536-0E9B3504FDC1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47</xdr:row>
      <xdr:rowOff>0</xdr:rowOff>
    </xdr:from>
    <xdr:to>
      <xdr:col>34</xdr:col>
      <xdr:colOff>0</xdr:colOff>
      <xdr:row>66</xdr:row>
      <xdr:rowOff>0</xdr:rowOff>
    </xdr:to>
    <xdr:graphicFrame macro="">
      <xdr:nvGraphicFramePr>
        <xdr:cNvPr id="2" name="Chart -1023">
          <a:extLst>
            <a:ext uri="{FF2B5EF4-FFF2-40B4-BE49-F238E27FC236}">
              <a16:creationId xmlns:a16="http://schemas.microsoft.com/office/drawing/2014/main" id="{B110E611-6AB9-4ECF-99A4-67416E72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47</xdr:row>
      <xdr:rowOff>0</xdr:rowOff>
    </xdr:from>
    <xdr:to>
      <xdr:col>34</xdr:col>
      <xdr:colOff>0</xdr:colOff>
      <xdr:row>66</xdr:row>
      <xdr:rowOff>12700</xdr:rowOff>
    </xdr:to>
    <xdr:graphicFrame macro="">
      <xdr:nvGraphicFramePr>
        <xdr:cNvPr id="3" name="Chart -1022">
          <a:extLst>
            <a:ext uri="{FF2B5EF4-FFF2-40B4-BE49-F238E27FC236}">
              <a16:creationId xmlns:a16="http://schemas.microsoft.com/office/drawing/2014/main" id="{97C07247-9177-429F-8C0C-60AC168E8D25}"/>
            </a:ext>
            <a:ext uri="{147F2762-F138-4A5C-976F-8EAC2B608ADB}">
              <a16:predDERef xmlns:a16="http://schemas.microsoft.com/office/drawing/2014/main" pred="{B110E611-6AB9-4ECF-99A4-67416E72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47</xdr:row>
      <xdr:rowOff>0</xdr:rowOff>
    </xdr:from>
    <xdr:to>
      <xdr:col>34</xdr:col>
      <xdr:colOff>0</xdr:colOff>
      <xdr:row>66</xdr:row>
      <xdr:rowOff>12700</xdr:rowOff>
    </xdr:to>
    <xdr:graphicFrame macro="">
      <xdr:nvGraphicFramePr>
        <xdr:cNvPr id="4" name="Chart -1021">
          <a:extLst>
            <a:ext uri="{FF2B5EF4-FFF2-40B4-BE49-F238E27FC236}">
              <a16:creationId xmlns:a16="http://schemas.microsoft.com/office/drawing/2014/main" id="{A62C2392-A8C7-49E4-9BB5-3F43227F79B0}"/>
            </a:ext>
            <a:ext uri="{147F2762-F138-4A5C-976F-8EAC2B608ADB}">
              <a16:predDERef xmlns:a16="http://schemas.microsoft.com/office/drawing/2014/main" pred="{97C07247-9177-429F-8C0C-60AC168E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0</xdr:colOff>
      <xdr:row>64</xdr:row>
      <xdr:rowOff>139700</xdr:rowOff>
    </xdr:to>
    <xdr:graphicFrame macro="">
      <xdr:nvGraphicFramePr>
        <xdr:cNvPr id="5" name="Chart -1018">
          <a:extLst>
            <a:ext uri="{FF2B5EF4-FFF2-40B4-BE49-F238E27FC236}">
              <a16:creationId xmlns:a16="http://schemas.microsoft.com/office/drawing/2014/main" id="{B9E3F3FB-AB9A-4D17-9AFD-F2612DA3E7A4}"/>
            </a:ext>
            <a:ext uri="{147F2762-F138-4A5C-976F-8EAC2B608ADB}">
              <a16:predDERef xmlns:a16="http://schemas.microsoft.com/office/drawing/2014/main" pred="{A62C2392-A8C7-49E4-9BB5-3F43227F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0</xdr:colOff>
      <xdr:row>64</xdr:row>
      <xdr:rowOff>152400</xdr:rowOff>
    </xdr:to>
    <xdr:graphicFrame macro="">
      <xdr:nvGraphicFramePr>
        <xdr:cNvPr id="6" name="Chart -1017">
          <a:extLst>
            <a:ext uri="{FF2B5EF4-FFF2-40B4-BE49-F238E27FC236}">
              <a16:creationId xmlns:a16="http://schemas.microsoft.com/office/drawing/2014/main" id="{E909E6BF-B68A-4A5A-8557-9183E52D1CBD}"/>
            </a:ext>
            <a:ext uri="{147F2762-F138-4A5C-976F-8EAC2B608ADB}">
              <a16:predDERef xmlns:a16="http://schemas.microsoft.com/office/drawing/2014/main" pred="{B9E3F3FB-AB9A-4D17-9AFD-F2612DA3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0</xdr:colOff>
      <xdr:row>64</xdr:row>
      <xdr:rowOff>165100</xdr:rowOff>
    </xdr:to>
    <xdr:graphicFrame macro="">
      <xdr:nvGraphicFramePr>
        <xdr:cNvPr id="7" name="Chart -1016">
          <a:extLst>
            <a:ext uri="{FF2B5EF4-FFF2-40B4-BE49-F238E27FC236}">
              <a16:creationId xmlns:a16="http://schemas.microsoft.com/office/drawing/2014/main" id="{09BCE892-A006-47D9-90D6-10833E533FFF}"/>
            </a:ext>
            <a:ext uri="{147F2762-F138-4A5C-976F-8EAC2B608ADB}">
              <a16:predDERef xmlns:a16="http://schemas.microsoft.com/office/drawing/2014/main" pred="{E909E6BF-B68A-4A5A-8557-9183E52D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0</xdr:colOff>
      <xdr:row>65</xdr:row>
      <xdr:rowOff>0</xdr:rowOff>
    </xdr:to>
    <xdr:graphicFrame macro="">
      <xdr:nvGraphicFramePr>
        <xdr:cNvPr id="8" name="Chart -1015">
          <a:extLst>
            <a:ext uri="{FF2B5EF4-FFF2-40B4-BE49-F238E27FC236}">
              <a16:creationId xmlns:a16="http://schemas.microsoft.com/office/drawing/2014/main" id="{8C6F0CFA-D16B-478A-A96E-FCC62D6319CB}"/>
            </a:ext>
            <a:ext uri="{147F2762-F138-4A5C-976F-8EAC2B608ADB}">
              <a16:predDERef xmlns:a16="http://schemas.microsoft.com/office/drawing/2014/main" pred="{09BCE892-A006-47D9-90D6-10833E533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0</xdr:colOff>
      <xdr:row>65</xdr:row>
      <xdr:rowOff>12700</xdr:rowOff>
    </xdr:to>
    <xdr:graphicFrame macro="">
      <xdr:nvGraphicFramePr>
        <xdr:cNvPr id="9" name="Chart -1014">
          <a:extLst>
            <a:ext uri="{FF2B5EF4-FFF2-40B4-BE49-F238E27FC236}">
              <a16:creationId xmlns:a16="http://schemas.microsoft.com/office/drawing/2014/main" id="{DC28FB1A-8E4A-43E4-BBBD-6353946E182D}"/>
            </a:ext>
            <a:ext uri="{147F2762-F138-4A5C-976F-8EAC2B608ADB}">
              <a16:predDERef xmlns:a16="http://schemas.microsoft.com/office/drawing/2014/main" pred="{8C6F0CFA-D16B-478A-A96E-FCC62D63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0</xdr:colOff>
      <xdr:row>65</xdr:row>
      <xdr:rowOff>25400</xdr:rowOff>
    </xdr:to>
    <xdr:graphicFrame macro="">
      <xdr:nvGraphicFramePr>
        <xdr:cNvPr id="10" name="Chart -1013">
          <a:extLst>
            <a:ext uri="{FF2B5EF4-FFF2-40B4-BE49-F238E27FC236}">
              <a16:creationId xmlns:a16="http://schemas.microsoft.com/office/drawing/2014/main" id="{8FED0056-8FA1-4CFD-94EF-D6CE711F94B5}"/>
            </a:ext>
            <a:ext uri="{147F2762-F138-4A5C-976F-8EAC2B608ADB}">
              <a16:predDERef xmlns:a16="http://schemas.microsoft.com/office/drawing/2014/main" pred="{DC28FB1A-8E4A-43E4-BBBD-6353946E1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3</xdr:col>
      <xdr:colOff>203200</xdr:colOff>
      <xdr:row>63</xdr:row>
      <xdr:rowOff>0</xdr:rowOff>
    </xdr:to>
    <xdr:graphicFrame macro="">
      <xdr:nvGraphicFramePr>
        <xdr:cNvPr id="11" name="Chart -1023">
          <a:extLst>
            <a:ext uri="{FF2B5EF4-FFF2-40B4-BE49-F238E27FC236}">
              <a16:creationId xmlns:a16="http://schemas.microsoft.com/office/drawing/2014/main" id="{1B1FC34F-97A0-4C5E-9D25-0A2549AEE741}"/>
            </a:ext>
            <a:ext uri="{147F2762-F138-4A5C-976F-8EAC2B608ADB}">
              <a16:predDERef xmlns:a16="http://schemas.microsoft.com/office/drawing/2014/main" pred="{8FED0056-8FA1-4CFD-94EF-D6CE711F9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7</xdr:col>
      <xdr:colOff>266700</xdr:colOff>
      <xdr:row>63</xdr:row>
      <xdr:rowOff>0</xdr:rowOff>
    </xdr:to>
    <xdr:graphicFrame macro="">
      <xdr:nvGraphicFramePr>
        <xdr:cNvPr id="12" name="Chart -1023">
          <a:extLst>
            <a:ext uri="{FF2B5EF4-FFF2-40B4-BE49-F238E27FC236}">
              <a16:creationId xmlns:a16="http://schemas.microsoft.com/office/drawing/2014/main" id="{E54EE878-1089-47BA-8C9D-EDC13E8CDCF6}"/>
            </a:ext>
            <a:ext uri="{147F2762-F138-4A5C-976F-8EAC2B608ADB}">
              <a16:predDERef xmlns:a16="http://schemas.microsoft.com/office/drawing/2014/main" pred="{1B1FC34F-97A0-4C5E-9D25-0A2549AEE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11</xdr:col>
      <xdr:colOff>266700</xdr:colOff>
      <xdr:row>63</xdr:row>
      <xdr:rowOff>0</xdr:rowOff>
    </xdr:to>
    <xdr:graphicFrame macro="">
      <xdr:nvGraphicFramePr>
        <xdr:cNvPr id="13" name="Chart -1023">
          <a:extLst>
            <a:ext uri="{FF2B5EF4-FFF2-40B4-BE49-F238E27FC236}">
              <a16:creationId xmlns:a16="http://schemas.microsoft.com/office/drawing/2014/main" id="{411DBABC-BBAC-4F0D-AE03-618B7988704A}"/>
            </a:ext>
            <a:ext uri="{147F2762-F138-4A5C-976F-8EAC2B608ADB}">
              <a16:predDERef xmlns:a16="http://schemas.microsoft.com/office/drawing/2014/main" pred="{E54EE878-1089-47BA-8C9D-EDC13E8C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15</xdr:col>
      <xdr:colOff>266700</xdr:colOff>
      <xdr:row>63</xdr:row>
      <xdr:rowOff>0</xdr:rowOff>
    </xdr:to>
    <xdr:graphicFrame macro="">
      <xdr:nvGraphicFramePr>
        <xdr:cNvPr id="14" name="Chart -1023">
          <a:extLst>
            <a:ext uri="{FF2B5EF4-FFF2-40B4-BE49-F238E27FC236}">
              <a16:creationId xmlns:a16="http://schemas.microsoft.com/office/drawing/2014/main" id="{715449A6-0C9D-4710-9D70-DE3E3D6EFB17}"/>
            </a:ext>
            <a:ext uri="{147F2762-F138-4A5C-976F-8EAC2B608ADB}">
              <a16:predDERef xmlns:a16="http://schemas.microsoft.com/office/drawing/2014/main" pred="{411DBABC-BBAC-4F0D-AE03-618B79887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15" name="Chart -1023">
          <a:extLst>
            <a:ext uri="{FF2B5EF4-FFF2-40B4-BE49-F238E27FC236}">
              <a16:creationId xmlns:a16="http://schemas.microsoft.com/office/drawing/2014/main" id="{1A864C72-20A9-4D2D-8149-E2012DE5D06C}"/>
            </a:ext>
            <a:ext uri="{147F2762-F138-4A5C-976F-8EAC2B608ADB}">
              <a16:predDERef xmlns:a16="http://schemas.microsoft.com/office/drawing/2014/main" pred="{715449A6-0C9D-4710-9D70-DE3E3D6EF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25</xdr:col>
      <xdr:colOff>190500</xdr:colOff>
      <xdr:row>63</xdr:row>
      <xdr:rowOff>0</xdr:rowOff>
    </xdr:to>
    <xdr:graphicFrame macro="">
      <xdr:nvGraphicFramePr>
        <xdr:cNvPr id="16" name="Chart -1023">
          <a:extLst>
            <a:ext uri="{FF2B5EF4-FFF2-40B4-BE49-F238E27FC236}">
              <a16:creationId xmlns:a16="http://schemas.microsoft.com/office/drawing/2014/main" id="{7AB3D641-9312-464F-A8A1-F05A70B4A873}"/>
            </a:ext>
            <a:ext uri="{147F2762-F138-4A5C-976F-8EAC2B608ADB}">
              <a16:predDERef xmlns:a16="http://schemas.microsoft.com/office/drawing/2014/main" pred="{1A864C72-20A9-4D2D-8149-E2012DE5D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29</xdr:col>
      <xdr:colOff>266700</xdr:colOff>
      <xdr:row>63</xdr:row>
      <xdr:rowOff>0</xdr:rowOff>
    </xdr:to>
    <xdr:graphicFrame macro="">
      <xdr:nvGraphicFramePr>
        <xdr:cNvPr id="17" name="Chart -1023">
          <a:extLst>
            <a:ext uri="{FF2B5EF4-FFF2-40B4-BE49-F238E27FC236}">
              <a16:creationId xmlns:a16="http://schemas.microsoft.com/office/drawing/2014/main" id="{9C247186-DC19-485E-904F-E7361B99E5E6}"/>
            </a:ext>
            <a:ext uri="{147F2762-F138-4A5C-976F-8EAC2B608ADB}">
              <a16:predDERef xmlns:a16="http://schemas.microsoft.com/office/drawing/2014/main" pred="{7AB3D641-9312-464F-A8A1-F05A70B4A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46</xdr:row>
      <xdr:rowOff>0</xdr:rowOff>
    </xdr:from>
    <xdr:to>
      <xdr:col>33</xdr:col>
      <xdr:colOff>495300</xdr:colOff>
      <xdr:row>63</xdr:row>
      <xdr:rowOff>0</xdr:rowOff>
    </xdr:to>
    <xdr:graphicFrame macro="">
      <xdr:nvGraphicFramePr>
        <xdr:cNvPr id="18" name="Chart -1023">
          <a:extLst>
            <a:ext uri="{FF2B5EF4-FFF2-40B4-BE49-F238E27FC236}">
              <a16:creationId xmlns:a16="http://schemas.microsoft.com/office/drawing/2014/main" id="{EC744B80-23E8-4292-A951-FF6F6D62C188}"/>
            </a:ext>
            <a:ext uri="{147F2762-F138-4A5C-976F-8EAC2B608ADB}">
              <a16:predDERef xmlns:a16="http://schemas.microsoft.com/office/drawing/2014/main" pred="{9C247186-DC19-485E-904F-E7361B99E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37</xdr:col>
      <xdr:colOff>266700</xdr:colOff>
      <xdr:row>63</xdr:row>
      <xdr:rowOff>0</xdr:rowOff>
    </xdr:to>
    <xdr:graphicFrame macro="">
      <xdr:nvGraphicFramePr>
        <xdr:cNvPr id="19" name="Chart -1023">
          <a:extLst>
            <a:ext uri="{FF2B5EF4-FFF2-40B4-BE49-F238E27FC236}">
              <a16:creationId xmlns:a16="http://schemas.microsoft.com/office/drawing/2014/main" id="{F5DBB2F8-44AA-4D34-9F8D-11B297AE2259}"/>
            </a:ext>
            <a:ext uri="{147F2762-F138-4A5C-976F-8EAC2B608ADB}">
              <a16:predDERef xmlns:a16="http://schemas.microsoft.com/office/drawing/2014/main" pred="{EC744B80-23E8-4292-A951-FF6F6D62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0</xdr:colOff>
      <xdr:row>46</xdr:row>
      <xdr:rowOff>0</xdr:rowOff>
    </xdr:from>
    <xdr:to>
      <xdr:col>41</xdr:col>
      <xdr:colOff>266700</xdr:colOff>
      <xdr:row>63</xdr:row>
      <xdr:rowOff>0</xdr:rowOff>
    </xdr:to>
    <xdr:graphicFrame macro="">
      <xdr:nvGraphicFramePr>
        <xdr:cNvPr id="20" name="Chart -1023">
          <a:extLst>
            <a:ext uri="{FF2B5EF4-FFF2-40B4-BE49-F238E27FC236}">
              <a16:creationId xmlns:a16="http://schemas.microsoft.com/office/drawing/2014/main" id="{A0E9411E-6BC3-45DD-8482-00C9E5CB8F1F}"/>
            </a:ext>
            <a:ext uri="{147F2762-F138-4A5C-976F-8EAC2B608ADB}">
              <a16:predDERef xmlns:a16="http://schemas.microsoft.com/office/drawing/2014/main" pred="{F5DBB2F8-44AA-4D34-9F8D-11B297AE2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45</xdr:col>
      <xdr:colOff>457200</xdr:colOff>
      <xdr:row>63</xdr:row>
      <xdr:rowOff>0</xdr:rowOff>
    </xdr:to>
    <xdr:graphicFrame macro="">
      <xdr:nvGraphicFramePr>
        <xdr:cNvPr id="21" name="Chart -1023">
          <a:extLst>
            <a:ext uri="{FF2B5EF4-FFF2-40B4-BE49-F238E27FC236}">
              <a16:creationId xmlns:a16="http://schemas.microsoft.com/office/drawing/2014/main" id="{720B7AE7-D1D3-4BAE-97AB-C08BD5EEA50F}"/>
            </a:ext>
            <a:ext uri="{147F2762-F138-4A5C-976F-8EAC2B608ADB}">
              <a16:predDERef xmlns:a16="http://schemas.microsoft.com/office/drawing/2014/main" pred="{A0E9411E-6BC3-45DD-8482-00C9E5CB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46</xdr:row>
      <xdr:rowOff>0</xdr:rowOff>
    </xdr:from>
    <xdr:to>
      <xdr:col>50</xdr:col>
      <xdr:colOff>241300</xdr:colOff>
      <xdr:row>63</xdr:row>
      <xdr:rowOff>0</xdr:rowOff>
    </xdr:to>
    <xdr:graphicFrame macro="">
      <xdr:nvGraphicFramePr>
        <xdr:cNvPr id="22" name="Chart -1023">
          <a:extLst>
            <a:ext uri="{FF2B5EF4-FFF2-40B4-BE49-F238E27FC236}">
              <a16:creationId xmlns:a16="http://schemas.microsoft.com/office/drawing/2014/main" id="{42EFFB6E-203E-4734-8B36-B70DE1E74E99}"/>
            </a:ext>
            <a:ext uri="{147F2762-F138-4A5C-976F-8EAC2B608ADB}">
              <a16:predDERef xmlns:a16="http://schemas.microsoft.com/office/drawing/2014/main" pred="{720B7AE7-D1D3-4BAE-97AB-C08BD5EE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0</xdr:colOff>
      <xdr:row>46</xdr:row>
      <xdr:rowOff>0</xdr:rowOff>
    </xdr:from>
    <xdr:to>
      <xdr:col>55</xdr:col>
      <xdr:colOff>241300</xdr:colOff>
      <xdr:row>63</xdr:row>
      <xdr:rowOff>0</xdr:rowOff>
    </xdr:to>
    <xdr:graphicFrame macro="">
      <xdr:nvGraphicFramePr>
        <xdr:cNvPr id="23" name="Chart -1023">
          <a:extLst>
            <a:ext uri="{FF2B5EF4-FFF2-40B4-BE49-F238E27FC236}">
              <a16:creationId xmlns:a16="http://schemas.microsoft.com/office/drawing/2014/main" id="{03E3B1EF-6807-4DDA-BF2F-D479D32BB5D6}"/>
            </a:ext>
            <a:ext uri="{147F2762-F138-4A5C-976F-8EAC2B608ADB}">
              <a16:predDERef xmlns:a16="http://schemas.microsoft.com/office/drawing/2014/main" pred="{42EFFB6E-203E-4734-8B36-B70DE1E74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0</xdr:colOff>
      <xdr:row>46</xdr:row>
      <xdr:rowOff>0</xdr:rowOff>
    </xdr:from>
    <xdr:to>
      <xdr:col>60</xdr:col>
      <xdr:colOff>368300</xdr:colOff>
      <xdr:row>63</xdr:row>
      <xdr:rowOff>0</xdr:rowOff>
    </xdr:to>
    <xdr:graphicFrame macro="">
      <xdr:nvGraphicFramePr>
        <xdr:cNvPr id="24" name="Chart -1023">
          <a:extLst>
            <a:ext uri="{FF2B5EF4-FFF2-40B4-BE49-F238E27FC236}">
              <a16:creationId xmlns:a16="http://schemas.microsoft.com/office/drawing/2014/main" id="{4AA5A59A-233D-40F6-9E1A-945C455452D2}"/>
            </a:ext>
            <a:ext uri="{147F2762-F138-4A5C-976F-8EAC2B608ADB}">
              <a16:predDERef xmlns:a16="http://schemas.microsoft.com/office/drawing/2014/main" pred="{03E3B1EF-6807-4DDA-BF2F-D479D32BB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0</xdr:colOff>
      <xdr:row>46</xdr:row>
      <xdr:rowOff>0</xdr:rowOff>
    </xdr:from>
    <xdr:to>
      <xdr:col>65</xdr:col>
      <xdr:colOff>368300</xdr:colOff>
      <xdr:row>63</xdr:row>
      <xdr:rowOff>0</xdr:rowOff>
    </xdr:to>
    <xdr:graphicFrame macro="">
      <xdr:nvGraphicFramePr>
        <xdr:cNvPr id="25" name="Chart -1023">
          <a:extLst>
            <a:ext uri="{FF2B5EF4-FFF2-40B4-BE49-F238E27FC236}">
              <a16:creationId xmlns:a16="http://schemas.microsoft.com/office/drawing/2014/main" id="{7D2C5626-04DE-430A-AE20-AE26ECE33DBB}"/>
            </a:ext>
            <a:ext uri="{147F2762-F138-4A5C-976F-8EAC2B608ADB}">
              <a16:predDERef xmlns:a16="http://schemas.microsoft.com/office/drawing/2014/main" pred="{4AA5A59A-233D-40F6-9E1A-945C45545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4</xdr:col>
      <xdr:colOff>195602</xdr:colOff>
      <xdr:row>80</xdr:row>
      <xdr:rowOff>97692</xdr:rowOff>
    </xdr:to>
    <xdr:graphicFrame macro="">
      <xdr:nvGraphicFramePr>
        <xdr:cNvPr id="26" name="Chart -1023">
          <a:extLst>
            <a:ext uri="{FF2B5EF4-FFF2-40B4-BE49-F238E27FC236}">
              <a16:creationId xmlns:a16="http://schemas.microsoft.com/office/drawing/2014/main" id="{F2E03422-F97B-9549-9A6A-3B5F7A4229C2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638257</xdr:colOff>
      <xdr:row>65</xdr:row>
      <xdr:rowOff>0</xdr:rowOff>
    </xdr:from>
    <xdr:to>
      <xdr:col>9</xdr:col>
      <xdr:colOff>179321</xdr:colOff>
      <xdr:row>80</xdr:row>
      <xdr:rowOff>97692</xdr:rowOff>
    </xdr:to>
    <xdr:graphicFrame macro="">
      <xdr:nvGraphicFramePr>
        <xdr:cNvPr id="27" name="Chart -1023">
          <a:extLst>
            <a:ext uri="{FF2B5EF4-FFF2-40B4-BE49-F238E27FC236}">
              <a16:creationId xmlns:a16="http://schemas.microsoft.com/office/drawing/2014/main" id="{0A9B669D-2E0A-4940-AADB-D9BA068C7E05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625231</xdr:colOff>
      <xdr:row>65</xdr:row>
      <xdr:rowOff>0</xdr:rowOff>
    </xdr:from>
    <xdr:to>
      <xdr:col>13</xdr:col>
      <xdr:colOff>372316</xdr:colOff>
      <xdr:row>80</xdr:row>
      <xdr:rowOff>97692</xdr:rowOff>
    </xdr:to>
    <xdr:graphicFrame macro="">
      <xdr:nvGraphicFramePr>
        <xdr:cNvPr id="28" name="Chart -1023">
          <a:extLst>
            <a:ext uri="{FF2B5EF4-FFF2-40B4-BE49-F238E27FC236}">
              <a16:creationId xmlns:a16="http://schemas.microsoft.com/office/drawing/2014/main" id="{95F3FBD7-6B44-2544-ABDA-5A21DC154076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608949</xdr:colOff>
      <xdr:row>65</xdr:row>
      <xdr:rowOff>0</xdr:rowOff>
    </xdr:from>
    <xdr:to>
      <xdr:col>18</xdr:col>
      <xdr:colOff>186701</xdr:colOff>
      <xdr:row>80</xdr:row>
      <xdr:rowOff>97692</xdr:rowOff>
    </xdr:to>
    <xdr:graphicFrame macro="">
      <xdr:nvGraphicFramePr>
        <xdr:cNvPr id="29" name="Chart -1023">
          <a:extLst>
            <a:ext uri="{FF2B5EF4-FFF2-40B4-BE49-F238E27FC236}">
              <a16:creationId xmlns:a16="http://schemas.microsoft.com/office/drawing/2014/main" id="{FCCBEE3B-8315-604D-9A52-4905AB97F910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595923</xdr:colOff>
      <xdr:row>65</xdr:row>
      <xdr:rowOff>0</xdr:rowOff>
    </xdr:from>
    <xdr:to>
      <xdr:col>22</xdr:col>
      <xdr:colOff>173675</xdr:colOff>
      <xdr:row>80</xdr:row>
      <xdr:rowOff>97692</xdr:rowOff>
    </xdr:to>
    <xdr:graphicFrame macro="">
      <xdr:nvGraphicFramePr>
        <xdr:cNvPr id="30" name="Chart -1023">
          <a:extLst>
            <a:ext uri="{FF2B5EF4-FFF2-40B4-BE49-F238E27FC236}">
              <a16:creationId xmlns:a16="http://schemas.microsoft.com/office/drawing/2014/main" id="{966F5F12-3ACB-4748-89C9-FAD65E101F35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582898</xdr:colOff>
      <xdr:row>65</xdr:row>
      <xdr:rowOff>0</xdr:rowOff>
    </xdr:from>
    <xdr:to>
      <xdr:col>26</xdr:col>
      <xdr:colOff>160649</xdr:colOff>
      <xdr:row>80</xdr:row>
      <xdr:rowOff>97692</xdr:rowOff>
    </xdr:to>
    <xdr:graphicFrame macro="">
      <xdr:nvGraphicFramePr>
        <xdr:cNvPr id="31" name="Chart -1023">
          <a:extLst>
            <a:ext uri="{FF2B5EF4-FFF2-40B4-BE49-F238E27FC236}">
              <a16:creationId xmlns:a16="http://schemas.microsoft.com/office/drawing/2014/main" id="{BDCC5F29-6306-9842-BB81-A6D48E30927E}"/>
            </a:ext>
            <a:ext uri="{147F2762-F138-4A5C-976F-8EAC2B608ADB}">
              <a16:predDERef xmlns:a16="http://schemas.microsoft.com/office/drawing/2014/main" pred="{966F5F12-3ACB-4748-89C9-FAD65E101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0</xdr:colOff>
      <xdr:row>65</xdr:row>
      <xdr:rowOff>0</xdr:rowOff>
    </xdr:from>
    <xdr:to>
      <xdr:col>30</xdr:col>
      <xdr:colOff>381000</xdr:colOff>
      <xdr:row>80</xdr:row>
      <xdr:rowOff>97692</xdr:rowOff>
    </xdr:to>
    <xdr:graphicFrame macro="">
      <xdr:nvGraphicFramePr>
        <xdr:cNvPr id="32" name="Chart -1023">
          <a:extLst>
            <a:ext uri="{FF2B5EF4-FFF2-40B4-BE49-F238E27FC236}">
              <a16:creationId xmlns:a16="http://schemas.microsoft.com/office/drawing/2014/main" id="{F076A7FC-CB2D-2A4B-86A0-0F77D71BCD76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0</xdr:colOff>
      <xdr:row>82</xdr:row>
      <xdr:rowOff>0</xdr:rowOff>
    </xdr:from>
    <xdr:to>
      <xdr:col>30</xdr:col>
      <xdr:colOff>264964</xdr:colOff>
      <xdr:row>97</xdr:row>
      <xdr:rowOff>97692</xdr:rowOff>
    </xdr:to>
    <xdr:graphicFrame macro="">
      <xdr:nvGraphicFramePr>
        <xdr:cNvPr id="33" name="Chart -1023">
          <a:extLst>
            <a:ext uri="{FF2B5EF4-FFF2-40B4-BE49-F238E27FC236}">
              <a16:creationId xmlns:a16="http://schemas.microsoft.com/office/drawing/2014/main" id="{020E51E8-1014-4E4B-8038-387B2FE2C3F1}"/>
            </a:ext>
            <a:ext uri="{147F2762-F138-4A5C-976F-8EAC2B608ADB}">
              <a16:predDERef xmlns:a16="http://schemas.microsoft.com/office/drawing/2014/main" pred="{F630B620-E109-48CE-BB8B-1029D90A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97</xdr:row>
      <xdr:rowOff>0</xdr:rowOff>
    </xdr:from>
    <xdr:to>
      <xdr:col>34</xdr:col>
      <xdr:colOff>0</xdr:colOff>
      <xdr:row>116</xdr:row>
      <xdr:rowOff>0</xdr:rowOff>
    </xdr:to>
    <xdr:graphicFrame macro="">
      <xdr:nvGraphicFramePr>
        <xdr:cNvPr id="2" name="Chart -1023">
          <a:extLst>
            <a:ext uri="{FF2B5EF4-FFF2-40B4-BE49-F238E27FC236}">
              <a16:creationId xmlns:a16="http://schemas.microsoft.com/office/drawing/2014/main" id="{75FFCF2B-97AC-0A44-98FC-D2F5C02E1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97</xdr:row>
      <xdr:rowOff>0</xdr:rowOff>
    </xdr:from>
    <xdr:to>
      <xdr:col>34</xdr:col>
      <xdr:colOff>0</xdr:colOff>
      <xdr:row>116</xdr:row>
      <xdr:rowOff>12700</xdr:rowOff>
    </xdr:to>
    <xdr:graphicFrame macro="">
      <xdr:nvGraphicFramePr>
        <xdr:cNvPr id="3" name="Chart -1022">
          <a:extLst>
            <a:ext uri="{FF2B5EF4-FFF2-40B4-BE49-F238E27FC236}">
              <a16:creationId xmlns:a16="http://schemas.microsoft.com/office/drawing/2014/main" id="{FE0558ED-7EA1-4242-9723-F4829CAD9E8B}"/>
            </a:ext>
            <a:ext uri="{147F2762-F138-4A5C-976F-8EAC2B608ADB}">
              <a16:predDERef xmlns:a16="http://schemas.microsoft.com/office/drawing/2014/main" pred="{75FFCF2B-97AC-0A44-98FC-D2F5C02E1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97</xdr:row>
      <xdr:rowOff>0</xdr:rowOff>
    </xdr:from>
    <xdr:to>
      <xdr:col>34</xdr:col>
      <xdr:colOff>0</xdr:colOff>
      <xdr:row>116</xdr:row>
      <xdr:rowOff>12700</xdr:rowOff>
    </xdr:to>
    <xdr:graphicFrame macro="">
      <xdr:nvGraphicFramePr>
        <xdr:cNvPr id="4" name="Chart -1021">
          <a:extLst>
            <a:ext uri="{FF2B5EF4-FFF2-40B4-BE49-F238E27FC236}">
              <a16:creationId xmlns:a16="http://schemas.microsoft.com/office/drawing/2014/main" id="{71AB50D8-38A9-B045-B5BE-D52D53C1BEBF}"/>
            </a:ext>
            <a:ext uri="{147F2762-F138-4A5C-976F-8EAC2B608ADB}">
              <a16:predDERef xmlns:a16="http://schemas.microsoft.com/office/drawing/2014/main" pred="{FE0558ED-7EA1-4242-9723-F4829CAD9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8</xdr:col>
      <xdr:colOff>0</xdr:colOff>
      <xdr:row>114</xdr:row>
      <xdr:rowOff>139700</xdr:rowOff>
    </xdr:to>
    <xdr:graphicFrame macro="">
      <xdr:nvGraphicFramePr>
        <xdr:cNvPr id="5" name="Chart -1018">
          <a:extLst>
            <a:ext uri="{FF2B5EF4-FFF2-40B4-BE49-F238E27FC236}">
              <a16:creationId xmlns:a16="http://schemas.microsoft.com/office/drawing/2014/main" id="{D2A18714-E527-A748-A966-C2F8BCD56B2A}"/>
            </a:ext>
            <a:ext uri="{147F2762-F138-4A5C-976F-8EAC2B608ADB}">
              <a16:predDERef xmlns:a16="http://schemas.microsoft.com/office/drawing/2014/main" pred="{71AB50D8-38A9-B045-B5BE-D52D53C1B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8</xdr:col>
      <xdr:colOff>0</xdr:colOff>
      <xdr:row>114</xdr:row>
      <xdr:rowOff>152400</xdr:rowOff>
    </xdr:to>
    <xdr:graphicFrame macro="">
      <xdr:nvGraphicFramePr>
        <xdr:cNvPr id="6" name="Chart -1017">
          <a:extLst>
            <a:ext uri="{FF2B5EF4-FFF2-40B4-BE49-F238E27FC236}">
              <a16:creationId xmlns:a16="http://schemas.microsoft.com/office/drawing/2014/main" id="{490E858B-CB51-EC49-8C16-1B5AFDEAAC4A}"/>
            </a:ext>
            <a:ext uri="{147F2762-F138-4A5C-976F-8EAC2B608ADB}">
              <a16:predDERef xmlns:a16="http://schemas.microsoft.com/office/drawing/2014/main" pred="{D2A18714-E527-A748-A966-C2F8BCD56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8</xdr:col>
      <xdr:colOff>0</xdr:colOff>
      <xdr:row>114</xdr:row>
      <xdr:rowOff>165100</xdr:rowOff>
    </xdr:to>
    <xdr:graphicFrame macro="">
      <xdr:nvGraphicFramePr>
        <xdr:cNvPr id="7" name="Chart -1016">
          <a:extLst>
            <a:ext uri="{FF2B5EF4-FFF2-40B4-BE49-F238E27FC236}">
              <a16:creationId xmlns:a16="http://schemas.microsoft.com/office/drawing/2014/main" id="{2D096AD4-BE1A-DC43-A06E-79BCECFC0B18}"/>
            </a:ext>
            <a:ext uri="{147F2762-F138-4A5C-976F-8EAC2B608ADB}">
              <a16:predDERef xmlns:a16="http://schemas.microsoft.com/office/drawing/2014/main" pred="{490E858B-CB51-EC49-8C16-1B5AFDEA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8</xdr:col>
      <xdr:colOff>0</xdr:colOff>
      <xdr:row>115</xdr:row>
      <xdr:rowOff>0</xdr:rowOff>
    </xdr:to>
    <xdr:graphicFrame macro="">
      <xdr:nvGraphicFramePr>
        <xdr:cNvPr id="8" name="Chart -1015">
          <a:extLst>
            <a:ext uri="{FF2B5EF4-FFF2-40B4-BE49-F238E27FC236}">
              <a16:creationId xmlns:a16="http://schemas.microsoft.com/office/drawing/2014/main" id="{47865E05-FBE8-EB43-B769-188F6AF772B4}"/>
            </a:ext>
            <a:ext uri="{147F2762-F138-4A5C-976F-8EAC2B608ADB}">
              <a16:predDERef xmlns:a16="http://schemas.microsoft.com/office/drawing/2014/main" pred="{2D096AD4-BE1A-DC43-A06E-79BCECFC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8</xdr:col>
      <xdr:colOff>0</xdr:colOff>
      <xdr:row>115</xdr:row>
      <xdr:rowOff>12700</xdr:rowOff>
    </xdr:to>
    <xdr:graphicFrame macro="">
      <xdr:nvGraphicFramePr>
        <xdr:cNvPr id="9" name="Chart -1014">
          <a:extLst>
            <a:ext uri="{FF2B5EF4-FFF2-40B4-BE49-F238E27FC236}">
              <a16:creationId xmlns:a16="http://schemas.microsoft.com/office/drawing/2014/main" id="{E34BDA21-577B-784E-AAFC-C3BC046C68BE}"/>
            </a:ext>
            <a:ext uri="{147F2762-F138-4A5C-976F-8EAC2B608ADB}">
              <a16:predDERef xmlns:a16="http://schemas.microsoft.com/office/drawing/2014/main" pred="{47865E05-FBE8-EB43-B769-188F6AF77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8</xdr:col>
      <xdr:colOff>0</xdr:colOff>
      <xdr:row>115</xdr:row>
      <xdr:rowOff>25400</xdr:rowOff>
    </xdr:to>
    <xdr:graphicFrame macro="">
      <xdr:nvGraphicFramePr>
        <xdr:cNvPr id="10" name="Chart -1013">
          <a:extLst>
            <a:ext uri="{FF2B5EF4-FFF2-40B4-BE49-F238E27FC236}">
              <a16:creationId xmlns:a16="http://schemas.microsoft.com/office/drawing/2014/main" id="{45CE04E6-0C22-6541-BBCF-F1D3CC1E0857}"/>
            </a:ext>
            <a:ext uri="{147F2762-F138-4A5C-976F-8EAC2B608ADB}">
              <a16:predDERef xmlns:a16="http://schemas.microsoft.com/office/drawing/2014/main" pred="{E34BDA21-577B-784E-AAFC-C3BC046C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4</xdr:col>
      <xdr:colOff>719665</xdr:colOff>
      <xdr:row>113</xdr:row>
      <xdr:rowOff>0</xdr:rowOff>
    </xdr:to>
    <xdr:graphicFrame macro="">
      <xdr:nvGraphicFramePr>
        <xdr:cNvPr id="11" name="Chart -1023">
          <a:extLst>
            <a:ext uri="{FF2B5EF4-FFF2-40B4-BE49-F238E27FC236}">
              <a16:creationId xmlns:a16="http://schemas.microsoft.com/office/drawing/2014/main" id="{CA3016D8-1185-214C-8295-6A53E8D456F4}"/>
            </a:ext>
            <a:ext uri="{147F2762-F138-4A5C-976F-8EAC2B608ADB}">
              <a16:predDERef xmlns:a16="http://schemas.microsoft.com/office/drawing/2014/main" pred="{45CE04E6-0C22-6541-BBCF-F1D3CC1E0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0</xdr:colOff>
      <xdr:row>2</xdr:row>
      <xdr:rowOff>0</xdr:rowOff>
    </xdr:from>
    <xdr:to>
      <xdr:col>81</xdr:col>
      <xdr:colOff>74082</xdr:colOff>
      <xdr:row>17</xdr:row>
      <xdr:rowOff>201083</xdr:rowOff>
    </xdr:to>
    <xdr:graphicFrame macro="">
      <xdr:nvGraphicFramePr>
        <xdr:cNvPr id="28" name="Chart -1023">
          <a:extLst>
            <a:ext uri="{FF2B5EF4-FFF2-40B4-BE49-F238E27FC236}">
              <a16:creationId xmlns:a16="http://schemas.microsoft.com/office/drawing/2014/main" id="{0130C53A-1B61-B54E-A81E-D2F0BE834A4B}"/>
            </a:ext>
            <a:ext uri="{147F2762-F138-4A5C-976F-8EAC2B608ADB}">
              <a16:predDERef xmlns:a16="http://schemas.microsoft.com/office/drawing/2014/main" pred="{CA3016D8-1185-214C-8295-6A53E8D4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719666</xdr:colOff>
      <xdr:row>19</xdr:row>
      <xdr:rowOff>0</xdr:rowOff>
    </xdr:from>
    <xdr:to>
      <xdr:col>81</xdr:col>
      <xdr:colOff>190500</xdr:colOff>
      <xdr:row>39</xdr:row>
      <xdr:rowOff>201082</xdr:rowOff>
    </xdr:to>
    <xdr:graphicFrame macro="">
      <xdr:nvGraphicFramePr>
        <xdr:cNvPr id="29" name="Chart -1023">
          <a:extLst>
            <a:ext uri="{FF2B5EF4-FFF2-40B4-BE49-F238E27FC236}">
              <a16:creationId xmlns:a16="http://schemas.microsoft.com/office/drawing/2014/main" id="{145E088D-3AAA-D440-B586-7C50496AEF75}"/>
            </a:ext>
            <a:ext uri="{147F2762-F138-4A5C-976F-8EAC2B608ADB}">
              <a16:predDERef xmlns:a16="http://schemas.microsoft.com/office/drawing/2014/main" pred="{0130C53A-1B61-B54E-A81E-D2F0BE834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75</xdr:col>
      <xdr:colOff>0</xdr:colOff>
      <xdr:row>89</xdr:row>
      <xdr:rowOff>0</xdr:rowOff>
    </xdr:from>
    <xdr:to>
      <xdr:col>81</xdr:col>
      <xdr:colOff>190501</xdr:colOff>
      <xdr:row>104</xdr:row>
      <xdr:rowOff>158749</xdr:rowOff>
    </xdr:to>
    <xdr:graphicFrame macro="">
      <xdr:nvGraphicFramePr>
        <xdr:cNvPr id="30" name="Chart -1023">
          <a:extLst>
            <a:ext uri="{FF2B5EF4-FFF2-40B4-BE49-F238E27FC236}">
              <a16:creationId xmlns:a16="http://schemas.microsoft.com/office/drawing/2014/main" id="{F0B0BB3F-4C59-BF49-9075-B01D131C1A08}"/>
            </a:ext>
            <a:ext uri="{147F2762-F138-4A5C-976F-8EAC2B608ADB}">
              <a16:predDERef xmlns:a16="http://schemas.microsoft.com/office/drawing/2014/main" pred="{145E088D-3AAA-D440-B586-7C50496A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0</xdr:colOff>
      <xdr:row>106</xdr:row>
      <xdr:rowOff>0</xdr:rowOff>
    </xdr:from>
    <xdr:to>
      <xdr:col>81</xdr:col>
      <xdr:colOff>190501</xdr:colOff>
      <xdr:row>120</xdr:row>
      <xdr:rowOff>201082</xdr:rowOff>
    </xdr:to>
    <xdr:graphicFrame macro="">
      <xdr:nvGraphicFramePr>
        <xdr:cNvPr id="31" name="Chart -1023">
          <a:extLst>
            <a:ext uri="{FF2B5EF4-FFF2-40B4-BE49-F238E27FC236}">
              <a16:creationId xmlns:a16="http://schemas.microsoft.com/office/drawing/2014/main" id="{8C0185A2-9D18-224E-9CA5-D32AC5EBC17B}"/>
            </a:ext>
            <a:ext uri="{147F2762-F138-4A5C-976F-8EAC2B608ADB}">
              <a16:predDERef xmlns:a16="http://schemas.microsoft.com/office/drawing/2014/main" pred="{F0B0BB3F-4C59-BF49-9075-B01D131C1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75</xdr:col>
      <xdr:colOff>0</xdr:colOff>
      <xdr:row>122</xdr:row>
      <xdr:rowOff>0</xdr:rowOff>
    </xdr:from>
    <xdr:to>
      <xdr:col>81</xdr:col>
      <xdr:colOff>190501</xdr:colOff>
      <xdr:row>136</xdr:row>
      <xdr:rowOff>201082</xdr:rowOff>
    </xdr:to>
    <xdr:graphicFrame macro="">
      <xdr:nvGraphicFramePr>
        <xdr:cNvPr id="32" name="Chart -1023">
          <a:extLst>
            <a:ext uri="{FF2B5EF4-FFF2-40B4-BE49-F238E27FC236}">
              <a16:creationId xmlns:a16="http://schemas.microsoft.com/office/drawing/2014/main" id="{CE60DD68-1B74-404D-8C73-9446E88B7DA1}"/>
            </a:ext>
            <a:ext uri="{147F2762-F138-4A5C-976F-8EAC2B608ADB}">
              <a16:predDERef xmlns:a16="http://schemas.microsoft.com/office/drawing/2014/main" pred="{8C0185A2-9D18-224E-9CA5-D32AC5EBC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88</xdr:col>
      <xdr:colOff>0</xdr:colOff>
      <xdr:row>2</xdr:row>
      <xdr:rowOff>0</xdr:rowOff>
    </xdr:from>
    <xdr:to>
      <xdr:col>93</xdr:col>
      <xdr:colOff>211664</xdr:colOff>
      <xdr:row>17</xdr:row>
      <xdr:rowOff>201083</xdr:rowOff>
    </xdr:to>
    <xdr:graphicFrame macro="">
      <xdr:nvGraphicFramePr>
        <xdr:cNvPr id="33" name="Chart -1023">
          <a:extLst>
            <a:ext uri="{FF2B5EF4-FFF2-40B4-BE49-F238E27FC236}">
              <a16:creationId xmlns:a16="http://schemas.microsoft.com/office/drawing/2014/main" id="{D47C5C2B-CA35-B046-BC8F-85D56588652B}"/>
            </a:ext>
            <a:ext uri="{147F2762-F138-4A5C-976F-8EAC2B608ADB}">
              <a16:predDERef xmlns:a16="http://schemas.microsoft.com/office/drawing/2014/main" pred="{CE60DD68-1B74-404D-8C73-9446E88B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0</xdr:colOff>
      <xdr:row>19</xdr:row>
      <xdr:rowOff>0</xdr:rowOff>
    </xdr:from>
    <xdr:to>
      <xdr:col>93</xdr:col>
      <xdr:colOff>211664</xdr:colOff>
      <xdr:row>39</xdr:row>
      <xdr:rowOff>201082</xdr:rowOff>
    </xdr:to>
    <xdr:graphicFrame macro="">
      <xdr:nvGraphicFramePr>
        <xdr:cNvPr id="34" name="Chart -1023">
          <a:extLst>
            <a:ext uri="{FF2B5EF4-FFF2-40B4-BE49-F238E27FC236}">
              <a16:creationId xmlns:a16="http://schemas.microsoft.com/office/drawing/2014/main" id="{DEFD10FC-F523-584E-9217-299B97C42E98}"/>
            </a:ext>
            <a:ext uri="{147F2762-F138-4A5C-976F-8EAC2B608ADB}">
              <a16:predDERef xmlns:a16="http://schemas.microsoft.com/office/drawing/2014/main" pred="{D47C5C2B-CA35-B046-BC8F-85D565886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0</xdr:colOff>
      <xdr:row>89</xdr:row>
      <xdr:rowOff>0</xdr:rowOff>
    </xdr:from>
    <xdr:to>
      <xdr:col>93</xdr:col>
      <xdr:colOff>211664</xdr:colOff>
      <xdr:row>104</xdr:row>
      <xdr:rowOff>158749</xdr:rowOff>
    </xdr:to>
    <xdr:graphicFrame macro="">
      <xdr:nvGraphicFramePr>
        <xdr:cNvPr id="35" name="Chart -1023">
          <a:extLst>
            <a:ext uri="{FF2B5EF4-FFF2-40B4-BE49-F238E27FC236}">
              <a16:creationId xmlns:a16="http://schemas.microsoft.com/office/drawing/2014/main" id="{7D40D1B7-EF43-7D4E-BAC3-2FA2B935E610}"/>
            </a:ext>
            <a:ext uri="{147F2762-F138-4A5C-976F-8EAC2B608ADB}">
              <a16:predDERef xmlns:a16="http://schemas.microsoft.com/office/drawing/2014/main" pred="{DEFD10FC-F523-584E-9217-299B97C42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88</xdr:col>
      <xdr:colOff>0</xdr:colOff>
      <xdr:row>106</xdr:row>
      <xdr:rowOff>0</xdr:rowOff>
    </xdr:from>
    <xdr:to>
      <xdr:col>93</xdr:col>
      <xdr:colOff>211664</xdr:colOff>
      <xdr:row>120</xdr:row>
      <xdr:rowOff>201082</xdr:rowOff>
    </xdr:to>
    <xdr:graphicFrame macro="">
      <xdr:nvGraphicFramePr>
        <xdr:cNvPr id="36" name="Chart -1023">
          <a:extLst>
            <a:ext uri="{FF2B5EF4-FFF2-40B4-BE49-F238E27FC236}">
              <a16:creationId xmlns:a16="http://schemas.microsoft.com/office/drawing/2014/main" id="{DEBE6B11-A075-0643-B0C1-187780718D5A}"/>
            </a:ext>
            <a:ext uri="{147F2762-F138-4A5C-976F-8EAC2B608ADB}">
              <a16:predDERef xmlns:a16="http://schemas.microsoft.com/office/drawing/2014/main" pred="{7D40D1B7-EF43-7D4E-BAC3-2FA2B935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0</xdr:colOff>
      <xdr:row>2</xdr:row>
      <xdr:rowOff>0</xdr:rowOff>
    </xdr:from>
    <xdr:to>
      <xdr:col>87</xdr:col>
      <xdr:colOff>444499</xdr:colOff>
      <xdr:row>17</xdr:row>
      <xdr:rowOff>201083</xdr:rowOff>
    </xdr:to>
    <xdr:graphicFrame macro="">
      <xdr:nvGraphicFramePr>
        <xdr:cNvPr id="37" name="Chart -1023">
          <a:extLst>
            <a:ext uri="{FF2B5EF4-FFF2-40B4-BE49-F238E27FC236}">
              <a16:creationId xmlns:a16="http://schemas.microsoft.com/office/drawing/2014/main" id="{13A67032-93AA-5244-AFF7-4CB9C3954982}"/>
            </a:ext>
            <a:ext uri="{147F2762-F138-4A5C-976F-8EAC2B608ADB}">
              <a16:predDERef xmlns:a16="http://schemas.microsoft.com/office/drawing/2014/main" pred="{DEBE6B11-A075-0643-B0C1-187780718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0</xdr:colOff>
      <xdr:row>19</xdr:row>
      <xdr:rowOff>0</xdr:rowOff>
    </xdr:from>
    <xdr:to>
      <xdr:col>87</xdr:col>
      <xdr:colOff>666750</xdr:colOff>
      <xdr:row>39</xdr:row>
      <xdr:rowOff>201082</xdr:rowOff>
    </xdr:to>
    <xdr:graphicFrame macro="">
      <xdr:nvGraphicFramePr>
        <xdr:cNvPr id="38" name="Chart -1023">
          <a:extLst>
            <a:ext uri="{FF2B5EF4-FFF2-40B4-BE49-F238E27FC236}">
              <a16:creationId xmlns:a16="http://schemas.microsoft.com/office/drawing/2014/main" id="{95604CCB-2420-1A4D-BD94-24A74AF39421}"/>
            </a:ext>
            <a:ext uri="{147F2762-F138-4A5C-976F-8EAC2B608ADB}">
              <a16:predDERef xmlns:a16="http://schemas.microsoft.com/office/drawing/2014/main" pred="{13A67032-93AA-5244-AFF7-4CB9C3954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87</xdr:col>
      <xdr:colOff>635000</xdr:colOff>
      <xdr:row>104</xdr:row>
      <xdr:rowOff>158749</xdr:rowOff>
    </xdr:to>
    <xdr:graphicFrame macro="">
      <xdr:nvGraphicFramePr>
        <xdr:cNvPr id="39" name="Chart -1023">
          <a:extLst>
            <a:ext uri="{FF2B5EF4-FFF2-40B4-BE49-F238E27FC236}">
              <a16:creationId xmlns:a16="http://schemas.microsoft.com/office/drawing/2014/main" id="{E819883D-9ADC-DC45-880B-CAFE89204455}"/>
            </a:ext>
            <a:ext uri="{147F2762-F138-4A5C-976F-8EAC2B608ADB}">
              <a16:predDERef xmlns:a16="http://schemas.microsoft.com/office/drawing/2014/main" pred="{95604CCB-2420-1A4D-BD94-24A74AF3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81</xdr:col>
      <xdr:colOff>719666</xdr:colOff>
      <xdr:row>106</xdr:row>
      <xdr:rowOff>0</xdr:rowOff>
    </xdr:from>
    <xdr:to>
      <xdr:col>87</xdr:col>
      <xdr:colOff>730249</xdr:colOff>
      <xdr:row>120</xdr:row>
      <xdr:rowOff>201082</xdr:rowOff>
    </xdr:to>
    <xdr:graphicFrame macro="">
      <xdr:nvGraphicFramePr>
        <xdr:cNvPr id="40" name="Chart -1023">
          <a:extLst>
            <a:ext uri="{FF2B5EF4-FFF2-40B4-BE49-F238E27FC236}">
              <a16:creationId xmlns:a16="http://schemas.microsoft.com/office/drawing/2014/main" id="{E797D18F-4EFF-0648-B5B5-AA5926C583C5}"/>
            </a:ext>
            <a:ext uri="{147F2762-F138-4A5C-976F-8EAC2B608ADB}">
              <a16:predDERef xmlns:a16="http://schemas.microsoft.com/office/drawing/2014/main" pred="{E819883D-9ADC-DC45-880B-CAFE89204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0</xdr:colOff>
      <xdr:row>122</xdr:row>
      <xdr:rowOff>0</xdr:rowOff>
    </xdr:from>
    <xdr:to>
      <xdr:col>87</xdr:col>
      <xdr:colOff>635000</xdr:colOff>
      <xdr:row>136</xdr:row>
      <xdr:rowOff>201082</xdr:rowOff>
    </xdr:to>
    <xdr:graphicFrame macro="">
      <xdr:nvGraphicFramePr>
        <xdr:cNvPr id="41" name="Chart -1023">
          <a:extLst>
            <a:ext uri="{FF2B5EF4-FFF2-40B4-BE49-F238E27FC236}">
              <a16:creationId xmlns:a16="http://schemas.microsoft.com/office/drawing/2014/main" id="{611AB2B2-286D-0547-964F-B9E577018417}"/>
            </a:ext>
            <a:ext uri="{147F2762-F138-4A5C-976F-8EAC2B608ADB}">
              <a16:predDERef xmlns:a16="http://schemas.microsoft.com/office/drawing/2014/main" pred="{E797D18F-4EFF-0648-B5B5-AA5926C5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719666</xdr:colOff>
      <xdr:row>115</xdr:row>
      <xdr:rowOff>1</xdr:rowOff>
    </xdr:from>
    <xdr:to>
      <xdr:col>11</xdr:col>
      <xdr:colOff>190500</xdr:colOff>
      <xdr:row>129</xdr:row>
      <xdr:rowOff>139700</xdr:rowOff>
    </xdr:to>
    <xdr:graphicFrame macro="">
      <xdr:nvGraphicFramePr>
        <xdr:cNvPr id="44" name="Chart -1023">
          <a:extLst>
            <a:ext uri="{FF2B5EF4-FFF2-40B4-BE49-F238E27FC236}">
              <a16:creationId xmlns:a16="http://schemas.microsoft.com/office/drawing/2014/main" id="{03E1E34E-8F1B-034C-9F17-F461A5E6EA8F}"/>
            </a:ext>
            <a:ext uri="{147F2762-F138-4A5C-976F-8EAC2B608ADB}">
              <a16:predDERef xmlns:a16="http://schemas.microsoft.com/office/drawing/2014/main" pred="{3334406A-5152-AB4F-9378-7EB6E879F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95</xdr:row>
      <xdr:rowOff>1</xdr:rowOff>
    </xdr:from>
    <xdr:to>
      <xdr:col>22</xdr:col>
      <xdr:colOff>127000</xdr:colOff>
      <xdr:row>109</xdr:row>
      <xdr:rowOff>127000</xdr:rowOff>
    </xdr:to>
    <xdr:graphicFrame macro="">
      <xdr:nvGraphicFramePr>
        <xdr:cNvPr id="47" name="Chart -1023">
          <a:extLst>
            <a:ext uri="{FF2B5EF4-FFF2-40B4-BE49-F238E27FC236}">
              <a16:creationId xmlns:a16="http://schemas.microsoft.com/office/drawing/2014/main" id="{59C84123-92FD-4542-BAEF-4CA8B5688FAF}"/>
            </a:ext>
            <a:ext uri="{147F2762-F138-4A5C-976F-8EAC2B608ADB}">
              <a16:predDERef xmlns:a16="http://schemas.microsoft.com/office/drawing/2014/main" pred="{03E1E34E-8F1B-034C-9F17-F461A5E6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12</xdr:col>
      <xdr:colOff>266700</xdr:colOff>
      <xdr:row>113</xdr:row>
      <xdr:rowOff>0</xdr:rowOff>
    </xdr:to>
    <xdr:graphicFrame macro="">
      <xdr:nvGraphicFramePr>
        <xdr:cNvPr id="49" name="Chart -1023">
          <a:extLst>
            <a:ext uri="{FF2B5EF4-FFF2-40B4-BE49-F238E27FC236}">
              <a16:creationId xmlns:a16="http://schemas.microsoft.com/office/drawing/2014/main" id="{9E203D89-7587-FD4B-9FDA-15C0C14FF550}"/>
            </a:ext>
            <a:ext uri="{147F2762-F138-4A5C-976F-8EAC2B608ADB}">
              <a16:predDERef xmlns:a16="http://schemas.microsoft.com/office/drawing/2014/main" pred="{59C84123-92FD-4542-BAEF-4CA8B568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1</xdr:colOff>
      <xdr:row>115</xdr:row>
      <xdr:rowOff>1</xdr:rowOff>
    </xdr:from>
    <xdr:to>
      <xdr:col>18</xdr:col>
      <xdr:colOff>152400</xdr:colOff>
      <xdr:row>129</xdr:row>
      <xdr:rowOff>152400</xdr:rowOff>
    </xdr:to>
    <xdr:graphicFrame macro="">
      <xdr:nvGraphicFramePr>
        <xdr:cNvPr id="50" name="Chart -1023">
          <a:extLst>
            <a:ext uri="{FF2B5EF4-FFF2-40B4-BE49-F238E27FC236}">
              <a16:creationId xmlns:a16="http://schemas.microsoft.com/office/drawing/2014/main" id="{8A27D96D-E234-6347-87CC-820753F93967}"/>
            </a:ext>
            <a:ext uri="{147F2762-F138-4A5C-976F-8EAC2B608ADB}">
              <a16:predDERef xmlns:a16="http://schemas.microsoft.com/office/drawing/2014/main" pred="{9E203D89-7587-FD4B-9FDA-15C0C14F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0</xdr:colOff>
      <xdr:row>115</xdr:row>
      <xdr:rowOff>0</xdr:rowOff>
    </xdr:from>
    <xdr:to>
      <xdr:col>33</xdr:col>
      <xdr:colOff>495300</xdr:colOff>
      <xdr:row>131</xdr:row>
      <xdr:rowOff>201083</xdr:rowOff>
    </xdr:to>
    <xdr:graphicFrame macro="">
      <xdr:nvGraphicFramePr>
        <xdr:cNvPr id="52" name="Chart -1023">
          <a:extLst>
            <a:ext uri="{FF2B5EF4-FFF2-40B4-BE49-F238E27FC236}">
              <a16:creationId xmlns:a16="http://schemas.microsoft.com/office/drawing/2014/main" id="{44570A62-2EC4-504F-A23B-A49136415BF8}"/>
            </a:ext>
            <a:ext uri="{147F2762-F138-4A5C-976F-8EAC2B608ADB}">
              <a16:predDERef xmlns:a16="http://schemas.microsoft.com/office/drawing/2014/main" pred="{A6408337-87E2-AE4C-A412-CFE849CE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0</xdr:colOff>
      <xdr:row>115</xdr:row>
      <xdr:rowOff>0</xdr:rowOff>
    </xdr:from>
    <xdr:to>
      <xdr:col>37</xdr:col>
      <xdr:colOff>266700</xdr:colOff>
      <xdr:row>131</xdr:row>
      <xdr:rowOff>201083</xdr:rowOff>
    </xdr:to>
    <xdr:graphicFrame macro="">
      <xdr:nvGraphicFramePr>
        <xdr:cNvPr id="53" name="Chart -1023">
          <a:extLst>
            <a:ext uri="{FF2B5EF4-FFF2-40B4-BE49-F238E27FC236}">
              <a16:creationId xmlns:a16="http://schemas.microsoft.com/office/drawing/2014/main" id="{22F4A76A-9EFC-8248-AFEB-DE89559F0A23}"/>
            </a:ext>
            <a:ext uri="{147F2762-F138-4A5C-976F-8EAC2B608ADB}">
              <a16:predDERef xmlns:a16="http://schemas.microsoft.com/office/drawing/2014/main" pred="{44570A62-2EC4-504F-A23B-A4913641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0</xdr:colOff>
      <xdr:row>115</xdr:row>
      <xdr:rowOff>0</xdr:rowOff>
    </xdr:from>
    <xdr:to>
      <xdr:col>41</xdr:col>
      <xdr:colOff>266700</xdr:colOff>
      <xdr:row>131</xdr:row>
      <xdr:rowOff>201083</xdr:rowOff>
    </xdr:to>
    <xdr:graphicFrame macro="">
      <xdr:nvGraphicFramePr>
        <xdr:cNvPr id="54" name="Chart -1023">
          <a:extLst>
            <a:ext uri="{FF2B5EF4-FFF2-40B4-BE49-F238E27FC236}">
              <a16:creationId xmlns:a16="http://schemas.microsoft.com/office/drawing/2014/main" id="{6C17233D-DCBE-5C4A-8314-834A4406606C}"/>
            </a:ext>
            <a:ext uri="{147F2762-F138-4A5C-976F-8EAC2B608ADB}">
              <a16:predDERef xmlns:a16="http://schemas.microsoft.com/office/drawing/2014/main" pred="{22F4A76A-9EFC-8248-AFEB-DE89559F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42</xdr:col>
      <xdr:colOff>0</xdr:colOff>
      <xdr:row>115</xdr:row>
      <xdr:rowOff>0</xdr:rowOff>
    </xdr:from>
    <xdr:to>
      <xdr:col>45</xdr:col>
      <xdr:colOff>457200</xdr:colOff>
      <xdr:row>131</xdr:row>
      <xdr:rowOff>201083</xdr:rowOff>
    </xdr:to>
    <xdr:graphicFrame macro="">
      <xdr:nvGraphicFramePr>
        <xdr:cNvPr id="55" name="Chart -1023">
          <a:extLst>
            <a:ext uri="{FF2B5EF4-FFF2-40B4-BE49-F238E27FC236}">
              <a16:creationId xmlns:a16="http://schemas.microsoft.com/office/drawing/2014/main" id="{2AE96666-6942-B44B-8EBD-4C5C3C74B0DA}"/>
            </a:ext>
            <a:ext uri="{147F2762-F138-4A5C-976F-8EAC2B608ADB}">
              <a16:predDERef xmlns:a16="http://schemas.microsoft.com/office/drawing/2014/main" pred="{6C17233D-DCBE-5C4A-8314-834A44066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30</xdr:col>
      <xdr:colOff>0</xdr:colOff>
      <xdr:row>96</xdr:row>
      <xdr:rowOff>0</xdr:rowOff>
    </xdr:from>
    <xdr:to>
      <xdr:col>34</xdr:col>
      <xdr:colOff>370417</xdr:colOff>
      <xdr:row>112</xdr:row>
      <xdr:rowOff>12700</xdr:rowOff>
    </xdr:to>
    <xdr:graphicFrame macro="">
      <xdr:nvGraphicFramePr>
        <xdr:cNvPr id="56" name="Chart -1023">
          <a:extLst>
            <a:ext uri="{FF2B5EF4-FFF2-40B4-BE49-F238E27FC236}">
              <a16:creationId xmlns:a16="http://schemas.microsoft.com/office/drawing/2014/main" id="{490CB7AA-45B0-024F-B823-2DF7AFBED8C0}"/>
            </a:ext>
            <a:ext uri="{147F2762-F138-4A5C-976F-8EAC2B608ADB}">
              <a16:predDERef xmlns:a16="http://schemas.microsoft.com/office/drawing/2014/main" pred="{2AE96666-6942-B44B-8EBD-4C5C3C74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1</xdr:colOff>
      <xdr:row>96</xdr:row>
      <xdr:rowOff>0</xdr:rowOff>
    </xdr:from>
    <xdr:to>
      <xdr:col>40</xdr:col>
      <xdr:colOff>359834</xdr:colOff>
      <xdr:row>112</xdr:row>
      <xdr:rowOff>12700</xdr:rowOff>
    </xdr:to>
    <xdr:graphicFrame macro="">
      <xdr:nvGraphicFramePr>
        <xdr:cNvPr id="57" name="Chart -1023">
          <a:extLst>
            <a:ext uri="{FF2B5EF4-FFF2-40B4-BE49-F238E27FC236}">
              <a16:creationId xmlns:a16="http://schemas.microsoft.com/office/drawing/2014/main" id="{2379E648-6FBF-A141-9C40-414D37C8FFD9}"/>
            </a:ext>
            <a:ext uri="{147F2762-F138-4A5C-976F-8EAC2B608ADB}">
              <a16:predDERef xmlns:a16="http://schemas.microsoft.com/office/drawing/2014/main" pred="{490CB7AA-45B0-024F-B823-2DF7AFBED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42</xdr:col>
      <xdr:colOff>0</xdr:colOff>
      <xdr:row>96</xdr:row>
      <xdr:rowOff>0</xdr:rowOff>
    </xdr:from>
    <xdr:to>
      <xdr:col>46</xdr:col>
      <xdr:colOff>550332</xdr:colOff>
      <xdr:row>112</xdr:row>
      <xdr:rowOff>12700</xdr:rowOff>
    </xdr:to>
    <xdr:graphicFrame macro="">
      <xdr:nvGraphicFramePr>
        <xdr:cNvPr id="58" name="Chart -1023">
          <a:extLst>
            <a:ext uri="{FF2B5EF4-FFF2-40B4-BE49-F238E27FC236}">
              <a16:creationId xmlns:a16="http://schemas.microsoft.com/office/drawing/2014/main" id="{69E801B8-842E-0F43-8DC9-6AC88C5FF04B}"/>
            </a:ext>
            <a:ext uri="{147F2762-F138-4A5C-976F-8EAC2B608ADB}">
              <a16:predDERef xmlns:a16="http://schemas.microsoft.com/office/drawing/2014/main" pred="{2379E648-6FBF-A141-9C40-414D37C8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48</xdr:col>
      <xdr:colOff>0</xdr:colOff>
      <xdr:row>96</xdr:row>
      <xdr:rowOff>0</xdr:rowOff>
    </xdr:from>
    <xdr:to>
      <xdr:col>52</xdr:col>
      <xdr:colOff>370416</xdr:colOff>
      <xdr:row>112</xdr:row>
      <xdr:rowOff>0</xdr:rowOff>
    </xdr:to>
    <xdr:graphicFrame macro="">
      <xdr:nvGraphicFramePr>
        <xdr:cNvPr id="59" name="Chart -1023">
          <a:extLst>
            <a:ext uri="{FF2B5EF4-FFF2-40B4-BE49-F238E27FC236}">
              <a16:creationId xmlns:a16="http://schemas.microsoft.com/office/drawing/2014/main" id="{FF4D012A-EE5C-9043-9BB6-9CE78CF3486E}"/>
            </a:ext>
            <a:ext uri="{147F2762-F138-4A5C-976F-8EAC2B608ADB}">
              <a16:predDERef xmlns:a16="http://schemas.microsoft.com/office/drawing/2014/main" pred="{69E801B8-842E-0F43-8DC9-6AC88C5FF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136</xdr:row>
      <xdr:rowOff>1</xdr:rowOff>
    </xdr:from>
    <xdr:to>
      <xdr:col>5</xdr:col>
      <xdr:colOff>419100</xdr:colOff>
      <xdr:row>152</xdr:row>
      <xdr:rowOff>0</xdr:rowOff>
    </xdr:to>
    <xdr:graphicFrame macro="">
      <xdr:nvGraphicFramePr>
        <xdr:cNvPr id="69" name="Chart -1023">
          <a:extLst>
            <a:ext uri="{FF2B5EF4-FFF2-40B4-BE49-F238E27FC236}">
              <a16:creationId xmlns:a16="http://schemas.microsoft.com/office/drawing/2014/main" id="{F1551FAC-A4D9-0B44-B918-EECB1AB0FBDD}"/>
            </a:ext>
            <a:ext uri="{147F2762-F138-4A5C-976F-8EAC2B608ADB}">
              <a16:predDERef xmlns:a16="http://schemas.microsoft.com/office/drawing/2014/main" pred="{03E1E34E-8F1B-034C-9F17-F461A5E6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136</xdr:row>
      <xdr:rowOff>1</xdr:rowOff>
    </xdr:from>
    <xdr:to>
      <xdr:col>10</xdr:col>
      <xdr:colOff>482600</xdr:colOff>
      <xdr:row>152</xdr:row>
      <xdr:rowOff>12701</xdr:rowOff>
    </xdr:to>
    <xdr:graphicFrame macro="">
      <xdr:nvGraphicFramePr>
        <xdr:cNvPr id="71" name="Chart -1023">
          <a:extLst>
            <a:ext uri="{FF2B5EF4-FFF2-40B4-BE49-F238E27FC236}">
              <a16:creationId xmlns:a16="http://schemas.microsoft.com/office/drawing/2014/main" id="{D7DA5300-E50F-5144-8D73-0FA7312A5C40}"/>
            </a:ext>
            <a:ext uri="{147F2762-F138-4A5C-976F-8EAC2B608ADB}">
              <a16:predDERef xmlns:a16="http://schemas.microsoft.com/office/drawing/2014/main" pred="{611AB2B2-286D-0547-964F-B9E577018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136</xdr:row>
      <xdr:rowOff>1</xdr:rowOff>
    </xdr:from>
    <xdr:to>
      <xdr:col>15</xdr:col>
      <xdr:colOff>482600</xdr:colOff>
      <xdr:row>152</xdr:row>
      <xdr:rowOff>12701</xdr:rowOff>
    </xdr:to>
    <xdr:graphicFrame macro="">
      <xdr:nvGraphicFramePr>
        <xdr:cNvPr id="73" name="Chart -1023">
          <a:extLst>
            <a:ext uri="{FF2B5EF4-FFF2-40B4-BE49-F238E27FC236}">
              <a16:creationId xmlns:a16="http://schemas.microsoft.com/office/drawing/2014/main" id="{570B33D8-1D01-A64A-87B7-8D853A819DCA}"/>
            </a:ext>
            <a:ext uri="{147F2762-F138-4A5C-976F-8EAC2B608ADB}">
              <a16:predDERef xmlns:a16="http://schemas.microsoft.com/office/drawing/2014/main" pred="{3334406A-5152-AB4F-9378-7EB6E879F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136</xdr:row>
      <xdr:rowOff>1</xdr:rowOff>
    </xdr:from>
    <xdr:to>
      <xdr:col>20</xdr:col>
      <xdr:colOff>482600</xdr:colOff>
      <xdr:row>152</xdr:row>
      <xdr:rowOff>12701</xdr:rowOff>
    </xdr:to>
    <xdr:graphicFrame macro="">
      <xdr:nvGraphicFramePr>
        <xdr:cNvPr id="74" name="Chart -1023">
          <a:extLst>
            <a:ext uri="{FF2B5EF4-FFF2-40B4-BE49-F238E27FC236}">
              <a16:creationId xmlns:a16="http://schemas.microsoft.com/office/drawing/2014/main" id="{1E11E250-97AC-9446-8677-5A8CC226897D}"/>
            </a:ext>
            <a:ext uri="{147F2762-F138-4A5C-976F-8EAC2B608ADB}">
              <a16:predDERef xmlns:a16="http://schemas.microsoft.com/office/drawing/2014/main" pred="{9E203D89-7587-FD4B-9FDA-15C0C14F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0</xdr:colOff>
      <xdr:row>136</xdr:row>
      <xdr:rowOff>0</xdr:rowOff>
    </xdr:from>
    <xdr:to>
      <xdr:col>25</xdr:col>
      <xdr:colOff>469900</xdr:colOff>
      <xdr:row>152</xdr:row>
      <xdr:rowOff>12700</xdr:rowOff>
    </xdr:to>
    <xdr:graphicFrame macro="">
      <xdr:nvGraphicFramePr>
        <xdr:cNvPr id="75" name="Chart -1023">
          <a:extLst>
            <a:ext uri="{FF2B5EF4-FFF2-40B4-BE49-F238E27FC236}">
              <a16:creationId xmlns:a16="http://schemas.microsoft.com/office/drawing/2014/main" id="{4FC09E7D-030C-194D-AE8F-3EAA1CEF088F}"/>
            </a:ext>
            <a:ext uri="{147F2762-F138-4A5C-976F-8EAC2B608ADB}">
              <a16:predDERef xmlns:a16="http://schemas.microsoft.com/office/drawing/2014/main" pred="{2AE96666-6942-B44B-8EBD-4C5C3C74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136</xdr:row>
      <xdr:rowOff>0</xdr:rowOff>
    </xdr:from>
    <xdr:to>
      <xdr:col>30</xdr:col>
      <xdr:colOff>469900</xdr:colOff>
      <xdr:row>152</xdr:row>
      <xdr:rowOff>12700</xdr:rowOff>
    </xdr:to>
    <xdr:graphicFrame macro="">
      <xdr:nvGraphicFramePr>
        <xdr:cNvPr id="76" name="Chart -1023">
          <a:extLst>
            <a:ext uri="{FF2B5EF4-FFF2-40B4-BE49-F238E27FC236}">
              <a16:creationId xmlns:a16="http://schemas.microsoft.com/office/drawing/2014/main" id="{E9E4BB87-D2D5-2A4D-9109-E7808CB1AD17}"/>
            </a:ext>
            <a:ext uri="{147F2762-F138-4A5C-976F-8EAC2B608ADB}">
              <a16:predDERef xmlns:a16="http://schemas.microsoft.com/office/drawing/2014/main" pred="{490CB7AA-45B0-024F-B823-2DF7AFBED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31</xdr:col>
      <xdr:colOff>0</xdr:colOff>
      <xdr:row>136</xdr:row>
      <xdr:rowOff>0</xdr:rowOff>
    </xdr:from>
    <xdr:to>
      <xdr:col>35</xdr:col>
      <xdr:colOff>469900</xdr:colOff>
      <xdr:row>152</xdr:row>
      <xdr:rowOff>12700</xdr:rowOff>
    </xdr:to>
    <xdr:graphicFrame macro="">
      <xdr:nvGraphicFramePr>
        <xdr:cNvPr id="77" name="Chart -1023">
          <a:extLst>
            <a:ext uri="{FF2B5EF4-FFF2-40B4-BE49-F238E27FC236}">
              <a16:creationId xmlns:a16="http://schemas.microsoft.com/office/drawing/2014/main" id="{73C9EEC2-52F9-D44C-A761-60C7221B3496}"/>
            </a:ext>
            <a:ext uri="{147F2762-F138-4A5C-976F-8EAC2B608ADB}">
              <a16:predDERef xmlns:a16="http://schemas.microsoft.com/office/drawing/2014/main" pred="{2379E648-6FBF-A141-9C40-414D37C8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36</xdr:col>
      <xdr:colOff>0</xdr:colOff>
      <xdr:row>136</xdr:row>
      <xdr:rowOff>0</xdr:rowOff>
    </xdr:from>
    <xdr:to>
      <xdr:col>40</xdr:col>
      <xdr:colOff>469900</xdr:colOff>
      <xdr:row>152</xdr:row>
      <xdr:rowOff>0</xdr:rowOff>
    </xdr:to>
    <xdr:graphicFrame macro="">
      <xdr:nvGraphicFramePr>
        <xdr:cNvPr id="78" name="Chart -1023">
          <a:extLst>
            <a:ext uri="{FF2B5EF4-FFF2-40B4-BE49-F238E27FC236}">
              <a16:creationId xmlns:a16="http://schemas.microsoft.com/office/drawing/2014/main" id="{B1F1A5D6-9B9D-BE4F-81F9-BE3C0D3C97E0}"/>
            </a:ext>
            <a:ext uri="{147F2762-F138-4A5C-976F-8EAC2B608ADB}">
              <a16:predDERef xmlns:a16="http://schemas.microsoft.com/office/drawing/2014/main" pred="{69E801B8-842E-0F43-8DC9-6AC88C5FF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5</xdr:col>
      <xdr:colOff>114300</xdr:colOff>
      <xdr:row>129</xdr:row>
      <xdr:rowOff>139699</xdr:rowOff>
    </xdr:to>
    <xdr:graphicFrame macro="">
      <xdr:nvGraphicFramePr>
        <xdr:cNvPr id="16" name="Chart -1023">
          <a:extLst>
            <a:ext uri="{FF2B5EF4-FFF2-40B4-BE49-F238E27FC236}">
              <a16:creationId xmlns:a16="http://schemas.microsoft.com/office/drawing/2014/main" id="{5707D423-D373-394A-80D2-7C5CCEB0AD28}"/>
            </a:ext>
            <a:ext uri="{147F2762-F138-4A5C-976F-8EAC2B608ADB}">
              <a16:predDERef xmlns:a16="http://schemas.microsoft.com/office/drawing/2014/main" pred="{611AB2B2-286D-0547-964F-B9E577018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</xdr:col>
      <xdr:colOff>0</xdr:colOff>
      <xdr:row>115</xdr:row>
      <xdr:rowOff>0</xdr:rowOff>
    </xdr:from>
    <xdr:to>
      <xdr:col>25</xdr:col>
      <xdr:colOff>380999</xdr:colOff>
      <xdr:row>131</xdr:row>
      <xdr:rowOff>201083</xdr:rowOff>
    </xdr:to>
    <xdr:graphicFrame macro="">
      <xdr:nvGraphicFramePr>
        <xdr:cNvPr id="18" name="Chart -1023">
          <a:extLst>
            <a:ext uri="{FF2B5EF4-FFF2-40B4-BE49-F238E27FC236}">
              <a16:creationId xmlns:a16="http://schemas.microsoft.com/office/drawing/2014/main" id="{19D064A7-1342-8B4F-8460-C534B76ED1DA}"/>
            </a:ext>
            <a:ext uri="{147F2762-F138-4A5C-976F-8EAC2B608ADB}">
              <a16:predDERef xmlns:a16="http://schemas.microsoft.com/office/drawing/2014/main" pred="{9E203D89-7587-FD4B-9FDA-15C0C14F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6</xdr:col>
      <xdr:colOff>82699</xdr:colOff>
      <xdr:row>170</xdr:row>
      <xdr:rowOff>126998</xdr:rowOff>
    </xdr:to>
    <xdr:graphicFrame macro="">
      <xdr:nvGraphicFramePr>
        <xdr:cNvPr id="51" name="Chart -1023">
          <a:extLst>
            <a:ext uri="{FF2B5EF4-FFF2-40B4-BE49-F238E27FC236}">
              <a16:creationId xmlns:a16="http://schemas.microsoft.com/office/drawing/2014/main" id="{28EC4815-5CAD-014E-A397-E12273B88F1B}"/>
            </a:ext>
            <a:ext uri="{147F2762-F138-4A5C-976F-8EAC2B608ADB}">
              <a16:predDERef xmlns:a16="http://schemas.microsoft.com/office/drawing/2014/main" pred="{03E1E34E-8F1B-034C-9F17-F461A5E6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0</xdr:colOff>
      <xdr:row>174</xdr:row>
      <xdr:rowOff>0</xdr:rowOff>
    </xdr:from>
    <xdr:to>
      <xdr:col>30</xdr:col>
      <xdr:colOff>132907</xdr:colOff>
      <xdr:row>189</xdr:row>
      <xdr:rowOff>14768</xdr:rowOff>
    </xdr:to>
    <xdr:graphicFrame macro="">
      <xdr:nvGraphicFramePr>
        <xdr:cNvPr id="60" name="Chart -1023">
          <a:extLst>
            <a:ext uri="{FF2B5EF4-FFF2-40B4-BE49-F238E27FC236}">
              <a16:creationId xmlns:a16="http://schemas.microsoft.com/office/drawing/2014/main" id="{AD2A8E4B-0C68-C947-985C-925C21F32176}"/>
            </a:ext>
            <a:ext uri="{147F2762-F138-4A5C-976F-8EAC2B608ADB}">
              <a16:predDERef xmlns:a16="http://schemas.microsoft.com/office/drawing/2014/main" pred="{2AE96666-6942-B44B-8EBD-4C5C3C74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31</xdr:col>
      <xdr:colOff>-1</xdr:colOff>
      <xdr:row>174</xdr:row>
      <xdr:rowOff>0</xdr:rowOff>
    </xdr:from>
    <xdr:to>
      <xdr:col>36</xdr:col>
      <xdr:colOff>103371</xdr:colOff>
      <xdr:row>189</xdr:row>
      <xdr:rowOff>0</xdr:rowOff>
    </xdr:to>
    <xdr:graphicFrame macro="">
      <xdr:nvGraphicFramePr>
        <xdr:cNvPr id="62" name="Chart -1023">
          <a:extLst>
            <a:ext uri="{FF2B5EF4-FFF2-40B4-BE49-F238E27FC236}">
              <a16:creationId xmlns:a16="http://schemas.microsoft.com/office/drawing/2014/main" id="{67EDC0A4-7E50-8D43-83E9-F1F7A511D5A8}"/>
            </a:ext>
            <a:ext uri="{147F2762-F138-4A5C-976F-8EAC2B608ADB}">
              <a16:predDERef xmlns:a16="http://schemas.microsoft.com/office/drawing/2014/main" pred="{2379E648-6FBF-A141-9C40-414D37C8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37</xdr:col>
      <xdr:colOff>0</xdr:colOff>
      <xdr:row>174</xdr:row>
      <xdr:rowOff>0</xdr:rowOff>
    </xdr:from>
    <xdr:to>
      <xdr:col>42</xdr:col>
      <xdr:colOff>162442</xdr:colOff>
      <xdr:row>189</xdr:row>
      <xdr:rowOff>0</xdr:rowOff>
    </xdr:to>
    <xdr:graphicFrame macro="">
      <xdr:nvGraphicFramePr>
        <xdr:cNvPr id="64" name="Chart -1023">
          <a:extLst>
            <a:ext uri="{FF2B5EF4-FFF2-40B4-BE49-F238E27FC236}">
              <a16:creationId xmlns:a16="http://schemas.microsoft.com/office/drawing/2014/main" id="{4BC20E5B-461A-A14F-9B55-4FFB73846BC2}"/>
            </a:ext>
            <a:ext uri="{147F2762-F138-4A5C-976F-8EAC2B608ADB}">
              <a16:predDERef xmlns:a16="http://schemas.microsoft.com/office/drawing/2014/main" pred="{69E801B8-842E-0F43-8DC9-6AC88C5FF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11</xdr:col>
      <xdr:colOff>472016</xdr:colOff>
      <xdr:row>169</xdr:row>
      <xdr:rowOff>201083</xdr:rowOff>
    </xdr:to>
    <xdr:graphicFrame macro="">
      <xdr:nvGraphicFramePr>
        <xdr:cNvPr id="83" name="Chart -1023">
          <a:extLst>
            <a:ext uri="{FF2B5EF4-FFF2-40B4-BE49-F238E27FC236}">
              <a16:creationId xmlns:a16="http://schemas.microsoft.com/office/drawing/2014/main" id="{21BBB414-5343-BB4E-BF28-40DC2DC41BE7}"/>
            </a:ext>
            <a:ext uri="{147F2762-F138-4A5C-976F-8EAC2B608ADB}">
              <a16:predDERef xmlns:a16="http://schemas.microsoft.com/office/drawing/2014/main" pred="{03E1E34E-8F1B-034C-9F17-F461A5E6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82</xdr:row>
      <xdr:rowOff>0</xdr:rowOff>
    </xdr:from>
    <xdr:to>
      <xdr:col>34</xdr:col>
      <xdr:colOff>0</xdr:colOff>
      <xdr:row>101</xdr:row>
      <xdr:rowOff>0</xdr:rowOff>
    </xdr:to>
    <xdr:graphicFrame macro="">
      <xdr:nvGraphicFramePr>
        <xdr:cNvPr id="2" name="Chart -1023">
          <a:extLst>
            <a:ext uri="{FF2B5EF4-FFF2-40B4-BE49-F238E27FC236}">
              <a16:creationId xmlns:a16="http://schemas.microsoft.com/office/drawing/2014/main" id="{C648E679-D4BA-ED41-A703-6CEECF885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34</xdr:col>
      <xdr:colOff>0</xdr:colOff>
      <xdr:row>101</xdr:row>
      <xdr:rowOff>12700</xdr:rowOff>
    </xdr:to>
    <xdr:graphicFrame macro="">
      <xdr:nvGraphicFramePr>
        <xdr:cNvPr id="3" name="Chart -1022">
          <a:extLst>
            <a:ext uri="{FF2B5EF4-FFF2-40B4-BE49-F238E27FC236}">
              <a16:creationId xmlns:a16="http://schemas.microsoft.com/office/drawing/2014/main" id="{F56C9415-5D73-504C-9744-03EAAF428075}"/>
            </a:ext>
            <a:ext uri="{147F2762-F138-4A5C-976F-8EAC2B608ADB}">
              <a16:predDERef xmlns:a16="http://schemas.microsoft.com/office/drawing/2014/main" pred="{C648E679-D4BA-ED41-A703-6CEECF885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34</xdr:col>
      <xdr:colOff>0</xdr:colOff>
      <xdr:row>101</xdr:row>
      <xdr:rowOff>12700</xdr:rowOff>
    </xdr:to>
    <xdr:graphicFrame macro="">
      <xdr:nvGraphicFramePr>
        <xdr:cNvPr id="4" name="Chart -1021">
          <a:extLst>
            <a:ext uri="{FF2B5EF4-FFF2-40B4-BE49-F238E27FC236}">
              <a16:creationId xmlns:a16="http://schemas.microsoft.com/office/drawing/2014/main" id="{72B5435E-A766-114B-B06C-455983C9357A}"/>
            </a:ext>
            <a:ext uri="{147F2762-F138-4A5C-976F-8EAC2B608ADB}">
              <a16:predDERef xmlns:a16="http://schemas.microsoft.com/office/drawing/2014/main" pred="{F56C9415-5D73-504C-9744-03EAAF428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8</xdr:col>
      <xdr:colOff>0</xdr:colOff>
      <xdr:row>100</xdr:row>
      <xdr:rowOff>139700</xdr:rowOff>
    </xdr:to>
    <xdr:graphicFrame macro="">
      <xdr:nvGraphicFramePr>
        <xdr:cNvPr id="5" name="Chart -1018">
          <a:extLst>
            <a:ext uri="{FF2B5EF4-FFF2-40B4-BE49-F238E27FC236}">
              <a16:creationId xmlns:a16="http://schemas.microsoft.com/office/drawing/2014/main" id="{BA088305-2D72-AD4D-BB23-677B7387707A}"/>
            </a:ext>
            <a:ext uri="{147F2762-F138-4A5C-976F-8EAC2B608ADB}">
              <a16:predDERef xmlns:a16="http://schemas.microsoft.com/office/drawing/2014/main" pred="{72B5435E-A766-114B-B06C-455983C93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8</xdr:col>
      <xdr:colOff>0</xdr:colOff>
      <xdr:row>100</xdr:row>
      <xdr:rowOff>152400</xdr:rowOff>
    </xdr:to>
    <xdr:graphicFrame macro="">
      <xdr:nvGraphicFramePr>
        <xdr:cNvPr id="6" name="Chart -1017">
          <a:extLst>
            <a:ext uri="{FF2B5EF4-FFF2-40B4-BE49-F238E27FC236}">
              <a16:creationId xmlns:a16="http://schemas.microsoft.com/office/drawing/2014/main" id="{3665F3C6-83B1-9E42-9106-FE579B3D7D2D}"/>
            </a:ext>
            <a:ext uri="{147F2762-F138-4A5C-976F-8EAC2B608ADB}">
              <a16:predDERef xmlns:a16="http://schemas.microsoft.com/office/drawing/2014/main" pred="{BA088305-2D72-AD4D-BB23-677B7387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8</xdr:col>
      <xdr:colOff>0</xdr:colOff>
      <xdr:row>100</xdr:row>
      <xdr:rowOff>165100</xdr:rowOff>
    </xdr:to>
    <xdr:graphicFrame macro="">
      <xdr:nvGraphicFramePr>
        <xdr:cNvPr id="7" name="Chart -1016">
          <a:extLst>
            <a:ext uri="{FF2B5EF4-FFF2-40B4-BE49-F238E27FC236}">
              <a16:creationId xmlns:a16="http://schemas.microsoft.com/office/drawing/2014/main" id="{34DEA6D1-E716-5541-ADAE-7AB17EAAC2A5}"/>
            </a:ext>
            <a:ext uri="{147F2762-F138-4A5C-976F-8EAC2B608ADB}">
              <a16:predDERef xmlns:a16="http://schemas.microsoft.com/office/drawing/2014/main" pred="{3665F3C6-83B1-9E42-9106-FE579B3D7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8</xdr:col>
      <xdr:colOff>0</xdr:colOff>
      <xdr:row>101</xdr:row>
      <xdr:rowOff>0</xdr:rowOff>
    </xdr:to>
    <xdr:graphicFrame macro="">
      <xdr:nvGraphicFramePr>
        <xdr:cNvPr id="8" name="Chart -1015">
          <a:extLst>
            <a:ext uri="{FF2B5EF4-FFF2-40B4-BE49-F238E27FC236}">
              <a16:creationId xmlns:a16="http://schemas.microsoft.com/office/drawing/2014/main" id="{33875647-634F-E542-A16E-274B11EED56A}"/>
            </a:ext>
            <a:ext uri="{147F2762-F138-4A5C-976F-8EAC2B608ADB}">
              <a16:predDERef xmlns:a16="http://schemas.microsoft.com/office/drawing/2014/main" pred="{34DEA6D1-E716-5541-ADAE-7AB17EAA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8</xdr:col>
      <xdr:colOff>0</xdr:colOff>
      <xdr:row>101</xdr:row>
      <xdr:rowOff>12700</xdr:rowOff>
    </xdr:to>
    <xdr:graphicFrame macro="">
      <xdr:nvGraphicFramePr>
        <xdr:cNvPr id="9" name="Chart -1014">
          <a:extLst>
            <a:ext uri="{FF2B5EF4-FFF2-40B4-BE49-F238E27FC236}">
              <a16:creationId xmlns:a16="http://schemas.microsoft.com/office/drawing/2014/main" id="{3479BD6E-FDD6-C242-9A05-2B64D9CD275A}"/>
            </a:ext>
            <a:ext uri="{147F2762-F138-4A5C-976F-8EAC2B608ADB}">
              <a16:predDERef xmlns:a16="http://schemas.microsoft.com/office/drawing/2014/main" pred="{33875647-634F-E542-A16E-274B11EED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8</xdr:col>
      <xdr:colOff>0</xdr:colOff>
      <xdr:row>101</xdr:row>
      <xdr:rowOff>25400</xdr:rowOff>
    </xdr:to>
    <xdr:graphicFrame macro="">
      <xdr:nvGraphicFramePr>
        <xdr:cNvPr id="10" name="Chart -1013">
          <a:extLst>
            <a:ext uri="{FF2B5EF4-FFF2-40B4-BE49-F238E27FC236}">
              <a16:creationId xmlns:a16="http://schemas.microsoft.com/office/drawing/2014/main" id="{33DB69EE-6683-5C43-A5F1-5F91E7A429BF}"/>
            </a:ext>
            <a:ext uri="{147F2762-F138-4A5C-976F-8EAC2B608ADB}">
              <a16:predDERef xmlns:a16="http://schemas.microsoft.com/office/drawing/2014/main" pred="{3479BD6E-FDD6-C242-9A05-2B64D9CD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0</xdr:colOff>
      <xdr:row>39</xdr:row>
      <xdr:rowOff>0</xdr:rowOff>
    </xdr:from>
    <xdr:to>
      <xdr:col>81</xdr:col>
      <xdr:colOff>190501</xdr:colOff>
      <xdr:row>89</xdr:row>
      <xdr:rowOff>158749</xdr:rowOff>
    </xdr:to>
    <xdr:graphicFrame macro="">
      <xdr:nvGraphicFramePr>
        <xdr:cNvPr id="30" name="Chart -1023">
          <a:extLst>
            <a:ext uri="{FF2B5EF4-FFF2-40B4-BE49-F238E27FC236}">
              <a16:creationId xmlns:a16="http://schemas.microsoft.com/office/drawing/2014/main" id="{8FF64C2F-97AC-B747-A995-759447A4482D}"/>
            </a:ext>
            <a:ext uri="{147F2762-F138-4A5C-976F-8EAC2B608ADB}">
              <a16:predDERef xmlns:a16="http://schemas.microsoft.com/office/drawing/2014/main" pred="{33DB69EE-6683-5C43-A5F1-5F91E7A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0</xdr:colOff>
      <xdr:row>91</xdr:row>
      <xdr:rowOff>0</xdr:rowOff>
    </xdr:from>
    <xdr:to>
      <xdr:col>81</xdr:col>
      <xdr:colOff>190501</xdr:colOff>
      <xdr:row>105</xdr:row>
      <xdr:rowOff>201082</xdr:rowOff>
    </xdr:to>
    <xdr:graphicFrame macro="">
      <xdr:nvGraphicFramePr>
        <xdr:cNvPr id="31" name="Chart -1023">
          <a:extLst>
            <a:ext uri="{FF2B5EF4-FFF2-40B4-BE49-F238E27FC236}">
              <a16:creationId xmlns:a16="http://schemas.microsoft.com/office/drawing/2014/main" id="{FC2166FE-C5E3-484D-9AA2-54C49F8D512C}"/>
            </a:ext>
            <a:ext uri="{147F2762-F138-4A5C-976F-8EAC2B608ADB}">
              <a16:predDERef xmlns:a16="http://schemas.microsoft.com/office/drawing/2014/main" pred="{8FF64C2F-97AC-B747-A995-759447A44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0</xdr:colOff>
      <xdr:row>107</xdr:row>
      <xdr:rowOff>0</xdr:rowOff>
    </xdr:from>
    <xdr:to>
      <xdr:col>81</xdr:col>
      <xdr:colOff>190501</xdr:colOff>
      <xdr:row>121</xdr:row>
      <xdr:rowOff>201082</xdr:rowOff>
    </xdr:to>
    <xdr:graphicFrame macro="">
      <xdr:nvGraphicFramePr>
        <xdr:cNvPr id="32" name="Chart -1023">
          <a:extLst>
            <a:ext uri="{FF2B5EF4-FFF2-40B4-BE49-F238E27FC236}">
              <a16:creationId xmlns:a16="http://schemas.microsoft.com/office/drawing/2014/main" id="{A125A495-9436-8745-8127-EBF1298324B1}"/>
            </a:ext>
            <a:ext uri="{147F2762-F138-4A5C-976F-8EAC2B608ADB}">
              <a16:predDERef xmlns:a16="http://schemas.microsoft.com/office/drawing/2014/main" pred="{FC2166FE-C5E3-484D-9AA2-54C49F8D5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88</xdr:col>
      <xdr:colOff>0</xdr:colOff>
      <xdr:row>39</xdr:row>
      <xdr:rowOff>0</xdr:rowOff>
    </xdr:from>
    <xdr:to>
      <xdr:col>93</xdr:col>
      <xdr:colOff>211664</xdr:colOff>
      <xdr:row>89</xdr:row>
      <xdr:rowOff>158749</xdr:rowOff>
    </xdr:to>
    <xdr:graphicFrame macro="">
      <xdr:nvGraphicFramePr>
        <xdr:cNvPr id="35" name="Chart -1023">
          <a:extLst>
            <a:ext uri="{FF2B5EF4-FFF2-40B4-BE49-F238E27FC236}">
              <a16:creationId xmlns:a16="http://schemas.microsoft.com/office/drawing/2014/main" id="{4B918797-0F1F-A242-8D4C-92DC6234A1AB}"/>
            </a:ext>
            <a:ext uri="{147F2762-F138-4A5C-976F-8EAC2B608ADB}">
              <a16:predDERef xmlns:a16="http://schemas.microsoft.com/office/drawing/2014/main" pred="{A125A495-9436-8745-8127-EBF129832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0</xdr:colOff>
      <xdr:row>91</xdr:row>
      <xdr:rowOff>0</xdr:rowOff>
    </xdr:from>
    <xdr:to>
      <xdr:col>93</xdr:col>
      <xdr:colOff>211664</xdr:colOff>
      <xdr:row>105</xdr:row>
      <xdr:rowOff>201082</xdr:rowOff>
    </xdr:to>
    <xdr:graphicFrame macro="">
      <xdr:nvGraphicFramePr>
        <xdr:cNvPr id="36" name="Chart -1023">
          <a:extLst>
            <a:ext uri="{FF2B5EF4-FFF2-40B4-BE49-F238E27FC236}">
              <a16:creationId xmlns:a16="http://schemas.microsoft.com/office/drawing/2014/main" id="{C7063060-DB61-4A49-BC64-B222DB06CF77}"/>
            </a:ext>
            <a:ext uri="{147F2762-F138-4A5C-976F-8EAC2B608ADB}">
              <a16:predDERef xmlns:a16="http://schemas.microsoft.com/office/drawing/2014/main" pred="{4B918797-0F1F-A242-8D4C-92DC6234A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82</xdr:col>
      <xdr:colOff>0</xdr:colOff>
      <xdr:row>39</xdr:row>
      <xdr:rowOff>0</xdr:rowOff>
    </xdr:from>
    <xdr:to>
      <xdr:col>87</xdr:col>
      <xdr:colOff>635000</xdr:colOff>
      <xdr:row>89</xdr:row>
      <xdr:rowOff>158749</xdr:rowOff>
    </xdr:to>
    <xdr:graphicFrame macro="">
      <xdr:nvGraphicFramePr>
        <xdr:cNvPr id="39" name="Chart -1023">
          <a:extLst>
            <a:ext uri="{FF2B5EF4-FFF2-40B4-BE49-F238E27FC236}">
              <a16:creationId xmlns:a16="http://schemas.microsoft.com/office/drawing/2014/main" id="{2A8554E4-90CB-574F-97C1-00E3A1F6615A}"/>
            </a:ext>
            <a:ext uri="{147F2762-F138-4A5C-976F-8EAC2B608ADB}">
              <a16:predDERef xmlns:a16="http://schemas.microsoft.com/office/drawing/2014/main" pred="{C7063060-DB61-4A49-BC64-B222DB06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81</xdr:col>
      <xdr:colOff>719666</xdr:colOff>
      <xdr:row>91</xdr:row>
      <xdr:rowOff>0</xdr:rowOff>
    </xdr:from>
    <xdr:to>
      <xdr:col>87</xdr:col>
      <xdr:colOff>730249</xdr:colOff>
      <xdr:row>105</xdr:row>
      <xdr:rowOff>201082</xdr:rowOff>
    </xdr:to>
    <xdr:graphicFrame macro="">
      <xdr:nvGraphicFramePr>
        <xdr:cNvPr id="40" name="Chart -1023">
          <a:extLst>
            <a:ext uri="{FF2B5EF4-FFF2-40B4-BE49-F238E27FC236}">
              <a16:creationId xmlns:a16="http://schemas.microsoft.com/office/drawing/2014/main" id="{3AEB3E37-B6AE-E848-AA4E-C26C9D835504}"/>
            </a:ext>
            <a:ext uri="{147F2762-F138-4A5C-976F-8EAC2B608ADB}">
              <a16:predDERef xmlns:a16="http://schemas.microsoft.com/office/drawing/2014/main" pred="{2A8554E4-90CB-574F-97C1-00E3A1F6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107</xdr:row>
      <xdr:rowOff>0</xdr:rowOff>
    </xdr:from>
    <xdr:to>
      <xdr:col>87</xdr:col>
      <xdr:colOff>635000</xdr:colOff>
      <xdr:row>121</xdr:row>
      <xdr:rowOff>201082</xdr:rowOff>
    </xdr:to>
    <xdr:graphicFrame macro="">
      <xdr:nvGraphicFramePr>
        <xdr:cNvPr id="41" name="Chart -1023">
          <a:extLst>
            <a:ext uri="{FF2B5EF4-FFF2-40B4-BE49-F238E27FC236}">
              <a16:creationId xmlns:a16="http://schemas.microsoft.com/office/drawing/2014/main" id="{190400C0-5C18-7A4A-B8A1-014985F561BD}"/>
            </a:ext>
            <a:ext uri="{147F2762-F138-4A5C-976F-8EAC2B608ADB}">
              <a16:predDERef xmlns:a16="http://schemas.microsoft.com/office/drawing/2014/main" pred="{3AEB3E37-B6AE-E848-AA4E-C26C9D835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5</xdr:col>
      <xdr:colOff>359834</xdr:colOff>
      <xdr:row>93</xdr:row>
      <xdr:rowOff>0</xdr:rowOff>
    </xdr:to>
    <xdr:graphicFrame macro="">
      <xdr:nvGraphicFramePr>
        <xdr:cNvPr id="42" name="Chart -1023">
          <a:extLst>
            <a:ext uri="{FF2B5EF4-FFF2-40B4-BE49-F238E27FC236}">
              <a16:creationId xmlns:a16="http://schemas.microsoft.com/office/drawing/2014/main" id="{CE898871-2C0A-8A4C-AD9E-82233A68C1EB}"/>
            </a:ext>
            <a:ext uri="{147F2762-F138-4A5C-976F-8EAC2B608ADB}">
              <a16:predDERef xmlns:a16="http://schemas.microsoft.com/office/drawing/2014/main" pred="{190400C0-5C18-7A4A-B8A1-014985F5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11</xdr:col>
      <xdr:colOff>423334</xdr:colOff>
      <xdr:row>93</xdr:row>
      <xdr:rowOff>0</xdr:rowOff>
    </xdr:to>
    <xdr:graphicFrame macro="">
      <xdr:nvGraphicFramePr>
        <xdr:cNvPr id="38" name="Chart -1023">
          <a:extLst>
            <a:ext uri="{FF2B5EF4-FFF2-40B4-BE49-F238E27FC236}">
              <a16:creationId xmlns:a16="http://schemas.microsoft.com/office/drawing/2014/main" id="{18AAABF9-1036-CC44-ABA1-49688CD908F8}"/>
            </a:ext>
            <a:ext uri="{147F2762-F138-4A5C-976F-8EAC2B608ADB}">
              <a16:predDERef xmlns:a16="http://schemas.microsoft.com/office/drawing/2014/main" pred="{CE898871-2C0A-8A4C-AD9E-82233A68C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78</xdr:row>
      <xdr:rowOff>0</xdr:rowOff>
    </xdr:from>
    <xdr:to>
      <xdr:col>17</xdr:col>
      <xdr:colOff>423334</xdr:colOff>
      <xdr:row>93</xdr:row>
      <xdr:rowOff>0</xdr:rowOff>
    </xdr:to>
    <xdr:graphicFrame macro="">
      <xdr:nvGraphicFramePr>
        <xdr:cNvPr id="48" name="Chart -1023">
          <a:extLst>
            <a:ext uri="{FF2B5EF4-FFF2-40B4-BE49-F238E27FC236}">
              <a16:creationId xmlns:a16="http://schemas.microsoft.com/office/drawing/2014/main" id="{5199281D-0B3F-EE45-8FCE-A2D24C2F425C}"/>
            </a:ext>
            <a:ext uri="{147F2762-F138-4A5C-976F-8EAC2B608ADB}">
              <a16:predDERef xmlns:a16="http://schemas.microsoft.com/office/drawing/2014/main" pred="{18AAABF9-1036-CC44-ABA1-49688CD90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78</xdr:row>
      <xdr:rowOff>0</xdr:rowOff>
    </xdr:from>
    <xdr:to>
      <xdr:col>23</xdr:col>
      <xdr:colOff>423334</xdr:colOff>
      <xdr:row>93</xdr:row>
      <xdr:rowOff>0</xdr:rowOff>
    </xdr:to>
    <xdr:graphicFrame macro="">
      <xdr:nvGraphicFramePr>
        <xdr:cNvPr id="49" name="Chart -1023">
          <a:extLst>
            <a:ext uri="{FF2B5EF4-FFF2-40B4-BE49-F238E27FC236}">
              <a16:creationId xmlns:a16="http://schemas.microsoft.com/office/drawing/2014/main" id="{7AE07ABC-7748-BB48-A30A-5830CB446568}"/>
            </a:ext>
            <a:ext uri="{147F2762-F138-4A5C-976F-8EAC2B608ADB}">
              <a16:predDERef xmlns:a16="http://schemas.microsoft.com/office/drawing/2014/main" pred="{5199281D-0B3F-EE45-8FCE-A2D24C2F4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29</xdr:col>
      <xdr:colOff>423334</xdr:colOff>
      <xdr:row>93</xdr:row>
      <xdr:rowOff>0</xdr:rowOff>
    </xdr:to>
    <xdr:graphicFrame macro="">
      <xdr:nvGraphicFramePr>
        <xdr:cNvPr id="50" name="Chart -1023">
          <a:extLst>
            <a:ext uri="{FF2B5EF4-FFF2-40B4-BE49-F238E27FC236}">
              <a16:creationId xmlns:a16="http://schemas.microsoft.com/office/drawing/2014/main" id="{B8C4A248-9947-AC49-A865-31040A31B637}"/>
            </a:ext>
            <a:ext uri="{147F2762-F138-4A5C-976F-8EAC2B608ADB}">
              <a16:predDERef xmlns:a16="http://schemas.microsoft.com/office/drawing/2014/main" pred="{7AE07ABC-7748-BB48-A30A-5830CB446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5</xdr:col>
      <xdr:colOff>497417</xdr:colOff>
      <xdr:row>110</xdr:row>
      <xdr:rowOff>0</xdr:rowOff>
    </xdr:to>
    <xdr:graphicFrame macro="">
      <xdr:nvGraphicFramePr>
        <xdr:cNvPr id="51" name="Chart -1023">
          <a:extLst>
            <a:ext uri="{FF2B5EF4-FFF2-40B4-BE49-F238E27FC236}">
              <a16:creationId xmlns:a16="http://schemas.microsoft.com/office/drawing/2014/main" id="{564AECF4-BCBA-7C42-9948-3E0E37EF6041}"/>
            </a:ext>
            <a:ext uri="{147F2762-F138-4A5C-976F-8EAC2B608ADB}">
              <a16:predDERef xmlns:a16="http://schemas.microsoft.com/office/drawing/2014/main" pred="{B8C4A248-9947-AC49-A865-31040A31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11</xdr:col>
      <xdr:colOff>423334</xdr:colOff>
      <xdr:row>110</xdr:row>
      <xdr:rowOff>0</xdr:rowOff>
    </xdr:to>
    <xdr:graphicFrame macro="">
      <xdr:nvGraphicFramePr>
        <xdr:cNvPr id="52" name="Chart -1023">
          <a:extLst>
            <a:ext uri="{FF2B5EF4-FFF2-40B4-BE49-F238E27FC236}">
              <a16:creationId xmlns:a16="http://schemas.microsoft.com/office/drawing/2014/main" id="{96DF29CF-6AB0-FA4C-BE27-3C66309EAB96}"/>
            </a:ext>
            <a:ext uri="{147F2762-F138-4A5C-976F-8EAC2B608ADB}">
              <a16:predDERef xmlns:a16="http://schemas.microsoft.com/office/drawing/2014/main" pred="{564AECF4-BCBA-7C42-9948-3E0E37EF6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0</xdr:colOff>
      <xdr:row>78</xdr:row>
      <xdr:rowOff>0</xdr:rowOff>
    </xdr:from>
    <xdr:to>
      <xdr:col>35</xdr:col>
      <xdr:colOff>423334</xdr:colOff>
      <xdr:row>93</xdr:row>
      <xdr:rowOff>0</xdr:rowOff>
    </xdr:to>
    <xdr:graphicFrame macro="">
      <xdr:nvGraphicFramePr>
        <xdr:cNvPr id="53" name="Chart -1023">
          <a:extLst>
            <a:ext uri="{FF2B5EF4-FFF2-40B4-BE49-F238E27FC236}">
              <a16:creationId xmlns:a16="http://schemas.microsoft.com/office/drawing/2014/main" id="{16F270DE-0F3A-884D-B77F-3B49AC93138F}"/>
            </a:ext>
            <a:ext uri="{147F2762-F138-4A5C-976F-8EAC2B608ADB}">
              <a16:predDERef xmlns:a16="http://schemas.microsoft.com/office/drawing/2014/main" pred="{96DF29CF-6AB0-FA4C-BE27-3C66309EA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95</xdr:row>
      <xdr:rowOff>0</xdr:rowOff>
    </xdr:from>
    <xdr:to>
      <xdr:col>17</xdr:col>
      <xdr:colOff>423334</xdr:colOff>
      <xdr:row>110</xdr:row>
      <xdr:rowOff>0</xdr:rowOff>
    </xdr:to>
    <xdr:graphicFrame macro="">
      <xdr:nvGraphicFramePr>
        <xdr:cNvPr id="27" name="Chart -1023">
          <a:extLst>
            <a:ext uri="{FF2B5EF4-FFF2-40B4-BE49-F238E27FC236}">
              <a16:creationId xmlns:a16="http://schemas.microsoft.com/office/drawing/2014/main" id="{515C7C81-115E-054F-91D1-5F46CC8ECB8A}"/>
            </a:ext>
            <a:ext uri="{147F2762-F138-4A5C-976F-8EAC2B608ADB}">
              <a16:predDERef xmlns:a16="http://schemas.microsoft.com/office/drawing/2014/main" pred="{16F270DE-0F3A-884D-B77F-3B49AC931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23</xdr:col>
      <xdr:colOff>423334</xdr:colOff>
      <xdr:row>110</xdr:row>
      <xdr:rowOff>0</xdr:rowOff>
    </xdr:to>
    <xdr:graphicFrame macro="">
      <xdr:nvGraphicFramePr>
        <xdr:cNvPr id="28" name="Chart -1023">
          <a:extLst>
            <a:ext uri="{FF2B5EF4-FFF2-40B4-BE49-F238E27FC236}">
              <a16:creationId xmlns:a16="http://schemas.microsoft.com/office/drawing/2014/main" id="{5EF6547F-8272-564A-8E8D-B4BD4D260875}"/>
            </a:ext>
            <a:ext uri="{147F2762-F138-4A5C-976F-8EAC2B608ADB}">
              <a16:predDERef xmlns:a16="http://schemas.microsoft.com/office/drawing/2014/main" pred="{515C7C81-115E-054F-91D1-5F46CC8EC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95</xdr:row>
      <xdr:rowOff>0</xdr:rowOff>
    </xdr:from>
    <xdr:to>
      <xdr:col>29</xdr:col>
      <xdr:colOff>423334</xdr:colOff>
      <xdr:row>110</xdr:row>
      <xdr:rowOff>0</xdr:rowOff>
    </xdr:to>
    <xdr:graphicFrame macro="">
      <xdr:nvGraphicFramePr>
        <xdr:cNvPr id="29" name="Chart -1023">
          <a:extLst>
            <a:ext uri="{FF2B5EF4-FFF2-40B4-BE49-F238E27FC236}">
              <a16:creationId xmlns:a16="http://schemas.microsoft.com/office/drawing/2014/main" id="{1A80F342-0051-9545-8AE7-CA4ACC645330}"/>
            </a:ext>
            <a:ext uri="{147F2762-F138-4A5C-976F-8EAC2B608ADB}">
              <a16:predDERef xmlns:a16="http://schemas.microsoft.com/office/drawing/2014/main" pred="{5EF6547F-8272-564A-8E8D-B4BD4D26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0</xdr:colOff>
      <xdr:row>95</xdr:row>
      <xdr:rowOff>0</xdr:rowOff>
    </xdr:from>
    <xdr:to>
      <xdr:col>35</xdr:col>
      <xdr:colOff>560917</xdr:colOff>
      <xdr:row>110</xdr:row>
      <xdr:rowOff>0</xdr:rowOff>
    </xdr:to>
    <xdr:graphicFrame macro="">
      <xdr:nvGraphicFramePr>
        <xdr:cNvPr id="33" name="Chart -1023">
          <a:extLst>
            <a:ext uri="{FF2B5EF4-FFF2-40B4-BE49-F238E27FC236}">
              <a16:creationId xmlns:a16="http://schemas.microsoft.com/office/drawing/2014/main" id="{DFCDB515-1091-2646-B5C9-15B97F449808}"/>
            </a:ext>
            <a:ext uri="{147F2762-F138-4A5C-976F-8EAC2B608ADB}">
              <a16:predDERef xmlns:a16="http://schemas.microsoft.com/office/drawing/2014/main" pred="{1A80F342-0051-9545-8AE7-CA4ACC645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5</xdr:col>
      <xdr:colOff>359834</xdr:colOff>
      <xdr:row>127</xdr:row>
      <xdr:rowOff>0</xdr:rowOff>
    </xdr:to>
    <xdr:graphicFrame macro="">
      <xdr:nvGraphicFramePr>
        <xdr:cNvPr id="34" name="Chart -1023">
          <a:extLst>
            <a:ext uri="{FF2B5EF4-FFF2-40B4-BE49-F238E27FC236}">
              <a16:creationId xmlns:a16="http://schemas.microsoft.com/office/drawing/2014/main" id="{8AA8AD79-68D0-EB4F-A57E-80C8325FC3A1}"/>
            </a:ext>
            <a:ext uri="{147F2762-F138-4A5C-976F-8EAC2B608ADB}">
              <a16:predDERef xmlns:a16="http://schemas.microsoft.com/office/drawing/2014/main" pred="{DFCDB515-1091-2646-B5C9-15B97F449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112</xdr:row>
      <xdr:rowOff>0</xdr:rowOff>
    </xdr:from>
    <xdr:to>
      <xdr:col>11</xdr:col>
      <xdr:colOff>423334</xdr:colOff>
      <xdr:row>127</xdr:row>
      <xdr:rowOff>0</xdr:rowOff>
    </xdr:to>
    <xdr:graphicFrame macro="">
      <xdr:nvGraphicFramePr>
        <xdr:cNvPr id="37" name="Chart -1023">
          <a:extLst>
            <a:ext uri="{FF2B5EF4-FFF2-40B4-BE49-F238E27FC236}">
              <a16:creationId xmlns:a16="http://schemas.microsoft.com/office/drawing/2014/main" id="{FB91C207-1EA5-9E4A-8CF7-4E7F1CF8B53A}"/>
            </a:ext>
            <a:ext uri="{147F2762-F138-4A5C-976F-8EAC2B608ADB}">
              <a16:predDERef xmlns:a16="http://schemas.microsoft.com/office/drawing/2014/main" pred="{8AA8AD79-68D0-EB4F-A57E-80C8325FC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17</xdr:col>
      <xdr:colOff>423334</xdr:colOff>
      <xdr:row>127</xdr:row>
      <xdr:rowOff>0</xdr:rowOff>
    </xdr:to>
    <xdr:graphicFrame macro="">
      <xdr:nvGraphicFramePr>
        <xdr:cNvPr id="43" name="Chart -1023">
          <a:extLst>
            <a:ext uri="{FF2B5EF4-FFF2-40B4-BE49-F238E27FC236}">
              <a16:creationId xmlns:a16="http://schemas.microsoft.com/office/drawing/2014/main" id="{E3B06F49-E9E0-F441-88D4-F30A9C56FB90}"/>
            </a:ext>
            <a:ext uri="{147F2762-F138-4A5C-976F-8EAC2B608ADB}">
              <a16:predDERef xmlns:a16="http://schemas.microsoft.com/office/drawing/2014/main" pred="{FB91C207-1EA5-9E4A-8CF7-4E7F1CF8B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23</xdr:col>
      <xdr:colOff>423334</xdr:colOff>
      <xdr:row>127</xdr:row>
      <xdr:rowOff>0</xdr:rowOff>
    </xdr:to>
    <xdr:graphicFrame macro="">
      <xdr:nvGraphicFramePr>
        <xdr:cNvPr id="44" name="Chart -1023">
          <a:extLst>
            <a:ext uri="{FF2B5EF4-FFF2-40B4-BE49-F238E27FC236}">
              <a16:creationId xmlns:a16="http://schemas.microsoft.com/office/drawing/2014/main" id="{DA0C7F48-89E4-E741-94A4-DE2445D6BE0E}"/>
            </a:ext>
            <a:ext uri="{147F2762-F138-4A5C-976F-8EAC2B608ADB}">
              <a16:predDERef xmlns:a16="http://schemas.microsoft.com/office/drawing/2014/main" pred="{E3B06F49-E9E0-F441-88D4-F30A9C56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29</xdr:col>
      <xdr:colOff>423334</xdr:colOff>
      <xdr:row>127</xdr:row>
      <xdr:rowOff>0</xdr:rowOff>
    </xdr:to>
    <xdr:graphicFrame macro="">
      <xdr:nvGraphicFramePr>
        <xdr:cNvPr id="45" name="Chart -1023">
          <a:extLst>
            <a:ext uri="{FF2B5EF4-FFF2-40B4-BE49-F238E27FC236}">
              <a16:creationId xmlns:a16="http://schemas.microsoft.com/office/drawing/2014/main" id="{8D70299C-9416-AC49-82C7-5CD4B3E66F5C}"/>
            </a:ext>
            <a:ext uri="{147F2762-F138-4A5C-976F-8EAC2B608ADB}">
              <a16:predDERef xmlns:a16="http://schemas.microsoft.com/office/drawing/2014/main" pred="{DA0C7F48-89E4-E741-94A4-DE2445D6B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30</xdr:col>
      <xdr:colOff>0</xdr:colOff>
      <xdr:row>112</xdr:row>
      <xdr:rowOff>0</xdr:rowOff>
    </xdr:from>
    <xdr:to>
      <xdr:col>35</xdr:col>
      <xdr:colOff>423334</xdr:colOff>
      <xdr:row>127</xdr:row>
      <xdr:rowOff>0</xdr:rowOff>
    </xdr:to>
    <xdr:graphicFrame macro="">
      <xdr:nvGraphicFramePr>
        <xdr:cNvPr id="46" name="Chart -1023">
          <a:extLst>
            <a:ext uri="{FF2B5EF4-FFF2-40B4-BE49-F238E27FC236}">
              <a16:creationId xmlns:a16="http://schemas.microsoft.com/office/drawing/2014/main" id="{703D7528-0408-4745-A712-FEA56B228F82}"/>
            </a:ext>
            <a:ext uri="{147F2762-F138-4A5C-976F-8EAC2B608ADB}">
              <a16:predDERef xmlns:a16="http://schemas.microsoft.com/office/drawing/2014/main" pred="{8D70299C-9416-AC49-82C7-5CD4B3E66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5</xdr:col>
      <xdr:colOff>359834</xdr:colOff>
      <xdr:row>144</xdr:row>
      <xdr:rowOff>0</xdr:rowOff>
    </xdr:to>
    <xdr:graphicFrame macro="">
      <xdr:nvGraphicFramePr>
        <xdr:cNvPr id="47" name="Chart -1023">
          <a:extLst>
            <a:ext uri="{FF2B5EF4-FFF2-40B4-BE49-F238E27FC236}">
              <a16:creationId xmlns:a16="http://schemas.microsoft.com/office/drawing/2014/main" id="{4D7ADE54-EEEA-0546-9E63-F1FEA3B22764}"/>
            </a:ext>
            <a:ext uri="{147F2762-F138-4A5C-976F-8EAC2B608ADB}">
              <a16:predDERef xmlns:a16="http://schemas.microsoft.com/office/drawing/2014/main" pred="{703D7528-0408-4745-A712-FEA56B228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11</xdr:col>
      <xdr:colOff>423334</xdr:colOff>
      <xdr:row>144</xdr:row>
      <xdr:rowOff>0</xdr:rowOff>
    </xdr:to>
    <xdr:graphicFrame macro="">
      <xdr:nvGraphicFramePr>
        <xdr:cNvPr id="54" name="Chart -1023">
          <a:extLst>
            <a:ext uri="{FF2B5EF4-FFF2-40B4-BE49-F238E27FC236}">
              <a16:creationId xmlns:a16="http://schemas.microsoft.com/office/drawing/2014/main" id="{40A85047-EEEA-EA49-A8AB-3DFF45490C1F}"/>
            </a:ext>
            <a:ext uri="{147F2762-F138-4A5C-976F-8EAC2B608ADB}">
              <a16:predDERef xmlns:a16="http://schemas.microsoft.com/office/drawing/2014/main" pred="{4D7ADE54-EEEA-0546-9E63-F1FEA3B22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17</xdr:col>
      <xdr:colOff>423334</xdr:colOff>
      <xdr:row>144</xdr:row>
      <xdr:rowOff>0</xdr:rowOff>
    </xdr:to>
    <xdr:graphicFrame macro="">
      <xdr:nvGraphicFramePr>
        <xdr:cNvPr id="55" name="Chart -1023">
          <a:extLst>
            <a:ext uri="{FF2B5EF4-FFF2-40B4-BE49-F238E27FC236}">
              <a16:creationId xmlns:a16="http://schemas.microsoft.com/office/drawing/2014/main" id="{BEB3D3C1-1419-FF44-8D2C-945939E4277F}"/>
            </a:ext>
            <a:ext uri="{147F2762-F138-4A5C-976F-8EAC2B608ADB}">
              <a16:predDERef xmlns:a16="http://schemas.microsoft.com/office/drawing/2014/main" pred="{40A85047-EEEA-EA49-A8AB-3DFF45490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129</xdr:row>
      <xdr:rowOff>0</xdr:rowOff>
    </xdr:from>
    <xdr:to>
      <xdr:col>23</xdr:col>
      <xdr:colOff>423334</xdr:colOff>
      <xdr:row>144</xdr:row>
      <xdr:rowOff>0</xdr:rowOff>
    </xdr:to>
    <xdr:graphicFrame macro="">
      <xdr:nvGraphicFramePr>
        <xdr:cNvPr id="56" name="Chart -1023">
          <a:extLst>
            <a:ext uri="{FF2B5EF4-FFF2-40B4-BE49-F238E27FC236}">
              <a16:creationId xmlns:a16="http://schemas.microsoft.com/office/drawing/2014/main" id="{B0D7CD1D-F993-6D4B-8DA8-D4E0F6A8CBCE}"/>
            </a:ext>
            <a:ext uri="{147F2762-F138-4A5C-976F-8EAC2B608ADB}">
              <a16:predDERef xmlns:a16="http://schemas.microsoft.com/office/drawing/2014/main" pred="{BEB3D3C1-1419-FF44-8D2C-945939E42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29</xdr:col>
      <xdr:colOff>423334</xdr:colOff>
      <xdr:row>144</xdr:row>
      <xdr:rowOff>0</xdr:rowOff>
    </xdr:to>
    <xdr:graphicFrame macro="">
      <xdr:nvGraphicFramePr>
        <xdr:cNvPr id="58" name="Chart -1023">
          <a:extLst>
            <a:ext uri="{FF2B5EF4-FFF2-40B4-BE49-F238E27FC236}">
              <a16:creationId xmlns:a16="http://schemas.microsoft.com/office/drawing/2014/main" id="{6B99EB4E-CAD7-5449-A774-6E35D28EBFF2}"/>
            </a:ext>
            <a:ext uri="{147F2762-F138-4A5C-976F-8EAC2B608ADB}">
              <a16:predDERef xmlns:a16="http://schemas.microsoft.com/office/drawing/2014/main" pred="{B0D7CD1D-F993-6D4B-8DA8-D4E0F6A8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30</xdr:col>
      <xdr:colOff>0</xdr:colOff>
      <xdr:row>129</xdr:row>
      <xdr:rowOff>0</xdr:rowOff>
    </xdr:from>
    <xdr:to>
      <xdr:col>35</xdr:col>
      <xdr:colOff>550334</xdr:colOff>
      <xdr:row>144</xdr:row>
      <xdr:rowOff>0</xdr:rowOff>
    </xdr:to>
    <xdr:graphicFrame macro="">
      <xdr:nvGraphicFramePr>
        <xdr:cNvPr id="59" name="Chart -1023">
          <a:extLst>
            <a:ext uri="{FF2B5EF4-FFF2-40B4-BE49-F238E27FC236}">
              <a16:creationId xmlns:a16="http://schemas.microsoft.com/office/drawing/2014/main" id="{932ED346-365A-E148-B2E8-A1B666A46079}"/>
            </a:ext>
            <a:ext uri="{147F2762-F138-4A5C-976F-8EAC2B608ADB}">
              <a16:predDERef xmlns:a16="http://schemas.microsoft.com/office/drawing/2014/main" pred="{6B99EB4E-CAD7-5449-A774-6E35D28EB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5</xdr:col>
      <xdr:colOff>497417</xdr:colOff>
      <xdr:row>164</xdr:row>
      <xdr:rowOff>0</xdr:rowOff>
    </xdr:to>
    <xdr:graphicFrame macro="">
      <xdr:nvGraphicFramePr>
        <xdr:cNvPr id="57" name="Chart -1023">
          <a:extLst>
            <a:ext uri="{FF2B5EF4-FFF2-40B4-BE49-F238E27FC236}">
              <a16:creationId xmlns:a16="http://schemas.microsoft.com/office/drawing/2014/main" id="{98E4EDFC-FA73-244A-B935-3EFCD32CB7D5}"/>
            </a:ext>
            <a:ext uri="{147F2762-F138-4A5C-976F-8EAC2B608ADB}">
              <a16:predDERef xmlns:a16="http://schemas.microsoft.com/office/drawing/2014/main" pred="{B8C4A248-9947-AC49-A865-31040A31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269B-989D-4973-932C-C1685B5ED6E8}">
  <dimension ref="A1:T112"/>
  <sheetViews>
    <sheetView topLeftCell="A79" zoomScaleNormal="100" workbookViewId="0">
      <selection activeCell="B107" sqref="B107"/>
    </sheetView>
  </sheetViews>
  <sheetFormatPr defaultColWidth="9" defaultRowHeight="12.75"/>
  <cols>
    <col min="1" max="1" width="9" style="114"/>
    <col min="2" max="2" width="9.625" style="114" bestFit="1" customWidth="1"/>
    <col min="3" max="3" width="11" style="116" bestFit="1" customWidth="1"/>
    <col min="4" max="4" width="9" style="114"/>
    <col min="5" max="5" width="11.625" style="114" customWidth="1"/>
    <col min="6" max="6" width="10.625" style="140" customWidth="1"/>
    <col min="7" max="7" width="11.625" style="148" customWidth="1"/>
    <col min="8" max="8" width="12.625" style="140" customWidth="1"/>
    <col min="9" max="9" width="9" style="148"/>
    <col min="10" max="10" width="10.625" style="140" bestFit="1" customWidth="1"/>
    <col min="11" max="11" width="8.625" style="148" customWidth="1"/>
    <col min="12" max="12" width="11.125" style="114" bestFit="1" customWidth="1"/>
    <col min="13" max="16384" width="9" style="114"/>
  </cols>
  <sheetData>
    <row r="1" spans="1:18">
      <c r="D1" s="1" t="s">
        <v>0</v>
      </c>
      <c r="E1" s="1" t="s">
        <v>1</v>
      </c>
      <c r="F1" s="139" t="s">
        <v>2</v>
      </c>
      <c r="G1" s="145" t="s">
        <v>3</v>
      </c>
      <c r="H1" s="139"/>
      <c r="I1" s="145"/>
      <c r="J1" s="141"/>
      <c r="K1" s="149"/>
      <c r="L1" s="1" t="s">
        <v>4</v>
      </c>
      <c r="M1" s="1" t="s">
        <v>5</v>
      </c>
    </row>
    <row r="3" spans="1:18">
      <c r="D3" s="114" t="s">
        <v>6</v>
      </c>
      <c r="F3" s="421" t="s">
        <v>7</v>
      </c>
      <c r="G3" s="421"/>
      <c r="H3" s="421"/>
      <c r="I3" s="421"/>
      <c r="J3" s="421"/>
      <c r="K3" s="421"/>
      <c r="L3" s="137" t="s">
        <v>8</v>
      </c>
      <c r="N3" s="148" t="s">
        <v>9</v>
      </c>
    </row>
    <row r="4" spans="1:18" s="144" customFormat="1">
      <c r="A4" s="115" t="s">
        <v>10</v>
      </c>
      <c r="B4" s="115" t="s">
        <v>11</v>
      </c>
      <c r="C4" s="117" t="s">
        <v>12</v>
      </c>
      <c r="D4" s="5" t="s">
        <v>13</v>
      </c>
      <c r="E4" s="5" t="s">
        <v>14</v>
      </c>
      <c r="F4" s="143" t="s">
        <v>15</v>
      </c>
      <c r="G4" s="146" t="s">
        <v>16</v>
      </c>
      <c r="H4" s="143" t="s">
        <v>17</v>
      </c>
      <c r="I4" s="146" t="s">
        <v>16</v>
      </c>
      <c r="J4" s="143" t="s">
        <v>18</v>
      </c>
      <c r="K4" s="146" t="s">
        <v>16</v>
      </c>
    </row>
    <row r="5" spans="1:18">
      <c r="A5" s="114" t="s">
        <v>19</v>
      </c>
      <c r="B5" s="138">
        <v>42548</v>
      </c>
      <c r="C5" s="118" t="s">
        <v>20</v>
      </c>
      <c r="D5" s="114" t="s">
        <v>21</v>
      </c>
      <c r="E5" s="12" t="s">
        <v>22</v>
      </c>
      <c r="F5" s="140">
        <v>17.98</v>
      </c>
      <c r="G5" s="147" t="s">
        <v>23</v>
      </c>
      <c r="H5" s="140">
        <v>18.510000000000002</v>
      </c>
      <c r="I5" s="147">
        <v>20</v>
      </c>
      <c r="J5" s="140">
        <v>18.5</v>
      </c>
      <c r="K5" s="147">
        <v>20</v>
      </c>
      <c r="R5" s="140">
        <v>17.98</v>
      </c>
    </row>
    <row r="6" spans="1:18">
      <c r="B6" s="62"/>
      <c r="C6" s="116" t="s">
        <v>24</v>
      </c>
      <c r="D6" s="114" t="s">
        <v>25</v>
      </c>
      <c r="E6" s="114" t="s">
        <v>26</v>
      </c>
      <c r="F6" s="140">
        <v>16.920000000000002</v>
      </c>
      <c r="G6" s="147">
        <v>20</v>
      </c>
      <c r="H6" s="140">
        <v>17.899999999999999</v>
      </c>
      <c r="I6" s="147" t="s">
        <v>23</v>
      </c>
      <c r="J6" s="140">
        <v>18.12</v>
      </c>
      <c r="K6" s="147">
        <v>20</v>
      </c>
      <c r="R6" s="140">
        <v>16.920000000000002</v>
      </c>
    </row>
    <row r="7" spans="1:18">
      <c r="B7" s="62"/>
      <c r="C7" s="118"/>
      <c r="E7" s="12"/>
      <c r="G7" s="147"/>
      <c r="I7" s="147"/>
      <c r="K7" s="147"/>
      <c r="R7" s="140"/>
    </row>
    <row r="8" spans="1:18" s="144" customFormat="1">
      <c r="A8" s="115"/>
      <c r="B8" s="115"/>
      <c r="C8" s="117"/>
      <c r="D8" s="5"/>
      <c r="E8" s="5"/>
      <c r="F8" s="143"/>
      <c r="G8" s="146" t="s">
        <v>16</v>
      </c>
      <c r="H8" s="143"/>
      <c r="I8" s="146" t="s">
        <v>16</v>
      </c>
      <c r="J8" s="143"/>
      <c r="K8" s="146" t="s">
        <v>16</v>
      </c>
      <c r="R8" s="143"/>
    </row>
    <row r="9" spans="1:18">
      <c r="A9" s="114" t="s">
        <v>27</v>
      </c>
      <c r="B9" s="138">
        <v>42548</v>
      </c>
      <c r="C9" s="118" t="s">
        <v>28</v>
      </c>
      <c r="D9" s="114" t="s">
        <v>21</v>
      </c>
      <c r="E9" s="12" t="s">
        <v>22</v>
      </c>
      <c r="F9" s="140">
        <v>17.079999999999998</v>
      </c>
      <c r="G9" s="147">
        <v>20</v>
      </c>
      <c r="H9" s="140">
        <v>16.84</v>
      </c>
      <c r="I9" s="147">
        <v>20</v>
      </c>
      <c r="J9" s="140">
        <v>16.86</v>
      </c>
      <c r="K9" s="147" t="s">
        <v>23</v>
      </c>
      <c r="R9" s="140">
        <v>17.079999999999998</v>
      </c>
    </row>
    <row r="10" spans="1:18">
      <c r="C10" s="116" t="s">
        <v>29</v>
      </c>
      <c r="D10" s="114" t="s">
        <v>30</v>
      </c>
      <c r="E10" s="12" t="s">
        <v>22</v>
      </c>
      <c r="F10" s="140">
        <v>14.37</v>
      </c>
      <c r="G10" s="147">
        <v>15</v>
      </c>
      <c r="H10" s="140">
        <v>15.1</v>
      </c>
      <c r="I10" s="147">
        <v>20</v>
      </c>
      <c r="J10" s="140">
        <v>15.56</v>
      </c>
      <c r="K10" s="147">
        <v>20</v>
      </c>
      <c r="R10" s="140">
        <v>14.37</v>
      </c>
    </row>
    <row r="11" spans="1:18">
      <c r="C11" s="116" t="s">
        <v>31</v>
      </c>
      <c r="D11" s="114" t="s">
        <v>25</v>
      </c>
      <c r="E11" s="114" t="s">
        <v>26</v>
      </c>
      <c r="F11" s="140">
        <v>18.11</v>
      </c>
      <c r="G11" s="147">
        <v>20</v>
      </c>
      <c r="H11" s="140">
        <v>18.399999999999999</v>
      </c>
      <c r="I11" s="147">
        <v>20</v>
      </c>
      <c r="J11" s="140">
        <v>18.079999999999998</v>
      </c>
      <c r="K11" s="147">
        <v>20</v>
      </c>
      <c r="R11" s="140">
        <v>18.11</v>
      </c>
    </row>
    <row r="12" spans="1:18">
      <c r="C12" s="116" t="s">
        <v>32</v>
      </c>
      <c r="D12" s="114" t="s">
        <v>33</v>
      </c>
      <c r="E12" s="12" t="s">
        <v>22</v>
      </c>
      <c r="F12" s="140">
        <v>16.2</v>
      </c>
      <c r="G12" s="147">
        <v>20</v>
      </c>
      <c r="H12" s="140">
        <v>16.03</v>
      </c>
      <c r="I12" s="147" t="s">
        <v>23</v>
      </c>
      <c r="J12" s="140">
        <v>16.3</v>
      </c>
      <c r="K12" s="147">
        <v>20</v>
      </c>
      <c r="R12" s="140">
        <v>16.2</v>
      </c>
    </row>
    <row r="13" spans="1:18">
      <c r="E13" s="12"/>
      <c r="G13" s="147"/>
      <c r="I13" s="147"/>
      <c r="K13" s="147"/>
      <c r="R13" s="140"/>
    </row>
    <row r="14" spans="1:18" s="144" customFormat="1">
      <c r="A14" s="115"/>
      <c r="B14" s="115"/>
      <c r="C14" s="117"/>
      <c r="D14" s="5"/>
      <c r="E14" s="5"/>
      <c r="F14" s="143"/>
      <c r="G14" s="146" t="s">
        <v>16</v>
      </c>
      <c r="H14" s="143"/>
      <c r="I14" s="146" t="s">
        <v>16</v>
      </c>
      <c r="J14" s="143"/>
      <c r="K14" s="146" t="s">
        <v>16</v>
      </c>
      <c r="R14" s="143"/>
    </row>
    <row r="15" spans="1:18">
      <c r="A15" s="114" t="s">
        <v>34</v>
      </c>
      <c r="B15" s="142">
        <v>42549</v>
      </c>
      <c r="C15" s="116" t="s">
        <v>35</v>
      </c>
      <c r="D15" s="114" t="s">
        <v>36</v>
      </c>
      <c r="E15" s="12" t="s">
        <v>26</v>
      </c>
      <c r="F15" s="140">
        <v>14.96</v>
      </c>
      <c r="G15" s="147">
        <v>15</v>
      </c>
      <c r="H15" s="140">
        <v>15.25</v>
      </c>
      <c r="I15" s="147">
        <v>20</v>
      </c>
      <c r="J15" s="140">
        <v>15.63</v>
      </c>
      <c r="K15" s="147">
        <v>20</v>
      </c>
      <c r="R15" s="140">
        <v>14.96</v>
      </c>
    </row>
    <row r="16" spans="1:18">
      <c r="C16" s="116" t="s">
        <v>37</v>
      </c>
      <c r="D16" s="114" t="s">
        <v>25</v>
      </c>
      <c r="E16" s="12" t="s">
        <v>22</v>
      </c>
      <c r="F16" s="140">
        <v>14.45</v>
      </c>
      <c r="G16" s="147">
        <v>15</v>
      </c>
      <c r="H16" s="140">
        <v>14.9</v>
      </c>
      <c r="I16" s="147">
        <v>15</v>
      </c>
      <c r="J16" s="140">
        <v>15.12</v>
      </c>
      <c r="K16" s="147">
        <v>20</v>
      </c>
      <c r="R16" s="140">
        <v>14.45</v>
      </c>
    </row>
    <row r="17" spans="1:18">
      <c r="E17" s="12"/>
      <c r="G17" s="147"/>
      <c r="I17" s="147"/>
      <c r="K17" s="147"/>
      <c r="R17" s="140"/>
    </row>
    <row r="18" spans="1:18" s="144" customFormat="1">
      <c r="A18" s="115"/>
      <c r="B18" s="115"/>
      <c r="C18" s="117"/>
      <c r="D18" s="5"/>
      <c r="E18" s="5"/>
      <c r="F18" s="143"/>
      <c r="G18" s="146" t="s">
        <v>16</v>
      </c>
      <c r="H18" s="143"/>
      <c r="I18" s="146" t="s">
        <v>16</v>
      </c>
      <c r="J18" s="143"/>
      <c r="K18" s="146" t="s">
        <v>16</v>
      </c>
      <c r="R18" s="143"/>
    </row>
    <row r="19" spans="1:18">
      <c r="A19" s="114" t="s">
        <v>38</v>
      </c>
      <c r="B19" s="142">
        <v>42550</v>
      </c>
      <c r="C19" s="116" t="s">
        <v>39</v>
      </c>
      <c r="D19" s="114" t="s">
        <v>21</v>
      </c>
      <c r="E19" s="12" t="s">
        <v>22</v>
      </c>
      <c r="F19" s="140">
        <v>14.83</v>
      </c>
      <c r="G19" s="147">
        <v>15</v>
      </c>
      <c r="H19" s="140">
        <v>15.18</v>
      </c>
      <c r="I19" s="147">
        <v>20</v>
      </c>
      <c r="J19" s="140">
        <v>16.12</v>
      </c>
      <c r="K19" s="147">
        <v>20</v>
      </c>
      <c r="R19" s="140">
        <v>14.83</v>
      </c>
    </row>
    <row r="20" spans="1:18">
      <c r="C20" s="116" t="s">
        <v>40</v>
      </c>
      <c r="D20" s="114" t="s">
        <v>30</v>
      </c>
      <c r="E20" s="12" t="s">
        <v>26</v>
      </c>
      <c r="F20" s="140">
        <v>12.91</v>
      </c>
      <c r="G20" s="147">
        <v>15</v>
      </c>
      <c r="H20" s="140">
        <v>13.15</v>
      </c>
      <c r="I20" s="147">
        <v>15</v>
      </c>
      <c r="J20" s="140">
        <v>14.02</v>
      </c>
      <c r="K20" s="147">
        <v>15</v>
      </c>
      <c r="R20" s="140">
        <v>12.91</v>
      </c>
    </row>
    <row r="21" spans="1:18">
      <c r="E21" s="12"/>
      <c r="G21" s="147"/>
      <c r="I21" s="147"/>
      <c r="K21" s="147"/>
      <c r="Q21" s="144" t="s">
        <v>41</v>
      </c>
      <c r="R21" s="287">
        <f>AVERAGE(R5:R20)</f>
        <v>15.781000000000001</v>
      </c>
    </row>
    <row r="22" spans="1:18" s="144" customFormat="1">
      <c r="A22" s="115"/>
      <c r="B22" s="115"/>
      <c r="C22" s="117"/>
      <c r="D22" s="5"/>
      <c r="E22" s="5"/>
      <c r="F22" s="143" t="s">
        <v>42</v>
      </c>
      <c r="G22" s="146" t="s">
        <v>16</v>
      </c>
      <c r="H22" s="143" t="s">
        <v>43</v>
      </c>
      <c r="I22" s="146" t="s">
        <v>16</v>
      </c>
      <c r="J22" s="143" t="s">
        <v>44</v>
      </c>
      <c r="K22" s="146" t="s">
        <v>16</v>
      </c>
      <c r="Q22" s="144" t="s">
        <v>45</v>
      </c>
      <c r="R22" s="144">
        <f>(STDEV(R5:R20)/(SQRT(COUNT(R5:R20))))</f>
        <v>0.54775998393456971</v>
      </c>
    </row>
    <row r="23" spans="1:18">
      <c r="A23" s="114" t="s">
        <v>46</v>
      </c>
      <c r="B23" s="142">
        <v>42618</v>
      </c>
      <c r="C23" s="116" t="s">
        <v>47</v>
      </c>
      <c r="D23" s="114" t="s">
        <v>48</v>
      </c>
      <c r="E23" s="12" t="s">
        <v>26</v>
      </c>
      <c r="F23" s="140">
        <v>18.190000000000001</v>
      </c>
      <c r="G23" s="181">
        <v>19</v>
      </c>
      <c r="H23" s="140">
        <v>18.850000000000001</v>
      </c>
      <c r="I23" s="181" t="s">
        <v>49</v>
      </c>
      <c r="J23" s="140">
        <v>19.07</v>
      </c>
      <c r="K23" s="181">
        <v>20</v>
      </c>
    </row>
    <row r="24" spans="1:18">
      <c r="B24" s="142"/>
      <c r="C24" s="116" t="s">
        <v>50</v>
      </c>
      <c r="D24" s="114" t="s">
        <v>25</v>
      </c>
      <c r="E24" s="12" t="s">
        <v>22</v>
      </c>
      <c r="F24" s="140">
        <v>18.32</v>
      </c>
      <c r="G24" s="181">
        <v>19</v>
      </c>
      <c r="H24" s="140">
        <v>18.989999999999998</v>
      </c>
      <c r="I24" s="181">
        <v>19</v>
      </c>
      <c r="J24" s="140">
        <v>19.66</v>
      </c>
      <c r="K24" s="181">
        <v>20</v>
      </c>
    </row>
    <row r="25" spans="1:18">
      <c r="E25" s="12"/>
      <c r="G25" s="181"/>
      <c r="I25" s="181"/>
      <c r="K25" s="181"/>
    </row>
    <row r="26" spans="1:18" s="144" customFormat="1">
      <c r="A26" s="115"/>
      <c r="B26" s="115"/>
      <c r="C26" s="117"/>
      <c r="D26" s="5"/>
      <c r="E26" s="5"/>
      <c r="F26" s="143"/>
      <c r="G26" s="146" t="s">
        <v>16</v>
      </c>
      <c r="H26" s="143"/>
      <c r="I26" s="146" t="s">
        <v>16</v>
      </c>
      <c r="J26" s="143"/>
      <c r="K26" s="146" t="s">
        <v>16</v>
      </c>
    </row>
    <row r="27" spans="1:18">
      <c r="A27" s="114" t="s">
        <v>51</v>
      </c>
      <c r="B27" s="142">
        <v>42618</v>
      </c>
      <c r="C27" s="116" t="s">
        <v>52</v>
      </c>
      <c r="D27" s="114" t="s">
        <v>48</v>
      </c>
      <c r="E27" s="12" t="s">
        <v>26</v>
      </c>
      <c r="F27" s="114">
        <v>12.43</v>
      </c>
      <c r="G27" s="181">
        <v>13</v>
      </c>
      <c r="H27" s="140">
        <v>13.43</v>
      </c>
      <c r="I27" s="181">
        <v>14</v>
      </c>
      <c r="J27" s="140">
        <v>14.22</v>
      </c>
      <c r="K27" s="181">
        <v>20</v>
      </c>
    </row>
    <row r="28" spans="1:18">
      <c r="B28" s="142"/>
      <c r="C28" s="116" t="s">
        <v>53</v>
      </c>
      <c r="D28" s="114" t="s">
        <v>25</v>
      </c>
      <c r="E28" s="12" t="s">
        <v>26</v>
      </c>
      <c r="F28" s="114">
        <v>14.74</v>
      </c>
      <c r="G28" s="181">
        <v>15</v>
      </c>
      <c r="H28" s="140">
        <v>15.87</v>
      </c>
      <c r="I28" s="181">
        <v>16</v>
      </c>
      <c r="J28" s="140">
        <v>16.77</v>
      </c>
      <c r="K28" s="181">
        <v>20</v>
      </c>
    </row>
    <row r="29" spans="1:18">
      <c r="G29" s="181"/>
      <c r="I29" s="181"/>
      <c r="K29" s="181"/>
    </row>
    <row r="30" spans="1:18" s="144" customFormat="1">
      <c r="A30" s="115"/>
      <c r="B30" s="115"/>
      <c r="C30" s="117"/>
      <c r="D30" s="5"/>
      <c r="E30" s="5"/>
      <c r="F30" s="143"/>
      <c r="G30" s="146" t="s">
        <v>16</v>
      </c>
      <c r="H30" s="143"/>
      <c r="I30" s="146" t="s">
        <v>16</v>
      </c>
      <c r="J30" s="143"/>
      <c r="K30" s="146" t="s">
        <v>16</v>
      </c>
    </row>
    <row r="31" spans="1:18">
      <c r="A31" s="114" t="s">
        <v>54</v>
      </c>
      <c r="B31" s="142">
        <v>42619</v>
      </c>
      <c r="C31" s="116" t="s">
        <v>55</v>
      </c>
      <c r="D31" s="114" t="s">
        <v>56</v>
      </c>
      <c r="E31" s="12" t="s">
        <v>22</v>
      </c>
      <c r="F31" s="140">
        <v>11.88</v>
      </c>
      <c r="G31" s="181">
        <v>12</v>
      </c>
      <c r="H31" s="140">
        <v>12.69</v>
      </c>
      <c r="I31" s="181">
        <v>13</v>
      </c>
      <c r="J31" s="140">
        <v>13.37</v>
      </c>
      <c r="K31" s="181">
        <v>20</v>
      </c>
    </row>
    <row r="32" spans="1:18">
      <c r="C32" s="116" t="s">
        <v>57</v>
      </c>
      <c r="D32" s="114" t="s">
        <v>48</v>
      </c>
      <c r="E32" s="12" t="s">
        <v>22</v>
      </c>
      <c r="F32" s="140">
        <v>12.14</v>
      </c>
      <c r="G32" s="181">
        <v>13</v>
      </c>
      <c r="H32" s="140">
        <v>13.65</v>
      </c>
      <c r="I32" s="181" t="s">
        <v>58</v>
      </c>
      <c r="J32" s="140">
        <v>14.53</v>
      </c>
      <c r="K32" s="181">
        <v>20</v>
      </c>
    </row>
    <row r="33" spans="1:12">
      <c r="C33" s="116" t="s">
        <v>59</v>
      </c>
      <c r="D33" s="114" t="s">
        <v>60</v>
      </c>
      <c r="E33" s="12" t="s">
        <v>26</v>
      </c>
      <c r="F33" s="140">
        <v>16.149999999999999</v>
      </c>
      <c r="G33" s="181">
        <v>17</v>
      </c>
      <c r="H33" s="140">
        <v>17.02</v>
      </c>
      <c r="I33" s="181">
        <v>18</v>
      </c>
      <c r="J33" s="140">
        <v>17.82</v>
      </c>
      <c r="K33" s="181" t="s">
        <v>23</v>
      </c>
    </row>
    <row r="34" spans="1:12">
      <c r="G34" s="181"/>
      <c r="I34" s="181"/>
      <c r="K34" s="181"/>
    </row>
    <row r="35" spans="1:12" s="144" customFormat="1">
      <c r="A35" s="115"/>
      <c r="B35" s="115"/>
      <c r="C35" s="117"/>
      <c r="D35" s="5"/>
      <c r="E35" s="5"/>
      <c r="F35" s="143"/>
      <c r="G35" s="146" t="s">
        <v>16</v>
      </c>
      <c r="H35" s="143"/>
      <c r="I35" s="146" t="s">
        <v>16</v>
      </c>
      <c r="J35" s="143"/>
      <c r="K35" s="146" t="s">
        <v>16</v>
      </c>
    </row>
    <row r="36" spans="1:12">
      <c r="A36" s="114" t="s">
        <v>61</v>
      </c>
      <c r="B36" s="142">
        <v>42621</v>
      </c>
      <c r="C36" s="116" t="s">
        <v>62</v>
      </c>
      <c r="D36" s="114" t="s">
        <v>56</v>
      </c>
      <c r="E36" s="12" t="s">
        <v>22</v>
      </c>
      <c r="F36" s="140">
        <v>12.87</v>
      </c>
      <c r="G36" s="181">
        <v>13</v>
      </c>
      <c r="H36" s="140">
        <v>13.48</v>
      </c>
      <c r="I36" s="181">
        <v>14</v>
      </c>
      <c r="J36" s="140">
        <v>14.57</v>
      </c>
      <c r="K36" s="181">
        <v>20</v>
      </c>
    </row>
    <row r="37" spans="1:12">
      <c r="C37" s="116" t="s">
        <v>63</v>
      </c>
      <c r="D37" s="114" t="s">
        <v>64</v>
      </c>
      <c r="E37" s="12" t="s">
        <v>26</v>
      </c>
      <c r="F37" s="140">
        <v>13.38</v>
      </c>
      <c r="G37" s="181">
        <v>14</v>
      </c>
      <c r="H37" s="140">
        <v>13.74</v>
      </c>
      <c r="I37" s="181">
        <v>14</v>
      </c>
      <c r="J37" s="140">
        <v>14.81</v>
      </c>
      <c r="K37" s="181" t="s">
        <v>23</v>
      </c>
    </row>
    <row r="38" spans="1:12">
      <c r="G38" s="181"/>
      <c r="I38" s="181"/>
      <c r="K38" s="181"/>
    </row>
    <row r="39" spans="1:12" s="144" customFormat="1">
      <c r="A39" s="115"/>
      <c r="B39" s="115"/>
      <c r="C39" s="117"/>
      <c r="D39" s="5"/>
      <c r="E39" s="5"/>
      <c r="F39" s="143" t="s">
        <v>65</v>
      </c>
      <c r="G39" s="146" t="s">
        <v>16</v>
      </c>
      <c r="H39" s="143" t="s">
        <v>66</v>
      </c>
      <c r="I39" s="146" t="s">
        <v>16</v>
      </c>
      <c r="J39" s="143" t="s">
        <v>67</v>
      </c>
      <c r="K39" s="146" t="s">
        <v>16</v>
      </c>
    </row>
    <row r="40" spans="1:12">
      <c r="A40" s="114" t="s">
        <v>68</v>
      </c>
      <c r="B40" s="138" t="s">
        <v>69</v>
      </c>
      <c r="C40" s="118" t="s">
        <v>70</v>
      </c>
      <c r="D40" s="114" t="s">
        <v>48</v>
      </c>
      <c r="E40" s="12" t="s">
        <v>22</v>
      </c>
      <c r="F40" s="140">
        <v>12.01</v>
      </c>
      <c r="G40" s="213">
        <v>15</v>
      </c>
      <c r="H40" s="140">
        <v>12.27</v>
      </c>
      <c r="I40" s="213">
        <v>15</v>
      </c>
      <c r="J40" s="140">
        <v>12.147</v>
      </c>
      <c r="K40" s="213">
        <v>15</v>
      </c>
      <c r="L40" s="114" t="s">
        <v>71</v>
      </c>
    </row>
    <row r="41" spans="1:12">
      <c r="C41" s="116" t="s">
        <v>72</v>
      </c>
      <c r="D41" s="114" t="s">
        <v>60</v>
      </c>
      <c r="E41" s="12" t="s">
        <v>26</v>
      </c>
      <c r="F41" s="140">
        <v>14.47</v>
      </c>
      <c r="G41" s="213">
        <v>16</v>
      </c>
      <c r="H41" s="140">
        <v>15.21</v>
      </c>
      <c r="I41" s="213">
        <v>20</v>
      </c>
      <c r="J41" s="140">
        <v>15.96</v>
      </c>
      <c r="K41" s="213">
        <v>20</v>
      </c>
    </row>
    <row r="42" spans="1:12">
      <c r="C42" s="116" t="s">
        <v>73</v>
      </c>
      <c r="D42" s="114" t="s">
        <v>74</v>
      </c>
      <c r="E42" s="114" t="s">
        <v>22</v>
      </c>
      <c r="F42" s="140">
        <v>12.68</v>
      </c>
      <c r="G42" s="213">
        <v>15</v>
      </c>
      <c r="H42" s="140">
        <v>13.65</v>
      </c>
      <c r="I42" s="213">
        <v>15</v>
      </c>
      <c r="J42" s="140">
        <v>14.15</v>
      </c>
      <c r="K42" s="213">
        <v>15</v>
      </c>
    </row>
    <row r="43" spans="1:12">
      <c r="C43" s="116" t="s">
        <v>75</v>
      </c>
      <c r="D43" s="114" t="s">
        <v>76</v>
      </c>
      <c r="E43" s="12" t="s">
        <v>22</v>
      </c>
      <c r="F43" s="140">
        <v>16.41</v>
      </c>
      <c r="G43" s="213">
        <v>16</v>
      </c>
      <c r="H43" s="140">
        <v>17.07</v>
      </c>
      <c r="I43" s="213">
        <v>20</v>
      </c>
      <c r="J43" s="140">
        <v>17.61</v>
      </c>
      <c r="K43" s="213">
        <v>20</v>
      </c>
    </row>
    <row r="44" spans="1:12">
      <c r="C44" s="116" t="s">
        <v>77</v>
      </c>
      <c r="D44" s="114" t="s">
        <v>78</v>
      </c>
      <c r="E44" s="12" t="s">
        <v>22</v>
      </c>
      <c r="F44" s="140">
        <v>13.96</v>
      </c>
      <c r="G44" s="213">
        <v>15</v>
      </c>
      <c r="H44" s="140">
        <v>15.35</v>
      </c>
      <c r="I44" s="213" t="s">
        <v>23</v>
      </c>
      <c r="J44" s="140">
        <v>15.43</v>
      </c>
      <c r="K44" s="213">
        <v>20</v>
      </c>
    </row>
    <row r="45" spans="1:12" s="144" customFormat="1">
      <c r="A45" s="115"/>
      <c r="B45" s="115"/>
      <c r="C45" s="117"/>
      <c r="D45" s="5"/>
      <c r="E45" s="5"/>
      <c r="F45" s="143"/>
      <c r="G45" s="146" t="s">
        <v>16</v>
      </c>
      <c r="H45" s="143"/>
      <c r="I45" s="146" t="s">
        <v>16</v>
      </c>
      <c r="J45" s="143"/>
      <c r="K45" s="146" t="s">
        <v>16</v>
      </c>
    </row>
    <row r="46" spans="1:12">
      <c r="A46" s="114" t="s">
        <v>79</v>
      </c>
      <c r="B46" s="142" t="s">
        <v>80</v>
      </c>
      <c r="C46" s="116" t="s">
        <v>81</v>
      </c>
      <c r="D46" s="114" t="s">
        <v>48</v>
      </c>
      <c r="E46" s="12" t="s">
        <v>22</v>
      </c>
      <c r="F46" s="140">
        <v>12.48</v>
      </c>
      <c r="G46" s="213">
        <v>15</v>
      </c>
      <c r="H46" s="140">
        <v>13.44</v>
      </c>
      <c r="I46" s="213">
        <v>15</v>
      </c>
      <c r="J46" s="140">
        <v>13.95</v>
      </c>
      <c r="K46" s="213">
        <v>15</v>
      </c>
    </row>
    <row r="47" spans="1:12">
      <c r="C47" s="116" t="s">
        <v>82</v>
      </c>
      <c r="D47" s="114" t="s">
        <v>25</v>
      </c>
      <c r="E47" s="12" t="s">
        <v>26</v>
      </c>
      <c r="F47" s="140">
        <v>11.65</v>
      </c>
      <c r="G47" s="213">
        <v>15</v>
      </c>
      <c r="H47" s="140">
        <v>13.4</v>
      </c>
      <c r="I47" s="213">
        <v>15</v>
      </c>
      <c r="J47" s="140">
        <v>14.32</v>
      </c>
      <c r="K47" s="213">
        <v>15</v>
      </c>
    </row>
    <row r="48" spans="1:12">
      <c r="C48" s="116" t="s">
        <v>83</v>
      </c>
      <c r="D48" s="114" t="s">
        <v>60</v>
      </c>
      <c r="E48" s="12" t="s">
        <v>26</v>
      </c>
      <c r="F48" s="140">
        <v>11.63</v>
      </c>
      <c r="G48" s="213">
        <v>15</v>
      </c>
      <c r="H48" s="140">
        <v>12.45</v>
      </c>
      <c r="I48" s="213">
        <v>15</v>
      </c>
      <c r="J48" s="140">
        <v>13.22</v>
      </c>
      <c r="K48" s="213">
        <v>15</v>
      </c>
    </row>
    <row r="49" spans="1:20" s="144" customFormat="1">
      <c r="A49" s="115"/>
      <c r="B49" s="115"/>
      <c r="C49" s="117"/>
      <c r="D49" s="5"/>
      <c r="E49" s="5"/>
      <c r="F49" s="143" t="s">
        <v>84</v>
      </c>
      <c r="G49" s="146" t="s">
        <v>16</v>
      </c>
      <c r="H49" s="143" t="s">
        <v>85</v>
      </c>
      <c r="I49" s="146" t="s">
        <v>16</v>
      </c>
      <c r="J49" s="143" t="s">
        <v>86</v>
      </c>
      <c r="K49" s="146" t="s">
        <v>16</v>
      </c>
    </row>
    <row r="50" spans="1:20">
      <c r="B50" s="142">
        <v>42726</v>
      </c>
      <c r="C50" s="116" t="s">
        <v>87</v>
      </c>
      <c r="D50" s="114" t="s">
        <v>25</v>
      </c>
      <c r="E50" s="12" t="s">
        <v>26</v>
      </c>
      <c r="F50" s="140">
        <v>11.38</v>
      </c>
      <c r="G50" s="234">
        <v>12</v>
      </c>
      <c r="H50" s="140">
        <v>11.51</v>
      </c>
      <c r="I50" s="234">
        <v>12</v>
      </c>
      <c r="J50" s="140">
        <v>11.9</v>
      </c>
      <c r="K50" s="234" t="s">
        <v>88</v>
      </c>
      <c r="L50" s="114" t="s">
        <v>71</v>
      </c>
    </row>
    <row r="51" spans="1:20">
      <c r="C51" s="116" t="s">
        <v>89</v>
      </c>
      <c r="D51" s="114" t="s">
        <v>64</v>
      </c>
      <c r="E51" s="12" t="s">
        <v>26</v>
      </c>
      <c r="F51" s="140">
        <v>11.58</v>
      </c>
      <c r="G51" s="234">
        <v>12</v>
      </c>
      <c r="H51" s="140">
        <v>11.5</v>
      </c>
      <c r="I51" s="234">
        <v>12</v>
      </c>
      <c r="J51" s="140">
        <v>11.18</v>
      </c>
      <c r="K51" s="234" t="s">
        <v>88</v>
      </c>
    </row>
    <row r="52" spans="1:20">
      <c r="B52" s="142">
        <v>42723</v>
      </c>
      <c r="C52" s="116" t="s">
        <v>90</v>
      </c>
      <c r="D52" s="114" t="s">
        <v>56</v>
      </c>
      <c r="E52" s="12" t="s">
        <v>26</v>
      </c>
      <c r="F52" s="140">
        <v>11.8</v>
      </c>
      <c r="G52" s="234" t="s">
        <v>91</v>
      </c>
      <c r="H52" s="140">
        <v>11.73</v>
      </c>
      <c r="I52" s="234" t="s">
        <v>91</v>
      </c>
      <c r="J52" s="140">
        <v>11.55</v>
      </c>
      <c r="K52" s="234">
        <v>15</v>
      </c>
      <c r="L52" s="114" t="s">
        <v>92</v>
      </c>
    </row>
    <row r="53" spans="1:20">
      <c r="C53" s="235" t="s">
        <v>93</v>
      </c>
      <c r="D53" s="236" t="s">
        <v>48</v>
      </c>
      <c r="E53" s="237" t="s">
        <v>26</v>
      </c>
      <c r="F53" s="238">
        <v>12.08</v>
      </c>
      <c r="G53" s="239" t="s">
        <v>91</v>
      </c>
      <c r="H53" s="238">
        <v>12.51</v>
      </c>
      <c r="I53" s="239">
        <v>13</v>
      </c>
      <c r="J53" s="238">
        <v>11.76</v>
      </c>
      <c r="K53" s="239">
        <v>15</v>
      </c>
      <c r="L53" s="236" t="s">
        <v>92</v>
      </c>
      <c r="M53" s="236" t="s">
        <v>94</v>
      </c>
    </row>
    <row r="54" spans="1:20">
      <c r="B54" s="142">
        <v>42722</v>
      </c>
      <c r="C54" s="116" t="s">
        <v>95</v>
      </c>
      <c r="D54" s="114" t="s">
        <v>48</v>
      </c>
      <c r="E54" s="12" t="s">
        <v>22</v>
      </c>
      <c r="F54" s="140">
        <v>14.34</v>
      </c>
      <c r="G54" s="234">
        <v>15</v>
      </c>
      <c r="H54" s="140">
        <v>14.71</v>
      </c>
      <c r="I54" s="234">
        <v>15</v>
      </c>
      <c r="J54" s="140">
        <v>14.58</v>
      </c>
      <c r="K54" s="234">
        <v>15</v>
      </c>
    </row>
    <row r="55" spans="1:20">
      <c r="C55" s="116" t="s">
        <v>96</v>
      </c>
      <c r="D55" s="114" t="s">
        <v>25</v>
      </c>
      <c r="E55" s="12" t="s">
        <v>22</v>
      </c>
      <c r="F55" s="140">
        <v>18.899999999999999</v>
      </c>
      <c r="G55" s="234" t="s">
        <v>23</v>
      </c>
      <c r="H55" s="140">
        <v>19.649999999999999</v>
      </c>
      <c r="I55" s="234">
        <v>20</v>
      </c>
      <c r="J55" s="140">
        <v>19.79</v>
      </c>
      <c r="K55" s="234">
        <v>20</v>
      </c>
    </row>
    <row r="56" spans="1:20">
      <c r="C56" s="116" t="s">
        <v>97</v>
      </c>
      <c r="D56" s="114" t="s">
        <v>64</v>
      </c>
      <c r="E56" s="12" t="s">
        <v>26</v>
      </c>
      <c r="F56" s="140">
        <v>18.079999999999998</v>
      </c>
      <c r="G56" s="234" t="s">
        <v>23</v>
      </c>
      <c r="H56" s="140">
        <v>16.98</v>
      </c>
      <c r="I56" s="234">
        <v>18</v>
      </c>
      <c r="J56" s="140">
        <v>18.46</v>
      </c>
      <c r="K56" s="234">
        <v>20</v>
      </c>
    </row>
    <row r="57" spans="1:20">
      <c r="B57" s="142">
        <v>42726</v>
      </c>
      <c r="C57" s="116" t="s">
        <v>98</v>
      </c>
      <c r="D57" s="114" t="s">
        <v>48</v>
      </c>
      <c r="E57" s="12" t="s">
        <v>26</v>
      </c>
      <c r="F57" s="140">
        <v>9.51</v>
      </c>
      <c r="G57" s="234">
        <v>10</v>
      </c>
      <c r="H57" s="140">
        <v>9.5500000000000007</v>
      </c>
      <c r="I57" s="234" t="s">
        <v>99</v>
      </c>
      <c r="J57" s="140">
        <v>9.34</v>
      </c>
      <c r="K57" s="234">
        <v>15</v>
      </c>
      <c r="L57" s="114" t="s">
        <v>100</v>
      </c>
    </row>
    <row r="58" spans="1:20">
      <c r="C58" s="116" t="s">
        <v>101</v>
      </c>
      <c r="D58" s="114" t="s">
        <v>25</v>
      </c>
      <c r="E58" s="12" t="s">
        <v>22</v>
      </c>
      <c r="F58" s="140">
        <v>10.45</v>
      </c>
      <c r="G58" s="234" t="s">
        <v>102</v>
      </c>
      <c r="H58" s="140">
        <v>11.82</v>
      </c>
      <c r="I58" s="234" t="s">
        <v>91</v>
      </c>
      <c r="J58" s="140">
        <v>13.26</v>
      </c>
      <c r="K58" s="234">
        <v>15</v>
      </c>
    </row>
    <row r="59" spans="1:20">
      <c r="C59" s="116" t="s">
        <v>103</v>
      </c>
      <c r="D59" s="114" t="s">
        <v>64</v>
      </c>
      <c r="E59" s="114" t="s">
        <v>104</v>
      </c>
      <c r="F59" s="140">
        <v>12.73</v>
      </c>
      <c r="G59" s="234" t="s">
        <v>88</v>
      </c>
      <c r="H59" s="140">
        <v>13.55</v>
      </c>
      <c r="I59" s="234">
        <v>15</v>
      </c>
      <c r="J59" s="140">
        <v>13.58</v>
      </c>
      <c r="K59" s="234">
        <v>15</v>
      </c>
    </row>
    <row r="60" spans="1:20" s="144" customFormat="1">
      <c r="A60" s="115"/>
      <c r="B60" s="115"/>
      <c r="C60" s="117"/>
      <c r="D60" s="5"/>
      <c r="E60" s="5"/>
      <c r="F60" s="143" t="s">
        <v>105</v>
      </c>
      <c r="G60" s="146" t="s">
        <v>16</v>
      </c>
      <c r="H60" s="143" t="s">
        <v>106</v>
      </c>
      <c r="I60" s="146" t="s">
        <v>16</v>
      </c>
      <c r="J60" s="143" t="s">
        <v>107</v>
      </c>
      <c r="K60" s="146" t="s">
        <v>16</v>
      </c>
    </row>
    <row r="61" spans="1:20">
      <c r="A61" s="114" t="s">
        <v>108</v>
      </c>
      <c r="B61" s="142">
        <v>42822</v>
      </c>
      <c r="C61" s="116" t="s">
        <v>109</v>
      </c>
      <c r="D61" s="114" t="s">
        <v>48</v>
      </c>
      <c r="E61" s="114" t="s">
        <v>26</v>
      </c>
      <c r="F61" s="140">
        <v>11.84</v>
      </c>
      <c r="G61" s="257">
        <v>12</v>
      </c>
      <c r="H61" s="140">
        <v>11.77</v>
      </c>
      <c r="I61" s="257">
        <v>12</v>
      </c>
      <c r="J61" s="140">
        <v>11.72</v>
      </c>
      <c r="K61" s="257">
        <v>10</v>
      </c>
    </row>
    <row r="62" spans="1:20">
      <c r="C62" s="116" t="s">
        <v>110</v>
      </c>
      <c r="D62" s="114" t="s">
        <v>64</v>
      </c>
      <c r="E62" s="114" t="s">
        <v>22</v>
      </c>
      <c r="F62" s="140">
        <v>13.15</v>
      </c>
      <c r="G62" s="257" t="s">
        <v>111</v>
      </c>
      <c r="H62" s="140">
        <v>14.12</v>
      </c>
      <c r="I62" s="257" t="s">
        <v>58</v>
      </c>
      <c r="J62" s="140">
        <v>14.47</v>
      </c>
      <c r="K62" s="257">
        <v>15</v>
      </c>
      <c r="T62" s="140">
        <v>11.84</v>
      </c>
    </row>
    <row r="63" spans="1:20">
      <c r="A63" s="114" t="s">
        <v>112</v>
      </c>
      <c r="B63" s="142">
        <v>42854</v>
      </c>
      <c r="C63" s="116" t="s">
        <v>113</v>
      </c>
      <c r="D63" s="114" t="s">
        <v>56</v>
      </c>
      <c r="E63" s="114" t="s">
        <v>26</v>
      </c>
      <c r="F63" s="140">
        <v>9.5399999999999991</v>
      </c>
      <c r="G63" s="257">
        <v>10</v>
      </c>
      <c r="H63" s="140">
        <v>9.8800000000000008</v>
      </c>
      <c r="I63" s="257">
        <v>10</v>
      </c>
      <c r="J63" s="140">
        <v>10.050000000000001</v>
      </c>
      <c r="K63" s="257">
        <v>10</v>
      </c>
      <c r="T63" s="140">
        <v>13.15</v>
      </c>
    </row>
    <row r="64" spans="1:20">
      <c r="C64" s="116" t="s">
        <v>114</v>
      </c>
      <c r="D64" s="114" t="s">
        <v>48</v>
      </c>
      <c r="E64" s="114" t="s">
        <v>26</v>
      </c>
      <c r="F64" s="140">
        <v>13.13</v>
      </c>
      <c r="G64" s="257" t="s">
        <v>111</v>
      </c>
      <c r="H64" s="140">
        <v>13.18</v>
      </c>
      <c r="I64" s="257">
        <v>13</v>
      </c>
      <c r="J64" s="140">
        <v>13.36</v>
      </c>
      <c r="K64" s="257">
        <v>15</v>
      </c>
      <c r="T64" s="140">
        <v>9.5399999999999991</v>
      </c>
    </row>
    <row r="65" spans="1:20">
      <c r="A65" s="114" t="s">
        <v>115</v>
      </c>
      <c r="B65" s="114" t="s">
        <v>116</v>
      </c>
      <c r="C65" s="116" t="s">
        <v>117</v>
      </c>
      <c r="D65" s="114" t="s">
        <v>25</v>
      </c>
      <c r="E65" s="114" t="s">
        <v>26</v>
      </c>
      <c r="F65" s="140">
        <v>14.78</v>
      </c>
      <c r="G65" s="257" t="s">
        <v>88</v>
      </c>
      <c r="H65" s="140">
        <v>15.73</v>
      </c>
      <c r="I65" s="257" t="s">
        <v>118</v>
      </c>
      <c r="J65" s="140">
        <v>15.97</v>
      </c>
      <c r="K65" s="257">
        <v>15</v>
      </c>
      <c r="T65" s="140">
        <v>13.13</v>
      </c>
    </row>
    <row r="66" spans="1:20" s="144" customFormat="1">
      <c r="A66" s="115"/>
      <c r="B66" s="115"/>
      <c r="C66" s="117"/>
      <c r="D66" s="5"/>
      <c r="E66" s="5"/>
      <c r="F66" s="143" t="s">
        <v>119</v>
      </c>
      <c r="G66" s="146" t="s">
        <v>16</v>
      </c>
      <c r="H66" s="143" t="s">
        <v>120</v>
      </c>
      <c r="I66" s="146" t="s">
        <v>16</v>
      </c>
      <c r="J66" s="143" t="s">
        <v>121</v>
      </c>
      <c r="K66" s="146" t="s">
        <v>16</v>
      </c>
      <c r="L66" s="276">
        <v>43013</v>
      </c>
      <c r="T66" s="140">
        <v>14.78</v>
      </c>
    </row>
    <row r="67" spans="1:20">
      <c r="B67" s="142">
        <v>43006</v>
      </c>
      <c r="C67" s="116" t="s">
        <v>122</v>
      </c>
      <c r="D67" s="114" t="s">
        <v>64</v>
      </c>
      <c r="E67" s="114" t="s">
        <v>26</v>
      </c>
      <c r="F67" s="140">
        <v>7.59</v>
      </c>
      <c r="G67" s="147">
        <v>10</v>
      </c>
      <c r="H67" s="140">
        <v>8.3000000000000007</v>
      </c>
      <c r="I67" s="147">
        <v>10</v>
      </c>
      <c r="J67" s="140">
        <v>8.1300000000000008</v>
      </c>
      <c r="K67" s="147">
        <v>10</v>
      </c>
      <c r="L67" s="114">
        <v>10.65</v>
      </c>
      <c r="R67" s="140">
        <v>7.59</v>
      </c>
      <c r="S67" s="144" t="s">
        <v>41</v>
      </c>
      <c r="T67" s="287">
        <f>AVERAGE(T51:T66)</f>
        <v>12.488000000000001</v>
      </c>
    </row>
    <row r="68" spans="1:20">
      <c r="B68" s="142"/>
      <c r="C68" s="116" t="s">
        <v>123</v>
      </c>
      <c r="D68" s="114" t="s">
        <v>48</v>
      </c>
      <c r="E68" s="114" t="s">
        <v>22</v>
      </c>
      <c r="F68" s="140">
        <v>8.99</v>
      </c>
      <c r="G68" s="147">
        <v>10</v>
      </c>
      <c r="H68" s="140">
        <v>8.99</v>
      </c>
      <c r="I68" s="147">
        <v>10</v>
      </c>
      <c r="J68" s="140">
        <v>11.68</v>
      </c>
      <c r="K68" s="147" t="s">
        <v>88</v>
      </c>
      <c r="L68" s="114">
        <v>12.99</v>
      </c>
      <c r="R68" s="140">
        <v>8.99</v>
      </c>
      <c r="S68" s="144" t="s">
        <v>45</v>
      </c>
      <c r="T68" s="144">
        <f>(STDEV(T51:T66)/(SQRT(COUNT(T51:T66))))</f>
        <v>0.8721891996579616</v>
      </c>
    </row>
    <row r="69" spans="1:20">
      <c r="B69" s="142"/>
      <c r="C69" s="116" t="s">
        <v>124</v>
      </c>
      <c r="D69" s="114" t="s">
        <v>74</v>
      </c>
      <c r="E69" s="114" t="s">
        <v>22</v>
      </c>
      <c r="F69" s="140">
        <v>6.86</v>
      </c>
      <c r="G69" s="147">
        <v>10</v>
      </c>
      <c r="H69" s="140">
        <v>7.75</v>
      </c>
      <c r="I69" s="147">
        <v>10</v>
      </c>
      <c r="J69" s="140">
        <v>6.8</v>
      </c>
      <c r="K69" s="147">
        <v>10</v>
      </c>
      <c r="L69" s="114">
        <v>7.65</v>
      </c>
      <c r="R69" s="140">
        <v>6.86</v>
      </c>
    </row>
    <row r="70" spans="1:20">
      <c r="B70" s="114" t="s">
        <v>125</v>
      </c>
      <c r="C70" s="116" t="s">
        <v>126</v>
      </c>
      <c r="D70" s="114" t="s">
        <v>64</v>
      </c>
      <c r="E70" s="114" t="s">
        <v>26</v>
      </c>
      <c r="F70" s="140">
        <v>6.72</v>
      </c>
      <c r="G70" s="147" t="s">
        <v>99</v>
      </c>
      <c r="H70" s="140">
        <v>6.83</v>
      </c>
      <c r="I70" s="147">
        <v>10</v>
      </c>
      <c r="J70" s="140">
        <v>6.89</v>
      </c>
      <c r="K70" s="147">
        <v>10</v>
      </c>
      <c r="L70" s="114">
        <v>6.55</v>
      </c>
      <c r="R70" s="140">
        <v>6.72</v>
      </c>
    </row>
    <row r="71" spans="1:20">
      <c r="C71" s="116" t="s">
        <v>127</v>
      </c>
      <c r="D71" s="114" t="s">
        <v>56</v>
      </c>
      <c r="E71" s="114" t="s">
        <v>22</v>
      </c>
      <c r="F71" s="140">
        <v>7.96</v>
      </c>
      <c r="G71" s="147">
        <v>10</v>
      </c>
      <c r="H71" s="140">
        <v>7.47</v>
      </c>
      <c r="I71" s="147" t="s">
        <v>99</v>
      </c>
      <c r="J71" s="140">
        <v>8.17</v>
      </c>
      <c r="K71" s="147">
        <v>10</v>
      </c>
      <c r="L71" s="114">
        <v>10.41</v>
      </c>
      <c r="R71" s="140">
        <v>7.96</v>
      </c>
    </row>
    <row r="72" spans="1:20">
      <c r="C72" s="116" t="s">
        <v>128</v>
      </c>
      <c r="D72" s="114" t="s">
        <v>25</v>
      </c>
      <c r="E72" s="114" t="s">
        <v>22</v>
      </c>
      <c r="F72" s="140">
        <v>7.92</v>
      </c>
      <c r="G72" s="147">
        <v>10</v>
      </c>
      <c r="H72" s="140">
        <v>6.97</v>
      </c>
      <c r="I72" s="147">
        <v>10</v>
      </c>
      <c r="J72" s="140">
        <v>7.83</v>
      </c>
      <c r="K72" s="147">
        <v>10</v>
      </c>
      <c r="L72" s="114">
        <v>11.64</v>
      </c>
      <c r="R72" s="140">
        <v>7.92</v>
      </c>
    </row>
    <row r="73" spans="1:20" s="144" customFormat="1">
      <c r="A73" s="115"/>
      <c r="B73" s="115"/>
      <c r="C73" s="117"/>
      <c r="D73" s="5"/>
      <c r="E73" s="5"/>
      <c r="F73" s="143" t="s">
        <v>129</v>
      </c>
      <c r="G73" s="146" t="s">
        <v>16</v>
      </c>
      <c r="H73" s="143" t="s">
        <v>130</v>
      </c>
      <c r="I73" s="146" t="s">
        <v>16</v>
      </c>
      <c r="J73" s="143" t="s">
        <v>131</v>
      </c>
      <c r="K73" s="146" t="s">
        <v>16</v>
      </c>
      <c r="L73" s="276"/>
      <c r="Q73" s="144" t="s">
        <v>41</v>
      </c>
      <c r="R73" s="287">
        <f>AVERAGE(R57:R72)</f>
        <v>7.6733333333333329</v>
      </c>
    </row>
    <row r="74" spans="1:20">
      <c r="B74" s="142"/>
      <c r="C74" s="116" t="s">
        <v>132</v>
      </c>
      <c r="D74" s="114" t="s">
        <v>56</v>
      </c>
      <c r="E74" s="280" t="s">
        <v>22</v>
      </c>
      <c r="F74" s="140">
        <v>13.95</v>
      </c>
      <c r="G74" s="213">
        <v>15</v>
      </c>
      <c r="I74" s="213"/>
      <c r="J74" s="140">
        <v>15.13</v>
      </c>
      <c r="K74" s="213">
        <v>15</v>
      </c>
      <c r="Q74" s="144" t="s">
        <v>45</v>
      </c>
      <c r="R74" s="144">
        <f>(STDEV(R57:R72)/(SQRT(COUNT(R57:R72))))</f>
        <v>0.33930975687579507</v>
      </c>
    </row>
    <row r="75" spans="1:20">
      <c r="B75" s="142"/>
      <c r="C75" s="116" t="s">
        <v>133</v>
      </c>
      <c r="D75" s="114" t="s">
        <v>48</v>
      </c>
      <c r="E75" s="280" t="s">
        <v>26</v>
      </c>
      <c r="F75" s="140">
        <v>12.74</v>
      </c>
      <c r="G75" s="213">
        <v>15</v>
      </c>
      <c r="I75" s="213"/>
      <c r="J75" s="140">
        <v>11.61</v>
      </c>
      <c r="K75" s="213">
        <v>15</v>
      </c>
      <c r="Q75" s="288" t="s">
        <v>134</v>
      </c>
      <c r="R75" s="288" t="s">
        <v>135</v>
      </c>
    </row>
    <row r="76" spans="1:20">
      <c r="B76" s="142"/>
      <c r="C76" s="116" t="s">
        <v>136</v>
      </c>
      <c r="D76" s="114" t="s">
        <v>48</v>
      </c>
      <c r="E76" s="279" t="s">
        <v>22</v>
      </c>
      <c r="F76" s="140">
        <v>14.24</v>
      </c>
      <c r="G76" s="213">
        <v>15</v>
      </c>
      <c r="I76" s="213"/>
      <c r="J76" s="140">
        <v>15.12</v>
      </c>
      <c r="K76" s="213">
        <v>15</v>
      </c>
    </row>
    <row r="77" spans="1:20">
      <c r="A77" s="115"/>
      <c r="B77" s="115"/>
      <c r="C77" s="117"/>
      <c r="D77" s="5"/>
      <c r="E77" s="5"/>
      <c r="F77" s="143" t="s">
        <v>137</v>
      </c>
      <c r="G77" s="146" t="s">
        <v>16</v>
      </c>
      <c r="H77" s="143" t="s">
        <v>138</v>
      </c>
      <c r="I77" s="146" t="s">
        <v>16</v>
      </c>
      <c r="J77" s="143" t="s">
        <v>139</v>
      </c>
      <c r="K77" s="146" t="s">
        <v>16</v>
      </c>
    </row>
    <row r="78" spans="1:20">
      <c r="B78" s="142">
        <v>43075</v>
      </c>
      <c r="C78" s="116" t="s">
        <v>140</v>
      </c>
      <c r="D78" s="114" t="s">
        <v>56</v>
      </c>
      <c r="E78" s="114" t="s">
        <v>26</v>
      </c>
      <c r="F78" s="140">
        <v>16.72</v>
      </c>
      <c r="G78" s="289">
        <v>20</v>
      </c>
      <c r="H78" s="140">
        <v>17.190000000000001</v>
      </c>
      <c r="I78" s="289">
        <v>20</v>
      </c>
      <c r="J78" s="140">
        <v>17.59</v>
      </c>
      <c r="K78" s="289">
        <v>20</v>
      </c>
    </row>
    <row r="79" spans="1:20">
      <c r="B79" s="142">
        <v>43074</v>
      </c>
      <c r="C79" s="116" t="s">
        <v>141</v>
      </c>
      <c r="D79" s="114" t="s">
        <v>56</v>
      </c>
      <c r="E79" s="114" t="s">
        <v>22</v>
      </c>
      <c r="F79" s="140">
        <v>15.98</v>
      </c>
      <c r="G79" s="289">
        <v>20</v>
      </c>
      <c r="H79" s="140">
        <v>17.739999999999998</v>
      </c>
      <c r="I79" s="289">
        <v>20</v>
      </c>
      <c r="J79" s="140">
        <v>15.95</v>
      </c>
      <c r="K79" s="289">
        <v>20</v>
      </c>
    </row>
    <row r="80" spans="1:20">
      <c r="C80" s="116" t="s">
        <v>142</v>
      </c>
      <c r="D80" s="114" t="s">
        <v>48</v>
      </c>
      <c r="E80" s="114" t="s">
        <v>26</v>
      </c>
      <c r="F80" s="140">
        <v>19.579999999999998</v>
      </c>
      <c r="G80" s="289">
        <v>20</v>
      </c>
      <c r="H80" s="140">
        <v>19.600000000000001</v>
      </c>
      <c r="I80" s="289">
        <v>20</v>
      </c>
      <c r="J80" s="140">
        <v>19.579999999999998</v>
      </c>
      <c r="K80" s="289">
        <v>20</v>
      </c>
    </row>
    <row r="81" spans="1:11">
      <c r="C81" s="116" t="s">
        <v>143</v>
      </c>
      <c r="D81" s="114" t="s">
        <v>25</v>
      </c>
      <c r="E81" s="114" t="s">
        <v>26</v>
      </c>
      <c r="F81" s="140">
        <v>16.47</v>
      </c>
      <c r="G81" s="289">
        <v>20</v>
      </c>
      <c r="H81" s="140">
        <v>16.98</v>
      </c>
      <c r="I81" s="289">
        <v>20</v>
      </c>
      <c r="J81" s="140">
        <v>15.91</v>
      </c>
      <c r="K81" s="289">
        <v>20</v>
      </c>
    </row>
    <row r="82" spans="1:11">
      <c r="B82" s="142">
        <v>43074</v>
      </c>
      <c r="C82" s="116" t="s">
        <v>144</v>
      </c>
      <c r="D82" s="114" t="s">
        <v>56</v>
      </c>
      <c r="E82" s="114" t="s">
        <v>22</v>
      </c>
      <c r="F82" s="140">
        <v>18.309999999999999</v>
      </c>
      <c r="G82" s="289">
        <v>20</v>
      </c>
      <c r="H82" s="140">
        <v>18.87</v>
      </c>
      <c r="I82" s="289">
        <v>20</v>
      </c>
      <c r="J82" s="140">
        <v>19.37</v>
      </c>
      <c r="K82" s="289">
        <v>20</v>
      </c>
    </row>
    <row r="83" spans="1:11">
      <c r="C83" s="116" t="s">
        <v>145</v>
      </c>
      <c r="D83" s="114" t="s">
        <v>48</v>
      </c>
      <c r="E83" s="114" t="s">
        <v>26</v>
      </c>
      <c r="F83" s="140">
        <v>19.25</v>
      </c>
      <c r="G83" s="289">
        <v>20</v>
      </c>
      <c r="H83" s="140">
        <v>20.25</v>
      </c>
      <c r="I83" s="289">
        <v>20</v>
      </c>
      <c r="J83" s="140">
        <v>20.190000000000001</v>
      </c>
      <c r="K83" s="289">
        <v>20</v>
      </c>
    </row>
    <row r="84" spans="1:11">
      <c r="A84" s="115"/>
      <c r="B84" s="115"/>
      <c r="C84" s="117"/>
      <c r="D84" s="5"/>
      <c r="E84" s="5"/>
      <c r="F84" s="143" t="s">
        <v>146</v>
      </c>
      <c r="G84" s="146" t="s">
        <v>16</v>
      </c>
      <c r="H84" s="143" t="s">
        <v>147</v>
      </c>
      <c r="I84" s="146" t="s">
        <v>16</v>
      </c>
      <c r="J84" s="143" t="s">
        <v>148</v>
      </c>
      <c r="K84" s="146" t="s">
        <v>16</v>
      </c>
    </row>
    <row r="85" spans="1:11">
      <c r="B85" s="142">
        <v>43139</v>
      </c>
      <c r="C85" s="116" t="s">
        <v>149</v>
      </c>
      <c r="D85" s="114" t="s">
        <v>56</v>
      </c>
      <c r="E85" s="114" t="s">
        <v>26</v>
      </c>
      <c r="F85" s="140">
        <v>16.7</v>
      </c>
      <c r="G85" s="339">
        <v>20</v>
      </c>
      <c r="H85" s="140">
        <v>16.739999999999998</v>
      </c>
      <c r="I85" s="339">
        <v>20</v>
      </c>
      <c r="J85" s="140">
        <v>16.29</v>
      </c>
      <c r="K85" s="339">
        <v>20</v>
      </c>
    </row>
    <row r="86" spans="1:11">
      <c r="C86" s="116" t="s">
        <v>150</v>
      </c>
      <c r="D86" s="114" t="s">
        <v>48</v>
      </c>
      <c r="E86" s="114" t="s">
        <v>22</v>
      </c>
      <c r="F86" s="140">
        <v>15.99</v>
      </c>
      <c r="G86" s="339">
        <v>20</v>
      </c>
      <c r="H86" s="140">
        <v>14.77</v>
      </c>
      <c r="I86" s="339">
        <v>20</v>
      </c>
      <c r="J86" s="140">
        <v>13.42</v>
      </c>
      <c r="K86" s="339">
        <v>20</v>
      </c>
    </row>
    <row r="87" spans="1:11">
      <c r="C87" s="116" t="s">
        <v>151</v>
      </c>
      <c r="D87" s="114" t="s">
        <v>25</v>
      </c>
      <c r="E87" s="114" t="s">
        <v>152</v>
      </c>
      <c r="F87" s="140">
        <v>16.75</v>
      </c>
      <c r="G87" s="339">
        <v>20</v>
      </c>
      <c r="H87" s="337"/>
      <c r="I87" s="338"/>
      <c r="J87" s="337"/>
      <c r="K87" s="338"/>
    </row>
    <row r="88" spans="1:11">
      <c r="B88" s="142">
        <v>43168</v>
      </c>
      <c r="C88" s="116" t="s">
        <v>153</v>
      </c>
      <c r="D88" s="114" t="s">
        <v>64</v>
      </c>
      <c r="E88" s="114" t="s">
        <v>26</v>
      </c>
      <c r="F88" s="140">
        <v>17.649999999999999</v>
      </c>
      <c r="G88" s="339">
        <v>20</v>
      </c>
      <c r="H88" s="140">
        <v>18.84</v>
      </c>
      <c r="I88" s="339">
        <v>20</v>
      </c>
      <c r="J88" s="140">
        <v>19.3</v>
      </c>
      <c r="K88" s="339">
        <v>20</v>
      </c>
    </row>
    <row r="89" spans="1:11">
      <c r="A89" s="115"/>
      <c r="B89" s="115"/>
      <c r="C89" s="117"/>
      <c r="D89" s="5"/>
      <c r="E89" s="5"/>
      <c r="F89" s="143" t="s">
        <v>154</v>
      </c>
      <c r="G89" s="146" t="s">
        <v>16</v>
      </c>
      <c r="H89" s="143" t="s">
        <v>155</v>
      </c>
      <c r="I89" s="146" t="s">
        <v>16</v>
      </c>
      <c r="J89" s="143" t="s">
        <v>156</v>
      </c>
      <c r="K89" s="146" t="s">
        <v>16</v>
      </c>
    </row>
    <row r="90" spans="1:11">
      <c r="B90" s="142">
        <v>43165</v>
      </c>
      <c r="C90" s="116" t="s">
        <v>157</v>
      </c>
      <c r="D90" s="114" t="s">
        <v>56</v>
      </c>
      <c r="E90" s="114" t="s">
        <v>26</v>
      </c>
      <c r="F90" s="140">
        <v>19.37</v>
      </c>
      <c r="G90" s="340">
        <v>20</v>
      </c>
      <c r="H90" s="140">
        <v>19.89</v>
      </c>
      <c r="I90" s="340">
        <v>20</v>
      </c>
      <c r="J90" s="140">
        <v>20.32</v>
      </c>
      <c r="K90" s="340">
        <v>20</v>
      </c>
    </row>
    <row r="91" spans="1:11">
      <c r="C91" s="116" t="s">
        <v>158</v>
      </c>
      <c r="D91" s="114" t="s">
        <v>48</v>
      </c>
      <c r="E91" s="114" t="s">
        <v>26</v>
      </c>
      <c r="F91" s="140">
        <v>18.440000000000001</v>
      </c>
      <c r="G91" s="340" t="s">
        <v>23</v>
      </c>
      <c r="H91" s="140">
        <v>18.36</v>
      </c>
      <c r="I91" s="340">
        <v>20</v>
      </c>
      <c r="J91" s="140">
        <v>19.32</v>
      </c>
      <c r="K91" s="340">
        <v>20</v>
      </c>
    </row>
    <row r="92" spans="1:11">
      <c r="C92" s="116" t="s">
        <v>159</v>
      </c>
      <c r="D92" s="114" t="s">
        <v>56</v>
      </c>
      <c r="E92" s="114" t="s">
        <v>22</v>
      </c>
      <c r="F92" s="140">
        <v>16.91</v>
      </c>
      <c r="G92" s="340">
        <v>20</v>
      </c>
      <c r="H92" s="140">
        <v>17.760000000000002</v>
      </c>
      <c r="I92" s="340">
        <v>20</v>
      </c>
      <c r="J92" s="140">
        <v>17.86</v>
      </c>
      <c r="K92" s="340">
        <v>20</v>
      </c>
    </row>
    <row r="93" spans="1:11">
      <c r="C93" s="116" t="s">
        <v>160</v>
      </c>
      <c r="D93" s="114" t="s">
        <v>25</v>
      </c>
      <c r="E93" s="114" t="s">
        <v>22</v>
      </c>
      <c r="F93" s="140">
        <v>18.32</v>
      </c>
      <c r="G93" s="340">
        <v>20</v>
      </c>
      <c r="H93" s="140">
        <v>18.63</v>
      </c>
      <c r="I93" s="340">
        <v>20</v>
      </c>
      <c r="J93" s="140">
        <v>18.75</v>
      </c>
      <c r="K93" s="340">
        <v>20</v>
      </c>
    </row>
    <row r="94" spans="1:11">
      <c r="A94" s="115"/>
      <c r="B94" s="115"/>
      <c r="C94" s="117"/>
      <c r="D94" s="5"/>
      <c r="E94" s="5"/>
      <c r="F94" s="143" t="s">
        <v>161</v>
      </c>
      <c r="G94" s="146" t="s">
        <v>16</v>
      </c>
      <c r="H94" s="143" t="s">
        <v>162</v>
      </c>
      <c r="I94" s="146" t="s">
        <v>16</v>
      </c>
      <c r="J94" s="143" t="s">
        <v>163</v>
      </c>
      <c r="K94" s="146" t="s">
        <v>16</v>
      </c>
    </row>
    <row r="95" spans="1:11">
      <c r="B95" s="142">
        <v>43253</v>
      </c>
      <c r="C95" s="116" t="s">
        <v>164</v>
      </c>
      <c r="D95" s="114" t="s">
        <v>48</v>
      </c>
      <c r="E95" s="114" t="s">
        <v>22</v>
      </c>
      <c r="F95" s="140">
        <v>11.97</v>
      </c>
      <c r="G95" s="357">
        <v>20</v>
      </c>
      <c r="H95" s="140">
        <v>14.49</v>
      </c>
      <c r="I95" s="357">
        <v>20</v>
      </c>
      <c r="J95" s="140">
        <v>15.35</v>
      </c>
      <c r="K95" s="357">
        <v>20</v>
      </c>
    </row>
    <row r="96" spans="1:11">
      <c r="C96" s="116" t="s">
        <v>165</v>
      </c>
      <c r="D96" s="114" t="s">
        <v>25</v>
      </c>
      <c r="E96" s="114" t="s">
        <v>26</v>
      </c>
      <c r="F96" s="140">
        <v>9.93</v>
      </c>
      <c r="G96" s="357">
        <v>10</v>
      </c>
      <c r="H96" s="140">
        <v>10.63</v>
      </c>
      <c r="I96" s="357">
        <v>10</v>
      </c>
      <c r="J96" s="140">
        <v>10.81</v>
      </c>
      <c r="K96" s="357">
        <v>10</v>
      </c>
    </row>
    <row r="97" spans="1:12">
      <c r="C97" s="116" t="s">
        <v>166</v>
      </c>
      <c r="D97" s="114" t="s">
        <v>64</v>
      </c>
      <c r="E97" s="114" t="s">
        <v>26</v>
      </c>
      <c r="F97" s="140">
        <v>13.46</v>
      </c>
      <c r="G97" s="357">
        <v>20</v>
      </c>
      <c r="H97" s="140">
        <v>12.87</v>
      </c>
      <c r="I97" s="357">
        <v>20</v>
      </c>
      <c r="J97" s="140">
        <v>13.67</v>
      </c>
      <c r="K97" s="357">
        <v>20</v>
      </c>
    </row>
    <row r="98" spans="1:12">
      <c r="A98" s="115"/>
      <c r="B98" s="115"/>
      <c r="C98" s="117"/>
      <c r="D98" s="5"/>
      <c r="E98" s="5"/>
      <c r="F98" s="143" t="s">
        <v>167</v>
      </c>
      <c r="G98" s="146" t="s">
        <v>16</v>
      </c>
      <c r="H98" s="143" t="s">
        <v>168</v>
      </c>
      <c r="I98" s="146" t="s">
        <v>16</v>
      </c>
      <c r="J98" s="143" t="s">
        <v>169</v>
      </c>
      <c r="K98" s="146" t="s">
        <v>16</v>
      </c>
    </row>
    <row r="99" spans="1:12">
      <c r="B99" s="142">
        <v>43368</v>
      </c>
      <c r="C99" s="116" t="s">
        <v>170</v>
      </c>
      <c r="D99" s="114" t="s">
        <v>48</v>
      </c>
      <c r="E99" s="114" t="s">
        <v>26</v>
      </c>
      <c r="F99" s="140">
        <v>14.71</v>
      </c>
      <c r="G99" s="375">
        <v>20</v>
      </c>
    </row>
    <row r="100" spans="1:12">
      <c r="C100" s="116" t="s">
        <v>171</v>
      </c>
      <c r="D100" s="114" t="s">
        <v>25</v>
      </c>
      <c r="E100" s="114" t="s">
        <v>26</v>
      </c>
      <c r="F100" s="140">
        <v>18.059999999999999</v>
      </c>
      <c r="G100" s="375">
        <v>20</v>
      </c>
    </row>
    <row r="101" spans="1:12">
      <c r="A101" s="115"/>
      <c r="B101" s="115"/>
      <c r="C101" s="117"/>
      <c r="D101" s="5"/>
      <c r="E101" s="5"/>
      <c r="F101" s="143" t="s">
        <v>172</v>
      </c>
      <c r="G101" s="146" t="s">
        <v>16</v>
      </c>
      <c r="H101" s="143" t="s">
        <v>173</v>
      </c>
      <c r="I101" s="146" t="s">
        <v>16</v>
      </c>
      <c r="J101" s="143" t="s">
        <v>174</v>
      </c>
      <c r="K101" s="146" t="s">
        <v>16</v>
      </c>
    </row>
    <row r="102" spans="1:12">
      <c r="B102" s="142">
        <v>43704</v>
      </c>
      <c r="C102" s="116" t="s">
        <v>175</v>
      </c>
      <c r="D102" s="114" t="s">
        <v>176</v>
      </c>
      <c r="E102" s="114" t="s">
        <v>26</v>
      </c>
      <c r="F102" s="140">
        <v>18.12</v>
      </c>
      <c r="G102" s="396">
        <v>20</v>
      </c>
      <c r="H102" s="140">
        <v>18.73</v>
      </c>
      <c r="I102" s="396">
        <v>20</v>
      </c>
      <c r="J102" s="140">
        <v>18.670000000000002</v>
      </c>
      <c r="K102" s="396">
        <v>20</v>
      </c>
      <c r="L102" s="114" t="s">
        <v>71</v>
      </c>
    </row>
    <row r="103" spans="1:12">
      <c r="B103" s="142">
        <v>43706</v>
      </c>
      <c r="C103" s="116" t="s">
        <v>177</v>
      </c>
      <c r="D103" s="114" t="s">
        <v>178</v>
      </c>
      <c r="E103" s="114" t="s">
        <v>26</v>
      </c>
      <c r="F103" s="140">
        <v>15.93</v>
      </c>
      <c r="G103" s="396">
        <v>20</v>
      </c>
      <c r="H103" s="140">
        <v>16.920000000000002</v>
      </c>
      <c r="I103" s="396">
        <v>20</v>
      </c>
      <c r="J103" s="140">
        <v>17.53</v>
      </c>
      <c r="K103" s="396">
        <v>20</v>
      </c>
    </row>
    <row r="104" spans="1:12">
      <c r="B104" s="142">
        <v>43705</v>
      </c>
      <c r="C104" s="394" t="s">
        <v>179</v>
      </c>
      <c r="D104" s="395" t="s">
        <v>180</v>
      </c>
      <c r="E104" s="395" t="s">
        <v>22</v>
      </c>
      <c r="F104" s="140">
        <v>13.61</v>
      </c>
      <c r="G104" s="396">
        <v>20</v>
      </c>
      <c r="H104" s="140">
        <v>14.58</v>
      </c>
      <c r="I104" s="396">
        <v>20</v>
      </c>
      <c r="J104" s="140">
        <v>15.08</v>
      </c>
      <c r="K104" s="396">
        <v>20</v>
      </c>
    </row>
    <row r="105" spans="1:12">
      <c r="B105" s="142"/>
      <c r="C105" s="394" t="s">
        <v>181</v>
      </c>
      <c r="D105" s="395" t="s">
        <v>182</v>
      </c>
      <c r="E105" s="395" t="s">
        <v>26</v>
      </c>
      <c r="F105" s="140">
        <v>15.24</v>
      </c>
      <c r="G105" s="396" t="s">
        <v>23</v>
      </c>
      <c r="H105" s="140">
        <v>16.03</v>
      </c>
      <c r="I105" s="396">
        <v>20</v>
      </c>
      <c r="J105" s="140">
        <v>16.440000000000001</v>
      </c>
      <c r="K105" s="396">
        <v>20</v>
      </c>
    </row>
    <row r="106" spans="1:12">
      <c r="B106" s="142"/>
      <c r="C106" s="394" t="s">
        <v>183</v>
      </c>
      <c r="D106" s="395" t="s">
        <v>184</v>
      </c>
      <c r="E106" s="395" t="s">
        <v>22</v>
      </c>
      <c r="F106" s="140">
        <v>13.92</v>
      </c>
      <c r="G106" s="396">
        <v>20</v>
      </c>
      <c r="H106" s="140">
        <v>14.31</v>
      </c>
      <c r="I106" s="396">
        <v>20</v>
      </c>
      <c r="J106" s="140">
        <v>14.68</v>
      </c>
      <c r="K106" s="396">
        <v>20</v>
      </c>
    </row>
    <row r="107" spans="1:12">
      <c r="B107" s="142">
        <v>43705</v>
      </c>
      <c r="C107" s="116" t="s">
        <v>185</v>
      </c>
      <c r="D107" s="114" t="s">
        <v>184</v>
      </c>
      <c r="E107" s="114" t="s">
        <v>26</v>
      </c>
      <c r="F107" s="140">
        <v>14.96</v>
      </c>
      <c r="G107" s="396">
        <v>20</v>
      </c>
      <c r="H107" s="140">
        <v>15.56</v>
      </c>
      <c r="I107" s="396">
        <v>20</v>
      </c>
      <c r="J107" s="140">
        <v>16.04</v>
      </c>
      <c r="K107" s="396">
        <v>20</v>
      </c>
    </row>
    <row r="108" spans="1:12">
      <c r="B108" s="142">
        <v>43703</v>
      </c>
      <c r="C108" s="392" t="s">
        <v>186</v>
      </c>
      <c r="D108" s="393" t="s">
        <v>176</v>
      </c>
      <c r="E108" s="393" t="s">
        <v>26</v>
      </c>
      <c r="F108" s="140">
        <v>15.37</v>
      </c>
      <c r="G108" s="396">
        <v>20</v>
      </c>
      <c r="H108" s="140">
        <v>16.2</v>
      </c>
      <c r="I108" s="396">
        <v>20</v>
      </c>
      <c r="J108" s="140">
        <v>16.989999999999998</v>
      </c>
      <c r="K108" s="396">
        <v>20</v>
      </c>
    </row>
    <row r="109" spans="1:12">
      <c r="C109" s="392" t="s">
        <v>187</v>
      </c>
      <c r="D109" s="393" t="s">
        <v>184</v>
      </c>
      <c r="E109" s="393" t="s">
        <v>22</v>
      </c>
      <c r="F109" s="140">
        <v>15.16</v>
      </c>
      <c r="G109" s="396">
        <v>20</v>
      </c>
      <c r="H109" s="140">
        <v>15.68</v>
      </c>
      <c r="I109" s="396">
        <v>20</v>
      </c>
      <c r="J109" s="140">
        <v>16.39</v>
      </c>
      <c r="K109" s="396">
        <v>20</v>
      </c>
    </row>
    <row r="110" spans="1:12">
      <c r="B110" s="142">
        <v>43703</v>
      </c>
      <c r="C110" s="394" t="s">
        <v>188</v>
      </c>
      <c r="D110" s="395" t="s">
        <v>182</v>
      </c>
      <c r="E110" s="395" t="s">
        <v>26</v>
      </c>
      <c r="F110" s="140">
        <v>14.03</v>
      </c>
      <c r="G110" s="396">
        <v>20</v>
      </c>
      <c r="H110" s="140">
        <v>15.07</v>
      </c>
      <c r="I110" s="396">
        <v>20</v>
      </c>
      <c r="J110" s="140">
        <v>15.83</v>
      </c>
      <c r="K110" s="396">
        <v>20</v>
      </c>
    </row>
    <row r="111" spans="1:12">
      <c r="C111" s="394" t="s">
        <v>189</v>
      </c>
      <c r="D111" s="395" t="s">
        <v>184</v>
      </c>
      <c r="E111" s="395" t="s">
        <v>26</v>
      </c>
      <c r="F111" s="140">
        <v>15.71</v>
      </c>
      <c r="G111" s="396">
        <v>20</v>
      </c>
      <c r="H111" s="140">
        <v>16.34</v>
      </c>
      <c r="I111" s="396">
        <v>20</v>
      </c>
      <c r="J111" s="140">
        <v>17.260000000000002</v>
      </c>
      <c r="K111" s="396">
        <v>20</v>
      </c>
    </row>
    <row r="112" spans="1:12">
      <c r="C112" s="394" t="s">
        <v>190</v>
      </c>
      <c r="D112" s="395" t="s">
        <v>178</v>
      </c>
      <c r="E112" s="395" t="s">
        <v>22</v>
      </c>
      <c r="F112" s="140">
        <v>14.98</v>
      </c>
      <c r="G112" s="396">
        <v>20</v>
      </c>
      <c r="H112" s="140">
        <v>15.84</v>
      </c>
      <c r="I112" s="396">
        <v>20</v>
      </c>
      <c r="J112" s="140">
        <v>16.809999999999999</v>
      </c>
      <c r="K112" s="396">
        <v>20</v>
      </c>
    </row>
  </sheetData>
  <mergeCells count="1">
    <mergeCell ref="F3:K3"/>
  </mergeCells>
  <phoneticPr fontId="10" type="noConversion"/>
  <pageMargins left="0.7" right="0.7" top="0.75" bottom="0.75" header="0.3" footer="0.3"/>
  <pageSetup paperSize="9"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87EF-85A2-4DAB-8FFD-7D6DB04C697B}">
  <dimension ref="A2:Z11"/>
  <sheetViews>
    <sheetView workbookViewId="0">
      <selection activeCell="F34" sqref="F34"/>
    </sheetView>
  </sheetViews>
  <sheetFormatPr defaultColWidth="8.625" defaultRowHeight="15.75"/>
  <cols>
    <col min="2" max="2" width="25.625" bestFit="1" customWidth="1"/>
    <col min="5" max="5" width="10.125" bestFit="1" customWidth="1"/>
  </cols>
  <sheetData>
    <row r="2" spans="1:26">
      <c r="C2" s="423" t="s">
        <v>759</v>
      </c>
      <c r="D2" s="423"/>
      <c r="E2" s="423"/>
      <c r="F2" t="s">
        <v>760</v>
      </c>
      <c r="G2" t="s">
        <v>761</v>
      </c>
      <c r="H2" t="s">
        <v>762</v>
      </c>
      <c r="I2" t="s">
        <v>763</v>
      </c>
      <c r="J2" t="s">
        <v>764</v>
      </c>
      <c r="K2" t="s">
        <v>765</v>
      </c>
      <c r="L2" t="s">
        <v>766</v>
      </c>
      <c r="M2" t="s">
        <v>767</v>
      </c>
      <c r="N2" t="s">
        <v>768</v>
      </c>
      <c r="O2" t="s">
        <v>769</v>
      </c>
      <c r="P2" t="s">
        <v>770</v>
      </c>
      <c r="Q2" t="s">
        <v>771</v>
      </c>
      <c r="R2" t="s">
        <v>772</v>
      </c>
      <c r="S2" t="s">
        <v>773</v>
      </c>
      <c r="T2" t="s">
        <v>774</v>
      </c>
      <c r="U2" t="s">
        <v>775</v>
      </c>
      <c r="V2" t="s">
        <v>776</v>
      </c>
      <c r="W2" t="s">
        <v>777</v>
      </c>
      <c r="X2" t="s">
        <v>778</v>
      </c>
      <c r="Y2" t="s">
        <v>779</v>
      </c>
      <c r="Z2" t="s">
        <v>780</v>
      </c>
    </row>
    <row r="3" spans="1:26" ht="12" customHeight="1">
      <c r="B3" s="10" t="s">
        <v>781</v>
      </c>
      <c r="C3" s="10" t="s">
        <v>740</v>
      </c>
      <c r="D3" s="10" t="s">
        <v>264</v>
      </c>
      <c r="E3" s="114" t="s">
        <v>727</v>
      </c>
      <c r="F3" s="10" t="s">
        <v>324</v>
      </c>
      <c r="G3" s="10" t="s">
        <v>324</v>
      </c>
      <c r="H3" s="10" t="s">
        <v>324</v>
      </c>
      <c r="I3" s="10" t="s">
        <v>324</v>
      </c>
      <c r="J3" s="10" t="s">
        <v>324</v>
      </c>
      <c r="K3" s="10" t="s">
        <v>324</v>
      </c>
      <c r="L3" s="10" t="s">
        <v>324</v>
      </c>
      <c r="M3" s="10" t="s">
        <v>324</v>
      </c>
      <c r="N3" s="10" t="s">
        <v>324</v>
      </c>
      <c r="O3" s="10" t="s">
        <v>324</v>
      </c>
      <c r="P3" s="10" t="s">
        <v>324</v>
      </c>
      <c r="Q3" s="10" t="s">
        <v>324</v>
      </c>
      <c r="R3" s="10" t="s">
        <v>324</v>
      </c>
      <c r="S3" s="10" t="s">
        <v>324</v>
      </c>
      <c r="T3" s="10" t="s">
        <v>324</v>
      </c>
      <c r="U3" s="10" t="s">
        <v>324</v>
      </c>
      <c r="V3" s="10" t="s">
        <v>324</v>
      </c>
      <c r="W3" s="10" t="s">
        <v>324</v>
      </c>
      <c r="X3" s="10" t="s">
        <v>324</v>
      </c>
      <c r="Y3" s="10" t="s">
        <v>324</v>
      </c>
      <c r="Z3" s="10" t="s">
        <v>324</v>
      </c>
    </row>
    <row r="4" spans="1:26" ht="12" customHeight="1">
      <c r="A4" s="10"/>
      <c r="B4" s="10"/>
      <c r="C4" s="10"/>
      <c r="D4" s="10"/>
      <c r="E4" s="114" t="s">
        <v>728</v>
      </c>
      <c r="F4" s="384">
        <v>2.7199999999999998E-2</v>
      </c>
      <c r="G4" s="10">
        <v>0.39029999999999998</v>
      </c>
      <c r="H4" s="10" t="s">
        <v>324</v>
      </c>
      <c r="I4" s="10" t="s">
        <v>324</v>
      </c>
      <c r="J4" s="10" t="s">
        <v>324</v>
      </c>
      <c r="K4" s="10" t="s">
        <v>324</v>
      </c>
      <c r="L4" s="10" t="s">
        <v>324</v>
      </c>
      <c r="M4" s="10" t="s">
        <v>324</v>
      </c>
      <c r="N4" s="10" t="s">
        <v>324</v>
      </c>
      <c r="O4" s="10" t="s">
        <v>324</v>
      </c>
      <c r="P4" s="10" t="s">
        <v>324</v>
      </c>
      <c r="Q4" s="10" t="s">
        <v>324</v>
      </c>
      <c r="R4" s="10" t="s">
        <v>324</v>
      </c>
      <c r="S4" s="10" t="s">
        <v>324</v>
      </c>
      <c r="T4" s="10" t="s">
        <v>324</v>
      </c>
      <c r="U4" s="10" t="s">
        <v>324</v>
      </c>
      <c r="V4" s="10" t="s">
        <v>324</v>
      </c>
      <c r="W4" s="10" t="s">
        <v>324</v>
      </c>
      <c r="X4" s="10" t="s">
        <v>324</v>
      </c>
      <c r="Y4" s="10" t="s">
        <v>324</v>
      </c>
      <c r="Z4" s="10" t="s">
        <v>324</v>
      </c>
    </row>
    <row r="5" spans="1:26" ht="12" customHeight="1">
      <c r="A5" s="10"/>
      <c r="B5" s="10"/>
      <c r="C5" s="10"/>
      <c r="D5" s="10"/>
      <c r="E5" s="10" t="s">
        <v>742</v>
      </c>
      <c r="F5" s="10" t="s">
        <v>324</v>
      </c>
      <c r="G5" s="10" t="s">
        <v>324</v>
      </c>
      <c r="H5" s="10" t="s">
        <v>324</v>
      </c>
      <c r="I5" s="10" t="s">
        <v>324</v>
      </c>
      <c r="J5" s="10" t="s">
        <v>324</v>
      </c>
      <c r="K5" s="10" t="s">
        <v>324</v>
      </c>
      <c r="L5" s="10" t="s">
        <v>324</v>
      </c>
      <c r="M5" s="10" t="s">
        <v>324</v>
      </c>
      <c r="N5" s="10" t="s">
        <v>324</v>
      </c>
      <c r="O5" s="10" t="s">
        <v>324</v>
      </c>
      <c r="P5" s="10" t="s">
        <v>324</v>
      </c>
      <c r="Q5" s="10" t="s">
        <v>324</v>
      </c>
      <c r="R5" s="10" t="s">
        <v>324</v>
      </c>
      <c r="S5" s="10" t="s">
        <v>324</v>
      </c>
      <c r="T5" s="10" t="s">
        <v>324</v>
      </c>
      <c r="U5" s="10" t="s">
        <v>324</v>
      </c>
      <c r="V5" s="10" t="s">
        <v>324</v>
      </c>
      <c r="W5" s="10" t="s">
        <v>324</v>
      </c>
      <c r="X5" s="10" t="s">
        <v>324</v>
      </c>
      <c r="Y5" s="10" t="s">
        <v>324</v>
      </c>
      <c r="Z5" s="10" t="s">
        <v>324</v>
      </c>
    </row>
    <row r="6" spans="1:26" ht="12" customHeight="1">
      <c r="A6" s="10"/>
      <c r="B6" s="10"/>
      <c r="C6" s="10"/>
      <c r="D6" s="10"/>
      <c r="E6" s="114" t="s">
        <v>729</v>
      </c>
      <c r="F6" s="10">
        <v>0.22359999999999999</v>
      </c>
      <c r="G6" s="10">
        <v>0.54890000000000005</v>
      </c>
      <c r="H6" s="10">
        <v>0.4</v>
      </c>
      <c r="I6" s="10" t="s">
        <v>324</v>
      </c>
      <c r="J6" s="10" t="s">
        <v>324</v>
      </c>
      <c r="K6" s="10" t="s">
        <v>324</v>
      </c>
      <c r="L6" s="10" t="s">
        <v>324</v>
      </c>
      <c r="M6" s="10" t="s">
        <v>324</v>
      </c>
      <c r="N6" s="10" t="s">
        <v>324</v>
      </c>
      <c r="O6" s="10" t="s">
        <v>324</v>
      </c>
      <c r="P6" s="10" t="s">
        <v>324</v>
      </c>
      <c r="Q6" s="10" t="s">
        <v>324</v>
      </c>
      <c r="R6" s="10" t="s">
        <v>324</v>
      </c>
      <c r="S6" s="10" t="s">
        <v>324</v>
      </c>
      <c r="T6" s="10" t="s">
        <v>324</v>
      </c>
      <c r="U6" s="10" t="s">
        <v>324</v>
      </c>
      <c r="V6" s="10" t="s">
        <v>324</v>
      </c>
      <c r="W6" s="10" t="s">
        <v>324</v>
      </c>
      <c r="X6" s="10" t="s">
        <v>324</v>
      </c>
      <c r="Y6" s="10" t="s">
        <v>324</v>
      </c>
      <c r="Z6" s="10" t="s">
        <v>324</v>
      </c>
    </row>
    <row r="7" spans="1:26" ht="12" customHeight="1">
      <c r="A7" s="10"/>
      <c r="B7" s="10"/>
      <c r="C7" s="10"/>
      <c r="D7" s="10"/>
      <c r="E7" s="10" t="s">
        <v>743</v>
      </c>
      <c r="F7" s="10" t="s">
        <v>324</v>
      </c>
      <c r="G7" s="10" t="s">
        <v>324</v>
      </c>
      <c r="H7" s="10" t="s">
        <v>324</v>
      </c>
      <c r="I7" s="10" t="s">
        <v>324</v>
      </c>
      <c r="J7" s="10" t="s">
        <v>324</v>
      </c>
      <c r="K7" s="10" t="s">
        <v>324</v>
      </c>
      <c r="L7" s="10" t="s">
        <v>324</v>
      </c>
      <c r="M7" s="10" t="s">
        <v>324</v>
      </c>
      <c r="N7" s="10" t="s">
        <v>324</v>
      </c>
      <c r="O7" s="10" t="s">
        <v>324</v>
      </c>
      <c r="P7" s="10" t="s">
        <v>324</v>
      </c>
      <c r="Q7" s="10" t="s">
        <v>324</v>
      </c>
      <c r="R7" s="10" t="s">
        <v>324</v>
      </c>
      <c r="S7" s="10" t="s">
        <v>324</v>
      </c>
      <c r="T7" s="10" t="s">
        <v>324</v>
      </c>
      <c r="U7" s="10" t="s">
        <v>324</v>
      </c>
      <c r="V7" s="10" t="s">
        <v>324</v>
      </c>
      <c r="W7" s="10" t="s">
        <v>324</v>
      </c>
      <c r="X7" s="10" t="s">
        <v>324</v>
      </c>
      <c r="Y7" s="10" t="s">
        <v>324</v>
      </c>
      <c r="Z7" s="10" t="s">
        <v>324</v>
      </c>
    </row>
    <row r="8" spans="1:26" ht="12" customHeight="1">
      <c r="A8" s="10"/>
      <c r="B8" s="10"/>
      <c r="C8" s="10"/>
      <c r="D8" s="10"/>
      <c r="E8" s="10" t="s">
        <v>744</v>
      </c>
      <c r="F8" s="10">
        <v>0.62709999999999999</v>
      </c>
      <c r="G8" s="10">
        <v>0.31580000000000003</v>
      </c>
      <c r="H8" s="10">
        <v>0.39429999999999998</v>
      </c>
      <c r="I8" s="10">
        <v>0.5796</v>
      </c>
      <c r="J8" s="10" t="s">
        <v>324</v>
      </c>
      <c r="K8" s="10">
        <v>0.6069</v>
      </c>
      <c r="L8" s="10">
        <v>0.49230000000000002</v>
      </c>
      <c r="M8" s="10">
        <v>0.54369999999999996</v>
      </c>
      <c r="N8" s="10">
        <v>0.42530000000000001</v>
      </c>
      <c r="O8" s="10">
        <v>0.22500000000000001</v>
      </c>
      <c r="P8" s="10">
        <v>0.33410000000000001</v>
      </c>
      <c r="Q8" s="10">
        <v>0.35520000000000002</v>
      </c>
      <c r="R8" s="10">
        <v>0.90100000000000002</v>
      </c>
      <c r="S8" s="10">
        <v>0.97099999999999997</v>
      </c>
      <c r="T8" s="10" t="s">
        <v>324</v>
      </c>
      <c r="U8" s="10">
        <v>0.73699999999999999</v>
      </c>
      <c r="V8" s="10" t="s">
        <v>324</v>
      </c>
      <c r="W8" s="10" t="s">
        <v>324</v>
      </c>
      <c r="X8" s="10" t="s">
        <v>324</v>
      </c>
      <c r="Y8" s="10" t="s">
        <v>324</v>
      </c>
      <c r="Z8" s="10" t="s">
        <v>324</v>
      </c>
    </row>
    <row r="9" spans="1:26" ht="12" customHeight="1">
      <c r="A9" s="10"/>
      <c r="B9" s="10"/>
      <c r="C9" s="10"/>
      <c r="D9" s="10" t="s">
        <v>319</v>
      </c>
      <c r="E9" s="114" t="s">
        <v>727</v>
      </c>
      <c r="F9" s="10" t="s">
        <v>324</v>
      </c>
      <c r="G9" s="10" t="s">
        <v>324</v>
      </c>
      <c r="H9" s="10" t="s">
        <v>324</v>
      </c>
      <c r="I9" s="10" t="s">
        <v>324</v>
      </c>
      <c r="J9" s="10" t="s">
        <v>324</v>
      </c>
      <c r="K9" s="10" t="s">
        <v>324</v>
      </c>
      <c r="L9" s="10" t="s">
        <v>324</v>
      </c>
      <c r="M9" s="10" t="s">
        <v>324</v>
      </c>
      <c r="N9" s="10" t="s">
        <v>324</v>
      </c>
      <c r="O9" s="10" t="s">
        <v>324</v>
      </c>
      <c r="P9" s="10" t="s">
        <v>324</v>
      </c>
      <c r="Q9" s="10" t="s">
        <v>324</v>
      </c>
      <c r="R9" s="10" t="s">
        <v>324</v>
      </c>
      <c r="S9" s="10" t="s">
        <v>324</v>
      </c>
      <c r="T9" s="10" t="s">
        <v>324</v>
      </c>
      <c r="U9" s="10" t="s">
        <v>324</v>
      </c>
      <c r="V9" s="10" t="s">
        <v>324</v>
      </c>
      <c r="W9" s="10" t="s">
        <v>324</v>
      </c>
      <c r="X9" s="10" t="s">
        <v>324</v>
      </c>
      <c r="Y9" s="10" t="s">
        <v>324</v>
      </c>
      <c r="Z9" s="10" t="s">
        <v>324</v>
      </c>
    </row>
    <row r="10" spans="1:26" ht="12" customHeight="1">
      <c r="A10" s="10"/>
      <c r="B10" s="10"/>
      <c r="C10" s="10"/>
      <c r="D10" s="10"/>
      <c r="E10" s="114" t="s">
        <v>728</v>
      </c>
      <c r="F10" s="384" t="s">
        <v>327</v>
      </c>
      <c r="G10" s="384">
        <v>2.0000000000000001E-4</v>
      </c>
      <c r="H10" s="384">
        <v>3.0000000000000001E-3</v>
      </c>
      <c r="I10" s="384">
        <v>3.39E-2</v>
      </c>
      <c r="J10" s="10">
        <v>0.13200000000000001</v>
      </c>
      <c r="K10" s="10">
        <v>0.51390000000000002</v>
      </c>
      <c r="L10" s="10" t="s">
        <v>324</v>
      </c>
      <c r="M10" s="10" t="s">
        <v>324</v>
      </c>
      <c r="N10" s="10">
        <v>0.76580000000000004</v>
      </c>
      <c r="O10" s="10">
        <v>0.56230000000000002</v>
      </c>
      <c r="P10" s="10">
        <v>0.78590000000000004</v>
      </c>
      <c r="Q10" s="10" t="s">
        <v>324</v>
      </c>
      <c r="R10" s="10" t="s">
        <v>324</v>
      </c>
      <c r="S10" s="10" t="s">
        <v>324</v>
      </c>
      <c r="T10" s="10" t="s">
        <v>324</v>
      </c>
      <c r="U10" s="10" t="s">
        <v>324</v>
      </c>
      <c r="V10" s="10" t="s">
        <v>324</v>
      </c>
      <c r="W10" s="10" t="s">
        <v>324</v>
      </c>
      <c r="X10" s="10" t="s">
        <v>324</v>
      </c>
      <c r="Y10" s="10" t="s">
        <v>324</v>
      </c>
      <c r="Z10" s="10" t="s">
        <v>324</v>
      </c>
    </row>
    <row r="11" spans="1:26" ht="12" customHeight="1">
      <c r="A11" s="10"/>
      <c r="B11" s="10"/>
      <c r="C11" s="10"/>
      <c r="D11" s="10"/>
      <c r="E11" s="114" t="s">
        <v>729</v>
      </c>
      <c r="F11" s="384" t="s">
        <v>327</v>
      </c>
      <c r="G11" s="384" t="s">
        <v>327</v>
      </c>
      <c r="H11" s="384" t="s">
        <v>327</v>
      </c>
      <c r="I11" s="384">
        <v>2.8E-3</v>
      </c>
      <c r="J11" s="384">
        <v>1.6199999999999999E-2</v>
      </c>
      <c r="K11" s="383">
        <v>7.17E-2</v>
      </c>
      <c r="L11" s="10">
        <v>0.1431</v>
      </c>
      <c r="M11" s="10">
        <v>0.26669999999999999</v>
      </c>
      <c r="N11" s="10">
        <v>0.16600000000000001</v>
      </c>
      <c r="O11" s="10">
        <v>0.15570000000000001</v>
      </c>
      <c r="P11" s="10">
        <v>0.31319999999999998</v>
      </c>
      <c r="Q11" s="10">
        <v>0.38179999999999997</v>
      </c>
      <c r="R11" s="10">
        <v>0.64380000000000004</v>
      </c>
      <c r="S11" s="10" t="s">
        <v>324</v>
      </c>
      <c r="T11" s="10" t="s">
        <v>324</v>
      </c>
      <c r="U11" s="10" t="s">
        <v>324</v>
      </c>
      <c r="V11" s="10" t="s">
        <v>324</v>
      </c>
      <c r="W11" s="10" t="s">
        <v>324</v>
      </c>
      <c r="X11" s="10" t="s">
        <v>324</v>
      </c>
      <c r="Y11" s="10" t="s">
        <v>324</v>
      </c>
      <c r="Z11" s="10" t="s">
        <v>324</v>
      </c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A86-FC8D-4110-9FEF-F37BDB5695FD}">
  <dimension ref="A1:Z10"/>
  <sheetViews>
    <sheetView workbookViewId="0">
      <selection activeCell="F3" sqref="F3"/>
    </sheetView>
  </sheetViews>
  <sheetFormatPr defaultColWidth="8.625" defaultRowHeight="15.75"/>
  <cols>
    <col min="4" max="5" width="10.125" bestFit="1" customWidth="1"/>
  </cols>
  <sheetData>
    <row r="1" spans="1:26">
      <c r="A1" t="s">
        <v>616</v>
      </c>
      <c r="F1" t="s">
        <v>760</v>
      </c>
      <c r="G1" t="s">
        <v>761</v>
      </c>
      <c r="H1" t="s">
        <v>762</v>
      </c>
      <c r="I1" t="s">
        <v>763</v>
      </c>
      <c r="J1" t="s">
        <v>764</v>
      </c>
      <c r="K1" t="s">
        <v>765</v>
      </c>
      <c r="L1" t="s">
        <v>766</v>
      </c>
      <c r="M1" t="s">
        <v>767</v>
      </c>
      <c r="N1" t="s">
        <v>768</v>
      </c>
      <c r="O1" t="s">
        <v>769</v>
      </c>
      <c r="P1" t="s">
        <v>770</v>
      </c>
      <c r="Q1" t="s">
        <v>771</v>
      </c>
      <c r="R1" t="s">
        <v>772</v>
      </c>
      <c r="S1" t="s">
        <v>773</v>
      </c>
      <c r="T1" t="s">
        <v>774</v>
      </c>
      <c r="U1" t="s">
        <v>775</v>
      </c>
      <c r="V1" t="s">
        <v>776</v>
      </c>
      <c r="W1" t="s">
        <v>777</v>
      </c>
      <c r="X1" t="s">
        <v>778</v>
      </c>
      <c r="Y1" t="s">
        <v>779</v>
      </c>
      <c r="Z1" t="s">
        <v>780</v>
      </c>
    </row>
    <row r="2" spans="1:26" ht="12" customHeight="1">
      <c r="A2" s="10" t="s">
        <v>781</v>
      </c>
      <c r="B2" s="10"/>
      <c r="C2" s="10" t="s">
        <v>740</v>
      </c>
      <c r="D2" s="10" t="s">
        <v>264</v>
      </c>
      <c r="E2" s="114" t="s">
        <v>727</v>
      </c>
      <c r="F2" s="10" t="s">
        <v>324</v>
      </c>
      <c r="G2" s="10" t="s">
        <v>324</v>
      </c>
      <c r="H2" s="10" t="s">
        <v>324</v>
      </c>
      <c r="I2" s="10" t="s">
        <v>324</v>
      </c>
      <c r="J2" s="10" t="s">
        <v>324</v>
      </c>
      <c r="K2" s="10" t="s">
        <v>324</v>
      </c>
      <c r="L2" s="10" t="s">
        <v>324</v>
      </c>
      <c r="M2" s="10" t="s">
        <v>324</v>
      </c>
      <c r="N2" s="10" t="s">
        <v>324</v>
      </c>
      <c r="O2" s="10" t="s">
        <v>324</v>
      </c>
      <c r="P2" s="10" t="s">
        <v>324</v>
      </c>
      <c r="Q2" s="10" t="s">
        <v>324</v>
      </c>
      <c r="R2" s="10" t="s">
        <v>324</v>
      </c>
      <c r="S2" s="10" t="s">
        <v>324</v>
      </c>
      <c r="T2" s="10" t="s">
        <v>324</v>
      </c>
      <c r="U2" s="10" t="s">
        <v>324</v>
      </c>
      <c r="V2" s="10" t="s">
        <v>324</v>
      </c>
      <c r="W2" s="10" t="s">
        <v>324</v>
      </c>
      <c r="X2" s="10" t="s">
        <v>324</v>
      </c>
      <c r="Y2" s="10" t="s">
        <v>324</v>
      </c>
      <c r="Z2" s="10" t="s">
        <v>324</v>
      </c>
    </row>
    <row r="3" spans="1:26" ht="12" customHeight="1">
      <c r="A3" s="10"/>
      <c r="B3" s="10"/>
      <c r="C3" s="10"/>
      <c r="D3" s="10"/>
      <c r="E3" s="114" t="s">
        <v>728</v>
      </c>
      <c r="F3" s="383">
        <v>5.5500000000000001E-2</v>
      </c>
      <c r="G3" s="384">
        <v>0.01</v>
      </c>
      <c r="H3" s="384">
        <v>9.9000000000000008E-3</v>
      </c>
      <c r="I3" s="384">
        <v>1.6199999999999999E-2</v>
      </c>
      <c r="J3" s="383">
        <v>6.4199999999999993E-2</v>
      </c>
      <c r="K3" s="10">
        <v>0.15920000000000001</v>
      </c>
      <c r="L3" s="10">
        <v>0.12790000000000001</v>
      </c>
      <c r="M3" s="10">
        <v>0.1119</v>
      </c>
      <c r="N3" s="10">
        <v>0.14269999999999999</v>
      </c>
      <c r="O3" s="10">
        <v>0.1003</v>
      </c>
      <c r="P3" s="383">
        <v>9.1800000000000007E-2</v>
      </c>
      <c r="Q3" s="10">
        <v>0.1532</v>
      </c>
      <c r="R3" s="10">
        <v>0.21679999999999999</v>
      </c>
      <c r="S3" s="10">
        <v>0.3412</v>
      </c>
      <c r="T3" s="10">
        <v>0.3619</v>
      </c>
      <c r="U3" s="10">
        <v>0.73960000000000004</v>
      </c>
      <c r="V3" s="10">
        <v>0.76749999999999996</v>
      </c>
      <c r="W3" s="10">
        <v>0.9274</v>
      </c>
      <c r="X3" s="10">
        <v>0.8871</v>
      </c>
      <c r="Y3" s="10" t="s">
        <v>324</v>
      </c>
      <c r="Z3" s="10" t="s">
        <v>324</v>
      </c>
    </row>
    <row r="4" spans="1:26" ht="12" customHeight="1">
      <c r="A4" s="10"/>
      <c r="B4" s="10"/>
      <c r="C4" s="10"/>
      <c r="D4" s="10"/>
      <c r="E4" s="10" t="s">
        <v>742</v>
      </c>
      <c r="F4" s="10">
        <v>0.82440000000000002</v>
      </c>
      <c r="G4" s="10" t="s">
        <v>324</v>
      </c>
      <c r="H4" s="10">
        <v>0.89400000000000002</v>
      </c>
      <c r="I4" s="10" t="s">
        <v>324</v>
      </c>
      <c r="J4" s="10" t="s">
        <v>324</v>
      </c>
      <c r="K4" s="10" t="s">
        <v>324</v>
      </c>
      <c r="L4" s="10" t="s">
        <v>324</v>
      </c>
      <c r="M4" s="10" t="s">
        <v>324</v>
      </c>
      <c r="N4" s="10" t="s">
        <v>324</v>
      </c>
      <c r="O4" s="10" t="s">
        <v>324</v>
      </c>
      <c r="P4" s="10" t="s">
        <v>324</v>
      </c>
      <c r="Q4" s="10" t="s">
        <v>324</v>
      </c>
      <c r="R4" s="10" t="s">
        <v>324</v>
      </c>
      <c r="S4" s="10" t="s">
        <v>324</v>
      </c>
      <c r="T4" s="10" t="s">
        <v>324</v>
      </c>
      <c r="U4" s="10" t="s">
        <v>324</v>
      </c>
      <c r="V4" s="10" t="s">
        <v>324</v>
      </c>
      <c r="W4" s="10" t="s">
        <v>324</v>
      </c>
      <c r="X4" s="10" t="s">
        <v>324</v>
      </c>
      <c r="Y4" s="10" t="s">
        <v>324</v>
      </c>
      <c r="Z4" s="10" t="s">
        <v>324</v>
      </c>
    </row>
    <row r="5" spans="1:26" ht="12" customHeight="1">
      <c r="A5" s="10"/>
      <c r="B5" s="10"/>
      <c r="C5" s="10"/>
      <c r="D5" s="10"/>
      <c r="E5" s="114" t="s">
        <v>729</v>
      </c>
      <c r="F5" s="384">
        <v>3.5099999999999999E-2</v>
      </c>
      <c r="G5" s="384">
        <v>8.9999999999999998E-4</v>
      </c>
      <c r="H5" s="384">
        <v>2.0000000000000001E-4</v>
      </c>
      <c r="I5" s="384">
        <v>4.0000000000000002E-4</v>
      </c>
      <c r="J5" s="384">
        <v>3.3E-3</v>
      </c>
      <c r="K5" s="384">
        <v>1.6500000000000001E-2</v>
      </c>
      <c r="L5" s="384">
        <v>1.3100000000000001E-2</v>
      </c>
      <c r="M5" s="384">
        <v>1.5699999999999999E-2</v>
      </c>
      <c r="N5" s="384">
        <v>4.65E-2</v>
      </c>
      <c r="O5" s="384">
        <v>3.15E-2</v>
      </c>
      <c r="P5" s="383">
        <v>6.9800000000000001E-2</v>
      </c>
      <c r="Q5" s="10">
        <v>0.1298</v>
      </c>
      <c r="R5" s="10">
        <v>0.29980000000000001</v>
      </c>
      <c r="S5" s="10">
        <v>0.56399999999999995</v>
      </c>
      <c r="T5" s="10">
        <v>0.56530000000000002</v>
      </c>
      <c r="U5" s="10">
        <v>0.66100000000000003</v>
      </c>
      <c r="V5" s="10">
        <v>0.79969999999999997</v>
      </c>
      <c r="W5" s="10" t="s">
        <v>324</v>
      </c>
      <c r="X5" s="10" t="s">
        <v>324</v>
      </c>
      <c r="Y5" s="10" t="s">
        <v>324</v>
      </c>
      <c r="Z5" s="10" t="s">
        <v>324</v>
      </c>
    </row>
    <row r="6" spans="1:26" ht="12" customHeight="1">
      <c r="A6" s="10"/>
      <c r="B6" s="10"/>
      <c r="C6" s="10"/>
      <c r="D6" s="10"/>
      <c r="E6" s="10" t="s">
        <v>743</v>
      </c>
      <c r="F6" s="10" t="s">
        <v>324</v>
      </c>
      <c r="G6" s="10" t="s">
        <v>324</v>
      </c>
      <c r="H6" s="10" t="s">
        <v>324</v>
      </c>
      <c r="I6" s="10" t="s">
        <v>324</v>
      </c>
      <c r="J6" s="10" t="s">
        <v>324</v>
      </c>
      <c r="K6" s="10" t="s">
        <v>324</v>
      </c>
      <c r="L6" s="10" t="s">
        <v>324</v>
      </c>
      <c r="M6" s="10" t="s">
        <v>324</v>
      </c>
      <c r="N6" s="10" t="s">
        <v>324</v>
      </c>
      <c r="O6" s="10" t="s">
        <v>324</v>
      </c>
      <c r="P6" s="10" t="s">
        <v>324</v>
      </c>
      <c r="Q6" s="10" t="s">
        <v>324</v>
      </c>
      <c r="R6" s="10" t="s">
        <v>324</v>
      </c>
      <c r="S6" s="10" t="s">
        <v>324</v>
      </c>
      <c r="T6" s="10" t="s">
        <v>324</v>
      </c>
      <c r="U6" s="10" t="s">
        <v>324</v>
      </c>
      <c r="V6" s="10" t="s">
        <v>324</v>
      </c>
      <c r="W6" s="10" t="s">
        <v>324</v>
      </c>
      <c r="X6" s="10" t="s">
        <v>324</v>
      </c>
      <c r="Y6" s="10" t="s">
        <v>324</v>
      </c>
      <c r="Z6" s="10" t="s">
        <v>324</v>
      </c>
    </row>
    <row r="7" spans="1:26" ht="12" customHeight="1">
      <c r="A7" s="10"/>
      <c r="B7" s="10"/>
      <c r="C7" s="10"/>
      <c r="D7" s="10"/>
      <c r="E7" s="10" t="s">
        <v>744</v>
      </c>
      <c r="F7" s="10" t="s">
        <v>324</v>
      </c>
      <c r="G7" s="10" t="s">
        <v>324</v>
      </c>
      <c r="H7" s="10" t="s">
        <v>324</v>
      </c>
      <c r="I7" s="10" t="s">
        <v>324</v>
      </c>
      <c r="J7" s="10" t="s">
        <v>324</v>
      </c>
      <c r="K7" s="10" t="s">
        <v>324</v>
      </c>
      <c r="L7" s="10" t="s">
        <v>324</v>
      </c>
      <c r="M7" s="10" t="s">
        <v>324</v>
      </c>
      <c r="N7" s="10" t="s">
        <v>324</v>
      </c>
      <c r="O7" s="10" t="s">
        <v>324</v>
      </c>
      <c r="P7" s="10" t="s">
        <v>324</v>
      </c>
      <c r="Q7" s="10" t="s">
        <v>324</v>
      </c>
      <c r="R7" s="10" t="s">
        <v>324</v>
      </c>
      <c r="S7" s="10" t="s">
        <v>324</v>
      </c>
      <c r="T7" s="10" t="s">
        <v>324</v>
      </c>
      <c r="U7" s="10" t="s">
        <v>324</v>
      </c>
      <c r="V7" s="10" t="s">
        <v>324</v>
      </c>
      <c r="W7" s="10" t="s">
        <v>324</v>
      </c>
      <c r="X7" s="10" t="s">
        <v>324</v>
      </c>
      <c r="Y7" s="10" t="s">
        <v>324</v>
      </c>
      <c r="Z7" s="10" t="s">
        <v>324</v>
      </c>
    </row>
    <row r="8" spans="1:26" ht="12" customHeight="1">
      <c r="A8" s="10"/>
      <c r="B8" s="10"/>
      <c r="C8" s="10"/>
      <c r="D8" s="10" t="s">
        <v>319</v>
      </c>
      <c r="E8" s="114" t="s">
        <v>727</v>
      </c>
      <c r="F8" s="10">
        <v>0.23</v>
      </c>
      <c r="G8" s="10">
        <v>0.41410000000000002</v>
      </c>
      <c r="H8" s="10">
        <v>0.13689999999999999</v>
      </c>
      <c r="I8" s="10">
        <v>0.5353</v>
      </c>
      <c r="J8" s="10" t="s">
        <v>324</v>
      </c>
      <c r="K8" s="10" t="s">
        <v>324</v>
      </c>
      <c r="L8" s="10" t="s">
        <v>324</v>
      </c>
      <c r="M8" s="10" t="s">
        <v>324</v>
      </c>
      <c r="N8" s="10" t="s">
        <v>324</v>
      </c>
      <c r="O8" s="10" t="s">
        <v>324</v>
      </c>
      <c r="P8" s="10" t="s">
        <v>324</v>
      </c>
      <c r="Q8" s="10" t="s">
        <v>324</v>
      </c>
      <c r="R8" s="10" t="s">
        <v>324</v>
      </c>
      <c r="S8" s="10" t="s">
        <v>324</v>
      </c>
      <c r="T8" s="10" t="s">
        <v>324</v>
      </c>
      <c r="U8" s="10" t="s">
        <v>324</v>
      </c>
      <c r="V8" s="10" t="s">
        <v>324</v>
      </c>
      <c r="W8" s="10" t="s">
        <v>324</v>
      </c>
      <c r="X8" s="10" t="s">
        <v>324</v>
      </c>
      <c r="Y8" s="10" t="s">
        <v>324</v>
      </c>
      <c r="Z8" s="10" t="s">
        <v>324</v>
      </c>
    </row>
    <row r="9" spans="1:26" ht="12" customHeight="1">
      <c r="A9" s="10"/>
      <c r="B9" s="10"/>
      <c r="C9" s="10"/>
      <c r="D9" s="10"/>
      <c r="E9" s="114" t="s">
        <v>728</v>
      </c>
      <c r="F9" s="10">
        <v>0.13519999999999999</v>
      </c>
      <c r="G9" s="384">
        <v>2.8899999999999999E-2</v>
      </c>
      <c r="H9" s="10">
        <v>0.29480000000000001</v>
      </c>
      <c r="I9" s="10">
        <v>0.38129999999999997</v>
      </c>
      <c r="J9" s="10" t="s">
        <v>324</v>
      </c>
      <c r="K9" s="10" t="s">
        <v>324</v>
      </c>
      <c r="L9" s="10">
        <v>0.93579999999999997</v>
      </c>
      <c r="M9" s="10">
        <v>0.72470000000000001</v>
      </c>
      <c r="N9" s="10">
        <v>0.41789999999999999</v>
      </c>
      <c r="O9" s="10">
        <v>0.25490000000000002</v>
      </c>
      <c r="P9" s="10">
        <v>0.2026</v>
      </c>
      <c r="Q9" s="10">
        <v>0.15939999999999999</v>
      </c>
      <c r="R9" s="10">
        <v>0.1124</v>
      </c>
      <c r="S9" s="10">
        <v>0.13170000000000001</v>
      </c>
      <c r="T9" s="10">
        <v>0.1008</v>
      </c>
      <c r="U9" s="10">
        <v>0.1217</v>
      </c>
      <c r="V9" s="10">
        <v>0.1273</v>
      </c>
      <c r="W9" s="10">
        <v>0.13800000000000001</v>
      </c>
      <c r="X9" s="383">
        <v>7.51E-2</v>
      </c>
      <c r="Y9" s="383">
        <v>9.06E-2</v>
      </c>
      <c r="Z9" s="10">
        <v>0.1176</v>
      </c>
    </row>
    <row r="10" spans="1:26" ht="12" customHeight="1">
      <c r="A10" s="10"/>
      <c r="B10" s="10"/>
      <c r="C10" s="10"/>
      <c r="D10" s="10"/>
      <c r="E10" s="114" t="s">
        <v>729</v>
      </c>
      <c r="F10" s="384">
        <v>2.9999999999999997E-4</v>
      </c>
      <c r="G10" s="384">
        <v>1E-4</v>
      </c>
      <c r="H10" s="384">
        <v>4.0000000000000002E-4</v>
      </c>
      <c r="I10" s="384">
        <v>3.3E-3</v>
      </c>
      <c r="J10" s="384">
        <v>4.8899999999999999E-2</v>
      </c>
      <c r="K10" s="10">
        <v>0.13139999999999999</v>
      </c>
      <c r="L10" s="10">
        <v>0.1021</v>
      </c>
      <c r="M10" s="384">
        <v>2.0799999999999999E-2</v>
      </c>
      <c r="N10" s="384">
        <v>2.7400000000000001E-2</v>
      </c>
      <c r="O10" s="384">
        <v>1.61E-2</v>
      </c>
      <c r="P10" s="384">
        <v>4.0899999999999999E-2</v>
      </c>
      <c r="Q10" s="383">
        <v>8.4900000000000003E-2</v>
      </c>
      <c r="R10" s="10">
        <v>0.307</v>
      </c>
      <c r="S10" s="10">
        <v>0.55449999999999999</v>
      </c>
      <c r="T10" s="10">
        <v>0.60670000000000002</v>
      </c>
      <c r="U10" s="10">
        <v>0.56950000000000001</v>
      </c>
      <c r="V10" s="10">
        <v>0.61399999999999999</v>
      </c>
      <c r="W10" s="10">
        <v>0.65710000000000002</v>
      </c>
      <c r="X10" s="10">
        <v>0.69199999999999995</v>
      </c>
      <c r="Y10" s="10">
        <v>0.94240000000000002</v>
      </c>
      <c r="Z10" s="10" t="s">
        <v>324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7"/>
  <sheetViews>
    <sheetView topLeftCell="A78" zoomScaleNormal="100" workbookViewId="0">
      <pane xSplit="1" topLeftCell="B1" activePane="topRight" state="frozen"/>
      <selection pane="topRight" activeCell="Q57" sqref="Q57:W80"/>
      <selection activeCell="A7" sqref="A7"/>
    </sheetView>
  </sheetViews>
  <sheetFormatPr defaultColWidth="9.5" defaultRowHeight="12" customHeight="1"/>
  <cols>
    <col min="1" max="1" width="9.5" style="12" customWidth="1"/>
    <col min="2" max="2" width="13.625" style="12" bestFit="1" customWidth="1"/>
    <col min="3" max="6" width="9.5" style="12" customWidth="1"/>
    <col min="7" max="7" width="11.125" style="12" bestFit="1" customWidth="1"/>
    <col min="8" max="59" width="9.5" style="12" customWidth="1"/>
    <col min="60" max="60" width="9.5" style="12"/>
    <col min="61" max="62" width="9.625" style="12" bestFit="1" customWidth="1"/>
    <col min="63" max="16384" width="9.5" style="12"/>
  </cols>
  <sheetData>
    <row r="1" spans="1:92" s="3" customFormat="1" ht="12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I1" s="1" t="s">
        <v>4</v>
      </c>
      <c r="J1" s="1" t="s">
        <v>5</v>
      </c>
      <c r="L1" s="60"/>
      <c r="M1" s="60"/>
      <c r="N1" s="60"/>
      <c r="O1" s="60"/>
      <c r="P1" s="60"/>
      <c r="Q1" s="62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</row>
    <row r="2" spans="1:92" s="3" customFormat="1" ht="12" customHeight="1">
      <c r="L2" s="60"/>
      <c r="M2" s="60"/>
      <c r="N2" s="61"/>
      <c r="O2" s="60"/>
      <c r="P2" s="61"/>
      <c r="Q2" s="60"/>
      <c r="R2" s="61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L2" s="60"/>
      <c r="AM2" s="60"/>
      <c r="AN2" s="60"/>
      <c r="AO2" s="60"/>
      <c r="AP2" s="60"/>
      <c r="AQ2" s="60"/>
      <c r="AS2" s="60"/>
      <c r="AT2" s="60"/>
      <c r="AU2" s="60"/>
      <c r="AV2" s="60"/>
      <c r="AW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</row>
    <row r="3" spans="1:92" s="60" customFormat="1" ht="12" customHeight="1">
      <c r="A3" s="4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5" t="s">
        <v>194</v>
      </c>
      <c r="H3" s="4" t="s">
        <v>195</v>
      </c>
      <c r="I3" s="6" t="s">
        <v>196</v>
      </c>
      <c r="J3" s="5" t="s">
        <v>197</v>
      </c>
      <c r="K3" s="6" t="s">
        <v>198</v>
      </c>
      <c r="L3" s="5" t="s">
        <v>199</v>
      </c>
      <c r="M3" s="5" t="s">
        <v>200</v>
      </c>
      <c r="N3" s="6" t="s">
        <v>201</v>
      </c>
      <c r="O3" s="4" t="s">
        <v>202</v>
      </c>
      <c r="P3" s="5" t="s">
        <v>203</v>
      </c>
      <c r="Q3" s="5" t="s">
        <v>204</v>
      </c>
      <c r="R3" s="4" t="s">
        <v>205</v>
      </c>
      <c r="S3" s="5" t="s">
        <v>206</v>
      </c>
      <c r="T3" s="5" t="s">
        <v>207</v>
      </c>
      <c r="U3" s="4" t="s">
        <v>208</v>
      </c>
      <c r="V3" s="5" t="s">
        <v>209</v>
      </c>
      <c r="W3" s="6" t="s">
        <v>210</v>
      </c>
      <c r="X3" s="5" t="s">
        <v>211</v>
      </c>
      <c r="Y3" s="5" t="s">
        <v>212</v>
      </c>
      <c r="Z3" s="6" t="s">
        <v>213</v>
      </c>
      <c r="AA3" s="5" t="s">
        <v>214</v>
      </c>
      <c r="AB3" s="5" t="s">
        <v>215</v>
      </c>
      <c r="AC3" s="6" t="s">
        <v>216</v>
      </c>
      <c r="AD3" s="5" t="s">
        <v>217</v>
      </c>
      <c r="AE3" s="5" t="s">
        <v>218</v>
      </c>
      <c r="AF3" s="6" t="s">
        <v>219</v>
      </c>
      <c r="AG3" s="4" t="s">
        <v>220</v>
      </c>
      <c r="AH3" s="5" t="s">
        <v>221</v>
      </c>
      <c r="AI3" s="6" t="s">
        <v>222</v>
      </c>
      <c r="AJ3" s="4" t="s">
        <v>223</v>
      </c>
      <c r="AK3" s="5" t="s">
        <v>224</v>
      </c>
      <c r="AL3" s="6" t="s">
        <v>225</v>
      </c>
      <c r="AM3" s="5" t="s">
        <v>226</v>
      </c>
      <c r="AN3" s="5" t="s">
        <v>227</v>
      </c>
      <c r="AO3" s="6" t="s">
        <v>228</v>
      </c>
      <c r="AP3" s="5" t="s">
        <v>229</v>
      </c>
      <c r="AQ3" s="5" t="s">
        <v>230</v>
      </c>
      <c r="AR3" s="6" t="s">
        <v>231</v>
      </c>
      <c r="AS3" s="5" t="s">
        <v>232</v>
      </c>
      <c r="AT3" s="5" t="s">
        <v>233</v>
      </c>
      <c r="AU3" s="6" t="s">
        <v>234</v>
      </c>
      <c r="AV3" s="5" t="s">
        <v>235</v>
      </c>
      <c r="AW3" s="5" t="s">
        <v>236</v>
      </c>
      <c r="AX3" s="6" t="s">
        <v>237</v>
      </c>
      <c r="AY3" s="4" t="s">
        <v>238</v>
      </c>
      <c r="AZ3" s="5" t="s">
        <v>239</v>
      </c>
      <c r="BA3" s="6" t="s">
        <v>240</v>
      </c>
      <c r="BB3" s="4" t="s">
        <v>241</v>
      </c>
      <c r="BC3" s="5" t="s">
        <v>242</v>
      </c>
      <c r="BD3" s="6" t="s">
        <v>243</v>
      </c>
      <c r="BE3" s="5" t="s">
        <v>244</v>
      </c>
      <c r="BF3" s="5" t="s">
        <v>245</v>
      </c>
      <c r="BG3" s="6" t="s">
        <v>246</v>
      </c>
      <c r="BH3" s="5" t="s">
        <v>247</v>
      </c>
      <c r="BI3" s="5" t="s">
        <v>248</v>
      </c>
      <c r="BJ3" s="6" t="s">
        <v>249</v>
      </c>
      <c r="BK3" s="4" t="s">
        <v>250</v>
      </c>
      <c r="BL3" s="5" t="s">
        <v>251</v>
      </c>
      <c r="BM3" s="6" t="s">
        <v>252</v>
      </c>
      <c r="BN3" s="4" t="s">
        <v>253</v>
      </c>
      <c r="BO3" s="5" t="s">
        <v>254</v>
      </c>
      <c r="BP3" s="6" t="s">
        <v>255</v>
      </c>
      <c r="BQ3" s="4" t="s">
        <v>256</v>
      </c>
      <c r="BR3" s="5" t="s">
        <v>257</v>
      </c>
      <c r="BS3" s="6" t="s">
        <v>258</v>
      </c>
      <c r="BT3"/>
      <c r="BU3"/>
      <c r="BV3"/>
      <c r="BW3"/>
      <c r="BX3" s="114"/>
      <c r="BY3" s="144" t="s">
        <v>259</v>
      </c>
      <c r="BZ3" s="144" t="s">
        <v>259</v>
      </c>
      <c r="CA3" s="114"/>
      <c r="CB3" s="114"/>
      <c r="CC3"/>
      <c r="CD3"/>
      <c r="CE3"/>
      <c r="CF3"/>
      <c r="CG3"/>
      <c r="CH3"/>
      <c r="CI3"/>
      <c r="CJ3"/>
      <c r="CK3"/>
      <c r="CL3"/>
      <c r="CM3"/>
      <c r="CN3"/>
    </row>
    <row r="4" spans="1:92" s="60" customFormat="1" ht="12" customHeight="1">
      <c r="A4" s="131" t="s">
        <v>260</v>
      </c>
      <c r="B4" s="116" t="s">
        <v>261</v>
      </c>
      <c r="C4" s="142">
        <v>42548</v>
      </c>
      <c r="D4" s="12" t="s">
        <v>26</v>
      </c>
      <c r="E4" s="10" t="s">
        <v>262</v>
      </c>
      <c r="F4" s="11">
        <v>42587</v>
      </c>
      <c r="G4" s="10" t="s">
        <v>263</v>
      </c>
      <c r="H4" s="63">
        <v>20</v>
      </c>
      <c r="I4" s="64">
        <f>H15-H4</f>
        <v>-0.74250000000000327</v>
      </c>
      <c r="J4" s="62">
        <v>20.47</v>
      </c>
      <c r="K4" s="64">
        <f t="shared" ref="K4:K13" si="0">J4-H4</f>
        <v>0.46999999999999886</v>
      </c>
      <c r="L4" s="10">
        <v>20.68</v>
      </c>
      <c r="M4" s="62">
        <f t="shared" ref="M4:M8" si="1">L4-J4</f>
        <v>0.21000000000000085</v>
      </c>
      <c r="N4" s="64">
        <f t="shared" ref="N4:N8" si="2">K4+M4</f>
        <v>0.67999999999999972</v>
      </c>
      <c r="O4" s="63">
        <v>20.59</v>
      </c>
      <c r="P4" s="62">
        <f>O4-L4</f>
        <v>-8.9999999999999858E-2</v>
      </c>
      <c r="Q4" s="64">
        <f>N4+P4</f>
        <v>0.58999999999999986</v>
      </c>
      <c r="R4" s="63">
        <v>20.53</v>
      </c>
      <c r="S4" s="62">
        <f t="shared" ref="S4:S8" si="3">R4-O4</f>
        <v>-5.9999999999998721E-2</v>
      </c>
      <c r="T4" s="64">
        <f t="shared" ref="T4:T8" si="4">Q4+S4</f>
        <v>0.53000000000000114</v>
      </c>
      <c r="U4" s="63">
        <v>20.61</v>
      </c>
      <c r="V4" s="62">
        <f>U4-R4</f>
        <v>7.9999999999998295E-2</v>
      </c>
      <c r="W4" s="64">
        <f>T4+V4</f>
        <v>0.60999999999999943</v>
      </c>
      <c r="X4" s="62">
        <v>20.77</v>
      </c>
      <c r="Y4" s="62">
        <f>X4-U4</f>
        <v>0.16000000000000014</v>
      </c>
      <c r="Z4" s="64">
        <f>W4+Y4</f>
        <v>0.76999999999999957</v>
      </c>
      <c r="AA4" s="62">
        <v>21.24</v>
      </c>
      <c r="AB4" s="62">
        <f>AA4-X4</f>
        <v>0.46999999999999886</v>
      </c>
      <c r="AC4" s="64">
        <f>Z4+AB4</f>
        <v>1.2399999999999984</v>
      </c>
      <c r="AD4" s="62">
        <v>21.5</v>
      </c>
      <c r="AE4" s="62">
        <f>AD4-AA4</f>
        <v>0.26000000000000156</v>
      </c>
      <c r="AF4" s="64">
        <f>AC4+AE4</f>
        <v>1.5</v>
      </c>
      <c r="AG4" s="63">
        <v>21.93</v>
      </c>
      <c r="AH4" s="62">
        <f t="shared" ref="AH4:AH8" si="5">AG4-AD4</f>
        <v>0.42999999999999972</v>
      </c>
      <c r="AI4" s="64">
        <f t="shared" ref="AI4:AI8" si="6">AF4+AH4</f>
        <v>1.9299999999999997</v>
      </c>
      <c r="AJ4" s="63">
        <v>22.16</v>
      </c>
      <c r="AK4" s="62">
        <f>AJ4-AG4</f>
        <v>0.23000000000000043</v>
      </c>
      <c r="AL4" s="64">
        <f>AI4+AK4</f>
        <v>2.16</v>
      </c>
      <c r="AM4" s="62">
        <v>21.74</v>
      </c>
      <c r="AN4" s="62">
        <f t="shared" ref="AN4:AN8" si="7">AM4-AJ4</f>
        <v>-0.42000000000000171</v>
      </c>
      <c r="AO4" s="64">
        <f t="shared" ref="AO4:AO8" si="8">AL4+AN4</f>
        <v>1.7399999999999984</v>
      </c>
      <c r="AP4" s="62">
        <v>22.04</v>
      </c>
      <c r="AQ4" s="62">
        <f t="shared" ref="AQ4:AQ8" si="9">AP4-AM4</f>
        <v>0.30000000000000071</v>
      </c>
      <c r="AR4" s="64">
        <f t="shared" ref="AR4:AR8" si="10">AO4+AQ4</f>
        <v>2.0399999999999991</v>
      </c>
      <c r="AS4" s="62">
        <v>22.01</v>
      </c>
      <c r="AT4" s="62">
        <f t="shared" ref="AT4:AT8" si="11">AS4-AP4</f>
        <v>-2.9999999999997584E-2</v>
      </c>
      <c r="AU4" s="64">
        <f t="shared" ref="AU4:AU8" si="12">AR4+AT4</f>
        <v>2.0100000000000016</v>
      </c>
      <c r="AV4" s="62">
        <v>21.92</v>
      </c>
      <c r="AW4" s="62">
        <f t="shared" ref="AW4:AW8" si="13">AV4-AS4</f>
        <v>-8.9999999999999858E-2</v>
      </c>
      <c r="AX4" s="64">
        <f t="shared" ref="AX4:AX8" si="14">AU4+AW4</f>
        <v>1.9200000000000017</v>
      </c>
      <c r="AY4" s="63">
        <v>22.35</v>
      </c>
      <c r="AZ4" s="62">
        <f t="shared" ref="AZ4:AZ8" si="15">AY4-AV4</f>
        <v>0.42999999999999972</v>
      </c>
      <c r="BA4" s="64">
        <f t="shared" ref="BA4:BA8" si="16">AX4+AZ4</f>
        <v>2.3500000000000014</v>
      </c>
      <c r="BB4" s="63">
        <v>22.49</v>
      </c>
      <c r="BC4" s="62">
        <f t="shared" ref="BC4:BC8" si="17">BB4-AY4</f>
        <v>0.13999999999999702</v>
      </c>
      <c r="BD4" s="64">
        <f t="shared" ref="BD4:BD8" si="18">BA4+BC4</f>
        <v>2.4899999999999984</v>
      </c>
      <c r="BE4" s="62">
        <v>22.24</v>
      </c>
      <c r="BF4" s="62">
        <f>BE4-BB4</f>
        <v>-0.25</v>
      </c>
      <c r="BG4" s="64">
        <f>BD4+BF4</f>
        <v>2.2399999999999984</v>
      </c>
      <c r="BH4" s="62">
        <v>22.53</v>
      </c>
      <c r="BI4" s="62">
        <f>BH4-BE4</f>
        <v>0.2900000000000027</v>
      </c>
      <c r="BJ4" s="64">
        <f>BG4+BI4</f>
        <v>2.5300000000000011</v>
      </c>
      <c r="BK4" s="63">
        <v>22.88</v>
      </c>
      <c r="BL4" s="62">
        <f t="shared" ref="BL4:BL8" si="19">BK4-BH4</f>
        <v>0.34999999999999787</v>
      </c>
      <c r="BM4" s="64">
        <f t="shared" ref="BM4:BM8" si="20">BJ4+BL4</f>
        <v>2.879999999999999</v>
      </c>
      <c r="BN4" s="63">
        <v>23.08</v>
      </c>
      <c r="BO4" s="62">
        <f>BN4-BK4</f>
        <v>0.19999999999999929</v>
      </c>
      <c r="BP4" s="64">
        <f>BM4+BO4</f>
        <v>3.0799999999999983</v>
      </c>
      <c r="BQ4" s="63">
        <v>23.03</v>
      </c>
      <c r="BR4" s="62">
        <f t="shared" ref="BR4:BR8" si="21">BQ4-BN4</f>
        <v>-4.9999999999997158E-2</v>
      </c>
      <c r="BS4" s="130">
        <f t="shared" ref="BS4:BS8" si="22">BM4+BR4</f>
        <v>2.8300000000000018</v>
      </c>
      <c r="BT4"/>
      <c r="BU4"/>
      <c r="BV4"/>
      <c r="BW4"/>
      <c r="BX4" s="114" t="s">
        <v>264</v>
      </c>
      <c r="BY4" s="63">
        <v>12.99</v>
      </c>
      <c r="BZ4" s="63">
        <v>12.99</v>
      </c>
      <c r="CA4" s="114"/>
      <c r="CB4" s="114"/>
      <c r="CC4"/>
      <c r="CD4"/>
      <c r="CE4"/>
      <c r="CF4"/>
      <c r="CG4"/>
      <c r="CH4"/>
      <c r="CI4"/>
      <c r="CJ4"/>
      <c r="CK4"/>
      <c r="CL4"/>
      <c r="CM4"/>
      <c r="CN4"/>
    </row>
    <row r="5" spans="1:92" s="60" customFormat="1" ht="12" customHeight="1">
      <c r="A5" s="9" t="s">
        <v>265</v>
      </c>
      <c r="B5" s="116" t="s">
        <v>266</v>
      </c>
      <c r="C5" s="142">
        <v>42549</v>
      </c>
      <c r="D5" s="12" t="s">
        <v>26</v>
      </c>
      <c r="E5" s="10" t="s">
        <v>262</v>
      </c>
      <c r="F5" s="11">
        <v>42587</v>
      </c>
      <c r="G5" s="10" t="s">
        <v>263</v>
      </c>
      <c r="H5" s="63">
        <v>18.52</v>
      </c>
      <c r="I5" s="64">
        <f>H15-H5</f>
        <v>0.73749999999999716</v>
      </c>
      <c r="J5" s="62">
        <v>18.14</v>
      </c>
      <c r="K5" s="64">
        <f t="shared" si="0"/>
        <v>-0.37999999999999901</v>
      </c>
      <c r="L5" s="10">
        <v>18.71</v>
      </c>
      <c r="M5" s="62">
        <f t="shared" si="1"/>
        <v>0.57000000000000028</v>
      </c>
      <c r="N5" s="64">
        <f t="shared" si="2"/>
        <v>0.19000000000000128</v>
      </c>
      <c r="O5" s="63">
        <v>18.78</v>
      </c>
      <c r="P5" s="62">
        <f t="shared" ref="P5:P6" si="23">O5-L5</f>
        <v>7.0000000000000284E-2</v>
      </c>
      <c r="Q5" s="64">
        <f t="shared" ref="Q5:Q6" si="24">N5+P5</f>
        <v>0.26000000000000156</v>
      </c>
      <c r="R5" s="63">
        <v>19.12</v>
      </c>
      <c r="S5" s="62">
        <f t="shared" si="3"/>
        <v>0.33999999999999986</v>
      </c>
      <c r="T5" s="64">
        <f t="shared" si="4"/>
        <v>0.60000000000000142</v>
      </c>
      <c r="U5" s="63">
        <v>19.36</v>
      </c>
      <c r="V5" s="62">
        <f t="shared" ref="V5:V6" si="25">U5-R5</f>
        <v>0.23999999999999844</v>
      </c>
      <c r="W5" s="64">
        <f t="shared" ref="W5:W6" si="26">T5+V5</f>
        <v>0.83999999999999986</v>
      </c>
      <c r="X5" s="62">
        <v>19.57</v>
      </c>
      <c r="Y5" s="62">
        <f>X5-U5</f>
        <v>0.21000000000000085</v>
      </c>
      <c r="Z5" s="64">
        <f t="shared" ref="Z5:Z6" si="27">W5+Y5</f>
        <v>1.0500000000000007</v>
      </c>
      <c r="AA5" s="62">
        <v>20.079999999999998</v>
      </c>
      <c r="AB5" s="62">
        <f t="shared" ref="AB5:AB6" si="28">AA5-X5</f>
        <v>0.50999999999999801</v>
      </c>
      <c r="AC5" s="64">
        <f t="shared" ref="AC5:AC6" si="29">Z5+AB5</f>
        <v>1.5599999999999987</v>
      </c>
      <c r="AD5" s="62">
        <v>20.350000000000001</v>
      </c>
      <c r="AE5" s="62">
        <f t="shared" ref="AE5:AE6" si="30">AD5-AA5</f>
        <v>0.27000000000000313</v>
      </c>
      <c r="AF5" s="64">
        <f t="shared" ref="AF5:AF6" si="31">AC5+AE5</f>
        <v>1.8300000000000018</v>
      </c>
      <c r="AG5" s="63">
        <v>20.7</v>
      </c>
      <c r="AH5" s="62">
        <f t="shared" si="5"/>
        <v>0.34999999999999787</v>
      </c>
      <c r="AI5" s="64">
        <f t="shared" si="6"/>
        <v>2.1799999999999997</v>
      </c>
      <c r="AJ5" s="63">
        <v>21.03</v>
      </c>
      <c r="AK5" s="62">
        <f t="shared" ref="AK5:AK6" si="32">AJ5-AG5</f>
        <v>0.33000000000000185</v>
      </c>
      <c r="AL5" s="64">
        <f t="shared" ref="AL5:AL6" si="33">AI5+AK5</f>
        <v>2.5100000000000016</v>
      </c>
      <c r="AM5" s="62">
        <v>21.19</v>
      </c>
      <c r="AN5" s="62">
        <f t="shared" si="7"/>
        <v>0.16000000000000014</v>
      </c>
      <c r="AO5" s="64">
        <f t="shared" si="8"/>
        <v>2.6700000000000017</v>
      </c>
      <c r="AP5" s="62">
        <v>21.59</v>
      </c>
      <c r="AQ5" s="62">
        <f t="shared" si="9"/>
        <v>0.39999999999999858</v>
      </c>
      <c r="AR5" s="64">
        <f t="shared" si="10"/>
        <v>3.0700000000000003</v>
      </c>
      <c r="AS5" s="62">
        <v>21.56</v>
      </c>
      <c r="AT5" s="62">
        <f t="shared" si="11"/>
        <v>-3.0000000000001137E-2</v>
      </c>
      <c r="AU5" s="64">
        <f t="shared" si="12"/>
        <v>3.0399999999999991</v>
      </c>
      <c r="AV5" s="62">
        <v>21.51</v>
      </c>
      <c r="AW5" s="62">
        <f t="shared" si="13"/>
        <v>-4.9999999999997158E-2</v>
      </c>
      <c r="AX5" s="64">
        <f t="shared" si="14"/>
        <v>2.990000000000002</v>
      </c>
      <c r="AY5" s="63">
        <v>21.64</v>
      </c>
      <c r="AZ5" s="62">
        <f t="shared" si="15"/>
        <v>0.12999999999999901</v>
      </c>
      <c r="BA5" s="64">
        <f t="shared" si="16"/>
        <v>3.120000000000001</v>
      </c>
      <c r="BB5" s="63">
        <v>21.81</v>
      </c>
      <c r="BC5" s="62">
        <f t="shared" si="17"/>
        <v>0.16999999999999815</v>
      </c>
      <c r="BD5" s="64">
        <f t="shared" si="18"/>
        <v>3.2899999999999991</v>
      </c>
      <c r="BE5" s="62">
        <v>22.01</v>
      </c>
      <c r="BF5" s="62">
        <f t="shared" ref="BF5:BF6" si="34">BE5-BB5</f>
        <v>0.20000000000000284</v>
      </c>
      <c r="BG5" s="64">
        <f t="shared" ref="BG5:BG6" si="35">BD5+BF5</f>
        <v>3.490000000000002</v>
      </c>
      <c r="BH5" s="62">
        <v>22.06</v>
      </c>
      <c r="BI5" s="62">
        <f t="shared" ref="BI5:BI6" si="36">BH5-BE5</f>
        <v>4.9999999999997158E-2</v>
      </c>
      <c r="BJ5" s="64">
        <f t="shared" ref="BJ5:BJ6" si="37">BG5+BI5</f>
        <v>3.5399999999999991</v>
      </c>
      <c r="BK5" s="63">
        <v>22.46</v>
      </c>
      <c r="BL5" s="62">
        <f t="shared" si="19"/>
        <v>0.40000000000000213</v>
      </c>
      <c r="BM5" s="64">
        <f t="shared" si="20"/>
        <v>3.9400000000000013</v>
      </c>
      <c r="BN5" s="63">
        <v>22.42</v>
      </c>
      <c r="BO5" s="62">
        <f t="shared" ref="BO5:BO6" si="38">BN5-BK5</f>
        <v>-3.9999999999999147E-2</v>
      </c>
      <c r="BP5" s="64">
        <f t="shared" ref="BP5:BP6" si="39">BM5+BO5</f>
        <v>3.9000000000000021</v>
      </c>
      <c r="BQ5" s="63">
        <v>22.02</v>
      </c>
      <c r="BR5" s="62">
        <f t="shared" si="21"/>
        <v>-0.40000000000000213</v>
      </c>
      <c r="BS5" s="214">
        <f t="shared" si="22"/>
        <v>3.5399999999999991</v>
      </c>
      <c r="BT5"/>
      <c r="BU5"/>
      <c r="BV5"/>
      <c r="BW5"/>
      <c r="BX5" s="114"/>
      <c r="BY5" s="63">
        <v>16.420000000000002</v>
      </c>
      <c r="BZ5" s="63">
        <v>16.420000000000002</v>
      </c>
      <c r="CA5" s="114"/>
      <c r="CB5" s="114"/>
      <c r="CC5"/>
      <c r="CD5"/>
      <c r="CE5"/>
      <c r="CF5"/>
      <c r="CG5"/>
      <c r="CH5"/>
      <c r="CI5"/>
      <c r="CJ5"/>
      <c r="CK5"/>
      <c r="CL5"/>
      <c r="CM5"/>
      <c r="CN5"/>
    </row>
    <row r="6" spans="1:92" s="60" customFormat="1" ht="12" customHeight="1">
      <c r="A6" s="9" t="s">
        <v>267</v>
      </c>
      <c r="B6" s="116" t="s">
        <v>268</v>
      </c>
      <c r="C6" s="11">
        <v>42550</v>
      </c>
      <c r="D6" s="12" t="s">
        <v>26</v>
      </c>
      <c r="E6" s="10" t="s">
        <v>262</v>
      </c>
      <c r="F6" s="11">
        <v>42587</v>
      </c>
      <c r="G6" s="10" t="s">
        <v>263</v>
      </c>
      <c r="H6" s="63">
        <v>17.91</v>
      </c>
      <c r="I6" s="64">
        <f>H15-H6</f>
        <v>1.3474999999999966</v>
      </c>
      <c r="J6" s="62">
        <v>17.739999999999998</v>
      </c>
      <c r="K6" s="64">
        <f t="shared" si="0"/>
        <v>-0.17000000000000171</v>
      </c>
      <c r="L6" s="10">
        <v>18.420000000000002</v>
      </c>
      <c r="M6" s="62">
        <f t="shared" si="1"/>
        <v>0.68000000000000327</v>
      </c>
      <c r="N6" s="64">
        <f t="shared" si="2"/>
        <v>0.51000000000000156</v>
      </c>
      <c r="O6" s="63">
        <v>18.57</v>
      </c>
      <c r="P6" s="62">
        <f t="shared" si="23"/>
        <v>0.14999999999999858</v>
      </c>
      <c r="Q6" s="64">
        <f t="shared" si="24"/>
        <v>0.66000000000000014</v>
      </c>
      <c r="R6" s="63">
        <v>18.920000000000002</v>
      </c>
      <c r="S6" s="62">
        <f t="shared" si="3"/>
        <v>0.35000000000000142</v>
      </c>
      <c r="T6" s="64">
        <f t="shared" si="4"/>
        <v>1.0100000000000016</v>
      </c>
      <c r="U6" s="63">
        <v>19.11</v>
      </c>
      <c r="V6" s="62">
        <f t="shared" si="25"/>
        <v>0.18999999999999773</v>
      </c>
      <c r="W6" s="64">
        <f t="shared" si="26"/>
        <v>1.1999999999999993</v>
      </c>
      <c r="X6" s="62">
        <v>19.239999999999998</v>
      </c>
      <c r="Y6" s="62">
        <f t="shared" ref="Y6" si="40">X6-U6</f>
        <v>0.12999999999999901</v>
      </c>
      <c r="Z6" s="64">
        <f t="shared" si="27"/>
        <v>1.3299999999999983</v>
      </c>
      <c r="AA6" s="62">
        <v>19.52</v>
      </c>
      <c r="AB6" s="62">
        <f t="shared" si="28"/>
        <v>0.28000000000000114</v>
      </c>
      <c r="AC6" s="64">
        <f t="shared" si="29"/>
        <v>1.6099999999999994</v>
      </c>
      <c r="AD6" s="62">
        <v>19.45</v>
      </c>
      <c r="AE6" s="62">
        <f t="shared" si="30"/>
        <v>-7.0000000000000284E-2</v>
      </c>
      <c r="AF6" s="214">
        <f t="shared" si="31"/>
        <v>1.5399999999999991</v>
      </c>
      <c r="AG6" s="62">
        <v>19.66</v>
      </c>
      <c r="AH6" s="62">
        <f t="shared" si="5"/>
        <v>0.21000000000000085</v>
      </c>
      <c r="AI6" s="64">
        <f t="shared" si="6"/>
        <v>1.75</v>
      </c>
      <c r="AJ6" s="63">
        <v>19.52</v>
      </c>
      <c r="AK6" s="62">
        <f t="shared" si="32"/>
        <v>-0.14000000000000057</v>
      </c>
      <c r="AL6" s="64">
        <f t="shared" si="33"/>
        <v>1.6099999999999994</v>
      </c>
      <c r="AM6" s="62">
        <v>19.79</v>
      </c>
      <c r="AN6" s="62">
        <f t="shared" si="7"/>
        <v>0.26999999999999957</v>
      </c>
      <c r="AO6" s="64">
        <f t="shared" si="8"/>
        <v>1.879999999999999</v>
      </c>
      <c r="AP6" s="62">
        <v>20.27</v>
      </c>
      <c r="AQ6" s="62">
        <f t="shared" si="9"/>
        <v>0.48000000000000043</v>
      </c>
      <c r="AR6" s="64">
        <f t="shared" si="10"/>
        <v>2.3599999999999994</v>
      </c>
      <c r="AS6" s="62">
        <v>19.98</v>
      </c>
      <c r="AT6" s="62">
        <f t="shared" si="11"/>
        <v>-0.28999999999999915</v>
      </c>
      <c r="AU6" s="64">
        <f t="shared" si="12"/>
        <v>2.0700000000000003</v>
      </c>
      <c r="AV6" s="62">
        <v>20.03</v>
      </c>
      <c r="AW6" s="62">
        <f t="shared" si="13"/>
        <v>5.0000000000000711E-2</v>
      </c>
      <c r="AX6" s="64">
        <f t="shared" si="14"/>
        <v>2.120000000000001</v>
      </c>
      <c r="AY6" s="63">
        <v>20.28</v>
      </c>
      <c r="AZ6" s="62">
        <f t="shared" si="15"/>
        <v>0.25</v>
      </c>
      <c r="BA6" s="64">
        <f t="shared" si="16"/>
        <v>2.370000000000001</v>
      </c>
      <c r="BB6" s="63">
        <v>20.32</v>
      </c>
      <c r="BC6" s="62">
        <f t="shared" si="17"/>
        <v>3.9999999999999147E-2</v>
      </c>
      <c r="BD6" s="64">
        <f t="shared" si="18"/>
        <v>2.41</v>
      </c>
      <c r="BE6" s="62">
        <v>20.37</v>
      </c>
      <c r="BF6" s="62">
        <f t="shared" si="34"/>
        <v>5.0000000000000711E-2</v>
      </c>
      <c r="BG6" s="64">
        <f t="shared" si="35"/>
        <v>2.4600000000000009</v>
      </c>
      <c r="BH6" s="62">
        <v>20.54</v>
      </c>
      <c r="BI6" s="62">
        <f t="shared" si="36"/>
        <v>0.16999999999999815</v>
      </c>
      <c r="BJ6" s="64">
        <f t="shared" si="37"/>
        <v>2.629999999999999</v>
      </c>
      <c r="BK6" s="63">
        <v>20.440000000000001</v>
      </c>
      <c r="BL6" s="62">
        <f t="shared" si="19"/>
        <v>-9.9999999999997868E-2</v>
      </c>
      <c r="BM6" s="64">
        <f t="shared" si="20"/>
        <v>2.5300000000000011</v>
      </c>
      <c r="BN6" s="63">
        <v>20.53</v>
      </c>
      <c r="BO6" s="62">
        <f t="shared" si="38"/>
        <v>8.9999999999999858E-2</v>
      </c>
      <c r="BP6" s="64">
        <f t="shared" si="39"/>
        <v>2.620000000000001</v>
      </c>
      <c r="BQ6" s="63">
        <v>20.82</v>
      </c>
      <c r="BR6" s="62">
        <f t="shared" si="21"/>
        <v>0.28999999999999915</v>
      </c>
      <c r="BS6" s="64">
        <f t="shared" si="22"/>
        <v>2.8200000000000003</v>
      </c>
      <c r="BT6"/>
      <c r="BU6"/>
      <c r="BV6"/>
      <c r="BW6"/>
      <c r="BX6" s="114"/>
      <c r="BY6" s="63">
        <v>17.57</v>
      </c>
      <c r="BZ6" s="63">
        <v>17.57</v>
      </c>
      <c r="CA6" s="114"/>
      <c r="CB6" s="114"/>
      <c r="CC6"/>
      <c r="CD6"/>
      <c r="CE6"/>
      <c r="CF6"/>
      <c r="CG6"/>
      <c r="CH6"/>
      <c r="CI6"/>
      <c r="CJ6"/>
      <c r="CK6"/>
      <c r="CL6"/>
      <c r="CM6"/>
      <c r="CN6"/>
    </row>
    <row r="7" spans="1:92" s="60" customFormat="1" ht="12" customHeight="1">
      <c r="A7" s="133" t="s">
        <v>269</v>
      </c>
      <c r="B7" s="60" t="s">
        <v>270</v>
      </c>
      <c r="C7" s="11">
        <v>42529</v>
      </c>
      <c r="D7" s="12" t="s">
        <v>26</v>
      </c>
      <c r="E7" s="10" t="s">
        <v>262</v>
      </c>
      <c r="F7" s="11" t="s">
        <v>271</v>
      </c>
      <c r="G7" s="10" t="s">
        <v>263</v>
      </c>
      <c r="H7" s="63">
        <v>20.61</v>
      </c>
      <c r="I7" s="64">
        <f>H15-H7</f>
        <v>-1.3525000000000027</v>
      </c>
      <c r="J7" s="62">
        <v>20.8</v>
      </c>
      <c r="K7" s="64">
        <f t="shared" si="0"/>
        <v>0.19000000000000128</v>
      </c>
      <c r="L7" s="62">
        <v>20.72</v>
      </c>
      <c r="M7" s="62">
        <f t="shared" si="1"/>
        <v>-8.0000000000001847E-2</v>
      </c>
      <c r="N7" s="64">
        <f t="shared" si="2"/>
        <v>0.10999999999999943</v>
      </c>
      <c r="O7" s="63">
        <v>20.77</v>
      </c>
      <c r="P7" s="62">
        <f t="shared" ref="P7" si="41">O7-L7</f>
        <v>5.0000000000000711E-2</v>
      </c>
      <c r="Q7" s="214">
        <f t="shared" ref="Q7" si="42">N7+P7</f>
        <v>0.16000000000000014</v>
      </c>
      <c r="R7" s="62">
        <v>21.35</v>
      </c>
      <c r="S7" s="62">
        <f t="shared" si="3"/>
        <v>0.58000000000000185</v>
      </c>
      <c r="T7" s="214">
        <f t="shared" si="4"/>
        <v>0.74000000000000199</v>
      </c>
      <c r="U7" s="62">
        <v>21.53</v>
      </c>
      <c r="V7" s="62">
        <f t="shared" ref="V7" si="43">U7-R7</f>
        <v>0.17999999999999972</v>
      </c>
      <c r="W7" s="214">
        <f t="shared" ref="W7" si="44">T7+V7</f>
        <v>0.92000000000000171</v>
      </c>
      <c r="X7" s="62">
        <v>21.85</v>
      </c>
      <c r="Y7" s="62">
        <f t="shared" ref="Y7:Y8" si="45">X7-U7</f>
        <v>0.32000000000000028</v>
      </c>
      <c r="Z7" s="214">
        <f t="shared" ref="Z7:Z8" si="46">W7+Y7</f>
        <v>1.240000000000002</v>
      </c>
      <c r="AA7" s="62">
        <v>22.37</v>
      </c>
      <c r="AB7" s="62">
        <f t="shared" ref="AB7" si="47">AA7-X7</f>
        <v>0.51999999999999957</v>
      </c>
      <c r="AC7" s="214">
        <f t="shared" ref="AC7" si="48">Z7+AB7</f>
        <v>1.7600000000000016</v>
      </c>
      <c r="AD7" s="62">
        <v>22.74</v>
      </c>
      <c r="AE7" s="62">
        <f>AD7-AA7</f>
        <v>0.36999999999999744</v>
      </c>
      <c r="AF7" s="214">
        <f>AC7+AE7</f>
        <v>2.129999999999999</v>
      </c>
      <c r="AG7" s="62">
        <v>23.19</v>
      </c>
      <c r="AH7" s="62">
        <f t="shared" si="5"/>
        <v>0.45000000000000284</v>
      </c>
      <c r="AI7" s="64">
        <f t="shared" si="6"/>
        <v>2.5800000000000018</v>
      </c>
      <c r="AJ7" s="63">
        <v>23.56</v>
      </c>
      <c r="AK7" s="62">
        <f t="shared" ref="AK7" si="49">AJ7-AG7</f>
        <v>0.36999999999999744</v>
      </c>
      <c r="AL7" s="214">
        <f t="shared" ref="AL7" si="50">AI7+AK7</f>
        <v>2.9499999999999993</v>
      </c>
      <c r="AM7" s="62">
        <v>23.84</v>
      </c>
      <c r="AN7" s="62">
        <f t="shared" si="7"/>
        <v>0.28000000000000114</v>
      </c>
      <c r="AO7" s="214">
        <f t="shared" si="8"/>
        <v>3.2300000000000004</v>
      </c>
      <c r="AP7" s="62">
        <v>23.99</v>
      </c>
      <c r="AQ7" s="62">
        <f t="shared" si="9"/>
        <v>0.14999999999999858</v>
      </c>
      <c r="AR7" s="64">
        <f t="shared" si="10"/>
        <v>3.379999999999999</v>
      </c>
      <c r="AS7" s="62">
        <v>24.51</v>
      </c>
      <c r="AT7" s="62">
        <f t="shared" si="11"/>
        <v>0.52000000000000313</v>
      </c>
      <c r="AU7" s="64">
        <f t="shared" si="12"/>
        <v>3.9000000000000021</v>
      </c>
      <c r="AV7" s="62">
        <v>24.5</v>
      </c>
      <c r="AW7" s="62">
        <f t="shared" si="13"/>
        <v>-1.0000000000001563E-2</v>
      </c>
      <c r="AX7" s="64">
        <f t="shared" si="14"/>
        <v>3.8900000000000006</v>
      </c>
      <c r="AY7" s="63">
        <v>24.39</v>
      </c>
      <c r="AZ7" s="62">
        <f t="shared" si="15"/>
        <v>-0.10999999999999943</v>
      </c>
      <c r="BA7" s="64">
        <f t="shared" si="16"/>
        <v>3.7800000000000011</v>
      </c>
      <c r="BB7" s="63">
        <v>24.44</v>
      </c>
      <c r="BC7" s="62">
        <f t="shared" si="17"/>
        <v>5.0000000000000711E-2</v>
      </c>
      <c r="BD7" s="64">
        <f t="shared" si="18"/>
        <v>3.8300000000000018</v>
      </c>
      <c r="BE7" s="62">
        <v>24.41</v>
      </c>
      <c r="BF7" s="62">
        <f t="shared" ref="BF7" si="51">BE7-BB7</f>
        <v>-3.0000000000001137E-2</v>
      </c>
      <c r="BG7" s="64">
        <f t="shared" ref="BG7" si="52">BD7+BF7</f>
        <v>3.8000000000000007</v>
      </c>
      <c r="BH7" s="62">
        <v>24.37</v>
      </c>
      <c r="BI7" s="62">
        <f t="shared" ref="BI7" si="53">BH7-BE7</f>
        <v>-3.9999999999999147E-2</v>
      </c>
      <c r="BJ7" s="64">
        <f t="shared" ref="BJ7" si="54">BG7+BI7</f>
        <v>3.7600000000000016</v>
      </c>
      <c r="BK7" s="63">
        <v>24.6</v>
      </c>
      <c r="BL7" s="62">
        <f t="shared" si="19"/>
        <v>0.23000000000000043</v>
      </c>
      <c r="BM7" s="64">
        <f t="shared" si="20"/>
        <v>3.990000000000002</v>
      </c>
      <c r="BN7" s="63">
        <v>24.08</v>
      </c>
      <c r="BO7" s="62">
        <f t="shared" ref="BO7:BO8" si="55">BN7-BK7</f>
        <v>-0.52000000000000313</v>
      </c>
      <c r="BP7" s="64">
        <f t="shared" ref="BP7:BP8" si="56">BM7+BO7</f>
        <v>3.4699999999999989</v>
      </c>
      <c r="BQ7" s="63">
        <v>24.79</v>
      </c>
      <c r="BR7" s="62">
        <f t="shared" si="21"/>
        <v>0.71000000000000085</v>
      </c>
      <c r="BS7" s="64">
        <f t="shared" si="22"/>
        <v>4.7000000000000028</v>
      </c>
      <c r="BT7"/>
      <c r="BU7"/>
      <c r="BV7"/>
      <c r="BW7"/>
      <c r="BX7" s="114"/>
      <c r="BY7" s="63">
        <v>17.77</v>
      </c>
      <c r="BZ7" s="62">
        <v>17.77</v>
      </c>
      <c r="CA7" s="114"/>
      <c r="CB7" s="114"/>
      <c r="CC7"/>
      <c r="CD7"/>
      <c r="CE7"/>
      <c r="CF7"/>
      <c r="CG7"/>
      <c r="CH7"/>
      <c r="CI7"/>
      <c r="CJ7"/>
      <c r="CK7"/>
      <c r="CL7"/>
      <c r="CM7"/>
      <c r="CN7"/>
    </row>
    <row r="8" spans="1:92" s="215" customFormat="1" ht="12" customHeight="1">
      <c r="A8" s="133" t="s">
        <v>272</v>
      </c>
      <c r="B8" s="62" t="s">
        <v>273</v>
      </c>
      <c r="C8" s="11"/>
      <c r="D8" s="12" t="s">
        <v>26</v>
      </c>
      <c r="E8" s="10" t="s">
        <v>262</v>
      </c>
      <c r="F8" s="11">
        <v>42411</v>
      </c>
      <c r="G8" s="216" t="s">
        <v>263</v>
      </c>
      <c r="H8" s="62">
        <v>17.77</v>
      </c>
      <c r="I8" s="214">
        <f>H15-H8</f>
        <v>1.4874999999999972</v>
      </c>
      <c r="J8" s="62">
        <v>17.899999999999999</v>
      </c>
      <c r="K8" s="214">
        <f t="shared" si="0"/>
        <v>0.12999999999999901</v>
      </c>
      <c r="L8" s="62">
        <v>18.260000000000002</v>
      </c>
      <c r="M8" s="62">
        <f t="shared" si="1"/>
        <v>0.36000000000000298</v>
      </c>
      <c r="N8" s="214">
        <f t="shared" si="2"/>
        <v>0.49000000000000199</v>
      </c>
      <c r="O8" s="62">
        <v>18.66</v>
      </c>
      <c r="P8" s="62">
        <f t="shared" ref="P8:P13" si="57">O8-L8</f>
        <v>0.39999999999999858</v>
      </c>
      <c r="Q8" s="214">
        <f t="shared" ref="Q8:Q13" si="58">N8+P8</f>
        <v>0.89000000000000057</v>
      </c>
      <c r="R8" s="62">
        <v>18.600000000000001</v>
      </c>
      <c r="S8" s="62">
        <f t="shared" si="3"/>
        <v>-5.9999999999998721E-2</v>
      </c>
      <c r="T8" s="214">
        <f t="shared" si="4"/>
        <v>0.83000000000000185</v>
      </c>
      <c r="U8" s="62">
        <v>18.829999999999998</v>
      </c>
      <c r="V8" s="62">
        <f t="shared" ref="V8" si="59">U8-R8</f>
        <v>0.22999999999999687</v>
      </c>
      <c r="W8" s="214">
        <f t="shared" ref="W8" si="60">T8+V8</f>
        <v>1.0599999999999987</v>
      </c>
      <c r="X8" s="62">
        <v>18.95</v>
      </c>
      <c r="Y8" s="62">
        <f t="shared" si="45"/>
        <v>0.12000000000000099</v>
      </c>
      <c r="Z8" s="214">
        <f t="shared" si="46"/>
        <v>1.1799999999999997</v>
      </c>
      <c r="AA8" s="62">
        <v>18.93</v>
      </c>
      <c r="AB8" s="62">
        <f t="shared" ref="AB8" si="61">AA8-X8</f>
        <v>-1.9999999999999574E-2</v>
      </c>
      <c r="AC8" s="214">
        <f t="shared" ref="AC8" si="62">Z8+AB8</f>
        <v>1.1600000000000001</v>
      </c>
      <c r="AD8" s="62">
        <v>19.13</v>
      </c>
      <c r="AE8" s="62">
        <f>AD8-AA8</f>
        <v>0.19999999999999929</v>
      </c>
      <c r="AF8" s="214">
        <f>AC8+AE8</f>
        <v>1.3599999999999994</v>
      </c>
      <c r="AG8" s="62">
        <v>19.440000000000001</v>
      </c>
      <c r="AH8" s="62">
        <f t="shared" si="5"/>
        <v>0.31000000000000227</v>
      </c>
      <c r="AI8" s="214">
        <f t="shared" si="6"/>
        <v>1.6700000000000017</v>
      </c>
      <c r="AJ8" s="62">
        <v>19.399999999999999</v>
      </c>
      <c r="AK8" s="62">
        <f t="shared" ref="AK8:AK13" si="63">AJ8-AG8</f>
        <v>-4.00000000000027E-2</v>
      </c>
      <c r="AL8" s="214">
        <f t="shared" ref="AL8:AL13" si="64">AI8+AK8</f>
        <v>1.629999999999999</v>
      </c>
      <c r="AM8" s="62">
        <v>19.48</v>
      </c>
      <c r="AN8" s="62">
        <f t="shared" si="7"/>
        <v>8.0000000000001847E-2</v>
      </c>
      <c r="AO8" s="214">
        <f t="shared" si="8"/>
        <v>1.7100000000000009</v>
      </c>
      <c r="AP8" s="62">
        <v>19.54</v>
      </c>
      <c r="AQ8" s="62">
        <f t="shared" si="9"/>
        <v>5.9999999999998721E-2</v>
      </c>
      <c r="AR8" s="64">
        <f t="shared" si="10"/>
        <v>1.7699999999999996</v>
      </c>
      <c r="AS8" s="62">
        <v>19.79</v>
      </c>
      <c r="AT8" s="62">
        <f t="shared" si="11"/>
        <v>0.25</v>
      </c>
      <c r="AU8" s="64">
        <f t="shared" si="12"/>
        <v>2.0199999999999996</v>
      </c>
      <c r="AV8" s="62">
        <v>19.82</v>
      </c>
      <c r="AW8" s="62">
        <f t="shared" si="13"/>
        <v>3.0000000000001137E-2</v>
      </c>
      <c r="AX8" s="64">
        <f t="shared" si="14"/>
        <v>2.0500000000000007</v>
      </c>
      <c r="AY8" s="63">
        <v>19.88</v>
      </c>
      <c r="AZ8" s="62">
        <f t="shared" si="15"/>
        <v>5.9999999999998721E-2</v>
      </c>
      <c r="BA8" s="64">
        <f t="shared" si="16"/>
        <v>2.1099999999999994</v>
      </c>
      <c r="BB8" s="63">
        <v>19.68</v>
      </c>
      <c r="BC8" s="62">
        <f t="shared" si="17"/>
        <v>-0.19999999999999929</v>
      </c>
      <c r="BD8" s="64">
        <f t="shared" si="18"/>
        <v>1.9100000000000001</v>
      </c>
      <c r="BE8" s="62">
        <v>19.829999999999998</v>
      </c>
      <c r="BF8" s="62">
        <f t="shared" ref="BF8:BF13" si="65">BE8-BB8</f>
        <v>0.14999999999999858</v>
      </c>
      <c r="BG8" s="64">
        <f t="shared" ref="BG8:BG13" si="66">BD8+BF8</f>
        <v>2.0599999999999987</v>
      </c>
      <c r="BH8" s="62">
        <v>20.14</v>
      </c>
      <c r="BI8" s="62">
        <f t="shared" ref="BI8" si="67">BH8-BE8</f>
        <v>0.31000000000000227</v>
      </c>
      <c r="BJ8" s="64">
        <f t="shared" ref="BJ8" si="68">BG8+BI8</f>
        <v>2.370000000000001</v>
      </c>
      <c r="BK8" s="63">
        <v>20.010000000000002</v>
      </c>
      <c r="BL8" s="62">
        <f t="shared" si="19"/>
        <v>-0.12999999999999901</v>
      </c>
      <c r="BM8" s="64">
        <f t="shared" si="20"/>
        <v>2.240000000000002</v>
      </c>
      <c r="BN8" s="63">
        <v>20.420000000000002</v>
      </c>
      <c r="BO8" s="62">
        <f t="shared" si="55"/>
        <v>0.41000000000000014</v>
      </c>
      <c r="BP8" s="64">
        <f t="shared" si="56"/>
        <v>2.6500000000000021</v>
      </c>
      <c r="BQ8" s="63">
        <v>20.73</v>
      </c>
      <c r="BR8" s="62">
        <f t="shared" si="21"/>
        <v>0.30999999999999872</v>
      </c>
      <c r="BS8" s="64">
        <f t="shared" si="22"/>
        <v>2.5500000000000007</v>
      </c>
      <c r="BT8" s="114"/>
      <c r="BU8" s="114"/>
      <c r="BV8" s="114"/>
      <c r="BW8" s="114"/>
      <c r="BX8" s="114"/>
      <c r="BY8" s="62">
        <v>17.91</v>
      </c>
      <c r="BZ8" s="62">
        <v>17.91</v>
      </c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</row>
    <row r="9" spans="1:92" ht="12" customHeight="1">
      <c r="A9" s="313"/>
      <c r="B9" s="10"/>
      <c r="C9" s="122"/>
      <c r="D9" s="10"/>
      <c r="E9" s="10"/>
      <c r="F9" s="89"/>
      <c r="G9" s="14"/>
      <c r="I9" s="214"/>
      <c r="K9" s="203"/>
      <c r="N9" s="203"/>
      <c r="Q9" s="203"/>
      <c r="T9" s="203"/>
      <c r="W9" s="203"/>
      <c r="Z9" s="203"/>
      <c r="AC9" s="203"/>
      <c r="AF9" s="203"/>
      <c r="AI9" s="203"/>
      <c r="AL9" s="203"/>
      <c r="AO9" s="203"/>
      <c r="AR9" s="203"/>
      <c r="AU9" s="203"/>
      <c r="AX9" s="203"/>
      <c r="BA9" s="203"/>
      <c r="BD9" s="203"/>
      <c r="BG9" s="203"/>
      <c r="BJ9" s="203"/>
      <c r="BM9" s="203"/>
      <c r="BP9" s="203"/>
      <c r="BS9" s="308"/>
      <c r="BY9" s="62"/>
      <c r="BZ9" s="62"/>
    </row>
    <row r="10" spans="1:92" s="60" customFormat="1" ht="12" customHeight="1">
      <c r="A10" s="313"/>
      <c r="B10" s="10"/>
      <c r="C10" s="89"/>
      <c r="D10" s="10"/>
      <c r="E10" s="10"/>
      <c r="F10" s="89"/>
      <c r="G10" s="14"/>
      <c r="H10" s="10"/>
      <c r="I10" s="214"/>
      <c r="J10" s="62"/>
      <c r="K10" s="214"/>
      <c r="L10" s="62"/>
      <c r="M10" s="62"/>
      <c r="N10" s="214"/>
      <c r="O10" s="62"/>
      <c r="P10" s="62"/>
      <c r="Q10" s="214"/>
      <c r="R10" s="62"/>
      <c r="S10" s="62"/>
      <c r="T10" s="214"/>
      <c r="U10" s="62"/>
      <c r="V10" s="62"/>
      <c r="W10" s="214"/>
      <c r="X10" s="62"/>
      <c r="Y10" s="62"/>
      <c r="Z10" s="214"/>
      <c r="AA10" s="62"/>
      <c r="AB10" s="62"/>
      <c r="AC10" s="214"/>
      <c r="AD10" s="62"/>
      <c r="AE10" s="62"/>
      <c r="AF10" s="214"/>
      <c r="AG10" s="62"/>
      <c r="AH10" s="62"/>
      <c r="AI10" s="214"/>
      <c r="AJ10" s="62"/>
      <c r="AK10" s="62"/>
      <c r="AL10" s="214"/>
      <c r="AM10" s="62"/>
      <c r="AN10" s="62"/>
      <c r="AO10" s="214"/>
      <c r="AP10" s="62"/>
      <c r="AQ10" s="62"/>
      <c r="AR10" s="64"/>
      <c r="AS10" s="62"/>
      <c r="AT10" s="62"/>
      <c r="AU10" s="64"/>
      <c r="AV10" s="62"/>
      <c r="AW10" s="62"/>
      <c r="AX10" s="64"/>
      <c r="AY10" s="63"/>
      <c r="AZ10" s="62"/>
      <c r="BA10" s="64"/>
      <c r="BB10" s="63"/>
      <c r="BC10" s="62"/>
      <c r="BD10" s="64"/>
      <c r="BE10" s="62"/>
      <c r="BF10" s="62"/>
      <c r="BG10" s="64"/>
      <c r="BH10" s="62"/>
      <c r="BI10" s="62"/>
      <c r="BJ10" s="64"/>
      <c r="BK10" s="63"/>
      <c r="BL10" s="62"/>
      <c r="BM10" s="64"/>
      <c r="BN10" s="63"/>
      <c r="BO10" s="62"/>
      <c r="BP10" s="64"/>
      <c r="BQ10" s="63"/>
      <c r="BR10" s="62"/>
      <c r="BS10" s="64"/>
      <c r="BT10"/>
      <c r="BU10"/>
      <c r="BV10"/>
      <c r="BW10"/>
      <c r="BX10" s="114"/>
      <c r="BY10" s="62"/>
      <c r="BZ10" s="63"/>
      <c r="CA10" s="114"/>
      <c r="CB10" s="114"/>
      <c r="CC10"/>
      <c r="CD10"/>
      <c r="CE10"/>
      <c r="CF10"/>
      <c r="CG10"/>
      <c r="CH10"/>
      <c r="CI10"/>
      <c r="CJ10"/>
      <c r="CK10"/>
      <c r="CL10"/>
      <c r="CM10"/>
      <c r="CN10"/>
    </row>
    <row r="11" spans="1:92" s="60" customFormat="1" ht="12" customHeight="1">
      <c r="A11" s="313" t="s">
        <v>274</v>
      </c>
      <c r="B11" s="10" t="s">
        <v>275</v>
      </c>
      <c r="C11" s="142">
        <v>43705</v>
      </c>
      <c r="D11" s="10" t="s">
        <v>26</v>
      </c>
      <c r="E11" s="10" t="s">
        <v>262</v>
      </c>
      <c r="F11" s="89">
        <v>43742</v>
      </c>
      <c r="G11" s="10" t="s">
        <v>276</v>
      </c>
      <c r="H11" s="13">
        <v>18.760000000000002</v>
      </c>
      <c r="I11" s="214">
        <f>H15-H11</f>
        <v>0.49749999999999517</v>
      </c>
      <c r="J11" s="62">
        <v>19.510000000000002</v>
      </c>
      <c r="K11" s="62">
        <f t="shared" si="0"/>
        <v>0.75</v>
      </c>
      <c r="L11" s="63">
        <v>19.64</v>
      </c>
      <c r="M11" s="62">
        <f t="shared" ref="M11:M13" si="69">L11-J11</f>
        <v>0.12999999999999901</v>
      </c>
      <c r="N11" s="214">
        <f t="shared" ref="N11:N13" si="70">K11+M11</f>
        <v>0.87999999999999901</v>
      </c>
      <c r="O11" s="63">
        <v>19.84</v>
      </c>
      <c r="P11" s="62">
        <f t="shared" si="57"/>
        <v>0.19999999999999929</v>
      </c>
      <c r="Q11" s="214">
        <f t="shared" si="58"/>
        <v>1.0799999999999983</v>
      </c>
      <c r="R11" s="62">
        <v>20.25</v>
      </c>
      <c r="S11" s="62">
        <f t="shared" ref="S11:S13" si="71">R11-O11</f>
        <v>0.41000000000000014</v>
      </c>
      <c r="T11" s="214">
        <f t="shared" ref="T11:T13" si="72">Q11+S11</f>
        <v>1.4899999999999984</v>
      </c>
      <c r="U11" s="62">
        <v>20.03</v>
      </c>
      <c r="V11" s="62">
        <f t="shared" ref="V11:V13" si="73">U11-R11</f>
        <v>-0.21999999999999886</v>
      </c>
      <c r="W11" s="214">
        <f t="shared" ref="W11:W13" si="74">T11+V11</f>
        <v>1.2699999999999996</v>
      </c>
      <c r="X11" s="62">
        <v>20.399999999999999</v>
      </c>
      <c r="Y11" s="62">
        <f t="shared" ref="Y11:Y13" si="75">X11-U11</f>
        <v>0.36999999999999744</v>
      </c>
      <c r="Z11" s="214">
        <f t="shared" ref="Z11:Z13" si="76">W11+Y11</f>
        <v>1.639999999999997</v>
      </c>
      <c r="AA11" s="62">
        <v>20.72</v>
      </c>
      <c r="AB11" s="62">
        <f t="shared" ref="AB11:AB13" si="77">AA11-X11</f>
        <v>0.32000000000000028</v>
      </c>
      <c r="AC11" s="214">
        <f t="shared" ref="AC11:AC13" si="78">Z11+AB11</f>
        <v>1.9599999999999973</v>
      </c>
      <c r="AD11" s="62">
        <v>21.03</v>
      </c>
      <c r="AE11" s="62">
        <f t="shared" ref="AE11:AE13" si="79">AD11-AA11</f>
        <v>0.31000000000000227</v>
      </c>
      <c r="AF11" s="214">
        <f t="shared" ref="AF11:AF13" si="80">AC11+AE11</f>
        <v>2.2699999999999996</v>
      </c>
      <c r="AG11" s="62">
        <v>21.69</v>
      </c>
      <c r="AH11" s="62">
        <f t="shared" ref="AH11:AH13" si="81">AG11-AD11</f>
        <v>0.66000000000000014</v>
      </c>
      <c r="AI11" s="214">
        <f t="shared" ref="AI11:AI13" si="82">AF11+AH11</f>
        <v>2.9299999999999997</v>
      </c>
      <c r="AJ11" s="62">
        <v>21.68</v>
      </c>
      <c r="AK11" s="62">
        <f t="shared" si="63"/>
        <v>-1.0000000000001563E-2</v>
      </c>
      <c r="AL11" s="214">
        <f t="shared" si="64"/>
        <v>2.9199999999999982</v>
      </c>
      <c r="AM11" s="62">
        <v>21.65</v>
      </c>
      <c r="AN11" s="62">
        <f t="shared" ref="AN11:AN13" si="83">AM11-AJ11</f>
        <v>-3.0000000000001137E-2</v>
      </c>
      <c r="AO11" s="214">
        <f t="shared" ref="AO11:AO13" si="84">AL11+AN11</f>
        <v>2.889999999999997</v>
      </c>
      <c r="AP11" s="62">
        <v>21.89</v>
      </c>
      <c r="AQ11" s="62">
        <f t="shared" ref="AQ11:AQ13" si="85">AP11-AM11</f>
        <v>0.24000000000000199</v>
      </c>
      <c r="AR11" s="64">
        <f t="shared" ref="AR11:AR13" si="86">AO11+AQ11</f>
        <v>3.129999999999999</v>
      </c>
      <c r="AS11" s="62">
        <v>21.77</v>
      </c>
      <c r="AT11" s="62">
        <f t="shared" ref="AT11:AT13" si="87">AS11-AP11</f>
        <v>-0.12000000000000099</v>
      </c>
      <c r="AU11" s="64">
        <f t="shared" ref="AU11:AU13" si="88">AR11+AT11</f>
        <v>3.009999999999998</v>
      </c>
      <c r="AV11" s="62">
        <v>21.93</v>
      </c>
      <c r="AW11" s="62">
        <f t="shared" ref="AW11:AW13" si="89">AV11-AS11</f>
        <v>0.16000000000000014</v>
      </c>
      <c r="AX11" s="64">
        <f t="shared" ref="AX11:AX13" si="90">AU11+AW11</f>
        <v>3.1699999999999982</v>
      </c>
      <c r="AY11" s="63">
        <v>22.48</v>
      </c>
      <c r="AZ11" s="62">
        <f t="shared" ref="AZ11:AZ13" si="91">AY11-AV11</f>
        <v>0.55000000000000071</v>
      </c>
      <c r="BA11" s="64">
        <f t="shared" ref="BA11:BA13" si="92">AX11+AZ11</f>
        <v>3.7199999999999989</v>
      </c>
      <c r="BB11" s="63">
        <v>22.64</v>
      </c>
      <c r="BC11" s="62">
        <f t="shared" ref="BC11:BC13" si="93">BB11-AY11</f>
        <v>0.16000000000000014</v>
      </c>
      <c r="BD11" s="64">
        <f t="shared" ref="BD11:BD13" si="94">BA11+BC11</f>
        <v>3.879999999999999</v>
      </c>
      <c r="BE11" s="62">
        <v>22.9</v>
      </c>
      <c r="BF11" s="62">
        <f t="shared" si="65"/>
        <v>0.25999999999999801</v>
      </c>
      <c r="BG11" s="64">
        <f t="shared" si="66"/>
        <v>4.139999999999997</v>
      </c>
      <c r="BH11" s="62">
        <v>22.86</v>
      </c>
      <c r="BI11" s="62">
        <f t="shared" ref="BI11:BI13" si="95">BH11-BE11</f>
        <v>-3.9999999999999147E-2</v>
      </c>
      <c r="BJ11" s="64">
        <f t="shared" ref="BJ11:BJ13" si="96">BG11+BI11</f>
        <v>4.0999999999999979</v>
      </c>
      <c r="BK11" s="63">
        <v>23.27</v>
      </c>
      <c r="BL11" s="62">
        <f t="shared" ref="BL11:BL13" si="97">BK11-BH11</f>
        <v>0.41000000000000014</v>
      </c>
      <c r="BM11" s="64">
        <f t="shared" ref="BM11:BM13" si="98">BJ11+BL11</f>
        <v>4.509999999999998</v>
      </c>
      <c r="BN11" s="63">
        <v>23.24</v>
      </c>
      <c r="BO11" s="62">
        <f t="shared" ref="BO11:BO13" si="99">BN11-BK11</f>
        <v>-3.0000000000001137E-2</v>
      </c>
      <c r="BP11" s="64">
        <f t="shared" ref="BP11:BP13" si="100">BM11+BO11</f>
        <v>4.4799999999999969</v>
      </c>
      <c r="BQ11" s="63">
        <v>23.12</v>
      </c>
      <c r="BR11" s="62">
        <f t="shared" ref="BR11:BR13" si="101">BQ11-BN11</f>
        <v>-0.11999999999999744</v>
      </c>
      <c r="BS11" s="64">
        <f t="shared" ref="BS11:BS13" si="102">BM11+BR11</f>
        <v>4.3900000000000006</v>
      </c>
      <c r="BT11"/>
      <c r="BU11"/>
      <c r="BV11"/>
      <c r="BW11"/>
      <c r="BX11" s="114"/>
      <c r="BY11" s="13">
        <v>18.760000000000002</v>
      </c>
      <c r="BZ11" s="13">
        <v>18.760000000000002</v>
      </c>
      <c r="CA11" s="114"/>
      <c r="CB11" s="114"/>
      <c r="CC11"/>
      <c r="CD11"/>
      <c r="CE11"/>
      <c r="CF11"/>
      <c r="CG11"/>
      <c r="CH11"/>
      <c r="CI11"/>
      <c r="CJ11"/>
      <c r="CK11"/>
      <c r="CL11"/>
      <c r="CM11"/>
      <c r="CN11"/>
    </row>
    <row r="12" spans="1:92" s="60" customFormat="1" ht="12" customHeight="1">
      <c r="A12" s="313" t="s">
        <v>277</v>
      </c>
      <c r="B12" s="10" t="s">
        <v>278</v>
      </c>
      <c r="C12" s="142">
        <v>43703</v>
      </c>
      <c r="D12" s="10" t="s">
        <v>26</v>
      </c>
      <c r="E12" s="10" t="s">
        <v>262</v>
      </c>
      <c r="F12" s="89">
        <v>43742</v>
      </c>
      <c r="G12" s="10" t="s">
        <v>276</v>
      </c>
      <c r="H12" s="13">
        <v>20.079999999999998</v>
      </c>
      <c r="I12" s="214">
        <f>H15-H12</f>
        <v>-0.82250000000000156</v>
      </c>
      <c r="J12" s="62">
        <v>20.329999999999998</v>
      </c>
      <c r="K12" s="62">
        <f t="shared" si="0"/>
        <v>0.25</v>
      </c>
      <c r="L12" s="63">
        <v>20.34</v>
      </c>
      <c r="M12" s="62">
        <f t="shared" si="69"/>
        <v>1.0000000000001563E-2</v>
      </c>
      <c r="N12" s="214">
        <f t="shared" si="70"/>
        <v>0.26000000000000156</v>
      </c>
      <c r="O12" s="63">
        <v>20.27</v>
      </c>
      <c r="P12" s="62">
        <f t="shared" si="57"/>
        <v>-7.0000000000000284E-2</v>
      </c>
      <c r="Q12" s="214">
        <f t="shared" si="58"/>
        <v>0.19000000000000128</v>
      </c>
      <c r="R12" s="62">
        <v>20.329999999999998</v>
      </c>
      <c r="S12" s="62">
        <f t="shared" si="71"/>
        <v>5.9999999999998721E-2</v>
      </c>
      <c r="T12" s="214">
        <f t="shared" si="72"/>
        <v>0.25</v>
      </c>
      <c r="U12" s="62">
        <v>20.22</v>
      </c>
      <c r="V12" s="62">
        <f t="shared" si="73"/>
        <v>-0.10999999999999943</v>
      </c>
      <c r="W12" s="214">
        <f t="shared" si="74"/>
        <v>0.14000000000000057</v>
      </c>
      <c r="X12" s="62">
        <v>20.36</v>
      </c>
      <c r="Y12" s="62">
        <f t="shared" si="75"/>
        <v>0.14000000000000057</v>
      </c>
      <c r="Z12" s="214">
        <f t="shared" si="76"/>
        <v>0.28000000000000114</v>
      </c>
      <c r="AA12" s="62">
        <v>20.91</v>
      </c>
      <c r="AB12" s="62">
        <f t="shared" si="77"/>
        <v>0.55000000000000071</v>
      </c>
      <c r="AC12" s="214">
        <f t="shared" si="78"/>
        <v>0.83000000000000185</v>
      </c>
      <c r="AD12" s="62">
        <v>21.19</v>
      </c>
      <c r="AE12" s="62">
        <f t="shared" si="79"/>
        <v>0.28000000000000114</v>
      </c>
      <c r="AF12" s="214">
        <f t="shared" si="80"/>
        <v>1.110000000000003</v>
      </c>
      <c r="AG12" s="62">
        <v>21.12</v>
      </c>
      <c r="AH12" s="62">
        <f t="shared" si="81"/>
        <v>-7.0000000000000284E-2</v>
      </c>
      <c r="AI12" s="214">
        <f t="shared" si="82"/>
        <v>1.0400000000000027</v>
      </c>
      <c r="AJ12" s="62">
        <v>21.88</v>
      </c>
      <c r="AK12" s="62">
        <f t="shared" si="63"/>
        <v>0.75999999999999801</v>
      </c>
      <c r="AL12" s="214">
        <f t="shared" si="64"/>
        <v>1.8000000000000007</v>
      </c>
      <c r="AM12" s="62">
        <v>21.8</v>
      </c>
      <c r="AN12" s="62">
        <f t="shared" si="83"/>
        <v>-7.9999999999998295E-2</v>
      </c>
      <c r="AO12" s="214">
        <f t="shared" si="84"/>
        <v>1.7200000000000024</v>
      </c>
      <c r="AP12" s="62">
        <v>21.88</v>
      </c>
      <c r="AQ12" s="62">
        <f t="shared" si="85"/>
        <v>7.9999999999998295E-2</v>
      </c>
      <c r="AR12" s="64">
        <f t="shared" si="86"/>
        <v>1.8000000000000007</v>
      </c>
      <c r="AS12" s="62">
        <v>22.12</v>
      </c>
      <c r="AT12" s="62">
        <f t="shared" si="87"/>
        <v>0.24000000000000199</v>
      </c>
      <c r="AU12" s="64">
        <f t="shared" si="88"/>
        <v>2.0400000000000027</v>
      </c>
      <c r="AV12" s="62">
        <v>22.27</v>
      </c>
      <c r="AW12" s="62">
        <f t="shared" si="89"/>
        <v>0.14999999999999858</v>
      </c>
      <c r="AX12" s="64">
        <f t="shared" si="90"/>
        <v>2.1900000000000013</v>
      </c>
      <c r="AY12" s="63">
        <v>22.38</v>
      </c>
      <c r="AZ12" s="62">
        <f t="shared" si="91"/>
        <v>0.10999999999999943</v>
      </c>
      <c r="BA12" s="64">
        <f t="shared" si="92"/>
        <v>2.3000000000000007</v>
      </c>
      <c r="BB12" s="63">
        <v>23.16</v>
      </c>
      <c r="BC12" s="62">
        <f t="shared" si="93"/>
        <v>0.78000000000000114</v>
      </c>
      <c r="BD12" s="64">
        <f t="shared" si="94"/>
        <v>3.0800000000000018</v>
      </c>
      <c r="BE12" s="62">
        <v>22.45</v>
      </c>
      <c r="BF12" s="62">
        <f t="shared" si="65"/>
        <v>-0.71000000000000085</v>
      </c>
      <c r="BG12" s="64">
        <f t="shared" si="66"/>
        <v>2.370000000000001</v>
      </c>
      <c r="BH12" s="62">
        <v>22.89</v>
      </c>
      <c r="BI12" s="62">
        <f t="shared" si="95"/>
        <v>0.44000000000000128</v>
      </c>
      <c r="BJ12" s="64">
        <f t="shared" si="96"/>
        <v>2.8100000000000023</v>
      </c>
      <c r="BK12" s="63">
        <v>23.14</v>
      </c>
      <c r="BL12" s="62">
        <f t="shared" si="97"/>
        <v>0.25</v>
      </c>
      <c r="BM12" s="64">
        <f t="shared" si="98"/>
        <v>3.0600000000000023</v>
      </c>
      <c r="BN12" s="63">
        <v>23.65</v>
      </c>
      <c r="BO12" s="62">
        <f t="shared" si="99"/>
        <v>0.50999999999999801</v>
      </c>
      <c r="BP12" s="64">
        <f t="shared" si="100"/>
        <v>3.5700000000000003</v>
      </c>
      <c r="BQ12" s="63">
        <v>23.84</v>
      </c>
      <c r="BR12" s="62">
        <f t="shared" si="101"/>
        <v>0.19000000000000128</v>
      </c>
      <c r="BS12" s="64">
        <f t="shared" si="102"/>
        <v>3.2500000000000036</v>
      </c>
      <c r="BT12"/>
      <c r="BU12"/>
      <c r="BV12"/>
      <c r="BW12"/>
      <c r="BX12" s="114"/>
      <c r="BY12" s="13">
        <v>18.97</v>
      </c>
      <c r="BZ12" s="63">
        <v>19.09</v>
      </c>
      <c r="CA12" s="114"/>
      <c r="CB12" s="114"/>
      <c r="CC12"/>
      <c r="CD12"/>
      <c r="CE12"/>
      <c r="CF12"/>
      <c r="CG12"/>
      <c r="CH12"/>
      <c r="CI12"/>
      <c r="CJ12"/>
      <c r="CK12"/>
      <c r="CL12"/>
      <c r="CM12"/>
      <c r="CN12"/>
    </row>
    <row r="13" spans="1:92" s="60" customFormat="1" ht="12" customHeight="1">
      <c r="A13" s="313" t="s">
        <v>279</v>
      </c>
      <c r="B13" s="10" t="s">
        <v>280</v>
      </c>
      <c r="C13" s="142">
        <v>43706</v>
      </c>
      <c r="D13" s="10" t="s">
        <v>26</v>
      </c>
      <c r="E13" s="10" t="s">
        <v>262</v>
      </c>
      <c r="F13" s="89">
        <v>43742</v>
      </c>
      <c r="G13" s="10" t="s">
        <v>276</v>
      </c>
      <c r="H13" s="13">
        <v>20.41</v>
      </c>
      <c r="I13" s="214">
        <f>H15-H13</f>
        <v>-1.1525000000000034</v>
      </c>
      <c r="J13" s="62">
        <v>20.5</v>
      </c>
      <c r="K13" s="62">
        <f t="shared" si="0"/>
        <v>8.9999999999999858E-2</v>
      </c>
      <c r="L13" s="63">
        <v>21.91</v>
      </c>
      <c r="M13" s="62">
        <f t="shared" si="69"/>
        <v>1.4100000000000001</v>
      </c>
      <c r="N13" s="214">
        <f t="shared" si="70"/>
        <v>1.5</v>
      </c>
      <c r="O13" s="63">
        <v>21.67</v>
      </c>
      <c r="P13" s="62">
        <f t="shared" si="57"/>
        <v>-0.23999999999999844</v>
      </c>
      <c r="Q13" s="214">
        <f t="shared" si="58"/>
        <v>1.2600000000000016</v>
      </c>
      <c r="R13" s="62">
        <v>21.57</v>
      </c>
      <c r="S13" s="62">
        <f t="shared" si="71"/>
        <v>-0.10000000000000142</v>
      </c>
      <c r="T13" s="214">
        <f t="shared" si="72"/>
        <v>1.1600000000000001</v>
      </c>
      <c r="U13" s="62">
        <v>21.66</v>
      </c>
      <c r="V13" s="62">
        <f t="shared" si="73"/>
        <v>8.9999999999999858E-2</v>
      </c>
      <c r="W13" s="214">
        <f t="shared" si="74"/>
        <v>1.25</v>
      </c>
      <c r="X13" s="62">
        <v>22.12</v>
      </c>
      <c r="Y13" s="62">
        <f t="shared" si="75"/>
        <v>0.46000000000000085</v>
      </c>
      <c r="Z13" s="214">
        <f t="shared" si="76"/>
        <v>1.7100000000000009</v>
      </c>
      <c r="AA13" s="62">
        <v>22.51</v>
      </c>
      <c r="AB13" s="62">
        <f t="shared" si="77"/>
        <v>0.39000000000000057</v>
      </c>
      <c r="AC13" s="214">
        <f t="shared" si="78"/>
        <v>2.1000000000000014</v>
      </c>
      <c r="AD13" s="62">
        <v>23.09</v>
      </c>
      <c r="AE13" s="62">
        <f t="shared" si="79"/>
        <v>0.57999999999999829</v>
      </c>
      <c r="AF13" s="214">
        <f t="shared" si="80"/>
        <v>2.6799999999999997</v>
      </c>
      <c r="AG13" s="62">
        <v>23.39</v>
      </c>
      <c r="AH13" s="62">
        <f t="shared" si="81"/>
        <v>0.30000000000000071</v>
      </c>
      <c r="AI13" s="214">
        <f t="shared" si="82"/>
        <v>2.9800000000000004</v>
      </c>
      <c r="AJ13" s="62">
        <v>23.78</v>
      </c>
      <c r="AK13" s="62">
        <f t="shared" si="63"/>
        <v>0.39000000000000057</v>
      </c>
      <c r="AL13" s="214">
        <f t="shared" si="64"/>
        <v>3.370000000000001</v>
      </c>
      <c r="AM13" s="62">
        <v>23.66</v>
      </c>
      <c r="AN13" s="62">
        <f t="shared" si="83"/>
        <v>-0.12000000000000099</v>
      </c>
      <c r="AO13" s="214">
        <f t="shared" si="84"/>
        <v>3.25</v>
      </c>
      <c r="AP13" s="62">
        <v>24.57</v>
      </c>
      <c r="AQ13" s="62">
        <f t="shared" si="85"/>
        <v>0.91000000000000014</v>
      </c>
      <c r="AR13" s="64">
        <f t="shared" si="86"/>
        <v>4.16</v>
      </c>
      <c r="AS13" s="62">
        <v>24.37</v>
      </c>
      <c r="AT13" s="62">
        <f t="shared" si="87"/>
        <v>-0.19999999999999929</v>
      </c>
      <c r="AU13" s="64">
        <f t="shared" si="88"/>
        <v>3.9600000000000009</v>
      </c>
      <c r="AV13" s="62">
        <v>24.32</v>
      </c>
      <c r="AW13" s="62">
        <f t="shared" si="89"/>
        <v>-5.0000000000000711E-2</v>
      </c>
      <c r="AX13" s="64">
        <f t="shared" si="90"/>
        <v>3.91</v>
      </c>
      <c r="AY13" s="63">
        <v>24.83</v>
      </c>
      <c r="AZ13" s="62">
        <f t="shared" si="91"/>
        <v>0.50999999999999801</v>
      </c>
      <c r="BA13" s="64">
        <f t="shared" si="92"/>
        <v>4.4199999999999982</v>
      </c>
      <c r="BB13" s="63">
        <v>25.19</v>
      </c>
      <c r="BC13" s="62">
        <f t="shared" si="93"/>
        <v>0.36000000000000298</v>
      </c>
      <c r="BD13" s="64">
        <f t="shared" si="94"/>
        <v>4.7800000000000011</v>
      </c>
      <c r="BE13" s="62">
        <v>25.02</v>
      </c>
      <c r="BF13" s="62">
        <f t="shared" si="65"/>
        <v>-0.17000000000000171</v>
      </c>
      <c r="BG13" s="64">
        <f t="shared" si="66"/>
        <v>4.6099999999999994</v>
      </c>
      <c r="BH13" s="62">
        <v>25.61</v>
      </c>
      <c r="BI13" s="62">
        <f t="shared" si="95"/>
        <v>0.58999999999999986</v>
      </c>
      <c r="BJ13" s="64">
        <f t="shared" si="96"/>
        <v>5.1999999999999993</v>
      </c>
      <c r="BK13" s="63">
        <v>25.56</v>
      </c>
      <c r="BL13" s="62">
        <f t="shared" si="97"/>
        <v>-5.0000000000000711E-2</v>
      </c>
      <c r="BM13" s="64">
        <f t="shared" si="98"/>
        <v>5.1499999999999986</v>
      </c>
      <c r="BN13" s="63">
        <v>26.49</v>
      </c>
      <c r="BO13" s="62">
        <f t="shared" si="99"/>
        <v>0.92999999999999972</v>
      </c>
      <c r="BP13" s="64">
        <f t="shared" si="100"/>
        <v>6.0799999999999983</v>
      </c>
      <c r="BQ13" s="63">
        <v>26.3</v>
      </c>
      <c r="BR13" s="62">
        <f t="shared" si="101"/>
        <v>-0.18999999999999773</v>
      </c>
      <c r="BS13" s="64">
        <f t="shared" si="102"/>
        <v>4.9600000000000009</v>
      </c>
      <c r="BT13"/>
      <c r="BU13"/>
      <c r="BV13"/>
      <c r="BW13"/>
      <c r="BX13" s="114"/>
      <c r="BY13" s="63">
        <v>19.09</v>
      </c>
      <c r="BZ13" s="51">
        <v>19.239999999999998</v>
      </c>
      <c r="CA13" s="114"/>
      <c r="CB13" s="114"/>
      <c r="CC13"/>
      <c r="CD13"/>
      <c r="CE13"/>
      <c r="CF13"/>
      <c r="CG13"/>
      <c r="CH13"/>
      <c r="CI13"/>
      <c r="CJ13"/>
      <c r="CK13"/>
      <c r="CL13"/>
      <c r="CM13"/>
      <c r="CN13"/>
    </row>
    <row r="14" spans="1:92" s="60" customFormat="1" ht="12" customHeight="1">
      <c r="A14" s="9"/>
      <c r="B14" s="62"/>
      <c r="C14" s="11"/>
      <c r="D14" s="12"/>
      <c r="E14" s="10"/>
      <c r="F14" s="11"/>
      <c r="G14" s="10"/>
      <c r="H14" s="13"/>
      <c r="I14" s="214"/>
      <c r="J14" s="62"/>
      <c r="K14" s="64"/>
      <c r="L14" s="62"/>
      <c r="M14" s="62"/>
      <c r="N14" s="64"/>
      <c r="O14" s="63"/>
      <c r="P14" s="62"/>
      <c r="Q14" s="214"/>
      <c r="R14" s="62"/>
      <c r="S14" s="62"/>
      <c r="T14" s="278"/>
      <c r="U14" s="62"/>
      <c r="V14" s="62"/>
      <c r="W14" s="214"/>
      <c r="X14" s="62"/>
      <c r="Y14" s="62"/>
      <c r="Z14" s="214"/>
      <c r="AA14" s="62"/>
      <c r="AB14" s="62"/>
      <c r="AC14" s="214"/>
      <c r="AD14" s="62"/>
      <c r="AE14" s="62"/>
      <c r="AF14" s="214"/>
      <c r="AG14" s="62"/>
      <c r="AH14" s="62"/>
      <c r="AI14" s="214"/>
      <c r="AJ14" s="62"/>
      <c r="AK14" s="62"/>
      <c r="AL14" s="214"/>
      <c r="AM14" s="62"/>
      <c r="AN14" s="62"/>
      <c r="AO14" s="214"/>
      <c r="AP14" s="62"/>
      <c r="AQ14" s="62"/>
      <c r="AR14" s="64"/>
      <c r="AS14" s="62"/>
      <c r="AT14" s="62"/>
      <c r="AU14" s="64"/>
      <c r="AV14" s="62"/>
      <c r="AW14" s="62"/>
      <c r="AX14" s="64"/>
      <c r="AY14" s="63"/>
      <c r="AZ14" s="62"/>
      <c r="BA14" s="64"/>
      <c r="BB14" s="63"/>
      <c r="BC14" s="62"/>
      <c r="BD14" s="64"/>
      <c r="BE14" s="62"/>
      <c r="BF14" s="62"/>
      <c r="BG14" s="64"/>
      <c r="BH14" s="62"/>
      <c r="BI14" s="62"/>
      <c r="BJ14" s="64"/>
      <c r="BK14" s="63"/>
      <c r="BL14" s="62"/>
      <c r="BM14" s="64"/>
      <c r="BN14" s="63"/>
      <c r="BO14" s="62"/>
      <c r="BP14" s="64"/>
      <c r="BQ14" s="63"/>
      <c r="BR14" s="62"/>
      <c r="BS14" s="64"/>
      <c r="BT14"/>
      <c r="BU14"/>
      <c r="BV14"/>
      <c r="BW14"/>
      <c r="BX14" s="114"/>
      <c r="BY14" s="51">
        <v>19.239999999999998</v>
      </c>
      <c r="BZ14" s="63">
        <v>19.25</v>
      </c>
      <c r="CA14" s="114"/>
      <c r="CB14" s="114"/>
      <c r="CC14"/>
      <c r="CD14"/>
      <c r="CE14"/>
      <c r="CF14"/>
      <c r="CG14"/>
      <c r="CH14"/>
      <c r="CI14"/>
      <c r="CJ14"/>
      <c r="CK14"/>
      <c r="CL14"/>
      <c r="CM14"/>
      <c r="CN14"/>
    </row>
    <row r="15" spans="1:92" s="60" customFormat="1" ht="12" customHeight="1">
      <c r="A15" s="16"/>
      <c r="C15" s="11"/>
      <c r="D15" s="3"/>
      <c r="E15" s="3"/>
      <c r="F15" s="17"/>
      <c r="G15" s="3" t="s">
        <v>281</v>
      </c>
      <c r="H15" s="18">
        <f t="shared" ref="H15:AM15" si="103">AVERAGE(H4:H14)</f>
        <v>19.257499999999997</v>
      </c>
      <c r="I15" s="19">
        <f t="shared" si="103"/>
        <v>-3.1086244689504383E-15</v>
      </c>
      <c r="J15" s="18">
        <f t="shared" si="103"/>
        <v>19.423749999999998</v>
      </c>
      <c r="K15" s="19">
        <f t="shared" si="103"/>
        <v>0.16624999999999979</v>
      </c>
      <c r="L15" s="18">
        <f t="shared" si="103"/>
        <v>19.835000000000001</v>
      </c>
      <c r="M15" s="3">
        <f t="shared" si="103"/>
        <v>0.41125000000000078</v>
      </c>
      <c r="N15" s="3">
        <f t="shared" si="103"/>
        <v>0.57750000000000057</v>
      </c>
      <c r="O15" s="18">
        <f t="shared" si="103"/>
        <v>19.893750000000004</v>
      </c>
      <c r="P15" s="3">
        <f t="shared" si="103"/>
        <v>5.8749999999999858E-2</v>
      </c>
      <c r="Q15" s="207">
        <f t="shared" si="103"/>
        <v>0.63625000000000043</v>
      </c>
      <c r="R15" s="3">
        <f t="shared" si="103"/>
        <v>20.083750000000002</v>
      </c>
      <c r="S15" s="3">
        <f t="shared" si="103"/>
        <v>0.19000000000000039</v>
      </c>
      <c r="T15" s="207">
        <f t="shared" si="103"/>
        <v>0.82625000000000082</v>
      </c>
      <c r="U15" s="3">
        <f t="shared" si="103"/>
        <v>20.168749999999999</v>
      </c>
      <c r="V15" s="3">
        <f t="shared" si="103"/>
        <v>8.4999999999999076E-2</v>
      </c>
      <c r="W15" s="207">
        <f t="shared" si="103"/>
        <v>0.91124999999999989</v>
      </c>
      <c r="X15" s="3">
        <f>AVERAGE(X4:X14)</f>
        <v>20.407499999999999</v>
      </c>
      <c r="Y15" s="3">
        <f t="shared" si="103"/>
        <v>0.23875000000000002</v>
      </c>
      <c r="Z15" s="207">
        <f>AVERAGE(Z4:Z14)</f>
        <v>1.1499999999999999</v>
      </c>
      <c r="AA15" s="3">
        <f t="shared" si="103"/>
        <v>20.784999999999997</v>
      </c>
      <c r="AB15" s="3">
        <f t="shared" si="103"/>
        <v>0.37749999999999995</v>
      </c>
      <c r="AC15" s="207">
        <f t="shared" si="103"/>
        <v>1.5274999999999999</v>
      </c>
      <c r="AD15" s="3">
        <f t="shared" si="103"/>
        <v>21.06</v>
      </c>
      <c r="AE15" s="3">
        <f t="shared" si="103"/>
        <v>0.27500000000000036</v>
      </c>
      <c r="AF15" s="207">
        <f t="shared" si="103"/>
        <v>1.8025000000000002</v>
      </c>
      <c r="AG15" s="3">
        <f t="shared" si="103"/>
        <v>21.39</v>
      </c>
      <c r="AH15" s="3">
        <f t="shared" si="103"/>
        <v>0.33000000000000052</v>
      </c>
      <c r="AI15" s="207">
        <f t="shared" si="103"/>
        <v>2.1325000000000007</v>
      </c>
      <c r="AJ15" s="3">
        <f t="shared" si="103"/>
        <v>21.626249999999999</v>
      </c>
      <c r="AK15" s="3">
        <f t="shared" si="103"/>
        <v>0.23624999999999918</v>
      </c>
      <c r="AL15" s="207">
        <f t="shared" si="103"/>
        <v>2.3687499999999999</v>
      </c>
      <c r="AM15" s="3">
        <f t="shared" si="103"/>
        <v>21.643750000000001</v>
      </c>
      <c r="AN15" s="3">
        <f t="shared" ref="AN15:BS15" si="104">AVERAGE(AN4:AN14)</f>
        <v>1.7500000000000071E-2</v>
      </c>
      <c r="AO15" s="207">
        <f t="shared" si="104"/>
        <v>2.38625</v>
      </c>
      <c r="AP15" s="3">
        <f t="shared" si="104"/>
        <v>21.971249999999998</v>
      </c>
      <c r="AQ15" s="3">
        <f t="shared" si="104"/>
        <v>0.32749999999999968</v>
      </c>
      <c r="AR15" s="3">
        <f t="shared" si="104"/>
        <v>2.7137499999999997</v>
      </c>
      <c r="AS15" s="18">
        <f t="shared" si="104"/>
        <v>22.013750000000002</v>
      </c>
      <c r="AT15" s="3">
        <f t="shared" si="104"/>
        <v>4.250000000000087E-2</v>
      </c>
      <c r="AU15" s="3">
        <f t="shared" si="104"/>
        <v>2.7562500000000005</v>
      </c>
      <c r="AV15" s="18">
        <f t="shared" si="104"/>
        <v>22.037500000000001</v>
      </c>
      <c r="AW15" s="3">
        <f t="shared" si="104"/>
        <v>2.375000000000016E-2</v>
      </c>
      <c r="AX15" s="3">
        <f t="shared" si="104"/>
        <v>2.7800000000000007</v>
      </c>
      <c r="AY15" s="18">
        <f t="shared" si="104"/>
        <v>22.278750000000002</v>
      </c>
      <c r="AZ15" s="3">
        <f t="shared" si="104"/>
        <v>0.24124999999999952</v>
      </c>
      <c r="BA15" s="3">
        <f t="shared" si="104"/>
        <v>3.0212500000000002</v>
      </c>
      <c r="BB15" s="18">
        <f t="shared" si="104"/>
        <v>22.466249999999999</v>
      </c>
      <c r="BC15" s="3">
        <f t="shared" si="104"/>
        <v>0.1875</v>
      </c>
      <c r="BD15" s="3">
        <f t="shared" si="104"/>
        <v>3.2087500000000002</v>
      </c>
      <c r="BE15" s="18">
        <f t="shared" si="104"/>
        <v>22.403749999999999</v>
      </c>
      <c r="BF15" s="3">
        <f t="shared" si="104"/>
        <v>-6.2500000000000444E-2</v>
      </c>
      <c r="BG15" s="3">
        <f t="shared" si="104"/>
        <v>3.1462499999999998</v>
      </c>
      <c r="BH15" s="18">
        <f t="shared" si="104"/>
        <v>22.625</v>
      </c>
      <c r="BI15" s="3">
        <f t="shared" si="104"/>
        <v>0.22125000000000039</v>
      </c>
      <c r="BJ15" s="3">
        <f t="shared" si="104"/>
        <v>3.3675000000000002</v>
      </c>
      <c r="BK15" s="18">
        <f t="shared" si="104"/>
        <v>22.795000000000002</v>
      </c>
      <c r="BL15" s="3">
        <f t="shared" si="104"/>
        <v>0.17000000000000037</v>
      </c>
      <c r="BM15" s="3">
        <f t="shared" si="104"/>
        <v>3.5375000000000005</v>
      </c>
      <c r="BN15" s="18">
        <f t="shared" si="104"/>
        <v>22.988750000000003</v>
      </c>
      <c r="BO15" s="3">
        <f t="shared" si="104"/>
        <v>0.1937499999999992</v>
      </c>
      <c r="BP15" s="3">
        <f t="shared" si="104"/>
        <v>3.7312499999999997</v>
      </c>
      <c r="BQ15" s="18">
        <f t="shared" si="104"/>
        <v>23.081250000000001</v>
      </c>
      <c r="BR15" s="3">
        <f t="shared" si="104"/>
        <v>9.2500000000000693E-2</v>
      </c>
      <c r="BS15" s="19">
        <f t="shared" si="104"/>
        <v>3.6300000000000012</v>
      </c>
      <c r="BT15"/>
      <c r="BU15"/>
      <c r="BV15"/>
      <c r="BW15"/>
      <c r="BX15" s="114"/>
      <c r="BY15" s="63">
        <v>19.25</v>
      </c>
      <c r="BZ15" s="63">
        <v>19.399999999999999</v>
      </c>
      <c r="CA15" s="114"/>
      <c r="CB15" s="114"/>
      <c r="CC15"/>
      <c r="CD15"/>
      <c r="CE15"/>
      <c r="CF15"/>
      <c r="CG15"/>
      <c r="CH15"/>
      <c r="CI15"/>
      <c r="CJ15"/>
      <c r="CK15"/>
      <c r="CL15"/>
      <c r="CM15"/>
      <c r="CN15"/>
    </row>
    <row r="16" spans="1:92" s="60" customFormat="1" ht="12" customHeight="1">
      <c r="A16" s="16"/>
      <c r="B16" s="62"/>
      <c r="C16" s="17"/>
      <c r="D16" s="3"/>
      <c r="E16" s="3"/>
      <c r="F16" s="17"/>
      <c r="G16" s="3" t="s">
        <v>45</v>
      </c>
      <c r="H16" s="18">
        <f t="shared" ref="H16:AM16" si="105">STDEV(H4:H14)/SQRT(COUNT(H4:H14))</f>
        <v>0.40543517184801381</v>
      </c>
      <c r="I16" s="19">
        <f t="shared" si="105"/>
        <v>0.40543517184801381</v>
      </c>
      <c r="J16" s="18">
        <f t="shared" si="105"/>
        <v>0.45865851559583143</v>
      </c>
      <c r="K16" s="19">
        <f t="shared" si="105"/>
        <v>0.1238653863214878</v>
      </c>
      <c r="L16" s="18">
        <f t="shared" si="105"/>
        <v>0.45989905724750357</v>
      </c>
      <c r="M16" s="3">
        <f t="shared" si="105"/>
        <v>0.17005710700484467</v>
      </c>
      <c r="N16" s="3">
        <f t="shared" si="105"/>
        <v>0.1600641612425644</v>
      </c>
      <c r="O16" s="18">
        <f t="shared" si="105"/>
        <v>0.40238102722597213</v>
      </c>
      <c r="P16" s="3">
        <f t="shared" si="105"/>
        <v>6.9806812500131599E-2</v>
      </c>
      <c r="Q16" s="207">
        <f t="shared" si="105"/>
        <v>0.14763537976089211</v>
      </c>
      <c r="R16" s="3">
        <f t="shared" si="105"/>
        <v>0.39152603224890592</v>
      </c>
      <c r="S16" s="3">
        <f t="shared" si="105"/>
        <v>9.2059763197610014E-2</v>
      </c>
      <c r="T16" s="207">
        <f t="shared" si="105"/>
        <v>0.13785263223560748</v>
      </c>
      <c r="U16" s="3">
        <f t="shared" si="105"/>
        <v>0.37465907121389341</v>
      </c>
      <c r="V16" s="3">
        <f t="shared" si="105"/>
        <v>5.9190974215427294E-2</v>
      </c>
      <c r="W16" s="207">
        <f t="shared" si="105"/>
        <v>0.13625655292236663</v>
      </c>
      <c r="X16" s="3">
        <f>STDEV(X4:X14)/SQRT(COUNT(X4:X14))</f>
        <v>0.40830551411552485</v>
      </c>
      <c r="Y16" s="3">
        <f t="shared" si="105"/>
        <v>4.541229773656337E-2</v>
      </c>
      <c r="Z16" s="207">
        <f>STDEV(Z4:Z14)/SQRT(COUNT(Z4:Z14))</f>
        <v>0.16401219466856701</v>
      </c>
      <c r="AA16" s="3">
        <f t="shared" si="105"/>
        <v>0.44827048594730029</v>
      </c>
      <c r="AB16" s="3">
        <f t="shared" si="105"/>
        <v>6.6433371562361856E-2</v>
      </c>
      <c r="AC16" s="207">
        <f t="shared" si="105"/>
        <v>0.15124188289907381</v>
      </c>
      <c r="AD16" s="3">
        <f t="shared" si="105"/>
        <v>0.49956767023383036</v>
      </c>
      <c r="AE16" s="3">
        <f t="shared" si="105"/>
        <v>6.3835726674018364E-2</v>
      </c>
      <c r="AF16" s="207">
        <f t="shared" si="105"/>
        <v>0.18575857988259903</v>
      </c>
      <c r="AG16" s="3">
        <f t="shared" si="105"/>
        <v>0.51696228102251329</v>
      </c>
      <c r="AH16" s="3">
        <f t="shared" si="105"/>
        <v>7.43303437365926E-2</v>
      </c>
      <c r="AI16" s="207">
        <f t="shared" si="105"/>
        <v>0.23722916888828921</v>
      </c>
      <c r="AJ16" s="3">
        <f t="shared" si="105"/>
        <v>0.57442809291378794</v>
      </c>
      <c r="AK16" s="3">
        <f t="shared" si="105"/>
        <v>0.10378441769910772</v>
      </c>
      <c r="AL16" s="207">
        <f t="shared" si="105"/>
        <v>0.23727197700408817</v>
      </c>
      <c r="AM16" s="3">
        <f t="shared" si="105"/>
        <v>0.55495475201651734</v>
      </c>
      <c r="AN16" s="3">
        <f t="shared" ref="AN16:BS16" si="106">STDEV(AN4:AN14)/SQRT(COUNT(AN4:AN14))</f>
        <v>8.22615601949922E-2</v>
      </c>
      <c r="AO16" s="207">
        <f t="shared" si="106"/>
        <v>0.24521810627043275</v>
      </c>
      <c r="AP16" s="3">
        <f t="shared" si="106"/>
        <v>0.59460502346395572</v>
      </c>
      <c r="AQ16" s="3">
        <f t="shared" si="106"/>
        <v>9.824804614560334E-2</v>
      </c>
      <c r="AR16" s="3">
        <f t="shared" si="106"/>
        <v>0.30297299207779455</v>
      </c>
      <c r="AS16" s="18">
        <f t="shared" si="106"/>
        <v>0.61442463649219958</v>
      </c>
      <c r="AT16" s="3">
        <f t="shared" si="106"/>
        <v>9.6023620606003848E-2</v>
      </c>
      <c r="AU16" s="3">
        <f t="shared" si="106"/>
        <v>0.2983582308711647</v>
      </c>
      <c r="AV16" s="18">
        <f t="shared" si="106"/>
        <v>0.60619937196555096</v>
      </c>
      <c r="AW16" s="3">
        <f t="shared" si="106"/>
        <v>3.2783788458844658E-2</v>
      </c>
      <c r="AX16" s="3">
        <f t="shared" si="106"/>
        <v>0.29159046623646645</v>
      </c>
      <c r="AY16" s="18">
        <f t="shared" si="106"/>
        <v>0.61497804112946053</v>
      </c>
      <c r="AZ16" s="3">
        <f t="shared" si="106"/>
        <v>8.3354610378962024E-2</v>
      </c>
      <c r="BA16" s="3">
        <f t="shared" si="106"/>
        <v>0.30634619480487851</v>
      </c>
      <c r="BB16" s="18">
        <f t="shared" si="106"/>
        <v>0.66314708964150648</v>
      </c>
      <c r="BC16" s="3">
        <f t="shared" si="106"/>
        <v>0.10132602965533746</v>
      </c>
      <c r="BD16" s="3">
        <f t="shared" si="106"/>
        <v>0.33192855029358354</v>
      </c>
      <c r="BE16" s="18">
        <f t="shared" si="106"/>
        <v>0.62764280532117034</v>
      </c>
      <c r="BF16" s="3">
        <f t="shared" si="106"/>
        <v>0.11162357021960662</v>
      </c>
      <c r="BG16" s="3">
        <f t="shared" si="106"/>
        <v>0.34719250269637369</v>
      </c>
      <c r="BH16" s="18">
        <f t="shared" si="106"/>
        <v>0.63991349861859115</v>
      </c>
      <c r="BI16" s="3">
        <f t="shared" si="106"/>
        <v>8.0720804098359564E-2</v>
      </c>
      <c r="BJ16" s="3">
        <f t="shared" si="106"/>
        <v>0.3440709540611806</v>
      </c>
      <c r="BK16" s="18">
        <f t="shared" si="106"/>
        <v>0.66372326419116201</v>
      </c>
      <c r="BL16" s="3">
        <f t="shared" si="106"/>
        <v>8.064472350111572E-2</v>
      </c>
      <c r="BM16" s="3">
        <f t="shared" si="106"/>
        <v>0.36034581604738691</v>
      </c>
      <c r="BN16" s="18">
        <f t="shared" si="106"/>
        <v>0.69340886078437514</v>
      </c>
      <c r="BO16" s="3">
        <f t="shared" si="106"/>
        <v>0.15316817904326152</v>
      </c>
      <c r="BP16" s="3">
        <f t="shared" si="106"/>
        <v>0.40151693390725773</v>
      </c>
      <c r="BQ16" s="18">
        <f t="shared" si="106"/>
        <v>0.67649157290707296</v>
      </c>
      <c r="BR16" s="3">
        <f t="shared" si="106"/>
        <v>0.12428006965835552</v>
      </c>
      <c r="BS16" s="19">
        <f t="shared" si="106"/>
        <v>0.33021637927706932</v>
      </c>
      <c r="BT16"/>
      <c r="BU16"/>
      <c r="BV16"/>
      <c r="BW16"/>
      <c r="BX16" s="114"/>
      <c r="BY16" s="63">
        <v>19.399999999999999</v>
      </c>
      <c r="BZ16" s="63">
        <v>19.77</v>
      </c>
      <c r="CA16" s="114"/>
      <c r="CB16" s="114"/>
      <c r="CC16"/>
      <c r="CD16"/>
      <c r="CE16"/>
      <c r="CF16"/>
      <c r="CG16"/>
      <c r="CH16"/>
      <c r="CI16"/>
      <c r="CJ16"/>
      <c r="CK16"/>
      <c r="CL16"/>
      <c r="CM16"/>
      <c r="CN16"/>
    </row>
    <row r="17" spans="1:92" s="60" customFormat="1" ht="12" customHeight="1">
      <c r="A17" s="21"/>
      <c r="B17" s="65"/>
      <c r="C17" s="23"/>
      <c r="D17" s="24"/>
      <c r="E17" s="24"/>
      <c r="F17" s="25"/>
      <c r="G17" s="24"/>
      <c r="H17" s="26"/>
      <c r="I17" s="27"/>
      <c r="J17" s="26"/>
      <c r="K17" s="66"/>
      <c r="L17" s="26"/>
      <c r="M17" s="65"/>
      <c r="N17" s="66"/>
      <c r="O17" s="26"/>
      <c r="P17" s="65"/>
      <c r="Q17" s="277"/>
      <c r="R17" s="24"/>
      <c r="S17" s="65"/>
      <c r="T17" s="277"/>
      <c r="U17" s="24"/>
      <c r="V17" s="65"/>
      <c r="W17" s="277"/>
      <c r="X17" s="24"/>
      <c r="Y17" s="65"/>
      <c r="Z17" s="277"/>
      <c r="AA17" s="24"/>
      <c r="AB17" s="65"/>
      <c r="AC17" s="277"/>
      <c r="AD17" s="24"/>
      <c r="AE17" s="65"/>
      <c r="AF17" s="277"/>
      <c r="AG17" s="24"/>
      <c r="AH17" s="65"/>
      <c r="AI17" s="277"/>
      <c r="AJ17" s="24"/>
      <c r="AK17" s="65"/>
      <c r="AL17" s="277"/>
      <c r="AM17" s="24"/>
      <c r="AN17" s="65"/>
      <c r="AO17" s="277"/>
      <c r="AP17" s="24"/>
      <c r="AQ17" s="65"/>
      <c r="AR17" s="66"/>
      <c r="AS17" s="26"/>
      <c r="AT17" s="65"/>
      <c r="AU17" s="66"/>
      <c r="AV17" s="26"/>
      <c r="AW17" s="65"/>
      <c r="AX17" s="66"/>
      <c r="AY17" s="26"/>
      <c r="AZ17" s="65"/>
      <c r="BA17" s="66"/>
      <c r="BB17" s="26"/>
      <c r="BC17" s="65"/>
      <c r="BD17" s="66"/>
      <c r="BE17" s="24"/>
      <c r="BF17" s="65"/>
      <c r="BG17" s="66"/>
      <c r="BH17" s="26"/>
      <c r="BI17" s="24"/>
      <c r="BJ17" s="66"/>
      <c r="BK17" s="26"/>
      <c r="BL17" s="24"/>
      <c r="BM17" s="66"/>
      <c r="BN17" s="26"/>
      <c r="BO17" s="24"/>
      <c r="BP17" s="66"/>
      <c r="BQ17" s="26"/>
      <c r="BR17" s="24"/>
      <c r="BS17" s="66"/>
      <c r="BT17"/>
      <c r="BU17"/>
      <c r="BV17"/>
      <c r="BW17"/>
      <c r="BX17" s="114"/>
      <c r="BY17" s="63">
        <v>19.77</v>
      </c>
      <c r="BZ17" s="60">
        <v>20</v>
      </c>
      <c r="CA17" s="114"/>
      <c r="CB17" s="114"/>
      <c r="CC17"/>
      <c r="CD17"/>
      <c r="CE17"/>
      <c r="CF17"/>
      <c r="CG17"/>
      <c r="CH17"/>
      <c r="CI17"/>
      <c r="CJ17"/>
      <c r="CK17"/>
      <c r="CL17"/>
      <c r="CM17"/>
      <c r="CN17"/>
    </row>
    <row r="18" spans="1:92" s="60" customFormat="1" ht="12" customHeight="1">
      <c r="A18" s="9" t="s">
        <v>282</v>
      </c>
      <c r="B18" s="116" t="s">
        <v>283</v>
      </c>
      <c r="C18" s="138">
        <v>42548</v>
      </c>
      <c r="D18" s="12" t="s">
        <v>26</v>
      </c>
      <c r="E18" s="10" t="s">
        <v>284</v>
      </c>
      <c r="F18" s="11">
        <v>42587</v>
      </c>
      <c r="G18" s="10" t="s">
        <v>263</v>
      </c>
      <c r="H18" s="63">
        <v>20.3</v>
      </c>
      <c r="I18" s="64">
        <f>H28-H18</f>
        <v>-0.89124999999999943</v>
      </c>
      <c r="J18" s="63">
        <v>20.11</v>
      </c>
      <c r="K18" s="64">
        <f t="shared" ref="K18:K26" si="107">J18-H18</f>
        <v>-0.19000000000000128</v>
      </c>
      <c r="L18" s="63">
        <v>20.57</v>
      </c>
      <c r="M18" s="62">
        <f t="shared" ref="M18:M23" si="108">L18-J18</f>
        <v>0.46000000000000085</v>
      </c>
      <c r="N18" s="64">
        <f t="shared" ref="N18:N23" si="109">K18+M18</f>
        <v>0.26999999999999957</v>
      </c>
      <c r="O18" s="63">
        <v>21.02</v>
      </c>
      <c r="P18" s="62">
        <f t="shared" ref="P18:P26" si="110">O18-L18</f>
        <v>0.44999999999999929</v>
      </c>
      <c r="Q18" s="214">
        <f t="shared" ref="Q18:Q26" si="111">N18+P18</f>
        <v>0.71999999999999886</v>
      </c>
      <c r="R18" s="62">
        <v>21.13</v>
      </c>
      <c r="S18" s="62">
        <f t="shared" ref="S18:S23" si="112">R18-O18</f>
        <v>0.10999999999999943</v>
      </c>
      <c r="T18" s="214">
        <f t="shared" ref="T18:T23" si="113">Q18+S18</f>
        <v>0.82999999999999829</v>
      </c>
      <c r="U18" s="62">
        <v>21.39</v>
      </c>
      <c r="V18" s="62">
        <f t="shared" ref="V18:V23" si="114">U18-R18</f>
        <v>0.26000000000000156</v>
      </c>
      <c r="W18" s="214">
        <f t="shared" ref="W18:W23" si="115">T18+V18</f>
        <v>1.0899999999999999</v>
      </c>
      <c r="X18" s="62">
        <v>21.37</v>
      </c>
      <c r="Y18" s="62">
        <f t="shared" ref="Y18:Y23" si="116">X18-U18</f>
        <v>-1.9999999999999574E-2</v>
      </c>
      <c r="Z18" s="214">
        <f t="shared" ref="Z18:Z23" si="117">W18+Y18</f>
        <v>1.0700000000000003</v>
      </c>
      <c r="AA18" s="62">
        <v>21.6</v>
      </c>
      <c r="AB18" s="62">
        <f t="shared" ref="AB18:AB23" si="118">AA18-X18</f>
        <v>0.23000000000000043</v>
      </c>
      <c r="AC18" s="214">
        <f t="shared" ref="AC18:AC23" si="119">Z18+AB18</f>
        <v>1.3000000000000007</v>
      </c>
      <c r="AD18" s="62">
        <v>21.45</v>
      </c>
      <c r="AE18" s="62">
        <f t="shared" ref="AE18:AE23" si="120">AD18-AA18</f>
        <v>-0.15000000000000213</v>
      </c>
      <c r="AF18" s="214">
        <f t="shared" ref="AF18:AF23" si="121">AC18+AE18</f>
        <v>1.1499999999999986</v>
      </c>
      <c r="AG18" s="62">
        <v>21.9</v>
      </c>
      <c r="AH18" s="62">
        <f t="shared" ref="AH18:AH23" si="122">AG18-AD18</f>
        <v>0.44999999999999929</v>
      </c>
      <c r="AI18" s="214">
        <f t="shared" ref="AI18:AI23" si="123">AF18+AH18</f>
        <v>1.5999999999999979</v>
      </c>
      <c r="AJ18" s="62">
        <v>21.95</v>
      </c>
      <c r="AK18" s="62">
        <f t="shared" ref="AK18:AK26" si="124">AJ18-AG18</f>
        <v>5.0000000000000711E-2</v>
      </c>
      <c r="AL18" s="214">
        <f t="shared" ref="AL18:AL26" si="125">AI18+AK18</f>
        <v>1.6499999999999986</v>
      </c>
      <c r="AM18" s="62">
        <v>22.43</v>
      </c>
      <c r="AN18" s="62">
        <f t="shared" ref="AN18:AN23" si="126">AM18-AJ18</f>
        <v>0.48000000000000043</v>
      </c>
      <c r="AO18" s="214">
        <f t="shared" ref="AO18:AO23" si="127">AL18+AN18</f>
        <v>2.129999999999999</v>
      </c>
      <c r="AP18" s="62">
        <v>22.71</v>
      </c>
      <c r="AQ18" s="62">
        <f t="shared" ref="AQ18:AQ23" si="128">AP18-AM18</f>
        <v>0.28000000000000114</v>
      </c>
      <c r="AR18" s="64">
        <f t="shared" ref="AR18:AR23" si="129">AO18+AQ18</f>
        <v>2.41</v>
      </c>
      <c r="AS18" s="63">
        <v>23.03</v>
      </c>
      <c r="AT18" s="62">
        <f t="shared" ref="AT18:AT23" si="130">AS18-AP18</f>
        <v>0.32000000000000028</v>
      </c>
      <c r="AU18" s="64">
        <f t="shared" ref="AU18:AU23" si="131">AR18+AT18</f>
        <v>2.7300000000000004</v>
      </c>
      <c r="AV18" s="62">
        <v>22.95</v>
      </c>
      <c r="AW18" s="62">
        <f t="shared" ref="AW18:AW23" si="132">AV18-AS18</f>
        <v>-8.0000000000001847E-2</v>
      </c>
      <c r="AX18" s="64">
        <f t="shared" ref="AX18:AX23" si="133">AU18+AW18</f>
        <v>2.6499999999999986</v>
      </c>
      <c r="AY18" s="63">
        <v>23.01</v>
      </c>
      <c r="AZ18" s="62">
        <f t="shared" ref="AZ18:AZ23" si="134">AY18-AV18</f>
        <v>6.0000000000002274E-2</v>
      </c>
      <c r="BA18" s="64">
        <f t="shared" ref="BA18:BA23" si="135">AX18+AZ18</f>
        <v>2.7100000000000009</v>
      </c>
      <c r="BB18" s="63">
        <v>23.25</v>
      </c>
      <c r="BC18" s="62">
        <f t="shared" ref="BC18:BC23" si="136">BB18-AY18</f>
        <v>0.23999999999999844</v>
      </c>
      <c r="BD18" s="64">
        <f t="shared" ref="BD18:BD23" si="137">BA18+BC18</f>
        <v>2.9499999999999993</v>
      </c>
      <c r="BE18" s="62">
        <v>23.43</v>
      </c>
      <c r="BF18" s="62">
        <f t="shared" ref="BF18:BF26" si="138">BE18-BB18</f>
        <v>0.17999999999999972</v>
      </c>
      <c r="BG18" s="64">
        <f t="shared" ref="BG18:BG26" si="139">BD18+BF18</f>
        <v>3.129999999999999</v>
      </c>
      <c r="BH18" s="63">
        <v>23.85</v>
      </c>
      <c r="BI18" s="62">
        <f t="shared" ref="BI18:BI23" si="140">BH18-BE18</f>
        <v>0.42000000000000171</v>
      </c>
      <c r="BJ18" s="64">
        <f t="shared" ref="BJ18:BJ23" si="141">BG18+BI18</f>
        <v>3.5500000000000007</v>
      </c>
      <c r="BK18" s="63">
        <v>23.87</v>
      </c>
      <c r="BL18" s="62">
        <f t="shared" ref="BL18:BL23" si="142">BK18-BH18</f>
        <v>1.9999999999999574E-2</v>
      </c>
      <c r="BM18" s="64">
        <f t="shared" ref="BM18:BM23" si="143">BJ18+BL18</f>
        <v>3.5700000000000003</v>
      </c>
      <c r="BN18" s="63">
        <v>24.27</v>
      </c>
      <c r="BO18" s="62">
        <f t="shared" ref="BO18:BO23" si="144">BN18-BK18</f>
        <v>0.39999999999999858</v>
      </c>
      <c r="BP18" s="64">
        <f t="shared" ref="BP18:BP23" si="145">BM18+BO18</f>
        <v>3.9699999999999989</v>
      </c>
      <c r="BQ18" s="63">
        <v>24.45</v>
      </c>
      <c r="BR18" s="62">
        <f t="shared" ref="BR18:BR23" si="146">BQ18-BN18</f>
        <v>0.17999999999999972</v>
      </c>
      <c r="BS18" s="214">
        <f t="shared" ref="BS18:BS20" si="147">BP18+BR18</f>
        <v>4.1499999999999986</v>
      </c>
      <c r="BT18"/>
      <c r="BU18"/>
      <c r="BV18"/>
      <c r="BW18"/>
      <c r="BX18" s="114"/>
      <c r="BY18" s="62">
        <v>19.93</v>
      </c>
      <c r="BZ18" s="10">
        <v>20.079999999999998</v>
      </c>
      <c r="CA18" s="114"/>
      <c r="CB18" s="114"/>
      <c r="CC18"/>
      <c r="CD18"/>
      <c r="CE18"/>
      <c r="CF18"/>
      <c r="CG18"/>
      <c r="CH18"/>
      <c r="CI18"/>
      <c r="CJ18"/>
      <c r="CK18"/>
      <c r="CL18"/>
      <c r="CM18"/>
      <c r="CN18"/>
    </row>
    <row r="19" spans="1:92" s="60" customFormat="1" ht="12" customHeight="1">
      <c r="A19" s="9" t="s">
        <v>285</v>
      </c>
      <c r="B19" s="62" t="s">
        <v>286</v>
      </c>
      <c r="C19" s="11">
        <v>42621</v>
      </c>
      <c r="D19" s="12" t="s">
        <v>26</v>
      </c>
      <c r="E19" s="10" t="s">
        <v>284</v>
      </c>
      <c r="F19" s="11" t="s">
        <v>271</v>
      </c>
      <c r="G19" s="10" t="s">
        <v>263</v>
      </c>
      <c r="H19" s="63">
        <v>17.57</v>
      </c>
      <c r="I19" s="64">
        <f>H28-H19</f>
        <v>1.838750000000001</v>
      </c>
      <c r="J19" s="63">
        <v>17.87</v>
      </c>
      <c r="K19" s="64">
        <f t="shared" si="107"/>
        <v>0.30000000000000071</v>
      </c>
      <c r="L19" s="63">
        <v>18.12</v>
      </c>
      <c r="M19" s="62">
        <f t="shared" si="108"/>
        <v>0.25</v>
      </c>
      <c r="N19" s="64">
        <f t="shared" si="109"/>
        <v>0.55000000000000071</v>
      </c>
      <c r="O19" s="63">
        <v>18.170000000000002</v>
      </c>
      <c r="P19" s="62">
        <f t="shared" si="110"/>
        <v>5.0000000000000711E-2</v>
      </c>
      <c r="Q19" s="214">
        <f t="shared" si="111"/>
        <v>0.60000000000000142</v>
      </c>
      <c r="R19" s="62">
        <v>18.22</v>
      </c>
      <c r="S19" s="62">
        <f t="shared" si="112"/>
        <v>4.9999999999997158E-2</v>
      </c>
      <c r="T19" s="214">
        <f t="shared" si="113"/>
        <v>0.64999999999999858</v>
      </c>
      <c r="U19" s="62">
        <v>18.350000000000001</v>
      </c>
      <c r="V19" s="62">
        <f t="shared" si="114"/>
        <v>0.13000000000000256</v>
      </c>
      <c r="W19" s="214">
        <f t="shared" si="115"/>
        <v>0.78000000000000114</v>
      </c>
      <c r="X19" s="62">
        <v>18.579999999999998</v>
      </c>
      <c r="Y19" s="62">
        <f t="shared" si="116"/>
        <v>0.22999999999999687</v>
      </c>
      <c r="Z19" s="214">
        <f t="shared" si="117"/>
        <v>1.009999999999998</v>
      </c>
      <c r="AA19" s="62">
        <v>19.39</v>
      </c>
      <c r="AB19" s="62">
        <f t="shared" si="118"/>
        <v>0.81000000000000227</v>
      </c>
      <c r="AC19" s="214">
        <f t="shared" si="119"/>
        <v>1.8200000000000003</v>
      </c>
      <c r="AD19" s="62">
        <v>19.03</v>
      </c>
      <c r="AE19" s="62">
        <f t="shared" si="120"/>
        <v>-0.35999999999999943</v>
      </c>
      <c r="AF19" s="214">
        <f t="shared" si="121"/>
        <v>1.4600000000000009</v>
      </c>
      <c r="AG19" s="62">
        <v>19.190000000000001</v>
      </c>
      <c r="AH19" s="62">
        <f t="shared" si="122"/>
        <v>0.16000000000000014</v>
      </c>
      <c r="AI19" s="214">
        <f t="shared" si="123"/>
        <v>1.620000000000001</v>
      </c>
      <c r="AJ19" s="62">
        <v>19.09</v>
      </c>
      <c r="AK19" s="62">
        <f t="shared" si="124"/>
        <v>-0.10000000000000142</v>
      </c>
      <c r="AL19" s="214">
        <f t="shared" si="125"/>
        <v>1.5199999999999996</v>
      </c>
      <c r="AM19" s="62">
        <v>19.07</v>
      </c>
      <c r="AN19" s="62">
        <f t="shared" si="126"/>
        <v>-1.9999999999999574E-2</v>
      </c>
      <c r="AO19" s="214">
        <f t="shared" si="127"/>
        <v>1.5</v>
      </c>
      <c r="AP19" s="62">
        <v>20.149999999999999</v>
      </c>
      <c r="AQ19" s="62">
        <f t="shared" si="128"/>
        <v>1.0799999999999983</v>
      </c>
      <c r="AR19" s="64">
        <f t="shared" si="129"/>
        <v>2.5799999999999983</v>
      </c>
      <c r="AS19" s="63">
        <v>20.14</v>
      </c>
      <c r="AT19" s="62">
        <f t="shared" si="130"/>
        <v>-9.9999999999980105E-3</v>
      </c>
      <c r="AU19" s="64">
        <f t="shared" si="131"/>
        <v>2.5700000000000003</v>
      </c>
      <c r="AV19" s="63">
        <v>20.36</v>
      </c>
      <c r="AW19" s="62">
        <f t="shared" si="132"/>
        <v>0.21999999999999886</v>
      </c>
      <c r="AX19" s="64">
        <f t="shared" si="133"/>
        <v>2.7899999999999991</v>
      </c>
      <c r="AY19" s="63">
        <v>20.62</v>
      </c>
      <c r="AZ19" s="62">
        <f t="shared" si="134"/>
        <v>0.26000000000000156</v>
      </c>
      <c r="BA19" s="64">
        <f t="shared" si="135"/>
        <v>3.0500000000000007</v>
      </c>
      <c r="BB19" s="63">
        <v>20.94</v>
      </c>
      <c r="BC19" s="62">
        <f t="shared" si="136"/>
        <v>0.32000000000000028</v>
      </c>
      <c r="BD19" s="64">
        <f t="shared" si="137"/>
        <v>3.370000000000001</v>
      </c>
      <c r="BE19" s="62">
        <v>20.51</v>
      </c>
      <c r="BF19" s="62">
        <f t="shared" si="138"/>
        <v>-0.42999999999999972</v>
      </c>
      <c r="BG19" s="64">
        <f t="shared" si="139"/>
        <v>2.9400000000000013</v>
      </c>
      <c r="BH19" s="63">
        <v>21</v>
      </c>
      <c r="BI19" s="62">
        <f t="shared" si="140"/>
        <v>0.48999999999999844</v>
      </c>
      <c r="BJ19" s="64">
        <f t="shared" si="141"/>
        <v>3.4299999999999997</v>
      </c>
      <c r="BK19" s="63">
        <v>21.32</v>
      </c>
      <c r="BL19" s="62">
        <f t="shared" si="142"/>
        <v>0.32000000000000028</v>
      </c>
      <c r="BM19" s="64">
        <f t="shared" si="143"/>
        <v>3.75</v>
      </c>
      <c r="BN19" s="63">
        <v>21.52</v>
      </c>
      <c r="BO19" s="62">
        <f t="shared" si="144"/>
        <v>0.19999999999999929</v>
      </c>
      <c r="BP19" s="64">
        <f t="shared" si="145"/>
        <v>3.9499999999999993</v>
      </c>
      <c r="BQ19" s="63">
        <v>21.31</v>
      </c>
      <c r="BR19" s="62">
        <f t="shared" si="146"/>
        <v>-0.21000000000000085</v>
      </c>
      <c r="BS19" s="214">
        <f t="shared" si="147"/>
        <v>3.7399999999999984</v>
      </c>
      <c r="BT19"/>
      <c r="BU19"/>
      <c r="BV19"/>
      <c r="BW19"/>
      <c r="BX19" s="114"/>
      <c r="BY19" s="62">
        <v>20</v>
      </c>
      <c r="BZ19" s="62">
        <v>20.27</v>
      </c>
      <c r="CA19" s="114"/>
      <c r="CB19" s="114"/>
      <c r="CC19"/>
      <c r="CD19"/>
      <c r="CE19"/>
      <c r="CF19"/>
      <c r="CG19"/>
      <c r="CH19"/>
      <c r="CI19"/>
      <c r="CJ19"/>
      <c r="CK19"/>
      <c r="CL19"/>
      <c r="CM19"/>
      <c r="CN19"/>
    </row>
    <row r="20" spans="1:92" s="60" customFormat="1" ht="12" customHeight="1">
      <c r="A20" s="133" t="s">
        <v>287</v>
      </c>
      <c r="B20" s="62" t="s">
        <v>288</v>
      </c>
      <c r="C20" s="114"/>
      <c r="D20" s="12" t="s">
        <v>26</v>
      </c>
      <c r="E20" s="10" t="s">
        <v>284</v>
      </c>
      <c r="F20" s="11">
        <v>42411</v>
      </c>
      <c r="G20" s="10" t="s">
        <v>263</v>
      </c>
      <c r="H20" s="63">
        <v>19.25</v>
      </c>
      <c r="I20" s="64">
        <f>H28-H20</f>
        <v>0.15875000000000128</v>
      </c>
      <c r="J20" s="63">
        <v>18.670000000000002</v>
      </c>
      <c r="K20" s="64">
        <f t="shared" si="107"/>
        <v>-0.57999999999999829</v>
      </c>
      <c r="L20" s="63">
        <v>18.829999999999998</v>
      </c>
      <c r="M20" s="62">
        <f t="shared" si="108"/>
        <v>0.15999999999999659</v>
      </c>
      <c r="N20" s="64">
        <f t="shared" si="109"/>
        <v>-0.42000000000000171</v>
      </c>
      <c r="O20" s="63">
        <v>19.399999999999999</v>
      </c>
      <c r="P20" s="62">
        <f t="shared" si="110"/>
        <v>0.57000000000000028</v>
      </c>
      <c r="Q20" s="214">
        <f t="shared" si="111"/>
        <v>0.14999999999999858</v>
      </c>
      <c r="R20" s="62">
        <v>19.399999999999999</v>
      </c>
      <c r="S20" s="62">
        <f t="shared" si="112"/>
        <v>0</v>
      </c>
      <c r="T20" s="214">
        <f t="shared" si="113"/>
        <v>0.14999999999999858</v>
      </c>
      <c r="U20" s="62">
        <v>19.84</v>
      </c>
      <c r="V20" s="62">
        <f t="shared" si="114"/>
        <v>0.44000000000000128</v>
      </c>
      <c r="W20" s="214">
        <f t="shared" si="115"/>
        <v>0.58999999999999986</v>
      </c>
      <c r="X20" s="62">
        <v>19.96</v>
      </c>
      <c r="Y20" s="62">
        <f t="shared" si="116"/>
        <v>0.12000000000000099</v>
      </c>
      <c r="Z20" s="214">
        <f t="shared" si="117"/>
        <v>0.71000000000000085</v>
      </c>
      <c r="AA20" s="62">
        <v>20.239999999999998</v>
      </c>
      <c r="AB20" s="62">
        <f t="shared" si="118"/>
        <v>0.27999999999999758</v>
      </c>
      <c r="AC20" s="214">
        <f t="shared" si="119"/>
        <v>0.98999999999999844</v>
      </c>
      <c r="AD20" s="62">
        <v>20.3</v>
      </c>
      <c r="AE20" s="62">
        <f t="shared" si="120"/>
        <v>6.0000000000002274E-2</v>
      </c>
      <c r="AF20" s="214">
        <f t="shared" si="121"/>
        <v>1.0500000000000007</v>
      </c>
      <c r="AG20" s="62">
        <v>20.39</v>
      </c>
      <c r="AH20" s="62">
        <f t="shared" si="122"/>
        <v>8.9999999999999858E-2</v>
      </c>
      <c r="AI20" s="214">
        <f t="shared" si="123"/>
        <v>1.1400000000000006</v>
      </c>
      <c r="AJ20" s="62">
        <v>20.72</v>
      </c>
      <c r="AK20" s="62">
        <f t="shared" si="124"/>
        <v>0.32999999999999829</v>
      </c>
      <c r="AL20" s="214">
        <f t="shared" si="125"/>
        <v>1.4699999999999989</v>
      </c>
      <c r="AM20" s="62">
        <v>20.99</v>
      </c>
      <c r="AN20" s="62">
        <f t="shared" si="126"/>
        <v>0.26999999999999957</v>
      </c>
      <c r="AO20" s="214">
        <f t="shared" si="127"/>
        <v>1.7399999999999984</v>
      </c>
      <c r="AP20" s="62">
        <v>21.1</v>
      </c>
      <c r="AQ20" s="62">
        <f t="shared" si="128"/>
        <v>0.11000000000000298</v>
      </c>
      <c r="AR20" s="64">
        <f t="shared" si="129"/>
        <v>1.8500000000000014</v>
      </c>
      <c r="AS20" s="63">
        <v>20.89</v>
      </c>
      <c r="AT20" s="62">
        <f t="shared" si="130"/>
        <v>-0.21000000000000085</v>
      </c>
      <c r="AU20" s="64">
        <f t="shared" si="131"/>
        <v>1.6400000000000006</v>
      </c>
      <c r="AV20" s="63">
        <v>21.25</v>
      </c>
      <c r="AW20" s="62">
        <f t="shared" si="132"/>
        <v>0.35999999999999943</v>
      </c>
      <c r="AX20" s="64">
        <f t="shared" si="133"/>
        <v>2</v>
      </c>
      <c r="AY20" s="63">
        <v>21.34</v>
      </c>
      <c r="AZ20" s="62">
        <f t="shared" si="134"/>
        <v>8.9999999999999858E-2</v>
      </c>
      <c r="BA20" s="64">
        <f t="shared" si="135"/>
        <v>2.09</v>
      </c>
      <c r="BB20" s="63">
        <v>21.51</v>
      </c>
      <c r="BC20" s="62">
        <f t="shared" si="136"/>
        <v>0.17000000000000171</v>
      </c>
      <c r="BD20" s="64">
        <f t="shared" si="137"/>
        <v>2.2600000000000016</v>
      </c>
      <c r="BE20" s="62">
        <v>21.44</v>
      </c>
      <c r="BF20" s="62">
        <f t="shared" si="138"/>
        <v>-7.0000000000000284E-2</v>
      </c>
      <c r="BG20" s="64">
        <f t="shared" si="139"/>
        <v>2.1900000000000013</v>
      </c>
      <c r="BH20" s="63">
        <v>21.6</v>
      </c>
      <c r="BI20" s="62">
        <f t="shared" si="140"/>
        <v>0.16000000000000014</v>
      </c>
      <c r="BJ20" s="64">
        <f t="shared" si="141"/>
        <v>2.3500000000000014</v>
      </c>
      <c r="BK20" s="63">
        <v>21.7</v>
      </c>
      <c r="BL20" s="62">
        <f t="shared" si="142"/>
        <v>9.9999999999997868E-2</v>
      </c>
      <c r="BM20" s="64">
        <f t="shared" si="143"/>
        <v>2.4499999999999993</v>
      </c>
      <c r="BN20" s="63">
        <v>21.63</v>
      </c>
      <c r="BO20" s="62">
        <f t="shared" si="144"/>
        <v>-7.0000000000000284E-2</v>
      </c>
      <c r="BP20" s="64">
        <f t="shared" si="145"/>
        <v>2.379999999999999</v>
      </c>
      <c r="BQ20" s="63">
        <v>21.59</v>
      </c>
      <c r="BR20" s="62">
        <f t="shared" si="146"/>
        <v>-3.9999999999999147E-2</v>
      </c>
      <c r="BS20" s="214">
        <f t="shared" si="147"/>
        <v>2.34</v>
      </c>
      <c r="BT20"/>
      <c r="BU20"/>
      <c r="BV20"/>
      <c r="BW20"/>
      <c r="BX20" s="114"/>
      <c r="BY20" s="10">
        <v>20.079999999999998</v>
      </c>
      <c r="BZ20" s="62">
        <v>20.3</v>
      </c>
      <c r="CA20" s="114"/>
      <c r="CB20" s="114"/>
      <c r="CC20"/>
      <c r="CD20"/>
      <c r="CE20"/>
      <c r="CF20"/>
      <c r="CG20"/>
      <c r="CH20"/>
      <c r="CI20"/>
      <c r="CJ20"/>
      <c r="CK20"/>
      <c r="CL20"/>
      <c r="CM20"/>
      <c r="CN20"/>
    </row>
    <row r="21" spans="1:92" ht="12" customHeight="1">
      <c r="A21" s="119" t="s">
        <v>289</v>
      </c>
      <c r="B21" s="12" t="s">
        <v>290</v>
      </c>
      <c r="C21" s="305">
        <v>42927</v>
      </c>
      <c r="D21" s="12" t="s">
        <v>26</v>
      </c>
      <c r="E21" s="10" t="s">
        <v>284</v>
      </c>
      <c r="F21" s="12" t="s">
        <v>291</v>
      </c>
      <c r="G21" s="216" t="s">
        <v>263</v>
      </c>
      <c r="H21" s="12">
        <v>19.239999999999998</v>
      </c>
      <c r="I21" s="64">
        <f>H28-H21</f>
        <v>0.16875000000000284</v>
      </c>
      <c r="J21" s="63">
        <v>18.63</v>
      </c>
      <c r="K21" s="64">
        <f t="shared" si="107"/>
        <v>-0.60999999999999943</v>
      </c>
      <c r="L21" s="12">
        <v>19.43</v>
      </c>
      <c r="M21" s="62">
        <f t="shared" si="108"/>
        <v>0.80000000000000071</v>
      </c>
      <c r="N21" s="64">
        <f t="shared" si="109"/>
        <v>0.19000000000000128</v>
      </c>
      <c r="O21" s="12">
        <v>19.79</v>
      </c>
      <c r="P21" s="62">
        <f t="shared" si="110"/>
        <v>0.35999999999999943</v>
      </c>
      <c r="Q21" s="214">
        <f t="shared" si="111"/>
        <v>0.55000000000000071</v>
      </c>
      <c r="R21" s="12">
        <v>19.97</v>
      </c>
      <c r="S21" s="62">
        <f t="shared" si="112"/>
        <v>0.17999999999999972</v>
      </c>
      <c r="T21" s="214">
        <f t="shared" si="113"/>
        <v>0.73000000000000043</v>
      </c>
      <c r="U21" s="12">
        <v>20.170000000000002</v>
      </c>
      <c r="V21" s="62">
        <f t="shared" si="114"/>
        <v>0.20000000000000284</v>
      </c>
      <c r="W21" s="214">
        <f t="shared" si="115"/>
        <v>0.93000000000000327</v>
      </c>
      <c r="X21" s="12">
        <v>20.350000000000001</v>
      </c>
      <c r="Y21" s="62">
        <f t="shared" si="116"/>
        <v>0.17999999999999972</v>
      </c>
      <c r="Z21" s="214">
        <f t="shared" si="117"/>
        <v>1.110000000000003</v>
      </c>
      <c r="AA21" s="12">
        <v>20.41</v>
      </c>
      <c r="AB21" s="62">
        <f t="shared" si="118"/>
        <v>5.9999999999998721E-2</v>
      </c>
      <c r="AC21" s="214">
        <f t="shared" si="119"/>
        <v>1.1700000000000017</v>
      </c>
      <c r="AD21" s="12">
        <v>20.28</v>
      </c>
      <c r="AE21" s="62">
        <f t="shared" si="120"/>
        <v>-0.12999999999999901</v>
      </c>
      <c r="AF21" s="214">
        <f t="shared" si="121"/>
        <v>1.0400000000000027</v>
      </c>
      <c r="AG21" s="12">
        <v>20.67</v>
      </c>
      <c r="AH21" s="62">
        <f t="shared" si="122"/>
        <v>0.39000000000000057</v>
      </c>
      <c r="AI21" s="214">
        <f t="shared" si="123"/>
        <v>1.4300000000000033</v>
      </c>
      <c r="AJ21" s="12">
        <v>20.84</v>
      </c>
      <c r="AK21" s="62">
        <f t="shared" si="124"/>
        <v>0.16999999999999815</v>
      </c>
      <c r="AL21" s="214">
        <f t="shared" si="125"/>
        <v>1.6000000000000014</v>
      </c>
      <c r="AM21" s="12">
        <v>20.96</v>
      </c>
      <c r="AN21" s="62">
        <f t="shared" si="126"/>
        <v>0.12000000000000099</v>
      </c>
      <c r="AO21" s="214">
        <f t="shared" si="127"/>
        <v>1.7200000000000024</v>
      </c>
      <c r="AP21" s="12">
        <v>20.79</v>
      </c>
      <c r="AQ21" s="62">
        <f t="shared" si="128"/>
        <v>-0.17000000000000171</v>
      </c>
      <c r="AR21" s="64">
        <f t="shared" si="129"/>
        <v>1.5500000000000007</v>
      </c>
      <c r="AS21" s="12">
        <v>20.77</v>
      </c>
      <c r="AT21" s="62">
        <f t="shared" si="130"/>
        <v>-1.9999999999999574E-2</v>
      </c>
      <c r="AU21" s="64">
        <f t="shared" si="131"/>
        <v>1.5300000000000011</v>
      </c>
      <c r="AV21" s="12">
        <v>20.8</v>
      </c>
      <c r="AW21" s="62">
        <f t="shared" si="132"/>
        <v>3.0000000000001137E-2</v>
      </c>
      <c r="AX21" s="64">
        <f t="shared" si="133"/>
        <v>1.5600000000000023</v>
      </c>
      <c r="AY21" s="12">
        <v>20.76</v>
      </c>
      <c r="AZ21" s="62">
        <f t="shared" si="134"/>
        <v>-3.9999999999999147E-2</v>
      </c>
      <c r="BA21" s="64">
        <f t="shared" si="135"/>
        <v>1.5200000000000031</v>
      </c>
      <c r="BB21" s="12">
        <v>21.23</v>
      </c>
      <c r="BC21" s="62">
        <f t="shared" si="136"/>
        <v>0.46999999999999886</v>
      </c>
      <c r="BD21" s="64">
        <f t="shared" si="137"/>
        <v>1.990000000000002</v>
      </c>
      <c r="BE21" s="12">
        <v>21.21</v>
      </c>
      <c r="BF21" s="62">
        <f t="shared" si="138"/>
        <v>-1.9999999999999574E-2</v>
      </c>
      <c r="BG21" s="64">
        <f t="shared" si="139"/>
        <v>1.9700000000000024</v>
      </c>
      <c r="BH21" s="12">
        <v>21.37</v>
      </c>
      <c r="BI21" s="62">
        <f t="shared" si="140"/>
        <v>0.16000000000000014</v>
      </c>
      <c r="BJ21" s="64">
        <f t="shared" si="141"/>
        <v>2.1300000000000026</v>
      </c>
      <c r="BK21" s="12">
        <v>20.9</v>
      </c>
      <c r="BL21" s="62">
        <f t="shared" si="142"/>
        <v>-0.47000000000000242</v>
      </c>
      <c r="BM21" s="64">
        <f t="shared" si="143"/>
        <v>1.6600000000000001</v>
      </c>
      <c r="BN21" s="12">
        <v>20.83</v>
      </c>
      <c r="BO21" s="62">
        <f t="shared" si="144"/>
        <v>-7.0000000000000284E-2</v>
      </c>
      <c r="BP21" s="64">
        <f t="shared" si="145"/>
        <v>1.5899999999999999</v>
      </c>
      <c r="BQ21" s="12">
        <v>21.12</v>
      </c>
      <c r="BR21" s="62">
        <f t="shared" si="146"/>
        <v>0.2900000000000027</v>
      </c>
      <c r="BS21" s="214">
        <f>BP21+BR21</f>
        <v>1.8800000000000026</v>
      </c>
      <c r="BY21" s="62">
        <v>20.27</v>
      </c>
      <c r="BZ21" s="62">
        <v>20.36</v>
      </c>
    </row>
    <row r="22" spans="1:92" s="60" customFormat="1" ht="12" customHeight="1">
      <c r="A22" s="9" t="s">
        <v>292</v>
      </c>
      <c r="B22" s="62" t="s">
        <v>293</v>
      </c>
      <c r="C22" s="11">
        <v>43165</v>
      </c>
      <c r="D22" s="12" t="s">
        <v>26</v>
      </c>
      <c r="E22" s="10" t="s">
        <v>284</v>
      </c>
      <c r="F22" s="11">
        <v>43203</v>
      </c>
      <c r="G22" s="216" t="s">
        <v>263</v>
      </c>
      <c r="H22" s="62">
        <v>21.48</v>
      </c>
      <c r="I22" s="64">
        <f>H28-H22</f>
        <v>-2.0712499999999991</v>
      </c>
      <c r="J22" s="62">
        <v>21.37</v>
      </c>
      <c r="K22" s="214">
        <f t="shared" si="107"/>
        <v>-0.10999999999999943</v>
      </c>
      <c r="L22" s="62">
        <v>23.22</v>
      </c>
      <c r="M22" s="62">
        <f t="shared" si="108"/>
        <v>1.8499999999999979</v>
      </c>
      <c r="N22" s="214">
        <f t="shared" si="109"/>
        <v>1.7399999999999984</v>
      </c>
      <c r="O22" s="62">
        <v>23.31</v>
      </c>
      <c r="P22" s="62">
        <f t="shared" si="110"/>
        <v>8.9999999999999858E-2</v>
      </c>
      <c r="Q22" s="214">
        <f t="shared" si="111"/>
        <v>1.8299999999999983</v>
      </c>
      <c r="R22" s="62">
        <v>23.83</v>
      </c>
      <c r="S22" s="62">
        <f t="shared" si="112"/>
        <v>0.51999999999999957</v>
      </c>
      <c r="T22" s="214">
        <f t="shared" si="113"/>
        <v>2.3499999999999979</v>
      </c>
      <c r="U22" s="62">
        <v>23.53</v>
      </c>
      <c r="V22" s="62">
        <f t="shared" si="114"/>
        <v>-0.29999999999999716</v>
      </c>
      <c r="W22" s="214">
        <f t="shared" si="115"/>
        <v>2.0500000000000007</v>
      </c>
      <c r="X22" s="62">
        <v>24.26</v>
      </c>
      <c r="Y22" s="62">
        <f t="shared" si="116"/>
        <v>0.73000000000000043</v>
      </c>
      <c r="Z22" s="214">
        <f t="shared" si="117"/>
        <v>2.7800000000000011</v>
      </c>
      <c r="AA22" s="62">
        <v>24.3</v>
      </c>
      <c r="AB22" s="62">
        <f t="shared" si="118"/>
        <v>3.9999999999999147E-2</v>
      </c>
      <c r="AC22" s="214">
        <f t="shared" si="119"/>
        <v>2.8200000000000003</v>
      </c>
      <c r="AD22" s="62">
        <v>24.47</v>
      </c>
      <c r="AE22" s="62">
        <f t="shared" si="120"/>
        <v>0.16999999999999815</v>
      </c>
      <c r="AF22" s="214">
        <f t="shared" si="121"/>
        <v>2.9899999999999984</v>
      </c>
      <c r="AG22" s="62">
        <v>24.68</v>
      </c>
      <c r="AH22" s="62">
        <f t="shared" si="122"/>
        <v>0.21000000000000085</v>
      </c>
      <c r="AI22" s="214">
        <f t="shared" si="123"/>
        <v>3.1999999999999993</v>
      </c>
      <c r="AJ22" s="62">
        <v>24.82</v>
      </c>
      <c r="AK22" s="62">
        <f t="shared" si="124"/>
        <v>0.14000000000000057</v>
      </c>
      <c r="AL22" s="214">
        <f t="shared" si="125"/>
        <v>3.34</v>
      </c>
      <c r="AM22" s="342">
        <v>25</v>
      </c>
      <c r="AN22" s="62">
        <f t="shared" si="126"/>
        <v>0.17999999999999972</v>
      </c>
      <c r="AO22" s="214">
        <f t="shared" si="127"/>
        <v>3.5199999999999996</v>
      </c>
      <c r="AP22" s="62">
        <v>24.8</v>
      </c>
      <c r="AQ22" s="62">
        <f t="shared" si="128"/>
        <v>-0.19999999999999929</v>
      </c>
      <c r="AR22" s="64">
        <f t="shared" si="129"/>
        <v>3.3200000000000003</v>
      </c>
      <c r="AS22" s="63">
        <v>25.44</v>
      </c>
      <c r="AT22" s="62">
        <f t="shared" si="130"/>
        <v>0.64000000000000057</v>
      </c>
      <c r="AU22" s="64">
        <f t="shared" si="131"/>
        <v>3.9600000000000009</v>
      </c>
      <c r="AV22" s="63">
        <v>25.56</v>
      </c>
      <c r="AW22" s="62">
        <f t="shared" si="132"/>
        <v>0.11999999999999744</v>
      </c>
      <c r="AX22" s="64">
        <f t="shared" si="133"/>
        <v>4.0799999999999983</v>
      </c>
      <c r="AY22" s="63">
        <v>25.98</v>
      </c>
      <c r="AZ22" s="62">
        <f t="shared" si="134"/>
        <v>0.42000000000000171</v>
      </c>
      <c r="BA22" s="64">
        <f t="shared" si="135"/>
        <v>4.5</v>
      </c>
      <c r="BB22" s="63">
        <v>25.97</v>
      </c>
      <c r="BC22" s="62">
        <f t="shared" si="136"/>
        <v>-1.0000000000001563E-2</v>
      </c>
      <c r="BD22" s="64">
        <f t="shared" si="137"/>
        <v>4.4899999999999984</v>
      </c>
      <c r="BE22" s="62">
        <v>26.07</v>
      </c>
      <c r="BF22" s="62">
        <f t="shared" si="138"/>
        <v>0.10000000000000142</v>
      </c>
      <c r="BG22" s="64">
        <f t="shared" si="139"/>
        <v>4.59</v>
      </c>
      <c r="BH22" s="63">
        <v>26.09</v>
      </c>
      <c r="BI22" s="62">
        <f t="shared" si="140"/>
        <v>1.9999999999999574E-2</v>
      </c>
      <c r="BJ22" s="64">
        <f t="shared" si="141"/>
        <v>4.6099999999999994</v>
      </c>
      <c r="BK22" s="63">
        <v>26.33</v>
      </c>
      <c r="BL22" s="62">
        <f t="shared" si="142"/>
        <v>0.23999999999999844</v>
      </c>
      <c r="BM22" s="64">
        <f t="shared" si="143"/>
        <v>4.8499999999999979</v>
      </c>
      <c r="BN22" s="63">
        <v>26.85</v>
      </c>
      <c r="BO22" s="62">
        <f t="shared" si="144"/>
        <v>0.52000000000000313</v>
      </c>
      <c r="BP22" s="64">
        <f t="shared" si="145"/>
        <v>5.370000000000001</v>
      </c>
      <c r="BQ22" s="63">
        <v>27.68</v>
      </c>
      <c r="BR22" s="62">
        <f t="shared" si="146"/>
        <v>0.82999999999999829</v>
      </c>
      <c r="BS22" s="214">
        <f>BP22+BR22</f>
        <v>6.1999999999999993</v>
      </c>
      <c r="BT22"/>
      <c r="BU22"/>
      <c r="BV22"/>
      <c r="BW22"/>
      <c r="BX22" s="114"/>
      <c r="BY22" s="63">
        <v>20.3</v>
      </c>
      <c r="BZ22" s="13">
        <v>20.41</v>
      </c>
      <c r="CA22" s="114"/>
      <c r="CB22" s="114"/>
      <c r="CC22"/>
      <c r="CD22"/>
      <c r="CE22"/>
      <c r="CF22"/>
      <c r="CG22"/>
      <c r="CH22"/>
      <c r="CI22"/>
      <c r="CJ22"/>
      <c r="CK22"/>
      <c r="CL22"/>
      <c r="CM22"/>
      <c r="CN22"/>
    </row>
    <row r="23" spans="1:92" s="60" customFormat="1" ht="12" customHeight="1">
      <c r="A23" s="119" t="s">
        <v>294</v>
      </c>
      <c r="B23" s="12" t="s">
        <v>295</v>
      </c>
      <c r="C23" s="305">
        <v>43253</v>
      </c>
      <c r="D23" s="12" t="s">
        <v>26</v>
      </c>
      <c r="E23" s="10" t="s">
        <v>284</v>
      </c>
      <c r="F23" s="305">
        <v>43287</v>
      </c>
      <c r="G23" s="216" t="s">
        <v>263</v>
      </c>
      <c r="H23" s="62">
        <v>17.98</v>
      </c>
      <c r="I23" s="64">
        <f>H28-H23</f>
        <v>1.4287500000000009</v>
      </c>
      <c r="J23" s="62">
        <v>18.059999999999999</v>
      </c>
      <c r="K23" s="214">
        <f t="shared" si="107"/>
        <v>7.9999999999998295E-2</v>
      </c>
      <c r="L23" s="62">
        <v>18.87</v>
      </c>
      <c r="M23" s="62">
        <f t="shared" si="108"/>
        <v>0.81000000000000227</v>
      </c>
      <c r="N23" s="214">
        <f t="shared" si="109"/>
        <v>0.89000000000000057</v>
      </c>
      <c r="O23" s="62">
        <v>18.920000000000002</v>
      </c>
      <c r="P23" s="62">
        <f t="shared" si="110"/>
        <v>5.0000000000000711E-2</v>
      </c>
      <c r="Q23" s="214">
        <f t="shared" si="111"/>
        <v>0.94000000000000128</v>
      </c>
      <c r="R23" s="62">
        <v>19.079999999999998</v>
      </c>
      <c r="S23" s="62">
        <f t="shared" si="112"/>
        <v>0.15999999999999659</v>
      </c>
      <c r="T23" s="214">
        <f t="shared" si="113"/>
        <v>1.0999999999999979</v>
      </c>
      <c r="U23" s="62">
        <v>18.97</v>
      </c>
      <c r="V23" s="62">
        <f t="shared" si="114"/>
        <v>-0.10999999999999943</v>
      </c>
      <c r="W23" s="214">
        <f t="shared" si="115"/>
        <v>0.98999999999999844</v>
      </c>
      <c r="X23" s="62">
        <v>19.41</v>
      </c>
      <c r="Y23" s="62">
        <f t="shared" si="116"/>
        <v>0.44000000000000128</v>
      </c>
      <c r="Z23" s="214">
        <f t="shared" si="117"/>
        <v>1.4299999999999997</v>
      </c>
      <c r="AA23" s="62">
        <v>19.649999999999999</v>
      </c>
      <c r="AB23" s="62">
        <f t="shared" si="118"/>
        <v>0.23999999999999844</v>
      </c>
      <c r="AC23" s="214">
        <f t="shared" si="119"/>
        <v>1.6699999999999982</v>
      </c>
      <c r="AD23" s="62">
        <v>19.59</v>
      </c>
      <c r="AE23" s="62">
        <f t="shared" si="120"/>
        <v>-5.9999999999998721E-2</v>
      </c>
      <c r="AF23" s="214">
        <f t="shared" si="121"/>
        <v>1.6099999999999994</v>
      </c>
      <c r="AG23" s="62">
        <v>19.739999999999998</v>
      </c>
      <c r="AH23" s="62">
        <f t="shared" si="122"/>
        <v>0.14999999999999858</v>
      </c>
      <c r="AI23" s="214">
        <f t="shared" si="123"/>
        <v>1.759999999999998</v>
      </c>
      <c r="AJ23" s="62">
        <v>19.829999999999998</v>
      </c>
      <c r="AK23" s="62">
        <f t="shared" si="124"/>
        <v>8.9999999999999858E-2</v>
      </c>
      <c r="AL23" s="214">
        <f t="shared" si="125"/>
        <v>1.8499999999999979</v>
      </c>
      <c r="AM23" s="62">
        <v>20.079999999999998</v>
      </c>
      <c r="AN23" s="62">
        <f t="shared" si="126"/>
        <v>0.25</v>
      </c>
      <c r="AO23" s="214">
        <f t="shared" si="127"/>
        <v>2.0999999999999979</v>
      </c>
      <c r="AP23" s="62">
        <v>20.04</v>
      </c>
      <c r="AQ23" s="62">
        <f t="shared" si="128"/>
        <v>-3.9999999999999147E-2</v>
      </c>
      <c r="AR23" s="64">
        <f t="shared" si="129"/>
        <v>2.0599999999999987</v>
      </c>
      <c r="AS23" s="63">
        <v>19.62</v>
      </c>
      <c r="AT23" s="62">
        <f t="shared" si="130"/>
        <v>-0.41999999999999815</v>
      </c>
      <c r="AU23" s="64">
        <f t="shared" si="131"/>
        <v>1.6400000000000006</v>
      </c>
      <c r="AV23" s="63">
        <v>19.84</v>
      </c>
      <c r="AW23" s="62">
        <f t="shared" si="132"/>
        <v>0.21999999999999886</v>
      </c>
      <c r="AX23" s="64">
        <f t="shared" si="133"/>
        <v>1.8599999999999994</v>
      </c>
      <c r="AY23" s="63">
        <v>19.82</v>
      </c>
      <c r="AZ23" s="62">
        <f t="shared" si="134"/>
        <v>-1.9999999999999574E-2</v>
      </c>
      <c r="BA23" s="64">
        <f t="shared" si="135"/>
        <v>1.8399999999999999</v>
      </c>
      <c r="BB23" s="63">
        <v>20</v>
      </c>
      <c r="BC23" s="62">
        <f t="shared" si="136"/>
        <v>0.17999999999999972</v>
      </c>
      <c r="BD23" s="64">
        <f t="shared" si="137"/>
        <v>2.0199999999999996</v>
      </c>
      <c r="BE23" s="62">
        <v>20.6</v>
      </c>
      <c r="BF23" s="62">
        <f t="shared" si="138"/>
        <v>0.60000000000000142</v>
      </c>
      <c r="BG23" s="64">
        <f t="shared" si="139"/>
        <v>2.620000000000001</v>
      </c>
      <c r="BH23" s="63">
        <v>20.39</v>
      </c>
      <c r="BI23" s="62">
        <f t="shared" si="140"/>
        <v>-0.21000000000000085</v>
      </c>
      <c r="BJ23" s="64">
        <f t="shared" si="141"/>
        <v>2.41</v>
      </c>
      <c r="BK23" s="63">
        <v>20.83</v>
      </c>
      <c r="BL23" s="62">
        <f t="shared" si="142"/>
        <v>0.43999999999999773</v>
      </c>
      <c r="BM23" s="64">
        <f t="shared" si="143"/>
        <v>2.8499999999999979</v>
      </c>
      <c r="BN23" s="63">
        <v>20.59</v>
      </c>
      <c r="BO23" s="62">
        <f t="shared" si="144"/>
        <v>-0.23999999999999844</v>
      </c>
      <c r="BP23" s="64">
        <f t="shared" si="145"/>
        <v>2.6099999999999994</v>
      </c>
      <c r="BQ23" s="63">
        <v>21.2</v>
      </c>
      <c r="BR23" s="62">
        <f t="shared" si="146"/>
        <v>0.60999999999999943</v>
      </c>
      <c r="BS23" s="64">
        <f>BP23+BR23</f>
        <v>3.2199999999999989</v>
      </c>
      <c r="BT23"/>
      <c r="BU23"/>
      <c r="BV23"/>
      <c r="BW23"/>
      <c r="BX23" s="114"/>
      <c r="BY23" s="63">
        <v>20.36</v>
      </c>
      <c r="BZ23" s="63">
        <v>20.61</v>
      </c>
      <c r="CA23" s="114"/>
      <c r="CB23" s="114"/>
      <c r="CC23"/>
      <c r="CD23"/>
      <c r="CE23"/>
      <c r="CF23"/>
      <c r="CG23"/>
      <c r="CH23"/>
      <c r="CI23"/>
      <c r="CJ23"/>
      <c r="CK23"/>
      <c r="CL23"/>
      <c r="CM23"/>
      <c r="CN23"/>
    </row>
    <row r="24" spans="1:92" s="60" customFormat="1" ht="12" customHeight="1">
      <c r="A24" s="313"/>
      <c r="B24" s="10"/>
      <c r="C24" s="89"/>
      <c r="D24" s="10"/>
      <c r="E24" s="10"/>
      <c r="F24" s="122"/>
      <c r="G24" s="14"/>
      <c r="H24" s="62"/>
      <c r="I24" s="64"/>
      <c r="J24" s="62"/>
      <c r="K24" s="214"/>
      <c r="L24" s="62"/>
      <c r="M24" s="62"/>
      <c r="N24" s="214"/>
      <c r="O24" s="62"/>
      <c r="P24" s="62"/>
      <c r="Q24" s="214"/>
      <c r="R24" s="62"/>
      <c r="S24" s="62"/>
      <c r="T24" s="214"/>
      <c r="U24" s="62"/>
      <c r="V24" s="62"/>
      <c r="W24" s="214"/>
      <c r="X24" s="62"/>
      <c r="Y24" s="62"/>
      <c r="Z24" s="214"/>
      <c r="AA24" s="62"/>
      <c r="AB24" s="62"/>
      <c r="AC24" s="214"/>
      <c r="AD24" s="62"/>
      <c r="AE24" s="62"/>
      <c r="AF24" s="214"/>
      <c r="AG24" s="62"/>
      <c r="AH24" s="62"/>
      <c r="AI24" s="214"/>
      <c r="AJ24" s="62"/>
      <c r="AK24" s="62"/>
      <c r="AL24" s="214"/>
      <c r="AM24" s="62"/>
      <c r="AN24" s="62"/>
      <c r="AO24" s="214"/>
      <c r="AP24" s="62"/>
      <c r="AQ24" s="62"/>
      <c r="AR24" s="64"/>
      <c r="AS24" s="63"/>
      <c r="AT24" s="62"/>
      <c r="AU24" s="64"/>
      <c r="AV24" s="63"/>
      <c r="AW24" s="62"/>
      <c r="AX24" s="64"/>
      <c r="AY24" s="63"/>
      <c r="AZ24" s="62"/>
      <c r="BA24" s="64"/>
      <c r="BB24" s="63"/>
      <c r="BC24" s="62"/>
      <c r="BD24" s="64"/>
      <c r="BE24" s="62"/>
      <c r="BF24" s="62"/>
      <c r="BG24" s="64"/>
      <c r="BH24" s="63"/>
      <c r="BI24" s="62"/>
      <c r="BJ24" s="64"/>
      <c r="BK24" s="63"/>
      <c r="BL24" s="62"/>
      <c r="BM24" s="64"/>
      <c r="BN24" s="63"/>
      <c r="BO24" s="62"/>
      <c r="BP24" s="64"/>
      <c r="BQ24" s="63"/>
      <c r="BR24" s="62"/>
      <c r="BS24" s="64"/>
      <c r="BT24"/>
      <c r="BU24"/>
      <c r="BV24"/>
      <c r="BW24"/>
      <c r="BX24" s="114"/>
      <c r="BY24" s="10"/>
      <c r="BZ24" s="12"/>
      <c r="CA24" s="114"/>
      <c r="CB24" s="114"/>
      <c r="CC24"/>
      <c r="CD24"/>
      <c r="CE24"/>
      <c r="CF24"/>
      <c r="CG24"/>
      <c r="CH24"/>
      <c r="CI24"/>
      <c r="CJ24"/>
      <c r="CK24"/>
      <c r="CL24"/>
      <c r="CM24"/>
      <c r="CN24"/>
    </row>
    <row r="25" spans="1:92" s="60" customFormat="1" ht="12" customHeight="1">
      <c r="A25" s="313" t="s">
        <v>296</v>
      </c>
      <c r="B25" s="10" t="s">
        <v>297</v>
      </c>
      <c r="C25" s="142">
        <v>43705</v>
      </c>
      <c r="D25" s="10" t="s">
        <v>26</v>
      </c>
      <c r="E25" s="10" t="s">
        <v>284</v>
      </c>
      <c r="F25" s="89">
        <v>43742</v>
      </c>
      <c r="G25" s="10" t="s">
        <v>276</v>
      </c>
      <c r="H25" s="63">
        <v>20.36</v>
      </c>
      <c r="I25" s="64">
        <f>H28-H25</f>
        <v>-0.95124999999999815</v>
      </c>
      <c r="J25" s="63">
        <v>20.74</v>
      </c>
      <c r="K25" s="214">
        <f t="shared" si="107"/>
        <v>0.37999999999999901</v>
      </c>
      <c r="L25" s="62">
        <v>20.92</v>
      </c>
      <c r="M25" s="62">
        <f t="shared" ref="M25:M26" si="148">L25-J25</f>
        <v>0.18000000000000327</v>
      </c>
      <c r="N25" s="214">
        <f t="shared" ref="N25:N26" si="149">K25+M25</f>
        <v>0.56000000000000227</v>
      </c>
      <c r="O25" s="62">
        <v>20.149999999999999</v>
      </c>
      <c r="P25" s="62">
        <f t="shared" si="110"/>
        <v>-0.77000000000000313</v>
      </c>
      <c r="Q25" s="214">
        <f t="shared" si="111"/>
        <v>-0.21000000000000085</v>
      </c>
      <c r="R25" s="62">
        <v>20.72</v>
      </c>
      <c r="S25" s="62">
        <f t="shared" ref="S25:S26" si="150">R25-O25</f>
        <v>0.57000000000000028</v>
      </c>
      <c r="T25" s="214">
        <f t="shared" ref="T25:T26" si="151">Q25+S25</f>
        <v>0.35999999999999943</v>
      </c>
      <c r="U25" s="62">
        <v>21.18</v>
      </c>
      <c r="V25" s="62">
        <f t="shared" ref="V25:V26" si="152">U25-R25</f>
        <v>0.46000000000000085</v>
      </c>
      <c r="W25" s="214">
        <f t="shared" ref="W25:W26" si="153">T25+V25</f>
        <v>0.82000000000000028</v>
      </c>
      <c r="X25" s="62">
        <v>21.37</v>
      </c>
      <c r="Y25" s="62">
        <f t="shared" ref="Y25:Y26" si="154">X25-U25</f>
        <v>0.19000000000000128</v>
      </c>
      <c r="Z25" s="214">
        <f t="shared" ref="Z25:Z26" si="155">W25+Y25</f>
        <v>1.0100000000000016</v>
      </c>
      <c r="AA25" s="62">
        <v>21.52</v>
      </c>
      <c r="AB25" s="62">
        <f t="shared" ref="AB25:AB26" si="156">AA25-X25</f>
        <v>0.14999999999999858</v>
      </c>
      <c r="AC25" s="214">
        <f t="shared" ref="AC25:AC26" si="157">Z25+AB25</f>
        <v>1.1600000000000001</v>
      </c>
      <c r="AD25" s="62">
        <v>21.59</v>
      </c>
      <c r="AE25" s="62">
        <f t="shared" ref="AE25:AE26" si="158">AD25-AA25</f>
        <v>7.0000000000000284E-2</v>
      </c>
      <c r="AF25" s="214">
        <f t="shared" ref="AF25:AF26" si="159">AC25+AE25</f>
        <v>1.2300000000000004</v>
      </c>
      <c r="AG25" s="62">
        <v>21.71</v>
      </c>
      <c r="AH25" s="62">
        <f t="shared" ref="AH25:AH26" si="160">AG25-AD25</f>
        <v>0.12000000000000099</v>
      </c>
      <c r="AI25" s="214">
        <f t="shared" ref="AI25:AI26" si="161">AF25+AH25</f>
        <v>1.3500000000000014</v>
      </c>
      <c r="AJ25" s="62">
        <v>22.08</v>
      </c>
      <c r="AK25" s="62">
        <f t="shared" si="124"/>
        <v>0.36999999999999744</v>
      </c>
      <c r="AL25" s="214">
        <f t="shared" si="125"/>
        <v>1.7199999999999989</v>
      </c>
      <c r="AM25" s="62">
        <v>22.1</v>
      </c>
      <c r="AN25" s="62">
        <f t="shared" ref="AN25:AN26" si="162">AM25-AJ25</f>
        <v>2.0000000000003126E-2</v>
      </c>
      <c r="AO25" s="214">
        <f t="shared" ref="AO25:AO26" si="163">AL25+AN25</f>
        <v>1.740000000000002</v>
      </c>
      <c r="AP25" s="62">
        <v>22.1</v>
      </c>
      <c r="AQ25" s="62">
        <f t="shared" ref="AQ25:AQ26" si="164">AP25-AM25</f>
        <v>0</v>
      </c>
      <c r="AR25" s="64">
        <f t="shared" ref="AR25:AR26" si="165">AO25+AQ25</f>
        <v>1.740000000000002</v>
      </c>
      <c r="AS25" s="63">
        <v>22.5</v>
      </c>
      <c r="AT25" s="62">
        <f t="shared" ref="AT25:AT26" si="166">AS25-AP25</f>
        <v>0.39999999999999858</v>
      </c>
      <c r="AU25" s="64">
        <f t="shared" ref="AU25:AU26" si="167">AR25+AT25</f>
        <v>2.1400000000000006</v>
      </c>
      <c r="AV25" s="63">
        <v>22.44</v>
      </c>
      <c r="AW25" s="62">
        <f t="shared" ref="AW25:AW26" si="168">AV25-AS25</f>
        <v>-5.9999999999998721E-2</v>
      </c>
      <c r="AX25" s="64">
        <f t="shared" ref="AX25:AX26" si="169">AU25+AW25</f>
        <v>2.0800000000000018</v>
      </c>
      <c r="AY25" s="63">
        <v>22.82</v>
      </c>
      <c r="AZ25" s="62">
        <f t="shared" ref="AZ25:AZ26" si="170">AY25-AV25</f>
        <v>0.37999999999999901</v>
      </c>
      <c r="BA25" s="64">
        <f t="shared" ref="BA25:BA26" si="171">AX25+AZ25</f>
        <v>2.4600000000000009</v>
      </c>
      <c r="BB25" s="63">
        <v>22.99</v>
      </c>
      <c r="BC25" s="62">
        <f t="shared" ref="BC25:BC26" si="172">BB25-AY25</f>
        <v>0.16999999999999815</v>
      </c>
      <c r="BD25" s="64">
        <f t="shared" ref="BD25:BD26" si="173">BA25+BC25</f>
        <v>2.629999999999999</v>
      </c>
      <c r="BE25" s="62">
        <v>23.16</v>
      </c>
      <c r="BF25" s="62">
        <f t="shared" si="138"/>
        <v>0.17000000000000171</v>
      </c>
      <c r="BG25" s="64">
        <f t="shared" si="139"/>
        <v>2.8000000000000007</v>
      </c>
      <c r="BH25" s="63">
        <v>23.15</v>
      </c>
      <c r="BI25" s="62">
        <f t="shared" ref="BI25:BI26" si="174">BH25-BE25</f>
        <v>-1.0000000000001563E-2</v>
      </c>
      <c r="BJ25" s="64">
        <f t="shared" ref="BJ25:BJ26" si="175">BG25+BI25</f>
        <v>2.7899999999999991</v>
      </c>
      <c r="BK25" s="63">
        <v>23.01</v>
      </c>
      <c r="BL25" s="62">
        <f t="shared" ref="BL25:BL26" si="176">BK25-BH25</f>
        <v>-0.13999999999999702</v>
      </c>
      <c r="BM25" s="64">
        <f t="shared" ref="BM25:BM26" si="177">BJ25+BL25</f>
        <v>2.6500000000000021</v>
      </c>
      <c r="BN25" s="63">
        <v>23.66</v>
      </c>
      <c r="BO25" s="62">
        <f t="shared" ref="BO25:BO26" si="178">BN25-BK25</f>
        <v>0.64999999999999858</v>
      </c>
      <c r="BP25" s="64">
        <f t="shared" ref="BP25:BP26" si="179">BM25+BO25</f>
        <v>3.3000000000000007</v>
      </c>
      <c r="BQ25" s="63">
        <v>23.85</v>
      </c>
      <c r="BR25" s="62">
        <f t="shared" ref="BR25:BR26" si="180">BQ25-BN25</f>
        <v>0.19000000000000128</v>
      </c>
      <c r="BS25" s="64">
        <f t="shared" ref="BS25:BS26" si="181">BP25+BR25</f>
        <v>3.490000000000002</v>
      </c>
      <c r="BT25"/>
      <c r="BU25"/>
      <c r="BV25"/>
      <c r="BW25"/>
      <c r="BX25" s="114"/>
      <c r="BY25" s="62">
        <v>20.61</v>
      </c>
      <c r="BZ25" s="12">
        <v>21.13</v>
      </c>
      <c r="CA25" s="114"/>
      <c r="CB25" s="114"/>
      <c r="CC25"/>
      <c r="CD25"/>
      <c r="CE25"/>
      <c r="CF25"/>
      <c r="CG25"/>
      <c r="CH25"/>
      <c r="CI25"/>
      <c r="CJ25"/>
      <c r="CK25"/>
      <c r="CL25"/>
      <c r="CM25"/>
      <c r="CN25"/>
    </row>
    <row r="26" spans="1:92" s="60" customFormat="1" ht="12" customHeight="1">
      <c r="A26" s="313" t="s">
        <v>298</v>
      </c>
      <c r="B26" s="10" t="s">
        <v>299</v>
      </c>
      <c r="C26" s="142">
        <v>43703</v>
      </c>
      <c r="D26" s="10" t="s">
        <v>26</v>
      </c>
      <c r="E26" s="10" t="s">
        <v>284</v>
      </c>
      <c r="F26" s="89">
        <v>43742</v>
      </c>
      <c r="G26" s="10" t="s">
        <v>276</v>
      </c>
      <c r="H26" s="63">
        <v>19.09</v>
      </c>
      <c r="I26" s="64">
        <f>H28-H26</f>
        <v>0.31875000000000142</v>
      </c>
      <c r="J26" s="63">
        <v>18.579999999999998</v>
      </c>
      <c r="K26" s="214">
        <f t="shared" si="107"/>
        <v>-0.51000000000000156</v>
      </c>
      <c r="L26" s="62">
        <v>19.25</v>
      </c>
      <c r="M26" s="62">
        <f t="shared" si="148"/>
        <v>0.67000000000000171</v>
      </c>
      <c r="N26" s="214">
        <f t="shared" si="149"/>
        <v>0.16000000000000014</v>
      </c>
      <c r="O26" s="62">
        <v>19.440000000000001</v>
      </c>
      <c r="P26" s="62">
        <f t="shared" si="110"/>
        <v>0.19000000000000128</v>
      </c>
      <c r="Q26" s="214">
        <f t="shared" si="111"/>
        <v>0.35000000000000142</v>
      </c>
      <c r="R26" s="62">
        <v>19.46</v>
      </c>
      <c r="S26" s="62">
        <f t="shared" si="150"/>
        <v>1.9999999999999574E-2</v>
      </c>
      <c r="T26" s="214">
        <f t="shared" si="151"/>
        <v>0.37000000000000099</v>
      </c>
      <c r="U26" s="62">
        <v>19.600000000000001</v>
      </c>
      <c r="V26" s="62">
        <f t="shared" si="152"/>
        <v>0.14000000000000057</v>
      </c>
      <c r="W26" s="214">
        <f t="shared" si="153"/>
        <v>0.51000000000000156</v>
      </c>
      <c r="X26" s="62">
        <v>19.5</v>
      </c>
      <c r="Y26" s="62">
        <f t="shared" si="154"/>
        <v>-0.10000000000000142</v>
      </c>
      <c r="Z26" s="214">
        <f t="shared" si="155"/>
        <v>0.41000000000000014</v>
      </c>
      <c r="AA26" s="62">
        <v>19.670000000000002</v>
      </c>
      <c r="AB26" s="62">
        <f t="shared" si="156"/>
        <v>0.17000000000000171</v>
      </c>
      <c r="AC26" s="214">
        <f t="shared" si="157"/>
        <v>0.58000000000000185</v>
      </c>
      <c r="AD26" s="62">
        <v>19.98</v>
      </c>
      <c r="AE26" s="62">
        <f t="shared" si="158"/>
        <v>0.30999999999999872</v>
      </c>
      <c r="AF26" s="214">
        <f t="shared" si="159"/>
        <v>0.89000000000000057</v>
      </c>
      <c r="AG26" s="62">
        <v>20.28</v>
      </c>
      <c r="AH26" s="62">
        <f t="shared" si="160"/>
        <v>0.30000000000000071</v>
      </c>
      <c r="AI26" s="214">
        <f t="shared" si="161"/>
        <v>1.1900000000000013</v>
      </c>
      <c r="AJ26" s="62">
        <v>20.16</v>
      </c>
      <c r="AK26" s="62">
        <f t="shared" si="124"/>
        <v>-0.12000000000000099</v>
      </c>
      <c r="AL26" s="214">
        <f t="shared" si="125"/>
        <v>1.0700000000000003</v>
      </c>
      <c r="AM26" s="62">
        <v>20.09</v>
      </c>
      <c r="AN26" s="62">
        <f t="shared" si="162"/>
        <v>-7.0000000000000284E-2</v>
      </c>
      <c r="AO26" s="214">
        <f t="shared" si="163"/>
        <v>1</v>
      </c>
      <c r="AP26" s="62">
        <v>20.260000000000002</v>
      </c>
      <c r="AQ26" s="62">
        <f t="shared" si="164"/>
        <v>0.17000000000000171</v>
      </c>
      <c r="AR26" s="64">
        <f t="shared" si="165"/>
        <v>1.1700000000000017</v>
      </c>
      <c r="AS26" s="63">
        <v>20.2</v>
      </c>
      <c r="AT26" s="62">
        <f t="shared" si="166"/>
        <v>-6.0000000000002274E-2</v>
      </c>
      <c r="AU26" s="64">
        <f t="shared" si="167"/>
        <v>1.1099999999999994</v>
      </c>
      <c r="AV26" s="63">
        <v>20.36</v>
      </c>
      <c r="AW26" s="62">
        <f t="shared" si="168"/>
        <v>0.16000000000000014</v>
      </c>
      <c r="AX26" s="64">
        <f t="shared" si="169"/>
        <v>1.2699999999999996</v>
      </c>
      <c r="AY26" s="63">
        <v>20.62</v>
      </c>
      <c r="AZ26" s="62">
        <f t="shared" si="170"/>
        <v>0.26000000000000156</v>
      </c>
      <c r="BA26" s="64">
        <f t="shared" si="171"/>
        <v>1.5300000000000011</v>
      </c>
      <c r="BB26" s="63">
        <v>20.6</v>
      </c>
      <c r="BC26" s="62">
        <f t="shared" si="172"/>
        <v>-1.9999999999999574E-2</v>
      </c>
      <c r="BD26" s="64">
        <f t="shared" si="173"/>
        <v>1.5100000000000016</v>
      </c>
      <c r="BE26" s="62">
        <v>20.86</v>
      </c>
      <c r="BF26" s="62">
        <f t="shared" si="138"/>
        <v>0.25999999999999801</v>
      </c>
      <c r="BG26" s="64">
        <f t="shared" si="139"/>
        <v>1.7699999999999996</v>
      </c>
      <c r="BH26" s="63">
        <v>21.07</v>
      </c>
      <c r="BI26" s="62">
        <f t="shared" si="174"/>
        <v>0.21000000000000085</v>
      </c>
      <c r="BJ26" s="64">
        <f t="shared" si="175"/>
        <v>1.9800000000000004</v>
      </c>
      <c r="BK26" s="63">
        <v>21.22</v>
      </c>
      <c r="BL26" s="62">
        <f t="shared" si="176"/>
        <v>0.14999999999999858</v>
      </c>
      <c r="BM26" s="64">
        <f t="shared" si="177"/>
        <v>2.129999999999999</v>
      </c>
      <c r="BN26" s="63">
        <v>21.47</v>
      </c>
      <c r="BO26" s="62">
        <f t="shared" si="178"/>
        <v>0.25</v>
      </c>
      <c r="BP26" s="64">
        <f t="shared" si="179"/>
        <v>2.379999999999999</v>
      </c>
      <c r="BQ26" s="63">
        <v>21.7</v>
      </c>
      <c r="BR26" s="62">
        <f t="shared" si="180"/>
        <v>0.23000000000000043</v>
      </c>
      <c r="BS26" s="64">
        <f t="shared" si="181"/>
        <v>2.6099999999999994</v>
      </c>
      <c r="BT26"/>
      <c r="BU26"/>
      <c r="BV26"/>
      <c r="BW26"/>
      <c r="BX26" s="114"/>
      <c r="BY26" s="62">
        <v>20.69</v>
      </c>
      <c r="BZ26" s="62">
        <v>21.48</v>
      </c>
      <c r="CA26" s="114"/>
      <c r="CB26" s="114"/>
      <c r="CC26"/>
      <c r="CD26"/>
      <c r="CE26"/>
      <c r="CF26"/>
      <c r="CG26"/>
      <c r="CH26"/>
      <c r="CI26"/>
      <c r="CJ26"/>
      <c r="CK26"/>
      <c r="CL26"/>
      <c r="CM26"/>
      <c r="CN26"/>
    </row>
    <row r="27" spans="1:92" s="60" customFormat="1" ht="12" customHeight="1">
      <c r="A27" s="9"/>
      <c r="B27" s="62"/>
      <c r="C27" s="11"/>
      <c r="D27" s="12"/>
      <c r="E27" s="10"/>
      <c r="F27" s="11"/>
      <c r="G27" s="216"/>
      <c r="H27" s="62"/>
      <c r="I27" s="214"/>
      <c r="J27" s="62"/>
      <c r="K27" s="214"/>
      <c r="L27" s="62"/>
      <c r="M27" s="62"/>
      <c r="N27" s="214"/>
      <c r="O27" s="62"/>
      <c r="P27" s="62"/>
      <c r="Q27" s="214"/>
      <c r="R27" s="62"/>
      <c r="T27" s="214"/>
      <c r="U27" s="62"/>
      <c r="V27" s="62"/>
      <c r="W27" s="214"/>
      <c r="X27" s="62"/>
      <c r="Y27" s="62"/>
      <c r="Z27" s="214"/>
      <c r="AA27" s="62"/>
      <c r="AB27" s="62"/>
      <c r="AC27" s="214"/>
      <c r="AD27" s="62"/>
      <c r="AE27" s="62"/>
      <c r="AF27" s="214"/>
      <c r="AG27" s="62"/>
      <c r="AH27" s="62"/>
      <c r="AI27" s="214"/>
      <c r="AJ27" s="62"/>
      <c r="AK27" s="62"/>
      <c r="AL27" s="214"/>
      <c r="AM27" s="62"/>
      <c r="AN27" s="62"/>
      <c r="AO27" s="214"/>
      <c r="AP27" s="62"/>
      <c r="AQ27" s="62"/>
      <c r="AR27" s="64"/>
      <c r="AS27" s="63"/>
      <c r="AT27" s="62"/>
      <c r="AU27" s="64"/>
      <c r="AV27" s="63"/>
      <c r="AW27" s="62"/>
      <c r="AX27" s="64"/>
      <c r="AY27" s="63"/>
      <c r="AZ27" s="62"/>
      <c r="BA27" s="64"/>
      <c r="BB27" s="63"/>
      <c r="BC27" s="62"/>
      <c r="BD27" s="64"/>
      <c r="BE27" s="62"/>
      <c r="BF27" s="62"/>
      <c r="BG27" s="64"/>
      <c r="BH27" s="63"/>
      <c r="BI27" s="62"/>
      <c r="BJ27" s="64"/>
      <c r="BK27" s="63"/>
      <c r="BL27" s="62"/>
      <c r="BM27" s="64"/>
      <c r="BN27" s="63"/>
      <c r="BO27" s="62"/>
      <c r="BP27" s="64"/>
      <c r="BQ27" s="63"/>
      <c r="BR27" s="62"/>
      <c r="BS27" s="64"/>
      <c r="BT27"/>
      <c r="BU27"/>
      <c r="BV27"/>
      <c r="BW27"/>
      <c r="BX27" s="114"/>
      <c r="BY27" s="12">
        <v>20.99</v>
      </c>
      <c r="BZ27" s="62">
        <v>21.59</v>
      </c>
      <c r="CA27" s="114"/>
      <c r="CB27" s="114"/>
      <c r="CC27"/>
      <c r="CD27"/>
      <c r="CE27"/>
      <c r="CF27"/>
      <c r="CG27"/>
      <c r="CH27"/>
      <c r="CI27"/>
      <c r="CJ27"/>
      <c r="CK27"/>
      <c r="CL27"/>
      <c r="CM27"/>
      <c r="CN27"/>
    </row>
    <row r="28" spans="1:92" ht="12" customHeight="1">
      <c r="A28" s="9"/>
      <c r="B28" s="11"/>
      <c r="C28" s="3"/>
      <c r="F28" s="31"/>
      <c r="G28" s="207" t="s">
        <v>281</v>
      </c>
      <c r="H28" s="3">
        <f>AVERAGE(H18:H27)</f>
        <v>19.408750000000001</v>
      </c>
      <c r="I28" s="207">
        <f t="shared" ref="I28:N28" si="182">AVERAGE(I18:I27)</f>
        <v>1.3322676295501878E-15</v>
      </c>
      <c r="J28" s="3">
        <f t="shared" si="182"/>
        <v>19.253750000000004</v>
      </c>
      <c r="K28" s="207">
        <f t="shared" si="182"/>
        <v>-0.15500000000000025</v>
      </c>
      <c r="L28" s="3">
        <f t="shared" si="182"/>
        <v>19.901249999999997</v>
      </c>
      <c r="M28" s="3">
        <f t="shared" si="182"/>
        <v>0.64750000000000041</v>
      </c>
      <c r="N28" s="207">
        <f t="shared" si="182"/>
        <v>0.49250000000000016</v>
      </c>
      <c r="O28" s="3">
        <f t="shared" ref="O28:T28" si="183">AVERAGE(O18:O27)</f>
        <v>20.024999999999999</v>
      </c>
      <c r="P28" s="3">
        <f t="shared" si="183"/>
        <v>0.1237499999999998</v>
      </c>
      <c r="Q28" s="207">
        <f t="shared" si="183"/>
        <v>0.61624999999999996</v>
      </c>
      <c r="R28" s="3">
        <f t="shared" si="183"/>
        <v>20.22625</v>
      </c>
      <c r="S28" s="3">
        <f>AVERAGE(S18:S27)</f>
        <v>0.20124999999999904</v>
      </c>
      <c r="T28" s="207">
        <f t="shared" si="183"/>
        <v>0.81749999999999901</v>
      </c>
      <c r="U28" s="3">
        <f t="shared" ref="U28:Y28" si="184">AVERAGE(U18:U27)</f>
        <v>20.37875</v>
      </c>
      <c r="V28" s="3">
        <f t="shared" si="184"/>
        <v>0.15250000000000163</v>
      </c>
      <c r="W28" s="207">
        <f t="shared" si="184"/>
        <v>0.97000000000000064</v>
      </c>
      <c r="X28" s="3">
        <f>AVERAGE(X18:X27)</f>
        <v>20.6</v>
      </c>
      <c r="Y28" s="3">
        <f t="shared" si="184"/>
        <v>0.22124999999999995</v>
      </c>
      <c r="Z28" s="207">
        <f>AVERAGE(Z18:Z27)</f>
        <v>1.1912500000000006</v>
      </c>
      <c r="AA28" s="3">
        <f t="shared" ref="AA28:AF28" si="185">AVERAGE(AA18:AA27)</f>
        <v>20.847500000000004</v>
      </c>
      <c r="AB28" s="3">
        <f t="shared" si="185"/>
        <v>0.24749999999999961</v>
      </c>
      <c r="AC28" s="207">
        <f t="shared" si="185"/>
        <v>1.4387500000000002</v>
      </c>
      <c r="AD28" s="3">
        <f t="shared" si="185"/>
        <v>20.83625</v>
      </c>
      <c r="AE28" s="3">
        <f t="shared" si="185"/>
        <v>-1.1249999999999982E-2</v>
      </c>
      <c r="AF28" s="207">
        <f t="shared" si="185"/>
        <v>1.4275000000000002</v>
      </c>
      <c r="AG28" s="3">
        <f t="shared" ref="AG28:AL28" si="186">AVERAGE(AG18:AG27)</f>
        <v>21.07</v>
      </c>
      <c r="AH28" s="3">
        <f>AVERAGE(AH18:AH27)</f>
        <v>0.23375000000000012</v>
      </c>
      <c r="AI28" s="207">
        <f>AVERAGE(AI18:AI27)</f>
        <v>1.6612500000000003</v>
      </c>
      <c r="AJ28" s="3">
        <f t="shared" si="186"/>
        <v>21.186249999999998</v>
      </c>
      <c r="AK28" s="3">
        <f t="shared" si="186"/>
        <v>0.11624999999999908</v>
      </c>
      <c r="AL28" s="207">
        <f t="shared" si="186"/>
        <v>1.7774999999999994</v>
      </c>
      <c r="AM28" s="3">
        <f t="shared" ref="AM28:AR28" si="187">AVERAGE(AM18:AM27)</f>
        <v>21.339999999999996</v>
      </c>
      <c r="AN28" s="3">
        <f t="shared" si="187"/>
        <v>0.1537500000000005</v>
      </c>
      <c r="AO28" s="207">
        <f t="shared" si="187"/>
        <v>1.9312499999999999</v>
      </c>
      <c r="AP28" s="3">
        <f t="shared" si="187"/>
        <v>21.493749999999999</v>
      </c>
      <c r="AQ28" s="3">
        <f t="shared" si="187"/>
        <v>0.1537500000000005</v>
      </c>
      <c r="AR28" s="3">
        <f t="shared" si="187"/>
        <v>2.0850000000000004</v>
      </c>
      <c r="AS28" s="18">
        <f t="shared" ref="AS28:BD28" si="188">AVERAGE(AS18:AS27)</f>
        <v>21.573749999999997</v>
      </c>
      <c r="AT28" s="3">
        <f t="shared" si="188"/>
        <v>8.0000000000000071E-2</v>
      </c>
      <c r="AU28" s="3">
        <f t="shared" si="188"/>
        <v>2.1650000000000005</v>
      </c>
      <c r="AV28" s="18">
        <f t="shared" si="188"/>
        <v>21.695</v>
      </c>
      <c r="AW28" s="3">
        <f t="shared" si="188"/>
        <v>0.12124999999999941</v>
      </c>
      <c r="AX28" s="3">
        <f t="shared" si="188"/>
        <v>2.2862499999999999</v>
      </c>
      <c r="AY28" s="18">
        <f t="shared" si="188"/>
        <v>21.87125</v>
      </c>
      <c r="AZ28" s="3">
        <f t="shared" si="188"/>
        <v>0.17625000000000091</v>
      </c>
      <c r="BA28" s="3">
        <f t="shared" si="188"/>
        <v>2.4625000000000008</v>
      </c>
      <c r="BB28" s="18">
        <f t="shared" si="188"/>
        <v>22.061250000000001</v>
      </c>
      <c r="BC28" s="3">
        <f t="shared" si="188"/>
        <v>0.1899999999999995</v>
      </c>
      <c r="BD28" s="3">
        <f t="shared" si="188"/>
        <v>2.6525000000000003</v>
      </c>
      <c r="BE28" s="18">
        <f t="shared" ref="BE28:BJ28" si="189">AVERAGE(BE18:BE27)</f>
        <v>22.159999999999997</v>
      </c>
      <c r="BF28" s="3">
        <f t="shared" si="189"/>
        <v>9.8750000000000338E-2</v>
      </c>
      <c r="BG28" s="3">
        <f t="shared" si="189"/>
        <v>2.7512500000000006</v>
      </c>
      <c r="BH28" s="18">
        <f t="shared" si="189"/>
        <v>22.315000000000001</v>
      </c>
      <c r="BI28" s="3">
        <f t="shared" si="189"/>
        <v>0.1549999999999998</v>
      </c>
      <c r="BJ28" s="3">
        <f t="shared" si="189"/>
        <v>2.9062500000000004</v>
      </c>
      <c r="BK28" s="18">
        <f t="shared" ref="BK28:BP28" si="190">AVERAGE(BK18:BK27)</f>
        <v>22.397499999999997</v>
      </c>
      <c r="BL28" s="3">
        <f t="shared" si="190"/>
        <v>8.249999999999913E-2</v>
      </c>
      <c r="BM28" s="3">
        <f t="shared" si="190"/>
        <v>2.9887499999999996</v>
      </c>
      <c r="BN28" s="18">
        <f>AVERAGE(BN18:BN27)</f>
        <v>22.602499999999999</v>
      </c>
      <c r="BO28" s="3">
        <f t="shared" si="190"/>
        <v>0.20500000000000007</v>
      </c>
      <c r="BP28" s="3">
        <f t="shared" si="190"/>
        <v>3.1937499999999996</v>
      </c>
      <c r="BQ28" s="18">
        <f>AVERAGE(BQ18:BQ27)</f>
        <v>22.862499999999997</v>
      </c>
      <c r="BR28" s="3">
        <f>AVERAGE(BR18:BR27)</f>
        <v>0.26000000000000023</v>
      </c>
      <c r="BS28" s="19">
        <f>AVERAGE(BS18:BS27)</f>
        <v>3.4537499999999999</v>
      </c>
      <c r="BT28"/>
      <c r="BU28"/>
      <c r="BV28"/>
      <c r="BW28"/>
      <c r="BX28" s="114"/>
      <c r="BY28" s="12">
        <v>21.13</v>
      </c>
      <c r="CA28" s="114"/>
      <c r="CB28" s="114"/>
      <c r="CC28"/>
      <c r="CD28"/>
      <c r="CE28"/>
      <c r="CF28"/>
      <c r="CG28"/>
      <c r="CH28"/>
      <c r="CI28"/>
      <c r="CJ28"/>
      <c r="CK28"/>
      <c r="CL28"/>
      <c r="CM28"/>
      <c r="CN28"/>
    </row>
    <row r="29" spans="1:92" ht="12" customHeight="1">
      <c r="A29" s="9"/>
      <c r="B29" s="31"/>
      <c r="C29" s="3"/>
      <c r="F29" s="31"/>
      <c r="G29" s="207" t="s">
        <v>45</v>
      </c>
      <c r="H29" s="3">
        <f>STDEV(H18:H27)/SQRT(COUNT(H18:H27))</f>
        <v>0.45447944122919354</v>
      </c>
      <c r="I29" s="207">
        <f t="shared" ref="I29:N29" si="191">STDEV(I18:I27)/SQRT(COUNT(I18:I27))</f>
        <v>0.45447944122919354</v>
      </c>
      <c r="J29" s="3">
        <f t="shared" si="191"/>
        <v>0.46183228828222905</v>
      </c>
      <c r="K29" s="207">
        <f t="shared" si="191"/>
        <v>0.1379311422413371</v>
      </c>
      <c r="L29" s="3">
        <f t="shared" si="191"/>
        <v>0.5752218128066523</v>
      </c>
      <c r="M29" s="3">
        <f t="shared" si="191"/>
        <v>0.19573807206862642</v>
      </c>
      <c r="N29" s="207">
        <f t="shared" si="191"/>
        <v>0.22386020829335182</v>
      </c>
      <c r="O29" s="3">
        <f t="shared" ref="O29:T29" si="192">STDEV(O18:O27)/SQRT(COUNT(O18:O27))</f>
        <v>0.55496138861829158</v>
      </c>
      <c r="P29" s="3">
        <f t="shared" si="192"/>
        <v>0.14494996057753398</v>
      </c>
      <c r="Q29" s="207">
        <f t="shared" si="192"/>
        <v>0.21399213520260829</v>
      </c>
      <c r="R29" s="3">
        <f t="shared" si="192"/>
        <v>0.60830542581126834</v>
      </c>
      <c r="S29" s="3">
        <f t="shared" si="192"/>
        <v>7.8409126199879262E-2</v>
      </c>
      <c r="T29" s="207">
        <f t="shared" si="192"/>
        <v>0.24346274282291536</v>
      </c>
      <c r="U29" s="3">
        <f t="shared" ref="U29:Y29" si="193">STDEV(U18:U27)/SQRT(COUNT(U18:U27))</f>
        <v>0.57687098551458749</v>
      </c>
      <c r="V29" s="3">
        <f t="shared" si="193"/>
        <v>9.1158221947180443E-2</v>
      </c>
      <c r="W29" s="207">
        <f t="shared" si="193"/>
        <v>0.16889345754054524</v>
      </c>
      <c r="X29" s="3">
        <f>STDEV(X18:X27)/SQRT(COUNT(X18:X27))</f>
        <v>0.62335497797918393</v>
      </c>
      <c r="Y29" s="3">
        <f t="shared" si="193"/>
        <v>9.2686828699042975E-2</v>
      </c>
      <c r="Z29" s="207">
        <f>STDEV(Z18:Z27)/SQRT(COUNT(Z18:Z27))</f>
        <v>0.25036000864469432</v>
      </c>
      <c r="AA29" s="3">
        <f t="shared" ref="AA29:AF29" si="194">STDEV(AA18:AA27)/SQRT(COUNT(AA18:AA27))</f>
        <v>0.57388945550764148</v>
      </c>
      <c r="AB29" s="3">
        <f t="shared" si="194"/>
        <v>8.5726933590658652E-2</v>
      </c>
      <c r="AC29" s="207">
        <f t="shared" si="194"/>
        <v>0.23959368507657158</v>
      </c>
      <c r="AD29" s="3">
        <f t="shared" si="194"/>
        <v>0.60200242494765488</v>
      </c>
      <c r="AE29" s="3">
        <f t="shared" si="194"/>
        <v>7.3810507865943772E-2</v>
      </c>
      <c r="AF29" s="207">
        <f t="shared" si="194"/>
        <v>0.2380482394089781</v>
      </c>
      <c r="AG29" s="3">
        <f t="shared" ref="AG29:AL29" si="195">STDEV(AG18:AG27)/SQRT(COUNT(AG18:AG27))</f>
        <v>0.60769470718680518</v>
      </c>
      <c r="AH29" s="3">
        <f>STDEV(AH18:AH27)/SQRT(COUNT(AH18:AH27))</f>
        <v>4.671102271260117E-2</v>
      </c>
      <c r="AI29" s="207">
        <f>STDEV(AI18:AI27)/SQRT(COUNT(AI18:AI27))</f>
        <v>0.23249759983400109</v>
      </c>
      <c r="AJ29" s="3">
        <f>STDEV(AJ18:AJ27)/SQRT(COUNT(AJ18:AJ27))</f>
        <v>0.62977302458901818</v>
      </c>
      <c r="AK29" s="3">
        <f>STDEV(AK18:AK27)/SQRT(COUNT(AK18:AK27))</f>
        <v>6.2847249627284912E-2</v>
      </c>
      <c r="AL29" s="207">
        <f t="shared" si="195"/>
        <v>0.23751503711795358</v>
      </c>
      <c r="AM29" s="3">
        <f t="shared" ref="AM29:AP29" si="196">STDEV(AM18:AM27)/SQRT(COUNT(AM18:AM27))</f>
        <v>0.65097728729305793</v>
      </c>
      <c r="AN29" s="3">
        <f t="shared" si="196"/>
        <v>6.3973697161969739E-2</v>
      </c>
      <c r="AO29" s="207">
        <f t="shared" si="196"/>
        <v>0.25922575310224971</v>
      </c>
      <c r="AP29" s="3">
        <f t="shared" si="196"/>
        <v>0.58047990459864951</v>
      </c>
      <c r="AQ29" s="3">
        <f t="shared" ref="AQ29:BD29" si="197">STDEV(AQ18:AQ27)/SQRT(COUNT(AQ18:AQ27))</f>
        <v>0.14436978190941269</v>
      </c>
      <c r="AR29" s="3">
        <f t="shared" si="197"/>
        <v>0.23808011856755848</v>
      </c>
      <c r="AS29" s="18">
        <f t="shared" si="197"/>
        <v>0.69178841082887688</v>
      </c>
      <c r="AT29" s="3">
        <f t="shared" si="197"/>
        <v>0.12286752447831178</v>
      </c>
      <c r="AU29" s="3">
        <f t="shared" si="197"/>
        <v>0.32108632573099166</v>
      </c>
      <c r="AV29" s="18">
        <f t="shared" si="197"/>
        <v>0.66912522851000866</v>
      </c>
      <c r="AW29" s="3">
        <f t="shared" si="197"/>
        <v>5.3400023408234472E-2</v>
      </c>
      <c r="AX29" s="3">
        <f t="shared" si="197"/>
        <v>0.31253535514287878</v>
      </c>
      <c r="AY29" s="18">
        <f t="shared" si="197"/>
        <v>0.70628160485541658</v>
      </c>
      <c r="AZ29" s="3">
        <f t="shared" si="197"/>
        <v>6.2847249627285065E-2</v>
      </c>
      <c r="BA29" s="3">
        <f t="shared" si="197"/>
        <v>0.3495392375276748</v>
      </c>
      <c r="BB29" s="18">
        <f t="shared" si="197"/>
        <v>0.68387143084688873</v>
      </c>
      <c r="BC29" s="3">
        <f t="shared" si="197"/>
        <v>5.7133927873774873E-2</v>
      </c>
      <c r="BD29" s="3">
        <f t="shared" si="197"/>
        <v>0.33483871383953506</v>
      </c>
      <c r="BE29" s="18">
        <f t="shared" ref="BE29:BJ29" si="198">STDEV(BE18:BE27)/SQRT(COUNT(BE18:BE27))</f>
        <v>0.6835829973644123</v>
      </c>
      <c r="BF29" s="3">
        <f t="shared" si="198"/>
        <v>0.10446184368330044</v>
      </c>
      <c r="BG29" s="3">
        <f t="shared" si="198"/>
        <v>0.3124753561711473</v>
      </c>
      <c r="BH29" s="18">
        <f t="shared" si="198"/>
        <v>0.67735304152055198</v>
      </c>
      <c r="BI29" s="3">
        <f t="shared" si="198"/>
        <v>8.0644723501115997E-2</v>
      </c>
      <c r="BJ29" s="3">
        <f t="shared" si="198"/>
        <v>0.31682542229796806</v>
      </c>
      <c r="BK29" s="18">
        <f t="shared" ref="BK29:BP29" si="199">STDEV(BK18:BK27)/SQRT(COUNT(BK18:BK27))</f>
        <v>0.67799007051304649</v>
      </c>
      <c r="BL29" s="3">
        <f t="shared" si="199"/>
        <v>0.10111432708996845</v>
      </c>
      <c r="BM29" s="3">
        <f t="shared" si="199"/>
        <v>0.36126977207384187</v>
      </c>
      <c r="BN29" s="18">
        <f>STDEV(BN18:BN27)/SQRT(COUNT(BN18:BN27))</f>
        <v>0.76218846094650394</v>
      </c>
      <c r="BO29" s="3">
        <f t="shared" si="199"/>
        <v>0.11072810973602983</v>
      </c>
      <c r="BP29" s="3">
        <f t="shared" si="199"/>
        <v>0.42592310464616578</v>
      </c>
      <c r="BQ29" s="18">
        <f>STDEV(BQ18:BQ27)/SQRT(COUNT(BQ18:BQ27))</f>
        <v>0.82250434215093549</v>
      </c>
      <c r="BR29" s="3">
        <f>STDEV(BR18:BR27)/SQRT(COUNT(BR18:BR27))</f>
        <v>0.11736694594305487</v>
      </c>
      <c r="BS29" s="19">
        <f>STDEV(BS18:BS27)/SQRT(COUNT(BS18:BS27))</f>
        <v>0.47422093065514115</v>
      </c>
      <c r="BT29"/>
      <c r="BU29"/>
      <c r="BV29"/>
      <c r="BW29"/>
      <c r="BX29" s="114"/>
      <c r="BY29" s="62">
        <v>21.48</v>
      </c>
      <c r="BZ29" s="10"/>
      <c r="CA29" s="114"/>
      <c r="CB29" s="114"/>
      <c r="CC29"/>
      <c r="CD29"/>
      <c r="CE29"/>
      <c r="CF29"/>
      <c r="CG29"/>
      <c r="CH29"/>
      <c r="CI29"/>
      <c r="CJ29"/>
      <c r="CK29"/>
      <c r="CL29"/>
      <c r="CM29"/>
      <c r="CN29"/>
    </row>
    <row r="30" spans="1:92" ht="12" customHeight="1">
      <c r="A30" s="9"/>
      <c r="B30" s="31"/>
      <c r="C30" s="3"/>
      <c r="F30" s="31"/>
      <c r="G30" s="214" t="s">
        <v>300</v>
      </c>
      <c r="H30" s="62">
        <f t="shared" ref="H30:AM30" si="200">(100/H15)*H28</f>
        <v>100.78540828248737</v>
      </c>
      <c r="I30" s="214">
        <f t="shared" si="200"/>
        <v>-42.857142857142861</v>
      </c>
      <c r="J30" s="62">
        <f t="shared" si="200"/>
        <v>99.124782804556304</v>
      </c>
      <c r="K30" s="214">
        <f t="shared" si="200"/>
        <v>-93.233082706767178</v>
      </c>
      <c r="L30" s="62">
        <f t="shared" si="200"/>
        <v>100.33400554575243</v>
      </c>
      <c r="M30" s="62">
        <f t="shared" si="200"/>
        <v>157.44680851063811</v>
      </c>
      <c r="N30" s="214">
        <f t="shared" si="200"/>
        <v>85.281385281385226</v>
      </c>
      <c r="O30" s="62">
        <f t="shared" si="200"/>
        <v>100.65975494816209</v>
      </c>
      <c r="P30" s="62">
        <f t="shared" si="200"/>
        <v>210.63829787234059</v>
      </c>
      <c r="Q30" s="214">
        <f t="shared" si="200"/>
        <v>96.856581532416442</v>
      </c>
      <c r="R30" s="62">
        <f t="shared" si="200"/>
        <v>100.7095288479492</v>
      </c>
      <c r="S30" s="62">
        <f t="shared" si="200"/>
        <v>105.92105263157822</v>
      </c>
      <c r="T30" s="214">
        <f t="shared" si="200"/>
        <v>98.940998487140476</v>
      </c>
      <c r="U30" s="62">
        <f>(100/U15)*U28</f>
        <v>101.04121475054231</v>
      </c>
      <c r="V30" s="62">
        <f t="shared" si="200"/>
        <v>179.41176470588621</v>
      </c>
      <c r="W30" s="214">
        <f t="shared" si="200"/>
        <v>106.44718792866949</v>
      </c>
      <c r="X30" s="62">
        <f t="shared" si="200"/>
        <v>100.94328065662135</v>
      </c>
      <c r="Y30" s="62">
        <f t="shared" si="200"/>
        <v>92.670157068062792</v>
      </c>
      <c r="Z30" s="214">
        <f t="shared" si="200"/>
        <v>103.58695652173918</v>
      </c>
      <c r="AA30" s="62">
        <f t="shared" si="200"/>
        <v>100.30069761847489</v>
      </c>
      <c r="AB30" s="62">
        <f t="shared" si="200"/>
        <v>65.562913907284667</v>
      </c>
      <c r="AC30" s="214">
        <f t="shared" si="200"/>
        <v>94.189852700491016</v>
      </c>
      <c r="AD30" s="62">
        <f t="shared" si="200"/>
        <v>98.937559354226011</v>
      </c>
      <c r="AE30" s="62">
        <f t="shared" si="200"/>
        <v>-4.0909090909090793</v>
      </c>
      <c r="AF30" s="214">
        <f t="shared" si="200"/>
        <v>79.195561719833577</v>
      </c>
      <c r="AG30" s="62">
        <f t="shared" si="200"/>
        <v>98.503973819541841</v>
      </c>
      <c r="AH30" s="62">
        <f t="shared" si="200"/>
        <v>70.833333333333258</v>
      </c>
      <c r="AI30" s="214">
        <f>(100/AI15)*AI28</f>
        <v>77.901524032825307</v>
      </c>
      <c r="AJ30" s="62">
        <f t="shared" si="200"/>
        <v>97.965435523958149</v>
      </c>
      <c r="AK30" s="62">
        <f t="shared" si="200"/>
        <v>49.206349206348989</v>
      </c>
      <c r="AL30" s="214">
        <f>(100/AL15)*AL28</f>
        <v>75.039577836411581</v>
      </c>
      <c r="AM30" s="62">
        <f t="shared" si="200"/>
        <v>98.596592549812286</v>
      </c>
      <c r="AN30" s="62">
        <f t="shared" ref="AN30:BG30" si="201">(100/AN15)*AN28</f>
        <v>878.57142857142787</v>
      </c>
      <c r="AO30" s="214">
        <f t="shared" si="201"/>
        <v>80.932425353588258</v>
      </c>
      <c r="AP30" s="62">
        <f t="shared" si="201"/>
        <v>97.826705353587073</v>
      </c>
      <c r="AQ30" s="62">
        <f t="shared" si="201"/>
        <v>46.946564885496379</v>
      </c>
      <c r="AR30" s="62">
        <f t="shared" si="201"/>
        <v>76.830953477660088</v>
      </c>
      <c r="AS30" s="63">
        <f t="shared" si="201"/>
        <v>98.001249219237948</v>
      </c>
      <c r="AT30" s="62">
        <f t="shared" si="201"/>
        <v>188.23529411764338</v>
      </c>
      <c r="AU30" s="64">
        <f t="shared" si="201"/>
        <v>78.548752834467123</v>
      </c>
      <c r="AV30" s="63">
        <f t="shared" si="201"/>
        <v>98.445830969937603</v>
      </c>
      <c r="AW30" s="62">
        <f t="shared" si="201"/>
        <v>510.52631578946773</v>
      </c>
      <c r="AX30" s="64">
        <f t="shared" si="201"/>
        <v>82.239208633093497</v>
      </c>
      <c r="AY30" s="63">
        <f t="shared" si="201"/>
        <v>98.170902766088744</v>
      </c>
      <c r="AZ30" s="62">
        <f t="shared" si="201"/>
        <v>73.056994818653379</v>
      </c>
      <c r="BA30" s="64">
        <f t="shared" si="201"/>
        <v>81.50599917252795</v>
      </c>
      <c r="BB30" s="63">
        <f t="shared" si="201"/>
        <v>98.19729594391589</v>
      </c>
      <c r="BC30" s="62">
        <f t="shared" si="201"/>
        <v>101.33333333333307</v>
      </c>
      <c r="BD30" s="64">
        <f t="shared" si="201"/>
        <v>82.664589014413707</v>
      </c>
      <c r="BE30" s="63">
        <f t="shared" si="201"/>
        <v>98.91201249790771</v>
      </c>
      <c r="BF30" s="62">
        <f t="shared" si="201"/>
        <v>-157.9999999999994</v>
      </c>
      <c r="BG30" s="64">
        <f t="shared" si="201"/>
        <v>87.445371473976977</v>
      </c>
      <c r="BH30" s="63">
        <f t="shared" ref="BH30:BS30" si="202">(100/BH15)*BH28</f>
        <v>98.62983425414366</v>
      </c>
      <c r="BI30" s="62">
        <f t="shared" si="202"/>
        <v>70.056497175141033</v>
      </c>
      <c r="BJ30" s="64">
        <f t="shared" si="202"/>
        <v>86.302895322939875</v>
      </c>
      <c r="BK30" s="63">
        <f t="shared" si="202"/>
        <v>98.256196534327671</v>
      </c>
      <c r="BL30" s="62">
        <f t="shared" si="202"/>
        <v>48.529411764705266</v>
      </c>
      <c r="BM30" s="64">
        <f t="shared" si="202"/>
        <v>84.487632508833897</v>
      </c>
      <c r="BN30" s="63">
        <f t="shared" si="202"/>
        <v>98.319830351802494</v>
      </c>
      <c r="BO30" s="62">
        <f t="shared" si="202"/>
        <v>105.8064516129037</v>
      </c>
      <c r="BP30" s="64">
        <f t="shared" si="202"/>
        <v>85.594639865996641</v>
      </c>
      <c r="BQ30" s="63">
        <f t="shared" si="202"/>
        <v>99.052261034389375</v>
      </c>
      <c r="BR30" s="62">
        <f t="shared" si="202"/>
        <v>281.08108108107928</v>
      </c>
      <c r="BS30" s="64">
        <f t="shared" si="202"/>
        <v>95.144628099173531</v>
      </c>
      <c r="BT30"/>
      <c r="BU30"/>
      <c r="BV30"/>
      <c r="BW30"/>
      <c r="BX30" s="114"/>
      <c r="BY30" s="63">
        <v>21.59</v>
      </c>
      <c r="BZ30" s="13"/>
      <c r="CA30" s="114"/>
      <c r="CB30" s="114"/>
      <c r="CC30"/>
      <c r="CD30"/>
      <c r="CE30"/>
      <c r="CF30"/>
      <c r="CG30"/>
      <c r="CH30"/>
      <c r="CI30"/>
      <c r="CJ30"/>
      <c r="CK30"/>
      <c r="CL30"/>
      <c r="CM30"/>
      <c r="CN30"/>
    </row>
    <row r="31" spans="1:92" ht="12" customHeight="1">
      <c r="A31" s="304"/>
      <c r="B31" s="65"/>
      <c r="C31" s="65"/>
      <c r="D31" s="24"/>
      <c r="E31" s="65"/>
      <c r="F31" s="65"/>
      <c r="G31" s="277"/>
      <c r="H31" s="65"/>
      <c r="I31" s="277"/>
      <c r="J31" s="65"/>
      <c r="K31" s="277"/>
      <c r="L31" s="65"/>
      <c r="M31" s="65"/>
      <c r="N31" s="277"/>
      <c r="O31" s="65"/>
      <c r="P31" s="65"/>
      <c r="Q31" s="277"/>
      <c r="R31" s="65"/>
      <c r="S31" s="65"/>
      <c r="T31" s="277"/>
      <c r="U31" s="65"/>
      <c r="V31" s="65"/>
      <c r="W31" s="277"/>
      <c r="X31" s="65"/>
      <c r="Y31" s="65"/>
      <c r="Z31" s="277"/>
      <c r="AA31" s="65"/>
      <c r="AB31" s="65"/>
      <c r="AC31" s="277"/>
      <c r="AD31" s="65"/>
      <c r="AE31" s="65"/>
      <c r="AF31" s="277"/>
      <c r="AG31" s="65"/>
      <c r="AH31" s="65"/>
      <c r="AI31" s="277"/>
      <c r="AJ31" s="65"/>
      <c r="AK31" s="65"/>
      <c r="AL31" s="277"/>
      <c r="AM31" s="65"/>
      <c r="AN31" s="65"/>
      <c r="AO31" s="277"/>
      <c r="AP31" s="65"/>
      <c r="AQ31" s="65"/>
      <c r="AR31" s="65"/>
      <c r="AS31" s="67"/>
      <c r="AT31" s="65"/>
      <c r="AU31" s="65"/>
      <c r="AV31" s="67"/>
      <c r="AW31" s="65"/>
      <c r="AX31" s="65"/>
      <c r="AY31" s="67"/>
      <c r="AZ31" s="65"/>
      <c r="BA31" s="66"/>
      <c r="BB31" s="67"/>
      <c r="BC31" s="65"/>
      <c r="BD31" s="66"/>
      <c r="BE31" s="65"/>
      <c r="BF31" s="65"/>
      <c r="BG31" s="65"/>
      <c r="BH31" s="67"/>
      <c r="BI31" s="65"/>
      <c r="BJ31" s="66"/>
      <c r="BK31" s="67"/>
      <c r="BL31" s="65"/>
      <c r="BM31" s="66"/>
      <c r="BN31" s="67"/>
      <c r="BO31" s="65"/>
      <c r="BP31" s="66"/>
      <c r="BQ31" s="67"/>
      <c r="BR31" s="65"/>
      <c r="BS31" s="66"/>
      <c r="BT31"/>
      <c r="BU31"/>
      <c r="BV31"/>
      <c r="BW31"/>
      <c r="BY31" s="51">
        <v>23.13</v>
      </c>
      <c r="BZ31" s="63"/>
      <c r="CA31" s="114"/>
      <c r="CB31" s="114"/>
      <c r="CC31"/>
      <c r="CD31"/>
      <c r="CE31"/>
      <c r="CF31"/>
      <c r="CG31"/>
      <c r="CH31"/>
      <c r="CI31"/>
      <c r="CJ31"/>
      <c r="CK31"/>
      <c r="CL31"/>
      <c r="CM31"/>
      <c r="CN31"/>
    </row>
    <row r="32" spans="1:92" s="60" customFormat="1" ht="12" customHeight="1">
      <c r="A32" s="9" t="s">
        <v>301</v>
      </c>
      <c r="B32" s="62" t="s">
        <v>302</v>
      </c>
      <c r="C32" s="11">
        <v>42559</v>
      </c>
      <c r="D32" s="12" t="s">
        <v>26</v>
      </c>
      <c r="E32" s="10" t="s">
        <v>303</v>
      </c>
      <c r="F32" s="11" t="s">
        <v>271</v>
      </c>
      <c r="G32" s="216" t="s">
        <v>263</v>
      </c>
      <c r="H32" s="62">
        <v>19.399999999999999</v>
      </c>
      <c r="I32" s="214">
        <f>H42-H32</f>
        <v>-0.32999999999999829</v>
      </c>
      <c r="J32" s="62">
        <v>18.32</v>
      </c>
      <c r="K32" s="214">
        <f t="shared" ref="K32:K40" si="203">J32-H32</f>
        <v>-1.0799999999999983</v>
      </c>
      <c r="L32" s="62">
        <v>18.670000000000002</v>
      </c>
      <c r="M32" s="62">
        <f t="shared" ref="M32:M37" si="204">L32-J32</f>
        <v>0.35000000000000142</v>
      </c>
      <c r="N32" s="214">
        <f t="shared" ref="N32:N37" si="205">K32+M32</f>
        <v>-0.72999999999999687</v>
      </c>
      <c r="O32" s="62">
        <v>18.61</v>
      </c>
      <c r="P32" s="62">
        <f t="shared" ref="P32:P40" si="206">O32-L32</f>
        <v>-6.0000000000002274E-2</v>
      </c>
      <c r="Q32" s="214">
        <f t="shared" ref="Q32:Q40" si="207">N32+P32</f>
        <v>-0.78999999999999915</v>
      </c>
      <c r="R32" s="62">
        <v>18.64</v>
      </c>
      <c r="S32" s="62">
        <f t="shared" ref="S32:S37" si="208">R32-O32</f>
        <v>3.0000000000001137E-2</v>
      </c>
      <c r="T32" s="214">
        <f t="shared" ref="T32:T37" si="209">Q32+S32</f>
        <v>-0.75999999999999801</v>
      </c>
      <c r="U32" s="62">
        <v>19.600000000000001</v>
      </c>
      <c r="V32" s="62">
        <f t="shared" ref="V32:V37" si="210">U32-R32</f>
        <v>0.96000000000000085</v>
      </c>
      <c r="W32" s="214">
        <f t="shared" ref="W32:W37" si="211">T32+V32</f>
        <v>0.20000000000000284</v>
      </c>
      <c r="X32" s="62">
        <v>19.489999999999998</v>
      </c>
      <c r="Y32" s="62">
        <f t="shared" ref="Y32:Y37" si="212">X32-U32</f>
        <v>-0.11000000000000298</v>
      </c>
      <c r="Z32" s="214">
        <f t="shared" ref="Z32:Z37" si="213">W32+Y32</f>
        <v>8.9999999999999858E-2</v>
      </c>
      <c r="AA32" s="62">
        <v>19.71</v>
      </c>
      <c r="AB32" s="62">
        <f t="shared" ref="AB32:AB37" si="214">AA32-X32</f>
        <v>0.22000000000000242</v>
      </c>
      <c r="AC32" s="214">
        <f>Z32+AB32</f>
        <v>0.31000000000000227</v>
      </c>
      <c r="AD32" s="62">
        <v>19.66</v>
      </c>
      <c r="AE32" s="62">
        <f t="shared" ref="AE32:AE37" si="215">AD32-AA32</f>
        <v>-5.0000000000000711E-2</v>
      </c>
      <c r="AF32" s="214">
        <f t="shared" ref="AF32:AF37" si="216">AC32+AE32</f>
        <v>0.26000000000000156</v>
      </c>
      <c r="AG32" s="62">
        <v>19.829999999999998</v>
      </c>
      <c r="AH32" s="62">
        <f t="shared" ref="AH32:AH37" si="217">AG32-AD32</f>
        <v>0.16999999999999815</v>
      </c>
      <c r="AI32" s="214">
        <f t="shared" ref="AI32:AI37" si="218">AF32+AH32</f>
        <v>0.42999999999999972</v>
      </c>
      <c r="AJ32" s="62">
        <v>20.02</v>
      </c>
      <c r="AK32" s="62">
        <f t="shared" ref="AK32:AK40" si="219">AJ32-AG32</f>
        <v>0.19000000000000128</v>
      </c>
      <c r="AL32" s="214">
        <f t="shared" ref="AL32:AL40" si="220">AI32+AK32</f>
        <v>0.62000000000000099</v>
      </c>
      <c r="AM32" s="62">
        <v>20.149999999999999</v>
      </c>
      <c r="AN32" s="62">
        <f t="shared" ref="AN32:AN37" si="221">AM32-AJ32</f>
        <v>0.12999999999999901</v>
      </c>
      <c r="AO32" s="214">
        <f t="shared" ref="AO32:AO37" si="222">AL32+AN32</f>
        <v>0.75</v>
      </c>
      <c r="AP32" s="62">
        <v>20.75</v>
      </c>
      <c r="AQ32" s="62">
        <f t="shared" ref="AQ32:AQ37" si="223">AP32-AM32</f>
        <v>0.60000000000000142</v>
      </c>
      <c r="AR32" s="64">
        <f t="shared" ref="AR32:AR37" si="224">AO32+AQ32</f>
        <v>1.3500000000000014</v>
      </c>
      <c r="AS32" s="63">
        <v>20.190000000000001</v>
      </c>
      <c r="AT32" s="62">
        <f t="shared" ref="AT32:AT37" si="225">AS32-AP32</f>
        <v>-0.55999999999999872</v>
      </c>
      <c r="AU32" s="64">
        <f t="shared" ref="AU32:AU37" si="226">AR32+AT32</f>
        <v>0.7900000000000027</v>
      </c>
      <c r="AV32" s="63">
        <v>20.59</v>
      </c>
      <c r="AW32" s="62">
        <f t="shared" ref="AW32:AW37" si="227">AV32-AS32</f>
        <v>0.39999999999999858</v>
      </c>
      <c r="AX32" s="64">
        <f t="shared" ref="AX32:AX37" si="228">AU32+AW32</f>
        <v>1.1900000000000013</v>
      </c>
      <c r="AY32" s="63">
        <v>20.27</v>
      </c>
      <c r="AZ32" s="62">
        <f t="shared" ref="AZ32:AZ37" si="229">AY32-AV32</f>
        <v>-0.32000000000000028</v>
      </c>
      <c r="BA32" s="64">
        <f t="shared" ref="BA32:BA37" si="230">AX32+AZ32</f>
        <v>0.87000000000000099</v>
      </c>
      <c r="BB32" s="63">
        <v>20.86</v>
      </c>
      <c r="BC32" s="62">
        <f t="shared" ref="BC32:BC37" si="231">BB32-AY32</f>
        <v>0.58999999999999986</v>
      </c>
      <c r="BD32" s="64">
        <f t="shared" ref="BD32:BD37" si="232">BA32+BC32</f>
        <v>1.4600000000000009</v>
      </c>
      <c r="BE32" s="62">
        <v>20.47</v>
      </c>
      <c r="BF32" s="62">
        <f t="shared" ref="BF32:BF40" si="233">BE32-BB32</f>
        <v>-0.39000000000000057</v>
      </c>
      <c r="BG32" s="64">
        <f t="shared" ref="BG32:BG40" si="234">BD32+BF32</f>
        <v>1.0700000000000003</v>
      </c>
      <c r="BH32" s="63">
        <v>20.62</v>
      </c>
      <c r="BI32" s="62">
        <f t="shared" ref="BI32:BI37" si="235">BH32-BE32</f>
        <v>0.15000000000000213</v>
      </c>
      <c r="BJ32" s="64">
        <f t="shared" ref="BJ32:BJ37" si="236">BG32+BI32</f>
        <v>1.2200000000000024</v>
      </c>
      <c r="BK32" s="63">
        <v>20.34</v>
      </c>
      <c r="BL32" s="62">
        <f t="shared" ref="BL32:BL37" si="237">BK32-BH32</f>
        <v>-0.28000000000000114</v>
      </c>
      <c r="BM32" s="64">
        <f t="shared" ref="BM32:BM37" si="238">BJ32+BL32</f>
        <v>0.94000000000000128</v>
      </c>
      <c r="BN32" s="63">
        <v>20.76</v>
      </c>
      <c r="BO32" s="62">
        <f t="shared" ref="BO32:BO37" si="239">BN32-BK32</f>
        <v>0.42000000000000171</v>
      </c>
      <c r="BP32" s="64">
        <f t="shared" ref="BP32:BP37" si="240">BM32+BO32</f>
        <v>1.360000000000003</v>
      </c>
      <c r="BQ32" s="63">
        <v>21.34</v>
      </c>
      <c r="BR32" s="62">
        <f t="shared" ref="BR32:BR37" si="241">BQ32-BN32</f>
        <v>0.57999999999999829</v>
      </c>
      <c r="BS32" s="214">
        <f t="shared" ref="BS32:BS34" si="242">BP32+BR32</f>
        <v>1.9400000000000013</v>
      </c>
      <c r="BT32"/>
      <c r="BU32"/>
      <c r="BV32"/>
      <c r="BW32"/>
      <c r="BY32" s="13"/>
      <c r="BZ32" s="63"/>
      <c r="CA32" s="114"/>
      <c r="CB32" s="114"/>
      <c r="CC32"/>
      <c r="CD32"/>
      <c r="CE32"/>
      <c r="CF32"/>
      <c r="CG32"/>
      <c r="CH32"/>
      <c r="CI32"/>
      <c r="CJ32"/>
      <c r="CK32"/>
      <c r="CL32"/>
      <c r="CM32"/>
      <c r="CN32"/>
    </row>
    <row r="33" spans="1:92" s="60" customFormat="1" ht="12" customHeight="1">
      <c r="A33" s="9" t="s">
        <v>304</v>
      </c>
      <c r="B33" s="62" t="s">
        <v>305</v>
      </c>
      <c r="C33" s="11"/>
      <c r="D33" s="12" t="s">
        <v>26</v>
      </c>
      <c r="E33" s="10" t="s">
        <v>303</v>
      </c>
      <c r="F33" s="11">
        <v>42411</v>
      </c>
      <c r="G33" s="216" t="s">
        <v>263</v>
      </c>
      <c r="H33" s="62">
        <v>16.420000000000002</v>
      </c>
      <c r="I33" s="214">
        <f>H42-H33</f>
        <v>2.6499999999999986</v>
      </c>
      <c r="J33" s="62">
        <v>15.38</v>
      </c>
      <c r="K33" s="214">
        <f t="shared" si="203"/>
        <v>-1.0400000000000009</v>
      </c>
      <c r="L33" s="62">
        <v>16.18</v>
      </c>
      <c r="M33" s="62">
        <f t="shared" si="204"/>
        <v>0.79999999999999893</v>
      </c>
      <c r="N33" s="214">
        <f t="shared" si="205"/>
        <v>-0.24000000000000199</v>
      </c>
      <c r="O33" s="62">
        <v>16.8</v>
      </c>
      <c r="P33" s="62">
        <f t="shared" si="206"/>
        <v>0.62000000000000099</v>
      </c>
      <c r="Q33" s="214">
        <f t="shared" si="207"/>
        <v>0.37999999999999901</v>
      </c>
      <c r="R33" s="62">
        <v>17.11</v>
      </c>
      <c r="S33" s="62">
        <f t="shared" si="208"/>
        <v>0.30999999999999872</v>
      </c>
      <c r="T33" s="214">
        <f t="shared" si="209"/>
        <v>0.68999999999999773</v>
      </c>
      <c r="U33" s="62">
        <v>17.559999999999999</v>
      </c>
      <c r="V33" s="62">
        <f t="shared" si="210"/>
        <v>0.44999999999999929</v>
      </c>
      <c r="W33" s="214">
        <f t="shared" si="211"/>
        <v>1.139999999999997</v>
      </c>
      <c r="X33" s="62">
        <v>17.670000000000002</v>
      </c>
      <c r="Y33" s="62">
        <f t="shared" si="212"/>
        <v>0.11000000000000298</v>
      </c>
      <c r="Z33" s="214">
        <f t="shared" si="213"/>
        <v>1.25</v>
      </c>
      <c r="AA33" s="62">
        <v>18.34</v>
      </c>
      <c r="AB33" s="62">
        <f t="shared" si="214"/>
        <v>0.66999999999999815</v>
      </c>
      <c r="AC33" s="214">
        <f t="shared" ref="AC33:AC37" si="243">Z33+AB33</f>
        <v>1.9199999999999982</v>
      </c>
      <c r="AD33" s="62">
        <v>19.04</v>
      </c>
      <c r="AE33" s="62">
        <f t="shared" si="215"/>
        <v>0.69999999999999929</v>
      </c>
      <c r="AF33" s="214">
        <f t="shared" si="216"/>
        <v>2.6199999999999974</v>
      </c>
      <c r="AG33" s="62">
        <v>18.63</v>
      </c>
      <c r="AH33" s="62">
        <f t="shared" si="217"/>
        <v>-0.41000000000000014</v>
      </c>
      <c r="AI33" s="214">
        <f t="shared" si="218"/>
        <v>2.2099999999999973</v>
      </c>
      <c r="AJ33" s="62">
        <v>18.91</v>
      </c>
      <c r="AK33" s="62">
        <f t="shared" si="219"/>
        <v>0.28000000000000114</v>
      </c>
      <c r="AL33" s="214">
        <f t="shared" si="220"/>
        <v>2.4899999999999984</v>
      </c>
      <c r="AM33" s="62">
        <v>19.350000000000001</v>
      </c>
      <c r="AN33" s="62">
        <f t="shared" si="221"/>
        <v>0.44000000000000128</v>
      </c>
      <c r="AO33" s="214">
        <f t="shared" si="222"/>
        <v>2.9299999999999997</v>
      </c>
      <c r="AP33" s="62">
        <v>19.55</v>
      </c>
      <c r="AQ33" s="62">
        <f t="shared" si="223"/>
        <v>0.19999999999999929</v>
      </c>
      <c r="AR33" s="64">
        <f t="shared" si="224"/>
        <v>3.129999999999999</v>
      </c>
      <c r="AS33" s="63">
        <v>19.41</v>
      </c>
      <c r="AT33" s="62">
        <f t="shared" si="225"/>
        <v>-0.14000000000000057</v>
      </c>
      <c r="AU33" s="64">
        <f t="shared" si="226"/>
        <v>2.9899999999999984</v>
      </c>
      <c r="AV33" s="63">
        <v>19.82</v>
      </c>
      <c r="AW33" s="62">
        <f t="shared" si="227"/>
        <v>0.41000000000000014</v>
      </c>
      <c r="AX33" s="64">
        <f t="shared" si="228"/>
        <v>3.3999999999999986</v>
      </c>
      <c r="AY33" s="63">
        <v>20.34</v>
      </c>
      <c r="AZ33" s="62">
        <f t="shared" si="229"/>
        <v>0.51999999999999957</v>
      </c>
      <c r="BA33" s="64">
        <f t="shared" si="230"/>
        <v>3.9199999999999982</v>
      </c>
      <c r="BB33" s="63">
        <v>20.76</v>
      </c>
      <c r="BC33" s="62">
        <f t="shared" si="231"/>
        <v>0.42000000000000171</v>
      </c>
      <c r="BD33" s="64">
        <f t="shared" si="232"/>
        <v>4.34</v>
      </c>
      <c r="BE33" s="62">
        <v>21.24</v>
      </c>
      <c r="BF33" s="62">
        <f t="shared" si="233"/>
        <v>0.47999999999999687</v>
      </c>
      <c r="BG33" s="64">
        <f t="shared" si="234"/>
        <v>4.8199999999999967</v>
      </c>
      <c r="BH33" s="63">
        <v>21.7</v>
      </c>
      <c r="BI33" s="62">
        <f t="shared" si="235"/>
        <v>0.46000000000000085</v>
      </c>
      <c r="BJ33" s="64">
        <f t="shared" si="236"/>
        <v>5.2799999999999976</v>
      </c>
      <c r="BK33" s="63">
        <v>21.56</v>
      </c>
      <c r="BL33" s="62">
        <f t="shared" si="237"/>
        <v>-0.14000000000000057</v>
      </c>
      <c r="BM33" s="64">
        <f t="shared" si="238"/>
        <v>5.139999999999997</v>
      </c>
      <c r="BN33" s="63">
        <v>21.91</v>
      </c>
      <c r="BO33" s="62">
        <f t="shared" si="239"/>
        <v>0.35000000000000142</v>
      </c>
      <c r="BP33" s="64">
        <f t="shared" si="240"/>
        <v>5.4899999999999984</v>
      </c>
      <c r="BQ33" s="63">
        <v>21.58</v>
      </c>
      <c r="BR33" s="62">
        <f t="shared" si="241"/>
        <v>-0.33000000000000185</v>
      </c>
      <c r="BS33" s="214">
        <f t="shared" si="242"/>
        <v>5.1599999999999966</v>
      </c>
      <c r="BT33"/>
      <c r="BU33"/>
      <c r="BV33"/>
      <c r="BW33"/>
      <c r="BY33" s="63"/>
      <c r="BZ33" s="63"/>
      <c r="CA33" s="114"/>
      <c r="CB33" s="114"/>
      <c r="CC33"/>
      <c r="CD33"/>
      <c r="CE33"/>
      <c r="CF33"/>
      <c r="CG33"/>
      <c r="CH33"/>
      <c r="CI33"/>
      <c r="CJ33"/>
      <c r="CK33"/>
      <c r="CL33"/>
      <c r="CM33"/>
      <c r="CN33"/>
    </row>
    <row r="34" spans="1:92" s="60" customFormat="1" ht="12" customHeight="1">
      <c r="A34" s="133" t="s">
        <v>306</v>
      </c>
      <c r="B34" s="62" t="s">
        <v>307</v>
      </c>
      <c r="C34" s="11" t="s">
        <v>308</v>
      </c>
      <c r="D34" s="12" t="s">
        <v>26</v>
      </c>
      <c r="E34" s="10" t="s">
        <v>303</v>
      </c>
      <c r="F34" s="11" t="s">
        <v>309</v>
      </c>
      <c r="G34" s="216" t="s">
        <v>263</v>
      </c>
      <c r="H34" s="62">
        <v>20.27</v>
      </c>
      <c r="I34" s="214">
        <f>H42-H34</f>
        <v>-1.1999999999999993</v>
      </c>
      <c r="J34" s="62">
        <v>17.77</v>
      </c>
      <c r="K34" s="214">
        <f t="shared" si="203"/>
        <v>-2.5</v>
      </c>
      <c r="L34" s="62">
        <v>19.28</v>
      </c>
      <c r="M34" s="62">
        <f t="shared" si="204"/>
        <v>1.5100000000000016</v>
      </c>
      <c r="N34" s="214">
        <f t="shared" si="205"/>
        <v>-0.98999999999999844</v>
      </c>
      <c r="O34" s="62">
        <v>19.77</v>
      </c>
      <c r="P34" s="62">
        <f t="shared" si="206"/>
        <v>0.48999999999999844</v>
      </c>
      <c r="Q34" s="214">
        <f t="shared" si="207"/>
        <v>-0.5</v>
      </c>
      <c r="R34" s="62">
        <v>20.28</v>
      </c>
      <c r="S34" s="62">
        <f t="shared" si="208"/>
        <v>0.51000000000000156</v>
      </c>
      <c r="T34" s="214">
        <f t="shared" si="209"/>
        <v>1.0000000000001563E-2</v>
      </c>
      <c r="U34" s="62">
        <v>20.399999999999999</v>
      </c>
      <c r="V34" s="62">
        <f t="shared" si="210"/>
        <v>0.11999999999999744</v>
      </c>
      <c r="W34" s="214">
        <f t="shared" si="211"/>
        <v>0.12999999999999901</v>
      </c>
      <c r="X34" s="62">
        <v>21.21</v>
      </c>
      <c r="Y34" s="62">
        <f t="shared" si="212"/>
        <v>0.81000000000000227</v>
      </c>
      <c r="Z34" s="214">
        <f t="shared" si="213"/>
        <v>0.94000000000000128</v>
      </c>
      <c r="AA34" s="62">
        <v>21.9</v>
      </c>
      <c r="AB34" s="62">
        <f t="shared" si="214"/>
        <v>0.68999999999999773</v>
      </c>
      <c r="AC34" s="214">
        <f t="shared" si="243"/>
        <v>1.629999999999999</v>
      </c>
      <c r="AD34" s="62">
        <v>21.89</v>
      </c>
      <c r="AE34" s="62">
        <f t="shared" si="215"/>
        <v>-9.9999999999980105E-3</v>
      </c>
      <c r="AF34" s="214">
        <f t="shared" si="216"/>
        <v>1.620000000000001</v>
      </c>
      <c r="AG34" s="62">
        <v>22.1</v>
      </c>
      <c r="AH34" s="62">
        <f t="shared" si="217"/>
        <v>0.21000000000000085</v>
      </c>
      <c r="AI34" s="214">
        <f t="shared" si="218"/>
        <v>1.8300000000000018</v>
      </c>
      <c r="AJ34" s="62">
        <v>22.37</v>
      </c>
      <c r="AK34" s="62">
        <f t="shared" si="219"/>
        <v>0.26999999999999957</v>
      </c>
      <c r="AL34" s="214">
        <f t="shared" si="220"/>
        <v>2.1000000000000014</v>
      </c>
      <c r="AM34" s="62">
        <v>21.86</v>
      </c>
      <c r="AN34" s="62">
        <f t="shared" si="221"/>
        <v>-0.51000000000000156</v>
      </c>
      <c r="AO34" s="214">
        <f t="shared" si="222"/>
        <v>1.5899999999999999</v>
      </c>
      <c r="AP34" s="62">
        <v>21.98</v>
      </c>
      <c r="AQ34" s="62">
        <f t="shared" si="223"/>
        <v>0.12000000000000099</v>
      </c>
      <c r="AR34" s="64">
        <f t="shared" si="224"/>
        <v>1.7100000000000009</v>
      </c>
      <c r="AS34" s="63">
        <v>21.13</v>
      </c>
      <c r="AT34" s="62">
        <f t="shared" si="225"/>
        <v>-0.85000000000000142</v>
      </c>
      <c r="AU34" s="64">
        <f t="shared" si="226"/>
        <v>0.85999999999999943</v>
      </c>
      <c r="AV34" s="63">
        <v>21.71</v>
      </c>
      <c r="AW34" s="62">
        <f t="shared" si="227"/>
        <v>0.58000000000000185</v>
      </c>
      <c r="AX34" s="64">
        <f t="shared" si="228"/>
        <v>1.4400000000000013</v>
      </c>
      <c r="AY34" s="63">
        <v>21.77</v>
      </c>
      <c r="AZ34" s="62">
        <f t="shared" si="229"/>
        <v>5.9999999999998721E-2</v>
      </c>
      <c r="BA34" s="64">
        <f t="shared" si="230"/>
        <v>1.5</v>
      </c>
      <c r="BB34" s="63">
        <v>22</v>
      </c>
      <c r="BC34" s="62">
        <f t="shared" si="231"/>
        <v>0.23000000000000043</v>
      </c>
      <c r="BD34" s="64">
        <f t="shared" si="232"/>
        <v>1.7300000000000004</v>
      </c>
      <c r="BE34" s="62">
        <v>22.28</v>
      </c>
      <c r="BF34" s="62">
        <f t="shared" si="233"/>
        <v>0.28000000000000114</v>
      </c>
      <c r="BG34" s="64">
        <f t="shared" si="234"/>
        <v>2.0100000000000016</v>
      </c>
      <c r="BH34" s="63">
        <v>22.08</v>
      </c>
      <c r="BI34" s="62">
        <f t="shared" si="235"/>
        <v>-0.20000000000000284</v>
      </c>
      <c r="BJ34" s="64">
        <f t="shared" si="236"/>
        <v>1.8099999999999987</v>
      </c>
      <c r="BK34" s="63">
        <v>22.16</v>
      </c>
      <c r="BL34" s="62">
        <f t="shared" si="237"/>
        <v>8.0000000000001847E-2</v>
      </c>
      <c r="BM34" s="64">
        <f t="shared" si="238"/>
        <v>1.8900000000000006</v>
      </c>
      <c r="BN34" s="63">
        <v>22.3</v>
      </c>
      <c r="BO34" s="62">
        <f t="shared" si="239"/>
        <v>0.14000000000000057</v>
      </c>
      <c r="BP34" s="64">
        <f t="shared" si="240"/>
        <v>2.0300000000000011</v>
      </c>
      <c r="BQ34" s="63">
        <v>22.35</v>
      </c>
      <c r="BR34" s="62">
        <f t="shared" si="241"/>
        <v>5.0000000000000711E-2</v>
      </c>
      <c r="BS34" s="214">
        <f t="shared" si="242"/>
        <v>2.0800000000000018</v>
      </c>
      <c r="BT34"/>
      <c r="BU34"/>
      <c r="BV34"/>
      <c r="BW34"/>
      <c r="BX34" s="114"/>
      <c r="BY34" s="63"/>
      <c r="BZ34" s="63"/>
      <c r="CA34" s="114"/>
      <c r="CB34" s="114"/>
      <c r="CC34"/>
      <c r="CD34"/>
      <c r="CE34"/>
      <c r="CF34"/>
      <c r="CG34"/>
      <c r="CH34"/>
      <c r="CI34"/>
      <c r="CJ34"/>
      <c r="CK34"/>
      <c r="CL34"/>
      <c r="CM34"/>
      <c r="CN34"/>
    </row>
    <row r="35" spans="1:92" ht="12" customHeight="1">
      <c r="A35" s="119" t="s">
        <v>310</v>
      </c>
      <c r="B35" s="12" t="s">
        <v>311</v>
      </c>
      <c r="C35" s="305">
        <v>42897</v>
      </c>
      <c r="D35" s="12" t="s">
        <v>26</v>
      </c>
      <c r="E35" s="10" t="s">
        <v>303</v>
      </c>
      <c r="F35" s="11">
        <v>43049</v>
      </c>
      <c r="G35" s="216" t="s">
        <v>263</v>
      </c>
      <c r="H35" s="12">
        <v>21.13</v>
      </c>
      <c r="I35" s="214">
        <f>H42-H35</f>
        <v>-2.0599999999999987</v>
      </c>
      <c r="J35" s="12">
        <v>20.14</v>
      </c>
      <c r="K35" s="214">
        <f t="shared" si="203"/>
        <v>-0.98999999999999844</v>
      </c>
      <c r="L35" s="12">
        <v>20.46</v>
      </c>
      <c r="M35" s="62">
        <f t="shared" si="204"/>
        <v>0.32000000000000028</v>
      </c>
      <c r="N35" s="214">
        <f t="shared" si="205"/>
        <v>-0.66999999999999815</v>
      </c>
      <c r="O35" s="12">
        <v>21.43</v>
      </c>
      <c r="P35" s="62">
        <f t="shared" si="206"/>
        <v>0.96999999999999886</v>
      </c>
      <c r="Q35" s="214">
        <f t="shared" si="207"/>
        <v>0.30000000000000071</v>
      </c>
      <c r="R35" s="12">
        <v>21.22</v>
      </c>
      <c r="S35" s="62">
        <f t="shared" si="208"/>
        <v>-0.21000000000000085</v>
      </c>
      <c r="T35" s="214">
        <f t="shared" si="209"/>
        <v>8.9999999999999858E-2</v>
      </c>
      <c r="U35" s="12">
        <v>21.04</v>
      </c>
      <c r="V35" s="62">
        <f t="shared" si="210"/>
        <v>-0.17999999999999972</v>
      </c>
      <c r="W35" s="214">
        <f t="shared" si="211"/>
        <v>-8.9999999999999858E-2</v>
      </c>
      <c r="X35" s="12">
        <v>22.31</v>
      </c>
      <c r="Y35" s="62">
        <f t="shared" si="212"/>
        <v>1.2699999999999996</v>
      </c>
      <c r="Z35" s="214">
        <f t="shared" si="213"/>
        <v>1.1799999999999997</v>
      </c>
      <c r="AA35" s="12">
        <v>22.5</v>
      </c>
      <c r="AB35" s="62">
        <f t="shared" si="214"/>
        <v>0.19000000000000128</v>
      </c>
      <c r="AC35" s="214">
        <f t="shared" si="243"/>
        <v>1.370000000000001</v>
      </c>
      <c r="AD35" s="12">
        <v>22.21</v>
      </c>
      <c r="AE35" s="62">
        <f t="shared" si="215"/>
        <v>-0.28999999999999915</v>
      </c>
      <c r="AF35" s="214">
        <f t="shared" si="216"/>
        <v>1.0800000000000018</v>
      </c>
      <c r="AG35" s="12">
        <v>22.46</v>
      </c>
      <c r="AH35" s="62">
        <f t="shared" si="217"/>
        <v>0.25</v>
      </c>
      <c r="AI35" s="214">
        <f t="shared" si="218"/>
        <v>1.3300000000000018</v>
      </c>
      <c r="AJ35" s="12">
        <v>22.61</v>
      </c>
      <c r="AK35" s="62">
        <f t="shared" si="219"/>
        <v>0.14999999999999858</v>
      </c>
      <c r="AL35" s="214">
        <f t="shared" si="220"/>
        <v>1.4800000000000004</v>
      </c>
      <c r="AM35" s="12">
        <v>22.71</v>
      </c>
      <c r="AN35" s="62">
        <f t="shared" si="221"/>
        <v>0.10000000000000142</v>
      </c>
      <c r="AO35" s="214">
        <f t="shared" si="222"/>
        <v>1.5800000000000018</v>
      </c>
      <c r="AP35" s="12">
        <v>22.73</v>
      </c>
      <c r="AQ35" s="62">
        <f t="shared" si="223"/>
        <v>1.9999999999999574E-2</v>
      </c>
      <c r="AR35" s="64">
        <f t="shared" si="224"/>
        <v>1.6000000000000014</v>
      </c>
      <c r="AS35" s="12">
        <v>23.12</v>
      </c>
      <c r="AT35" s="62">
        <f t="shared" si="225"/>
        <v>0.39000000000000057</v>
      </c>
      <c r="AU35" s="64">
        <f t="shared" si="226"/>
        <v>1.990000000000002</v>
      </c>
      <c r="AV35" s="12">
        <v>23.02</v>
      </c>
      <c r="AW35" s="62">
        <f t="shared" si="227"/>
        <v>-0.10000000000000142</v>
      </c>
      <c r="AX35" s="64">
        <f t="shared" si="228"/>
        <v>1.8900000000000006</v>
      </c>
      <c r="AY35" s="12">
        <v>23.37</v>
      </c>
      <c r="AZ35" s="62">
        <f t="shared" si="229"/>
        <v>0.35000000000000142</v>
      </c>
      <c r="BA35" s="64">
        <f t="shared" si="230"/>
        <v>2.240000000000002</v>
      </c>
      <c r="BB35" s="12">
        <v>23.44</v>
      </c>
      <c r="BC35" s="62">
        <f t="shared" si="231"/>
        <v>7.0000000000000284E-2</v>
      </c>
      <c r="BD35" s="64">
        <f t="shared" si="232"/>
        <v>2.3100000000000023</v>
      </c>
      <c r="BE35" s="12">
        <v>23.63</v>
      </c>
      <c r="BF35" s="62">
        <f t="shared" si="233"/>
        <v>0.18999999999999773</v>
      </c>
      <c r="BG35" s="64">
        <f t="shared" si="234"/>
        <v>2.5</v>
      </c>
      <c r="BH35" s="12">
        <v>23.8</v>
      </c>
      <c r="BI35" s="62">
        <f t="shared" si="235"/>
        <v>0.17000000000000171</v>
      </c>
      <c r="BJ35" s="64">
        <f t="shared" si="236"/>
        <v>2.6700000000000017</v>
      </c>
      <c r="BK35" s="12">
        <v>23.63</v>
      </c>
      <c r="BL35" s="62">
        <f t="shared" si="237"/>
        <v>-0.17000000000000171</v>
      </c>
      <c r="BM35" s="64">
        <f t="shared" si="238"/>
        <v>2.5</v>
      </c>
      <c r="BN35" s="12">
        <v>23.58</v>
      </c>
      <c r="BO35" s="62">
        <f t="shared" si="239"/>
        <v>-5.0000000000000711E-2</v>
      </c>
      <c r="BP35" s="64">
        <f t="shared" si="240"/>
        <v>2.4499999999999993</v>
      </c>
      <c r="BQ35" s="12">
        <v>23.62</v>
      </c>
      <c r="BR35" s="62">
        <f t="shared" si="241"/>
        <v>4.00000000000027E-2</v>
      </c>
      <c r="BS35" s="214">
        <f>BP35+BR35</f>
        <v>2.490000000000002</v>
      </c>
      <c r="BX35" s="144" t="s">
        <v>41</v>
      </c>
      <c r="BY35" s="18">
        <f>AVERAGE(BY4:BY34)</f>
        <v>19.508000000000003</v>
      </c>
      <c r="BZ35" s="18">
        <f>AVERAGE(BZ4:BZ34)</f>
        <v>19.25714285714286</v>
      </c>
    </row>
    <row r="36" spans="1:92" ht="12" customHeight="1">
      <c r="A36" s="119" t="s">
        <v>312</v>
      </c>
      <c r="B36" s="12" t="s">
        <v>313</v>
      </c>
      <c r="C36" s="305">
        <v>43165</v>
      </c>
      <c r="D36" s="12" t="s">
        <v>26</v>
      </c>
      <c r="E36" s="10" t="s">
        <v>303</v>
      </c>
      <c r="F36" s="305">
        <v>43203</v>
      </c>
      <c r="G36" s="216" t="s">
        <v>263</v>
      </c>
      <c r="H36" s="12">
        <v>20.99</v>
      </c>
      <c r="I36" s="214">
        <f>H42-H36</f>
        <v>-1.9199999999999982</v>
      </c>
      <c r="J36" s="12">
        <v>19.559999999999999</v>
      </c>
      <c r="K36" s="203">
        <f t="shared" si="203"/>
        <v>-1.4299999999999997</v>
      </c>
      <c r="L36" s="12">
        <v>20.2</v>
      </c>
      <c r="M36" s="12">
        <f t="shared" si="204"/>
        <v>0.64000000000000057</v>
      </c>
      <c r="N36" s="203">
        <f t="shared" si="205"/>
        <v>-0.78999999999999915</v>
      </c>
      <c r="O36" s="12">
        <v>20.45</v>
      </c>
      <c r="P36" s="12">
        <f t="shared" si="206"/>
        <v>0.25</v>
      </c>
      <c r="Q36" s="203">
        <f t="shared" si="207"/>
        <v>-0.53999999999999915</v>
      </c>
      <c r="R36" s="12">
        <v>20.71</v>
      </c>
      <c r="S36" s="62">
        <f t="shared" si="208"/>
        <v>0.26000000000000156</v>
      </c>
      <c r="T36" s="214">
        <f t="shared" si="209"/>
        <v>-0.27999999999999758</v>
      </c>
      <c r="U36" s="12">
        <v>20.58</v>
      </c>
      <c r="V36" s="12">
        <f t="shared" si="210"/>
        <v>-0.13000000000000256</v>
      </c>
      <c r="W36" s="203">
        <f t="shared" si="211"/>
        <v>-0.41000000000000014</v>
      </c>
      <c r="X36" s="12">
        <v>20.76</v>
      </c>
      <c r="Y36" s="12">
        <f t="shared" si="212"/>
        <v>0.18000000000000327</v>
      </c>
      <c r="Z36" s="203">
        <f t="shared" si="213"/>
        <v>-0.22999999999999687</v>
      </c>
      <c r="AA36" s="12">
        <v>21.02</v>
      </c>
      <c r="AB36" s="12">
        <f t="shared" si="214"/>
        <v>0.25999999999999801</v>
      </c>
      <c r="AC36" s="203">
        <f t="shared" si="243"/>
        <v>3.0000000000001137E-2</v>
      </c>
      <c r="AD36" s="12">
        <v>21.14</v>
      </c>
      <c r="AE36" s="12">
        <f t="shared" si="215"/>
        <v>0.12000000000000099</v>
      </c>
      <c r="AF36" s="203">
        <f t="shared" si="216"/>
        <v>0.15000000000000213</v>
      </c>
      <c r="AG36" s="12">
        <v>21.11</v>
      </c>
      <c r="AH36" s="62">
        <f t="shared" si="217"/>
        <v>-3.0000000000001137E-2</v>
      </c>
      <c r="AI36" s="214">
        <f t="shared" si="218"/>
        <v>0.12000000000000099</v>
      </c>
      <c r="AJ36" s="12">
        <v>21.51</v>
      </c>
      <c r="AK36" s="12">
        <f t="shared" si="219"/>
        <v>0.40000000000000213</v>
      </c>
      <c r="AL36" s="203">
        <f t="shared" si="220"/>
        <v>0.52000000000000313</v>
      </c>
      <c r="AM36" s="12">
        <v>21.23</v>
      </c>
      <c r="AN36" s="12">
        <f t="shared" si="221"/>
        <v>-0.28000000000000114</v>
      </c>
      <c r="AO36" s="203">
        <f t="shared" si="222"/>
        <v>0.24000000000000199</v>
      </c>
      <c r="AP36" s="12">
        <v>21.54</v>
      </c>
      <c r="AQ36" s="12">
        <f t="shared" si="223"/>
        <v>0.30999999999999872</v>
      </c>
      <c r="AR36" s="203">
        <f t="shared" si="224"/>
        <v>0.55000000000000071</v>
      </c>
      <c r="AS36" s="12">
        <v>22</v>
      </c>
      <c r="AT36" s="12">
        <f t="shared" si="225"/>
        <v>0.46000000000000085</v>
      </c>
      <c r="AU36" s="203">
        <f t="shared" si="226"/>
        <v>1.0100000000000016</v>
      </c>
      <c r="AV36" s="12">
        <v>21.59</v>
      </c>
      <c r="AW36" s="12">
        <f t="shared" si="227"/>
        <v>-0.41000000000000014</v>
      </c>
      <c r="AX36" s="203">
        <f t="shared" si="228"/>
        <v>0.60000000000000142</v>
      </c>
      <c r="AY36" s="12">
        <v>21.91</v>
      </c>
      <c r="AZ36" s="12">
        <f t="shared" si="229"/>
        <v>0.32000000000000028</v>
      </c>
      <c r="BA36" s="203">
        <f t="shared" si="230"/>
        <v>0.92000000000000171</v>
      </c>
      <c r="BB36" s="350">
        <v>22.3</v>
      </c>
      <c r="BC36" s="62">
        <f t="shared" si="231"/>
        <v>0.39000000000000057</v>
      </c>
      <c r="BD36" s="64">
        <f t="shared" si="232"/>
        <v>1.3100000000000023</v>
      </c>
      <c r="BE36" s="12">
        <v>21.35</v>
      </c>
      <c r="BF36" s="62">
        <f t="shared" si="233"/>
        <v>-0.94999999999999929</v>
      </c>
      <c r="BG36" s="64">
        <f t="shared" si="234"/>
        <v>0.36000000000000298</v>
      </c>
      <c r="BH36" s="12">
        <v>21.4</v>
      </c>
      <c r="BI36" s="62">
        <f t="shared" si="235"/>
        <v>4.9999999999997158E-2</v>
      </c>
      <c r="BJ36" s="64">
        <f t="shared" si="236"/>
        <v>0.41000000000000014</v>
      </c>
      <c r="BK36" s="12">
        <v>21.96</v>
      </c>
      <c r="BL36" s="12">
        <f t="shared" si="237"/>
        <v>0.56000000000000227</v>
      </c>
      <c r="BM36" s="203">
        <f t="shared" si="238"/>
        <v>0.97000000000000242</v>
      </c>
      <c r="BN36" s="12">
        <v>22.36</v>
      </c>
      <c r="BO36" s="12">
        <f t="shared" si="239"/>
        <v>0.39999999999999858</v>
      </c>
      <c r="BP36" s="203">
        <f t="shared" si="240"/>
        <v>1.370000000000001</v>
      </c>
      <c r="BQ36" s="12">
        <v>22.66</v>
      </c>
      <c r="BR36" s="62">
        <f t="shared" si="241"/>
        <v>0.30000000000000071</v>
      </c>
      <c r="BS36" s="214">
        <f>BP36+BR36</f>
        <v>1.6700000000000017</v>
      </c>
      <c r="BX36" s="144" t="s">
        <v>45</v>
      </c>
      <c r="BY36" s="18">
        <f>STDEV(BY4:BY34)/SQRT(COUNT(BY4:BY34))</f>
        <v>0.3959267609040843</v>
      </c>
      <c r="BZ36" s="18">
        <f>STDEV(BZ4:BZ34)/SQRT(COUNT(BZ4:BZ34))</f>
        <v>0.42641090335895648</v>
      </c>
    </row>
    <row r="37" spans="1:92" s="60" customFormat="1" ht="12" customHeight="1">
      <c r="A37" s="9" t="s">
        <v>314</v>
      </c>
      <c r="B37" s="62" t="s">
        <v>315</v>
      </c>
      <c r="C37" s="11">
        <v>43253</v>
      </c>
      <c r="D37" s="12" t="s">
        <v>26</v>
      </c>
      <c r="E37" s="10" t="s">
        <v>303</v>
      </c>
      <c r="F37" s="11">
        <v>43287</v>
      </c>
      <c r="G37" s="216" t="s">
        <v>263</v>
      </c>
      <c r="H37" s="63">
        <v>12.99</v>
      </c>
      <c r="I37" s="214">
        <f>H42-H37</f>
        <v>6.08</v>
      </c>
      <c r="J37" s="63">
        <v>11.4</v>
      </c>
      <c r="K37" s="214">
        <f t="shared" si="203"/>
        <v>-1.5899999999999999</v>
      </c>
      <c r="L37" s="62">
        <v>12.06</v>
      </c>
      <c r="M37" s="62">
        <f t="shared" si="204"/>
        <v>0.66000000000000014</v>
      </c>
      <c r="N37" s="64">
        <f t="shared" si="205"/>
        <v>-0.92999999999999972</v>
      </c>
      <c r="O37" s="63">
        <v>12.68</v>
      </c>
      <c r="P37" s="62">
        <f t="shared" si="206"/>
        <v>0.61999999999999922</v>
      </c>
      <c r="Q37" s="214">
        <f t="shared" si="207"/>
        <v>-0.3100000000000005</v>
      </c>
      <c r="R37" s="62">
        <v>13.49</v>
      </c>
      <c r="S37" s="62">
        <f t="shared" si="208"/>
        <v>0.8100000000000005</v>
      </c>
      <c r="T37" s="62">
        <f t="shared" si="209"/>
        <v>0.5</v>
      </c>
      <c r="U37" s="63">
        <v>14.58</v>
      </c>
      <c r="V37" s="62">
        <f t="shared" si="210"/>
        <v>1.0899999999999999</v>
      </c>
      <c r="W37" s="64">
        <f t="shared" si="211"/>
        <v>1.5899999999999999</v>
      </c>
      <c r="X37" s="63">
        <v>15.54</v>
      </c>
      <c r="Y37" s="62">
        <f t="shared" si="212"/>
        <v>0.95999999999999908</v>
      </c>
      <c r="Z37" s="214">
        <f t="shared" si="213"/>
        <v>2.5499999999999989</v>
      </c>
      <c r="AA37" s="62">
        <v>15.81</v>
      </c>
      <c r="AB37" s="62">
        <f t="shared" si="214"/>
        <v>0.27000000000000135</v>
      </c>
      <c r="AC37" s="214">
        <f t="shared" si="243"/>
        <v>2.8200000000000003</v>
      </c>
      <c r="AD37" s="62">
        <v>16.8</v>
      </c>
      <c r="AE37" s="62">
        <f t="shared" si="215"/>
        <v>0.99000000000000021</v>
      </c>
      <c r="AF37" s="214">
        <f t="shared" si="216"/>
        <v>3.8100000000000005</v>
      </c>
      <c r="AG37" s="62">
        <v>17.670000000000002</v>
      </c>
      <c r="AH37" s="62">
        <f t="shared" si="217"/>
        <v>0.87000000000000099</v>
      </c>
      <c r="AI37" s="64">
        <f t="shared" si="218"/>
        <v>4.6800000000000015</v>
      </c>
      <c r="AJ37" s="63">
        <v>18.14</v>
      </c>
      <c r="AK37" s="12">
        <f t="shared" si="219"/>
        <v>0.46999999999999886</v>
      </c>
      <c r="AL37" s="203">
        <f t="shared" si="220"/>
        <v>5.15</v>
      </c>
      <c r="AM37" s="63">
        <v>18.88</v>
      </c>
      <c r="AN37" s="12">
        <f t="shared" si="221"/>
        <v>0.73999999999999844</v>
      </c>
      <c r="AO37" s="203">
        <f t="shared" si="222"/>
        <v>5.8899999999999988</v>
      </c>
      <c r="AP37" s="63">
        <v>19.059999999999999</v>
      </c>
      <c r="AQ37" s="12">
        <f t="shared" si="223"/>
        <v>0.17999999999999972</v>
      </c>
      <c r="AR37" s="203">
        <f t="shared" si="224"/>
        <v>6.0699999999999985</v>
      </c>
      <c r="AS37" s="63">
        <v>18.600000000000001</v>
      </c>
      <c r="AT37" s="62">
        <f t="shared" si="225"/>
        <v>-0.4599999999999973</v>
      </c>
      <c r="AU37" s="64">
        <f t="shared" si="226"/>
        <v>5.6100000000000012</v>
      </c>
      <c r="AV37" s="63">
        <v>19.66</v>
      </c>
      <c r="AW37" s="62">
        <f t="shared" si="227"/>
        <v>1.0599999999999987</v>
      </c>
      <c r="AX37" s="64">
        <f t="shared" si="228"/>
        <v>6.67</v>
      </c>
      <c r="AY37" s="63">
        <v>20.059999999999999</v>
      </c>
      <c r="AZ37" s="62">
        <f t="shared" si="229"/>
        <v>0.39999999999999858</v>
      </c>
      <c r="BA37" s="64">
        <f t="shared" si="230"/>
        <v>7.0699999999999985</v>
      </c>
      <c r="BB37" s="63">
        <v>20.57</v>
      </c>
      <c r="BC37" s="62">
        <f t="shared" si="231"/>
        <v>0.51000000000000156</v>
      </c>
      <c r="BD37" s="64">
        <f t="shared" si="232"/>
        <v>7.58</v>
      </c>
      <c r="BE37" s="62">
        <v>21.09</v>
      </c>
      <c r="BF37" s="62">
        <f t="shared" si="233"/>
        <v>0.51999999999999957</v>
      </c>
      <c r="BG37" s="64">
        <f t="shared" si="234"/>
        <v>8.1</v>
      </c>
      <c r="BH37" s="63">
        <v>21.33</v>
      </c>
      <c r="BI37" s="62">
        <f t="shared" si="235"/>
        <v>0.23999999999999844</v>
      </c>
      <c r="BJ37" s="64">
        <f t="shared" si="236"/>
        <v>8.3399999999999981</v>
      </c>
      <c r="BK37" s="63">
        <v>21.52</v>
      </c>
      <c r="BL37" s="62">
        <f t="shared" si="237"/>
        <v>0.19000000000000128</v>
      </c>
      <c r="BM37" s="64">
        <f t="shared" si="238"/>
        <v>8.5299999999999994</v>
      </c>
      <c r="BN37" s="63">
        <v>21.64</v>
      </c>
      <c r="BO37" s="62">
        <f t="shared" si="239"/>
        <v>0.12000000000000099</v>
      </c>
      <c r="BP37" s="64">
        <f t="shared" si="240"/>
        <v>8.65</v>
      </c>
      <c r="BQ37" s="63">
        <v>22.06</v>
      </c>
      <c r="BR37" s="62">
        <f t="shared" si="241"/>
        <v>0.41999999999999815</v>
      </c>
      <c r="BS37" s="64">
        <f>BP37+BR37</f>
        <v>9.0699999999999985</v>
      </c>
      <c r="BT37"/>
      <c r="BU37"/>
      <c r="BV37"/>
      <c r="BW37"/>
      <c r="BX37" s="144" t="s">
        <v>316</v>
      </c>
      <c r="BY37" s="13">
        <f>COUNT(BY4:BY34)</f>
        <v>25</v>
      </c>
      <c r="BZ37" s="13">
        <f>COUNT(BZ4:BZ34)</f>
        <v>21</v>
      </c>
      <c r="CA37" s="114"/>
      <c r="CB37" s="114"/>
      <c r="CC37"/>
      <c r="CD37"/>
      <c r="CE37"/>
      <c r="CF37"/>
      <c r="CG37"/>
      <c r="CH37"/>
      <c r="CI37"/>
      <c r="CJ37"/>
      <c r="CK37"/>
      <c r="CL37"/>
      <c r="CM37"/>
      <c r="CN37"/>
    </row>
    <row r="38" spans="1:92" s="60" customFormat="1" ht="12" customHeight="1">
      <c r="A38" s="313"/>
      <c r="B38" s="10"/>
      <c r="C38" s="89"/>
      <c r="D38" s="10"/>
      <c r="E38" s="10"/>
      <c r="F38" s="122"/>
      <c r="G38" s="10"/>
      <c r="H38" s="63"/>
      <c r="I38" s="214"/>
      <c r="J38" s="63"/>
      <c r="K38" s="64"/>
      <c r="L38" s="63"/>
      <c r="M38" s="62"/>
      <c r="N38" s="64"/>
      <c r="O38" s="63"/>
      <c r="P38" s="62"/>
      <c r="Q38" s="214"/>
      <c r="R38" s="62"/>
      <c r="S38" s="62"/>
      <c r="T38" s="62"/>
      <c r="U38" s="63"/>
      <c r="V38" s="62"/>
      <c r="W38" s="64"/>
      <c r="X38" s="63"/>
      <c r="Y38" s="62"/>
      <c r="Z38" s="214"/>
      <c r="AA38" s="62"/>
      <c r="AB38" s="62"/>
      <c r="AC38" s="64"/>
      <c r="AD38" s="63"/>
      <c r="AE38" s="62"/>
      <c r="AF38" s="64"/>
      <c r="AG38" s="63"/>
      <c r="AH38" s="62"/>
      <c r="AI38" s="64"/>
      <c r="AJ38" s="63"/>
      <c r="AK38" s="62"/>
      <c r="AL38" s="64"/>
      <c r="AM38" s="63"/>
      <c r="AN38" s="62"/>
      <c r="AO38" s="64"/>
      <c r="AP38" s="63"/>
      <c r="AQ38" s="62"/>
      <c r="AR38" s="64"/>
      <c r="AS38" s="63"/>
      <c r="AT38" s="62"/>
      <c r="AU38" s="64"/>
      <c r="AV38" s="63"/>
      <c r="AW38" s="62"/>
      <c r="AX38" s="64"/>
      <c r="AY38" s="63"/>
      <c r="AZ38" s="62"/>
      <c r="BA38" s="64"/>
      <c r="BB38" s="63"/>
      <c r="BC38" s="62"/>
      <c r="BD38" s="64"/>
      <c r="BE38" s="62"/>
      <c r="BF38" s="62"/>
      <c r="BG38" s="64"/>
      <c r="BH38" s="63"/>
      <c r="BI38" s="62"/>
      <c r="BJ38" s="64"/>
      <c r="BK38" s="63"/>
      <c r="BL38" s="62"/>
      <c r="BM38" s="64"/>
      <c r="BN38" s="63"/>
      <c r="BO38" s="62"/>
      <c r="BP38" s="64"/>
      <c r="BQ38" s="63"/>
      <c r="BR38" s="62"/>
      <c r="BS38" s="64"/>
      <c r="BT38"/>
      <c r="BU38"/>
      <c r="BV38"/>
      <c r="BW38"/>
      <c r="BX38" s="12"/>
      <c r="BY38" s="12"/>
      <c r="BZ38" s="12"/>
      <c r="CA38" s="114"/>
      <c r="CB38" s="114"/>
      <c r="CC38"/>
      <c r="CD38"/>
      <c r="CE38"/>
      <c r="CF38"/>
      <c r="CG38"/>
      <c r="CH38"/>
      <c r="CI38"/>
      <c r="CJ38"/>
      <c r="CK38"/>
      <c r="CL38"/>
      <c r="CM38"/>
      <c r="CN38"/>
    </row>
    <row r="39" spans="1:92" s="60" customFormat="1" ht="12" customHeight="1">
      <c r="A39" s="313" t="s">
        <v>317</v>
      </c>
      <c r="B39" s="10" t="s">
        <v>318</v>
      </c>
      <c r="C39" s="142">
        <v>43704</v>
      </c>
      <c r="D39" s="10" t="s">
        <v>26</v>
      </c>
      <c r="E39" s="10" t="s">
        <v>303</v>
      </c>
      <c r="F39" s="89">
        <v>43742</v>
      </c>
      <c r="G39" s="10" t="s">
        <v>276</v>
      </c>
      <c r="H39" s="63">
        <v>21.59</v>
      </c>
      <c r="I39" s="214">
        <f>H42-H39</f>
        <v>-2.5199999999999996</v>
      </c>
      <c r="J39" s="63">
        <v>21.39</v>
      </c>
      <c r="K39" s="64">
        <f t="shared" si="203"/>
        <v>-0.19999999999999929</v>
      </c>
      <c r="L39" s="63">
        <v>20.99</v>
      </c>
      <c r="M39" s="62">
        <f t="shared" ref="M39:M40" si="244">L39-J39</f>
        <v>-0.40000000000000213</v>
      </c>
      <c r="N39" s="64">
        <f t="shared" ref="N39:N40" si="245">K39+M39</f>
        <v>-0.60000000000000142</v>
      </c>
      <c r="O39" s="63">
        <v>21.55</v>
      </c>
      <c r="P39" s="62">
        <f t="shared" si="206"/>
        <v>0.56000000000000227</v>
      </c>
      <c r="Q39" s="62">
        <f t="shared" si="207"/>
        <v>-3.9999999999999147E-2</v>
      </c>
      <c r="R39" s="63">
        <v>21.9</v>
      </c>
      <c r="S39" s="62">
        <f t="shared" ref="S39" si="246">R39-O39</f>
        <v>0.34999999999999787</v>
      </c>
      <c r="T39" s="62">
        <f t="shared" ref="T39" si="247">Q39+S39</f>
        <v>0.30999999999999872</v>
      </c>
      <c r="U39" s="63">
        <v>22.11</v>
      </c>
      <c r="V39" s="62">
        <f t="shared" ref="V39:V40" si="248">U39-R39</f>
        <v>0.21000000000000085</v>
      </c>
      <c r="W39" s="64">
        <f t="shared" ref="W39:W40" si="249">T39+V39</f>
        <v>0.51999999999999957</v>
      </c>
      <c r="X39" s="63">
        <v>22.47</v>
      </c>
      <c r="Y39" s="62">
        <f t="shared" ref="Y39:Y40" si="250">X39-U39</f>
        <v>0.35999999999999943</v>
      </c>
      <c r="Z39" s="214">
        <f t="shared" ref="Z39:Z40" si="251">W39+Y39</f>
        <v>0.87999999999999901</v>
      </c>
      <c r="AA39" s="62">
        <v>22.69</v>
      </c>
      <c r="AB39" s="62">
        <f t="shared" ref="AB39:AB40" si="252">AA39-X39</f>
        <v>0.22000000000000242</v>
      </c>
      <c r="AC39" s="64">
        <f t="shared" ref="AC39:AC40" si="253">Z39+AB39</f>
        <v>1.1000000000000014</v>
      </c>
      <c r="AD39" s="63">
        <v>22.81</v>
      </c>
      <c r="AE39" s="62">
        <f t="shared" ref="AE39:AE40" si="254">AD39-AA39</f>
        <v>0.11999999999999744</v>
      </c>
      <c r="AF39" s="64">
        <f t="shared" ref="AF39:AF40" si="255">AC39+AE39</f>
        <v>1.2199999999999989</v>
      </c>
      <c r="AG39" s="63">
        <v>22.85</v>
      </c>
      <c r="AH39" s="62">
        <f t="shared" ref="AH39:AH40" si="256">AG39-AD39</f>
        <v>4.00000000000027E-2</v>
      </c>
      <c r="AI39" s="64">
        <f t="shared" ref="AI39:AI40" si="257">AF39+AH39</f>
        <v>1.2600000000000016</v>
      </c>
      <c r="AJ39" s="63">
        <v>22.95</v>
      </c>
      <c r="AK39" s="62">
        <f t="shared" si="219"/>
        <v>9.9999999999997868E-2</v>
      </c>
      <c r="AL39" s="64">
        <f t="shared" si="220"/>
        <v>1.3599999999999994</v>
      </c>
      <c r="AM39" s="63">
        <v>22.52</v>
      </c>
      <c r="AN39" s="62">
        <f t="shared" ref="AN39:AN40" si="258">AM39-AJ39</f>
        <v>-0.42999999999999972</v>
      </c>
      <c r="AO39" s="64">
        <f t="shared" ref="AO39:AO40" si="259">AL39+AN39</f>
        <v>0.92999999999999972</v>
      </c>
      <c r="AP39" s="63">
        <v>22.9</v>
      </c>
      <c r="AQ39" s="62">
        <f t="shared" ref="AQ39:AQ40" si="260">AP39-AM39</f>
        <v>0.37999999999999901</v>
      </c>
      <c r="AR39" s="64">
        <f t="shared" ref="AR39:AR40" si="261">AO39+AQ39</f>
        <v>1.3099999999999987</v>
      </c>
      <c r="AS39" s="63">
        <v>22.92</v>
      </c>
      <c r="AT39" s="62">
        <f t="shared" ref="AT39:AT40" si="262">AS39-AP39</f>
        <v>2.0000000000003126E-2</v>
      </c>
      <c r="AU39" s="64">
        <f t="shared" ref="AU39:AU40" si="263">AR39+AT39</f>
        <v>1.3300000000000018</v>
      </c>
      <c r="AV39" s="63">
        <v>23.06</v>
      </c>
      <c r="AW39" s="62">
        <f t="shared" ref="AW39:AW40" si="264">AV39-AS39</f>
        <v>0.13999999999999702</v>
      </c>
      <c r="AX39" s="64">
        <f t="shared" ref="AX39:AX40" si="265">AU39+AW39</f>
        <v>1.4699999999999989</v>
      </c>
      <c r="AY39" s="63">
        <v>22.97</v>
      </c>
      <c r="AZ39" s="62">
        <f t="shared" ref="AZ39:AZ40" si="266">AY39-AV39</f>
        <v>-8.9999999999999858E-2</v>
      </c>
      <c r="BA39" s="64">
        <f t="shared" ref="BA39:BA40" si="267">AX39+AZ39</f>
        <v>1.379999999999999</v>
      </c>
      <c r="BB39" s="63">
        <v>23.63</v>
      </c>
      <c r="BC39" s="62">
        <f t="shared" ref="BC39:BC40" si="268">BB39-AY39</f>
        <v>0.66000000000000014</v>
      </c>
      <c r="BD39" s="64">
        <f t="shared" ref="BD39:BD40" si="269">BA39+BC39</f>
        <v>2.0399999999999991</v>
      </c>
      <c r="BE39" s="62">
        <v>23.35</v>
      </c>
      <c r="BF39" s="62">
        <f t="shared" si="233"/>
        <v>-0.27999999999999758</v>
      </c>
      <c r="BG39" s="64">
        <f t="shared" si="234"/>
        <v>1.7600000000000016</v>
      </c>
      <c r="BH39" s="63">
        <v>23.36</v>
      </c>
      <c r="BI39" s="62">
        <f t="shared" ref="BI39:BI40" si="270">BH39-BE39</f>
        <v>9.9999999999980105E-3</v>
      </c>
      <c r="BJ39" s="64">
        <f t="shared" ref="BJ39:BJ40" si="271">BG39+BI39</f>
        <v>1.7699999999999996</v>
      </c>
      <c r="BK39" s="63">
        <v>23.02</v>
      </c>
      <c r="BL39" s="62">
        <f t="shared" ref="BL39:BL40" si="272">BK39-BH39</f>
        <v>-0.33999999999999986</v>
      </c>
      <c r="BM39" s="64">
        <f t="shared" ref="BM39:BM40" si="273">BJ39+BL39</f>
        <v>1.4299999999999997</v>
      </c>
      <c r="BN39" s="63">
        <v>22.66</v>
      </c>
      <c r="BO39" s="62">
        <f t="shared" ref="BO39:BO40" si="274">BN39-BK39</f>
        <v>-0.35999999999999943</v>
      </c>
      <c r="BP39" s="64">
        <f t="shared" ref="BP39:BP40" si="275">BM39+BO39</f>
        <v>1.0700000000000003</v>
      </c>
      <c r="BQ39" s="63">
        <v>23.81</v>
      </c>
      <c r="BR39" s="62">
        <f t="shared" ref="BR39:BR40" si="276">BQ39-BN39</f>
        <v>1.1499999999999986</v>
      </c>
      <c r="BS39" s="64">
        <f t="shared" ref="BS39:BS40" si="277">BP39+BR39</f>
        <v>2.2199999999999989</v>
      </c>
      <c r="BT39"/>
      <c r="BU39"/>
      <c r="BV39"/>
      <c r="BW39"/>
      <c r="BX39" s="62" t="s">
        <v>319</v>
      </c>
      <c r="BY39" s="63">
        <v>18.18</v>
      </c>
      <c r="BZ39" s="63">
        <v>18.18</v>
      </c>
      <c r="CA39" s="114"/>
      <c r="CB39" s="114"/>
      <c r="CC39"/>
      <c r="CD39"/>
      <c r="CE39"/>
      <c r="CF39"/>
      <c r="CG39"/>
      <c r="CH39"/>
      <c r="CI39"/>
      <c r="CJ39"/>
      <c r="CK39"/>
      <c r="CL39"/>
      <c r="CM39"/>
      <c r="CN39"/>
    </row>
    <row r="40" spans="1:92" s="60" customFormat="1" ht="12" customHeight="1">
      <c r="A40" s="313" t="s">
        <v>320</v>
      </c>
      <c r="B40" s="10" t="s">
        <v>321</v>
      </c>
      <c r="C40" s="142">
        <v>43703</v>
      </c>
      <c r="D40" s="10" t="s">
        <v>26</v>
      </c>
      <c r="E40" s="10" t="s">
        <v>303</v>
      </c>
      <c r="F40" s="89">
        <v>43742</v>
      </c>
      <c r="G40" s="10" t="s">
        <v>276</v>
      </c>
      <c r="H40" s="63">
        <v>19.77</v>
      </c>
      <c r="I40" s="214">
        <f>H42-H40</f>
        <v>-0.69999999999999929</v>
      </c>
      <c r="J40" s="63">
        <v>18.62</v>
      </c>
      <c r="K40" s="64">
        <f t="shared" si="203"/>
        <v>-1.1499999999999986</v>
      </c>
      <c r="L40" s="63">
        <v>19.11</v>
      </c>
      <c r="M40" s="62">
        <f t="shared" si="244"/>
        <v>0.48999999999999844</v>
      </c>
      <c r="N40" s="64">
        <f t="shared" si="245"/>
        <v>-0.66000000000000014</v>
      </c>
      <c r="O40" s="63">
        <v>19.63</v>
      </c>
      <c r="P40" s="62">
        <f t="shared" si="206"/>
        <v>0.51999999999999957</v>
      </c>
      <c r="Q40" s="62">
        <f t="shared" si="207"/>
        <v>-0.14000000000000057</v>
      </c>
      <c r="R40" s="63">
        <v>20.12</v>
      </c>
      <c r="S40" s="62">
        <f t="shared" ref="S40" si="278">R40-O40</f>
        <v>0.49000000000000199</v>
      </c>
      <c r="T40" s="62">
        <f t="shared" ref="T40" si="279">Q40+S40</f>
        <v>0.35000000000000142</v>
      </c>
      <c r="U40" s="63">
        <v>20.52</v>
      </c>
      <c r="V40" s="62">
        <f t="shared" si="248"/>
        <v>0.39999999999999858</v>
      </c>
      <c r="W40" s="64">
        <f t="shared" si="249"/>
        <v>0.75</v>
      </c>
      <c r="X40" s="63">
        <v>21.56</v>
      </c>
      <c r="Y40" s="62">
        <f t="shared" si="250"/>
        <v>1.0399999999999991</v>
      </c>
      <c r="Z40" s="214">
        <f t="shared" si="251"/>
        <v>1.7899999999999991</v>
      </c>
      <c r="AA40" s="62">
        <v>21.85</v>
      </c>
      <c r="AB40" s="62">
        <f t="shared" si="252"/>
        <v>0.2900000000000027</v>
      </c>
      <c r="AC40" s="64">
        <f t="shared" si="253"/>
        <v>2.0800000000000018</v>
      </c>
      <c r="AD40" s="63">
        <v>21.98</v>
      </c>
      <c r="AE40" s="62">
        <f t="shared" si="254"/>
        <v>0.12999999999999901</v>
      </c>
      <c r="AF40" s="64">
        <f t="shared" si="255"/>
        <v>2.2100000000000009</v>
      </c>
      <c r="AG40" s="63">
        <v>21.95</v>
      </c>
      <c r="AH40" s="62">
        <f t="shared" si="256"/>
        <v>-3.0000000000001137E-2</v>
      </c>
      <c r="AI40" s="64">
        <f t="shared" si="257"/>
        <v>2.1799999999999997</v>
      </c>
      <c r="AJ40" s="63">
        <v>22.12</v>
      </c>
      <c r="AK40" s="62">
        <f t="shared" si="219"/>
        <v>0.17000000000000171</v>
      </c>
      <c r="AL40" s="64">
        <f t="shared" si="220"/>
        <v>2.3500000000000014</v>
      </c>
      <c r="AM40" s="63">
        <v>22.41</v>
      </c>
      <c r="AN40" s="62">
        <f t="shared" si="258"/>
        <v>0.28999999999999915</v>
      </c>
      <c r="AO40" s="64">
        <f t="shared" si="259"/>
        <v>2.6400000000000006</v>
      </c>
      <c r="AP40" s="63">
        <v>22.27</v>
      </c>
      <c r="AQ40" s="62">
        <f t="shared" si="260"/>
        <v>-0.14000000000000057</v>
      </c>
      <c r="AR40" s="64">
        <f t="shared" si="261"/>
        <v>2.5</v>
      </c>
      <c r="AS40" s="63">
        <v>22.59</v>
      </c>
      <c r="AT40" s="62">
        <f t="shared" si="262"/>
        <v>0.32000000000000028</v>
      </c>
      <c r="AU40" s="64">
        <f t="shared" si="263"/>
        <v>2.8200000000000003</v>
      </c>
      <c r="AV40" s="63">
        <v>22.7</v>
      </c>
      <c r="AW40" s="62">
        <f t="shared" si="264"/>
        <v>0.10999999999999943</v>
      </c>
      <c r="AX40" s="64">
        <f t="shared" si="265"/>
        <v>2.9299999999999997</v>
      </c>
      <c r="AY40" s="63">
        <v>23.03</v>
      </c>
      <c r="AZ40" s="62">
        <f t="shared" si="266"/>
        <v>0.33000000000000185</v>
      </c>
      <c r="BA40" s="64">
        <f t="shared" si="267"/>
        <v>3.2600000000000016</v>
      </c>
      <c r="BB40" s="63">
        <v>23.25</v>
      </c>
      <c r="BC40" s="62">
        <f t="shared" si="268"/>
        <v>0.21999999999999886</v>
      </c>
      <c r="BD40" s="64">
        <f t="shared" si="269"/>
        <v>3.4800000000000004</v>
      </c>
      <c r="BE40" s="62">
        <v>23.02</v>
      </c>
      <c r="BF40" s="62">
        <f t="shared" si="233"/>
        <v>-0.23000000000000043</v>
      </c>
      <c r="BG40" s="64">
        <f t="shared" si="234"/>
        <v>3.25</v>
      </c>
      <c r="BH40" s="63">
        <v>22.8</v>
      </c>
      <c r="BI40" s="62">
        <f t="shared" si="270"/>
        <v>-0.21999999999999886</v>
      </c>
      <c r="BJ40" s="64">
        <f t="shared" si="271"/>
        <v>3.0300000000000011</v>
      </c>
      <c r="BK40" s="63">
        <v>23.16</v>
      </c>
      <c r="BL40" s="62">
        <f t="shared" si="272"/>
        <v>0.35999999999999943</v>
      </c>
      <c r="BM40" s="64">
        <f t="shared" si="273"/>
        <v>3.3900000000000006</v>
      </c>
      <c r="BN40" s="63">
        <v>23.19</v>
      </c>
      <c r="BO40" s="62">
        <f t="shared" si="274"/>
        <v>3.0000000000001137E-2</v>
      </c>
      <c r="BP40" s="64">
        <f t="shared" si="275"/>
        <v>3.4200000000000017</v>
      </c>
      <c r="BQ40" s="63">
        <v>23.51</v>
      </c>
      <c r="BR40" s="62">
        <f t="shared" si="276"/>
        <v>0.32000000000000028</v>
      </c>
      <c r="BS40" s="64">
        <f t="shared" si="277"/>
        <v>3.740000000000002</v>
      </c>
      <c r="BT40"/>
      <c r="BU40"/>
      <c r="BV40"/>
      <c r="BW40"/>
      <c r="BX40" s="114"/>
      <c r="BY40" s="13">
        <v>16.059999999999999</v>
      </c>
      <c r="BZ40" s="13">
        <v>16.059999999999999</v>
      </c>
      <c r="CA40" s="114"/>
      <c r="CB40" s="114"/>
      <c r="CC40"/>
      <c r="CD40"/>
      <c r="CE40"/>
      <c r="CF40"/>
      <c r="CG40"/>
      <c r="CH40"/>
      <c r="CI40"/>
      <c r="CJ40"/>
      <c r="CK40"/>
      <c r="CL40"/>
      <c r="CM40"/>
      <c r="CN40"/>
    </row>
    <row r="41" spans="1:92" s="60" customFormat="1" ht="12" customHeight="1">
      <c r="A41" s="9"/>
      <c r="B41" s="62"/>
      <c r="C41" s="11"/>
      <c r="D41" s="12"/>
      <c r="E41" s="10"/>
      <c r="F41" s="11"/>
      <c r="G41" s="10"/>
      <c r="H41" s="63"/>
      <c r="I41" s="64"/>
      <c r="J41" s="63"/>
      <c r="K41" s="64"/>
      <c r="L41" s="63"/>
      <c r="M41" s="62"/>
      <c r="N41" s="64"/>
      <c r="O41" s="63"/>
      <c r="P41" s="62"/>
      <c r="Q41" s="62"/>
      <c r="R41" s="63"/>
      <c r="S41" s="62"/>
      <c r="T41" s="62"/>
      <c r="U41" s="63"/>
      <c r="V41" s="62"/>
      <c r="W41" s="64"/>
      <c r="X41" s="63"/>
      <c r="Y41" s="62"/>
      <c r="Z41" s="64"/>
      <c r="AA41" s="63"/>
      <c r="AB41" s="62"/>
      <c r="AC41" s="64"/>
      <c r="AD41" s="63"/>
      <c r="AE41" s="62"/>
      <c r="AF41" s="64"/>
      <c r="AG41" s="63"/>
      <c r="AH41" s="62"/>
      <c r="AI41" s="64"/>
      <c r="AJ41" s="63"/>
      <c r="AK41" s="62"/>
      <c r="AL41" s="64"/>
      <c r="AM41" s="63"/>
      <c r="AN41" s="62"/>
      <c r="AO41" s="64"/>
      <c r="AP41" s="63"/>
      <c r="AQ41" s="62"/>
      <c r="AR41" s="64"/>
      <c r="AS41" s="63"/>
      <c r="AT41" s="62"/>
      <c r="AU41" s="64"/>
      <c r="AV41" s="63"/>
      <c r="AW41" s="62"/>
      <c r="AX41" s="64"/>
      <c r="AY41" s="63"/>
      <c r="AZ41" s="62"/>
      <c r="BA41" s="64"/>
      <c r="BB41" s="63"/>
      <c r="BC41" s="62"/>
      <c r="BD41" s="64"/>
      <c r="BE41" s="62"/>
      <c r="BF41" s="62"/>
      <c r="BG41" s="64"/>
      <c r="BH41" s="63"/>
      <c r="BI41" s="62"/>
      <c r="BJ41" s="64"/>
      <c r="BK41" s="63"/>
      <c r="BL41" s="62"/>
      <c r="BM41" s="64"/>
      <c r="BN41" s="63"/>
      <c r="BO41" s="62"/>
      <c r="BP41" s="64"/>
      <c r="BQ41" s="63"/>
      <c r="BR41" s="62"/>
      <c r="BS41" s="64"/>
      <c r="BT41"/>
      <c r="BU41"/>
      <c r="BV41"/>
      <c r="BW41"/>
      <c r="BX41" s="114"/>
      <c r="BY41" s="63">
        <v>16.54</v>
      </c>
      <c r="BZ41" s="63">
        <v>16.54</v>
      </c>
      <c r="CA41" s="114"/>
      <c r="CB41" s="114"/>
      <c r="CC41"/>
      <c r="CD41"/>
      <c r="CE41"/>
      <c r="CF41"/>
      <c r="CG41"/>
      <c r="CH41"/>
      <c r="CI41"/>
      <c r="CJ41"/>
      <c r="CK41"/>
      <c r="CL41"/>
      <c r="CM41"/>
      <c r="CN41"/>
    </row>
    <row r="42" spans="1:92" ht="12" customHeight="1">
      <c r="A42" s="9"/>
      <c r="B42" s="11"/>
      <c r="C42" s="3"/>
      <c r="F42" s="31"/>
      <c r="G42" s="3" t="s">
        <v>281</v>
      </c>
      <c r="H42" s="18">
        <f>AVERAGE(H32:H41)</f>
        <v>19.07</v>
      </c>
      <c r="I42" s="3">
        <f t="shared" ref="I42:N42" si="280">AVERAGE(I32:I41)</f>
        <v>6.6613381477509392E-16</v>
      </c>
      <c r="J42" s="18">
        <f t="shared" si="280"/>
        <v>17.822500000000002</v>
      </c>
      <c r="K42" s="3">
        <f t="shared" si="280"/>
        <v>-1.2474999999999994</v>
      </c>
      <c r="L42" s="18">
        <f t="shared" si="280"/>
        <v>18.368749999999999</v>
      </c>
      <c r="M42" s="3">
        <f t="shared" si="280"/>
        <v>0.5462499999999999</v>
      </c>
      <c r="N42" s="19">
        <f t="shared" si="280"/>
        <v>-0.70124999999999948</v>
      </c>
      <c r="O42" s="18">
        <f t="shared" ref="O42:T42" si="281">AVERAGE(O32:O41)</f>
        <v>18.864999999999998</v>
      </c>
      <c r="P42" s="3">
        <f t="shared" si="281"/>
        <v>0.49624999999999964</v>
      </c>
      <c r="Q42" s="3">
        <f t="shared" si="281"/>
        <v>-0.20499999999999985</v>
      </c>
      <c r="R42" s="18">
        <f>AVERAGE(R32:R41)</f>
        <v>19.18375</v>
      </c>
      <c r="S42" s="3">
        <f t="shared" si="281"/>
        <v>0.31875000000000031</v>
      </c>
      <c r="T42" s="3">
        <f t="shared" si="281"/>
        <v>0.11375000000000046</v>
      </c>
      <c r="U42" s="18">
        <f t="shared" ref="U42:Y42" si="282">AVERAGE(U32:U41)</f>
        <v>19.548750000000002</v>
      </c>
      <c r="V42" s="3">
        <f t="shared" si="282"/>
        <v>0.36499999999999932</v>
      </c>
      <c r="W42" s="3">
        <f t="shared" si="282"/>
        <v>0.47874999999999979</v>
      </c>
      <c r="X42" s="18">
        <f>AVERAGE(X32:X41)</f>
        <v>20.126249999999999</v>
      </c>
      <c r="Y42" s="3">
        <f t="shared" si="282"/>
        <v>0.57750000000000035</v>
      </c>
      <c r="Z42" s="3">
        <f>AVERAGE(Z32:Z41)</f>
        <v>1.0562500000000001</v>
      </c>
      <c r="AA42" s="18">
        <f t="shared" ref="AA42:AF42" si="283">AVERAGE(AA32:AA41)</f>
        <v>20.477499999999999</v>
      </c>
      <c r="AB42" s="3">
        <f t="shared" si="283"/>
        <v>0.35125000000000051</v>
      </c>
      <c r="AC42" s="3">
        <f t="shared" si="283"/>
        <v>1.4075000000000006</v>
      </c>
      <c r="AD42" s="18">
        <f>AVERAGE(AD32:AD41)</f>
        <v>20.69125</v>
      </c>
      <c r="AE42" s="3">
        <f t="shared" si="283"/>
        <v>0.21374999999999988</v>
      </c>
      <c r="AF42" s="19">
        <f t="shared" si="283"/>
        <v>1.6212500000000005</v>
      </c>
      <c r="AG42" s="18">
        <f t="shared" ref="AG42:AK42" si="284">AVERAGE(AG32:AG41)</f>
        <v>20.824999999999999</v>
      </c>
      <c r="AH42" s="3">
        <f t="shared" si="284"/>
        <v>0.13375000000000004</v>
      </c>
      <c r="AI42" s="19">
        <f>AVERAGE(AI32:AI41)</f>
        <v>1.7550000000000006</v>
      </c>
      <c r="AJ42" s="18">
        <f t="shared" si="284"/>
        <v>21.078749999999999</v>
      </c>
      <c r="AK42" s="3">
        <f t="shared" si="284"/>
        <v>0.25375000000000014</v>
      </c>
      <c r="AL42" s="3">
        <f>AVERAGE(AL32:AL41)</f>
        <v>2.0087500000000009</v>
      </c>
      <c r="AM42" s="18">
        <f t="shared" ref="AM42:AR42" si="285">AVERAGE(AM32:AM41)</f>
        <v>21.138749999999998</v>
      </c>
      <c r="AN42" s="3">
        <f t="shared" si="285"/>
        <v>5.9999999999999609E-2</v>
      </c>
      <c r="AO42" s="3">
        <f t="shared" si="285"/>
        <v>2.0687500000000005</v>
      </c>
      <c r="AP42" s="18">
        <f t="shared" si="285"/>
        <v>21.347500000000004</v>
      </c>
      <c r="AQ42" s="3">
        <f t="shared" si="285"/>
        <v>0.20874999999999977</v>
      </c>
      <c r="AR42" s="3">
        <f t="shared" si="285"/>
        <v>2.2774999999999999</v>
      </c>
      <c r="AS42" s="18">
        <f t="shared" ref="AS42:BD42" si="286">AVERAGE(AS32:AS41)</f>
        <v>21.245000000000001</v>
      </c>
      <c r="AT42" s="3">
        <f t="shared" si="286"/>
        <v>-0.10249999999999915</v>
      </c>
      <c r="AU42" s="3">
        <f t="shared" si="286"/>
        <v>2.1750000000000007</v>
      </c>
      <c r="AV42" s="18">
        <f t="shared" si="286"/>
        <v>21.518749999999997</v>
      </c>
      <c r="AW42" s="3">
        <f t="shared" si="286"/>
        <v>0.27374999999999927</v>
      </c>
      <c r="AX42" s="3">
        <f t="shared" si="286"/>
        <v>2.4487500000000004</v>
      </c>
      <c r="AY42" s="18">
        <f t="shared" si="286"/>
        <v>21.715</v>
      </c>
      <c r="AZ42" s="3">
        <f t="shared" si="286"/>
        <v>0.19625000000000004</v>
      </c>
      <c r="BA42" s="3">
        <f t="shared" si="286"/>
        <v>2.6450000000000005</v>
      </c>
      <c r="BB42" s="18">
        <f t="shared" si="286"/>
        <v>22.10125</v>
      </c>
      <c r="BC42" s="3">
        <f t="shared" si="286"/>
        <v>0.38625000000000043</v>
      </c>
      <c r="BD42" s="3">
        <f t="shared" si="286"/>
        <v>3.0312500000000004</v>
      </c>
      <c r="BE42" s="209">
        <f t="shared" ref="BE42:BJ42" si="287">AVERAGE(BE32:BE41)</f>
        <v>22.053750000000001</v>
      </c>
      <c r="BF42" s="3">
        <f t="shared" si="287"/>
        <v>-4.750000000000032E-2</v>
      </c>
      <c r="BG42" s="207">
        <f t="shared" si="287"/>
        <v>2.9837500000000001</v>
      </c>
      <c r="BH42" s="3">
        <f t="shared" si="287"/>
        <v>22.136250000000004</v>
      </c>
      <c r="BI42" s="3">
        <f t="shared" si="287"/>
        <v>8.2499999999999574E-2</v>
      </c>
      <c r="BJ42" s="207">
        <f t="shared" si="287"/>
        <v>3.0662499999999997</v>
      </c>
      <c r="BK42" s="3">
        <f t="shared" ref="BK42:BP42" si="288">AVERAGE(BK32:BK41)</f>
        <v>22.168750000000003</v>
      </c>
      <c r="BL42" s="3">
        <f t="shared" si="288"/>
        <v>3.2500000000000195E-2</v>
      </c>
      <c r="BM42" s="207">
        <f t="shared" si="288"/>
        <v>3.0987499999999999</v>
      </c>
      <c r="BN42" s="3">
        <f>AVERAGE(BN32:BN41)</f>
        <v>22.3</v>
      </c>
      <c r="BO42" s="3">
        <f t="shared" si="288"/>
        <v>0.13125000000000053</v>
      </c>
      <c r="BP42" s="207">
        <f t="shared" si="288"/>
        <v>3.2300000000000004</v>
      </c>
      <c r="BQ42" s="3">
        <f>AVERAGE(BQ32:BQ41)</f>
        <v>22.616250000000001</v>
      </c>
      <c r="BR42" s="3">
        <f>AVERAGE(BR32:BR41)</f>
        <v>0.3162499999999997</v>
      </c>
      <c r="BS42" s="19">
        <f>AVERAGE(BS32:BS41)</f>
        <v>3.5462500000000006</v>
      </c>
      <c r="BT42"/>
      <c r="BU42"/>
      <c r="BV42"/>
      <c r="BW42"/>
      <c r="BX42" s="114"/>
      <c r="BY42" s="63">
        <v>16.91</v>
      </c>
      <c r="BZ42" s="63">
        <v>16.91</v>
      </c>
      <c r="CA42" s="114"/>
      <c r="CB42" s="114"/>
      <c r="CC42"/>
      <c r="CD42"/>
      <c r="CE42"/>
      <c r="CF42"/>
      <c r="CG42"/>
      <c r="CH42"/>
      <c r="CI42"/>
      <c r="CJ42"/>
      <c r="CK42"/>
      <c r="CL42"/>
      <c r="CM42"/>
      <c r="CN42"/>
    </row>
    <row r="43" spans="1:92" ht="12" customHeight="1">
      <c r="A43" s="9"/>
      <c r="B43" s="31"/>
      <c r="C43" s="3"/>
      <c r="F43" s="31"/>
      <c r="G43" s="3" t="s">
        <v>45</v>
      </c>
      <c r="H43" s="18">
        <f>STDEV(H32:H41)/SQRT(COUNT(H32:H41))</f>
        <v>1.0377534113926745</v>
      </c>
      <c r="I43" s="3">
        <f>STDEV(I32:I41)/SQRT(COUNT(I32:I41))</f>
        <v>1.0377534113926787</v>
      </c>
      <c r="J43" s="18">
        <f t="shared" ref="J43:N43" si="289">STDEV(J32:J41)/SQRT(COUNT(J32:J41))</f>
        <v>1.1117662106499042</v>
      </c>
      <c r="K43" s="3">
        <f t="shared" si="289"/>
        <v>0.23004463852540807</v>
      </c>
      <c r="L43" s="18">
        <f t="shared" si="289"/>
        <v>1.0407696971472651</v>
      </c>
      <c r="M43" s="3">
        <f t="shared" si="289"/>
        <v>0.18913277176931276</v>
      </c>
      <c r="N43" s="19">
        <f t="shared" si="289"/>
        <v>8.1293944160329673E-2</v>
      </c>
      <c r="O43" s="18">
        <f t="shared" ref="O43:T43" si="290">STDEV(O32:O41)/SQRT(COUNT(O32:O41))</f>
        <v>1.0375830431481512</v>
      </c>
      <c r="P43" s="3">
        <f t="shared" si="290"/>
        <v>0.10604812755132875</v>
      </c>
      <c r="Q43" s="3">
        <f t="shared" si="290"/>
        <v>0.14523380165394387</v>
      </c>
      <c r="R43" s="18">
        <f t="shared" si="290"/>
        <v>0.97235894588514216</v>
      </c>
      <c r="S43" s="3">
        <f t="shared" si="290"/>
        <v>0.10976334120018669</v>
      </c>
      <c r="T43" s="3">
        <f t="shared" si="290"/>
        <v>0.16395706646209854</v>
      </c>
      <c r="U43" s="18">
        <f t="shared" ref="U43:Y43" si="291">STDEV(U32:U41)/SQRT(COUNT(U32:U41))</f>
        <v>0.84685855940815136</v>
      </c>
      <c r="V43" s="3">
        <f t="shared" si="291"/>
        <v>0.16443626642041523</v>
      </c>
      <c r="W43" s="3">
        <f t="shared" si="291"/>
        <v>0.23376145884823923</v>
      </c>
      <c r="X43" s="18">
        <f>STDEV(X32:X41)/SQRT(COUNT(X32:X41))</f>
        <v>0.85945775575566896</v>
      </c>
      <c r="Y43" s="3">
        <f t="shared" si="291"/>
        <v>0.17880306405172611</v>
      </c>
      <c r="Z43" s="3">
        <f>STDEV(Z32:Z41)/SQRT(COUNT(Z32:Z41))</f>
        <v>0.31211225945162707</v>
      </c>
      <c r="AA43" s="18">
        <f>STDEV(AA32:AA41)/SQRT(COUNT(AA32:AA41))</f>
        <v>0.84653442677441193</v>
      </c>
      <c r="AB43" s="3">
        <f>STDEV(AB32:AB41)/SQRT(COUNT(AB32:AB41))</f>
        <v>7.2639951128837602E-2</v>
      </c>
      <c r="AC43" s="3">
        <f t="shared" ref="AC43:AF43" si="292">STDEV(AC32:AC41)/SQRT(COUNT(AC32:AC41))</f>
        <v>0.3261668613280192</v>
      </c>
      <c r="AD43" s="18">
        <f t="shared" si="292"/>
        <v>0.71995644089466559</v>
      </c>
      <c r="AE43" s="3">
        <f t="shared" si="292"/>
        <v>0.14862389612710322</v>
      </c>
      <c r="AF43" s="19">
        <f t="shared" si="292"/>
        <v>0.4351987948873805</v>
      </c>
      <c r="AG43" s="18">
        <f t="shared" ref="AG43:AL43" si="293">STDEV(AG32:AG41)/SQRT(COUNT(AG32:AG41))</f>
        <v>0.6749126927663629</v>
      </c>
      <c r="AH43" s="3">
        <f t="shared" si="293"/>
        <v>0.12822883423228748</v>
      </c>
      <c r="AI43" s="19">
        <f t="shared" si="293"/>
        <v>0.49647687329248857</v>
      </c>
      <c r="AJ43" s="18">
        <f t="shared" si="293"/>
        <v>0.64426712932491859</v>
      </c>
      <c r="AK43" s="3">
        <f>STDEV(AK32:AK41)/SQRT(COUNT(AK32:AK41))</f>
        <v>4.5235001460626374E-2</v>
      </c>
      <c r="AL43" s="3">
        <f t="shared" si="293"/>
        <v>0.51874311527272998</v>
      </c>
      <c r="AM43" s="18">
        <f t="shared" ref="AM43:AR43" si="294">STDEV(AM32:AM41)/SQRT(COUNT(AM32:AM41))</f>
        <v>0.53117940707448363</v>
      </c>
      <c r="AN43" s="3">
        <f t="shared" si="294"/>
        <v>0.15508062419270827</v>
      </c>
      <c r="AO43" s="3">
        <f t="shared" si="294"/>
        <v>0.63412323469946574</v>
      </c>
      <c r="AP43" s="18">
        <f t="shared" si="294"/>
        <v>0.50762665555363751</v>
      </c>
      <c r="AQ43" s="3">
        <f t="shared" si="294"/>
        <v>8.0032080621282392E-2</v>
      </c>
      <c r="AR43" s="3">
        <f t="shared" si="294"/>
        <v>0.6082901974269469</v>
      </c>
      <c r="AS43" s="18">
        <f t="shared" ref="AS43:BD43" si="295">STDEV(AS32:AS41)/SQRT(COUNT(AS32:AS41))</f>
        <v>0.60044328862694663</v>
      </c>
      <c r="AT43" s="3">
        <f t="shared" si="295"/>
        <v>0.17163863617662387</v>
      </c>
      <c r="AU43" s="3">
        <f t="shared" si="295"/>
        <v>0.57682010069988765</v>
      </c>
      <c r="AV43" s="18">
        <f t="shared" si="295"/>
        <v>0.48678037545547298</v>
      </c>
      <c r="AW43" s="3">
        <f t="shared" si="295"/>
        <v>0.15802280011803002</v>
      </c>
      <c r="AX43" s="3">
        <f t="shared" si="295"/>
        <v>0.6845943467797968</v>
      </c>
      <c r="AY43" s="18">
        <f t="shared" si="295"/>
        <v>0.47812879316889395</v>
      </c>
      <c r="AZ43" s="3">
        <f t="shared" si="295"/>
        <v>0.10090549857593072</v>
      </c>
      <c r="BA43" s="3">
        <f t="shared" si="295"/>
        <v>0.74145127958619084</v>
      </c>
      <c r="BB43" s="18">
        <f t="shared" si="295"/>
        <v>0.44687581168757445</v>
      </c>
      <c r="BC43" s="3">
        <f t="shared" si="295"/>
        <v>7.1337665366901448E-2</v>
      </c>
      <c r="BD43" s="3">
        <f t="shared" si="295"/>
        <v>0.74681331932991857</v>
      </c>
      <c r="BE43" s="209">
        <f t="shared" ref="BE43:BJ43" si="296">STDEV(BE32:BE41)/SQRT(COUNT(BE32:BE41))</f>
        <v>0.41713708563766633</v>
      </c>
      <c r="BF43" s="3">
        <f t="shared" si="296"/>
        <v>0.17844316822370693</v>
      </c>
      <c r="BG43" s="207">
        <f t="shared" si="296"/>
        <v>0.87469369638748362</v>
      </c>
      <c r="BH43" s="3">
        <f t="shared" si="296"/>
        <v>0.38708589624452683</v>
      </c>
      <c r="BI43" s="3">
        <f t="shared" si="296"/>
        <v>7.9860369216706029E-2</v>
      </c>
      <c r="BJ43" s="207">
        <f t="shared" si="296"/>
        <v>0.91216175237728503</v>
      </c>
      <c r="BK43" s="3">
        <f t="shared" ref="BK43:BP43" si="297">STDEV(BK32:BK41)/SQRT(COUNT(BK32:BK41))</f>
        <v>0.37848116343013494</v>
      </c>
      <c r="BL43" s="3">
        <f t="shared" si="297"/>
        <v>0.1133696545440121</v>
      </c>
      <c r="BM43" s="207">
        <f t="shared" si="297"/>
        <v>0.92143218783897174</v>
      </c>
      <c r="BN43" s="3">
        <f>STDEV(BN32:BN41)/SQRT(COUNT(BN32:BN41))</f>
        <v>0.31404617494884385</v>
      </c>
      <c r="BO43" s="3">
        <f t="shared" si="297"/>
        <v>9.3358707222656642E-2</v>
      </c>
      <c r="BP43" s="207">
        <f t="shared" si="297"/>
        <v>0.92765641730730686</v>
      </c>
      <c r="BQ43" s="3">
        <f>STDEV(BQ32:BQ41)/SQRT(COUNT(BQ32:BQ41))</f>
        <v>0.33584082911403146</v>
      </c>
      <c r="BR43" s="3">
        <f>STDEV(BR32:BR41)/SQRT(COUNT(BR32:BR41))</f>
        <v>0.15472253391151511</v>
      </c>
      <c r="BS43" s="19">
        <f>STDEV(BS32:BS41)/SQRT(COUNT(BS32:BS41))</f>
        <v>0.88920497697180434</v>
      </c>
      <c r="BT43"/>
      <c r="BU43"/>
      <c r="BV43"/>
      <c r="BW43"/>
      <c r="BX43" s="114"/>
      <c r="BY43" s="63">
        <v>16.920000000000002</v>
      </c>
      <c r="BZ43" s="63">
        <v>16.920000000000002</v>
      </c>
      <c r="CA43" s="114"/>
      <c r="CB43" s="114"/>
      <c r="CC43"/>
      <c r="CD43"/>
      <c r="CE43"/>
      <c r="CF43"/>
      <c r="CG43"/>
      <c r="CH43"/>
      <c r="CI43"/>
      <c r="CJ43"/>
      <c r="CK43"/>
      <c r="CL43"/>
      <c r="CM43"/>
      <c r="CN43"/>
    </row>
    <row r="44" spans="1:92" ht="12" customHeight="1">
      <c r="A44" s="68"/>
      <c r="B44" s="69"/>
      <c r="C44" s="69"/>
      <c r="D44" s="35"/>
      <c r="E44" s="69"/>
      <c r="F44" s="69"/>
      <c r="G44" s="69" t="s">
        <v>300</v>
      </c>
      <c r="H44" s="68">
        <f t="shared" ref="H44:AM44" si="298">(100/H15)*H42</f>
        <v>99.026353368817368</v>
      </c>
      <c r="I44" s="69">
        <f t="shared" si="298"/>
        <v>-21.428571428571431</v>
      </c>
      <c r="J44" s="68">
        <f t="shared" si="298"/>
        <v>91.756226269386715</v>
      </c>
      <c r="K44" s="69">
        <f t="shared" si="298"/>
        <v>-750.37593984962461</v>
      </c>
      <c r="L44" s="68">
        <f t="shared" si="298"/>
        <v>92.607764053440874</v>
      </c>
      <c r="M44" s="69">
        <f t="shared" si="298"/>
        <v>132.82674772036447</v>
      </c>
      <c r="N44" s="70">
        <f t="shared" si="298"/>
        <v>-121.42857142857123</v>
      </c>
      <c r="O44" s="68">
        <f t="shared" si="298"/>
        <v>94.828777882500759</v>
      </c>
      <c r="P44" s="69">
        <f t="shared" si="298"/>
        <v>844.68085106383114</v>
      </c>
      <c r="Q44" s="70">
        <f t="shared" si="298"/>
        <v>-32.220039292730803</v>
      </c>
      <c r="R44" s="68">
        <f t="shared" si="298"/>
        <v>95.518765170847061</v>
      </c>
      <c r="S44" s="69">
        <f t="shared" si="298"/>
        <v>167.76315789473665</v>
      </c>
      <c r="T44" s="70">
        <f t="shared" si="298"/>
        <v>13.767019667170995</v>
      </c>
      <c r="U44" s="68">
        <f t="shared" si="298"/>
        <v>96.925937403160844</v>
      </c>
      <c r="V44" s="69">
        <f t="shared" si="298"/>
        <v>429.41176470588624</v>
      </c>
      <c r="W44" s="70">
        <f t="shared" si="298"/>
        <v>52.537722908093258</v>
      </c>
      <c r="X44" s="68">
        <f t="shared" si="298"/>
        <v>98.621830209481814</v>
      </c>
      <c r="Y44" s="69">
        <f t="shared" si="298"/>
        <v>241.88481675392683</v>
      </c>
      <c r="Z44" s="70">
        <f t="shared" si="298"/>
        <v>91.84782608695653</v>
      </c>
      <c r="AA44" s="68">
        <f t="shared" si="298"/>
        <v>98.520567717103688</v>
      </c>
      <c r="AB44" s="69">
        <f t="shared" si="298"/>
        <v>93.046357615894181</v>
      </c>
      <c r="AC44" s="70">
        <f t="shared" si="298"/>
        <v>92.144026186579424</v>
      </c>
      <c r="AD44" s="68">
        <f t="shared" si="298"/>
        <v>98.249050332383661</v>
      </c>
      <c r="AE44" s="69">
        <f t="shared" si="298"/>
        <v>77.727272727272592</v>
      </c>
      <c r="AF44" s="70">
        <f t="shared" si="298"/>
        <v>89.944521497919581</v>
      </c>
      <c r="AG44" s="68">
        <f t="shared" si="298"/>
        <v>97.358578775128564</v>
      </c>
      <c r="AH44" s="69">
        <f t="shared" si="298"/>
        <v>40.530303030302974</v>
      </c>
      <c r="AI44" s="70">
        <f t="shared" si="298"/>
        <v>82.29777256740914</v>
      </c>
      <c r="AJ44" s="68">
        <f t="shared" si="298"/>
        <v>97.468354430379748</v>
      </c>
      <c r="AK44" s="69">
        <f t="shared" si="298"/>
        <v>107.40740740740785</v>
      </c>
      <c r="AL44" s="70">
        <f t="shared" si="298"/>
        <v>84.802110817941994</v>
      </c>
      <c r="AM44" s="68">
        <f t="shared" si="298"/>
        <v>97.666762922321681</v>
      </c>
      <c r="AN44" s="69">
        <f t="shared" ref="AN44:BG44" si="299">(100/AN15)*AN42</f>
        <v>342.85714285713925</v>
      </c>
      <c r="AO44" s="70">
        <f t="shared" si="299"/>
        <v>86.694604504976454</v>
      </c>
      <c r="AP44" s="68">
        <f t="shared" si="299"/>
        <v>97.161062752460623</v>
      </c>
      <c r="AQ44" s="69">
        <f t="shared" si="299"/>
        <v>63.740458015267166</v>
      </c>
      <c r="AR44" s="70">
        <f t="shared" si="299"/>
        <v>83.924458774758179</v>
      </c>
      <c r="AS44" s="68">
        <f t="shared" si="299"/>
        <v>96.507864402929982</v>
      </c>
      <c r="AT44" s="69">
        <f t="shared" si="299"/>
        <v>-241.17647058822834</v>
      </c>
      <c r="AU44" s="70">
        <f t="shared" si="299"/>
        <v>78.911564625850346</v>
      </c>
      <c r="AV44" s="68">
        <f t="shared" si="299"/>
        <v>97.646057855927381</v>
      </c>
      <c r="AW44" s="69">
        <f t="shared" si="299"/>
        <v>1152.6315789473576</v>
      </c>
      <c r="AX44" s="70">
        <f t="shared" si="299"/>
        <v>88.084532374100704</v>
      </c>
      <c r="AY44" s="68">
        <f t="shared" si="299"/>
        <v>97.469561802165728</v>
      </c>
      <c r="AZ44" s="69">
        <f t="shared" si="299"/>
        <v>81.347150259067533</v>
      </c>
      <c r="BA44" s="70">
        <f t="shared" si="299"/>
        <v>87.546545304096</v>
      </c>
      <c r="BB44" s="68">
        <f t="shared" si="299"/>
        <v>98.375340788961239</v>
      </c>
      <c r="BC44" s="69">
        <f t="shared" si="299"/>
        <v>206.00000000000026</v>
      </c>
      <c r="BD44" s="69">
        <f t="shared" si="299"/>
        <v>94.468250876509543</v>
      </c>
      <c r="BE44" s="210">
        <f t="shared" si="299"/>
        <v>98.437761535457241</v>
      </c>
      <c r="BF44" s="69">
        <f t="shared" si="299"/>
        <v>75.999999999999972</v>
      </c>
      <c r="BG44" s="208">
        <f t="shared" si="299"/>
        <v>94.835121176003184</v>
      </c>
      <c r="BH44" s="69">
        <f t="shared" ref="BH44:BS44" si="300">(100/BH15)*BH42</f>
        <v>97.839779005524889</v>
      </c>
      <c r="BI44" s="69">
        <f t="shared" si="300"/>
        <v>37.288135593220076</v>
      </c>
      <c r="BJ44" s="208">
        <f t="shared" si="300"/>
        <v>91.054194506310296</v>
      </c>
      <c r="BK44" s="69">
        <f t="shared" si="300"/>
        <v>97.252686992761568</v>
      </c>
      <c r="BL44" s="69">
        <f t="shared" si="300"/>
        <v>19.117647058823604</v>
      </c>
      <c r="BM44" s="208">
        <f t="shared" si="300"/>
        <v>87.597173144876308</v>
      </c>
      <c r="BN44" s="69">
        <f t="shared" si="300"/>
        <v>97.003969332825832</v>
      </c>
      <c r="BO44" s="69">
        <f t="shared" si="300"/>
        <v>67.741935483871529</v>
      </c>
      <c r="BP44" s="208">
        <f t="shared" si="300"/>
        <v>86.566164154103873</v>
      </c>
      <c r="BQ44" s="69">
        <f t="shared" si="300"/>
        <v>97.985377741673446</v>
      </c>
      <c r="BR44" s="69">
        <f t="shared" si="300"/>
        <v>341.89189189188903</v>
      </c>
      <c r="BS44" s="70">
        <f t="shared" si="300"/>
        <v>97.692837465564722</v>
      </c>
      <c r="BT44"/>
      <c r="BU44"/>
      <c r="BV44"/>
      <c r="BW44"/>
      <c r="BX44" s="114"/>
      <c r="BY44" s="63">
        <v>17.170000000000002</v>
      </c>
      <c r="BZ44" s="63">
        <v>17.170000000000002</v>
      </c>
      <c r="CA44" s="114"/>
      <c r="CB44" s="114"/>
      <c r="CC44"/>
      <c r="CD44"/>
      <c r="CE44"/>
      <c r="CF44"/>
      <c r="CG44"/>
      <c r="CH44"/>
      <c r="CI44"/>
      <c r="CJ44"/>
      <c r="CK44"/>
      <c r="CL44"/>
      <c r="CM44"/>
      <c r="CN44"/>
    </row>
    <row r="45" spans="1:92" ht="12" customHeight="1">
      <c r="A45" s="63"/>
      <c r="B45" s="62"/>
      <c r="C45" s="62"/>
      <c r="E45" s="62"/>
      <c r="F45" s="62"/>
      <c r="H45" s="63"/>
      <c r="I45" s="62"/>
      <c r="J45" s="63"/>
      <c r="K45" s="62"/>
      <c r="L45" s="63"/>
      <c r="M45" s="62"/>
      <c r="N45" s="64"/>
      <c r="O45" s="63"/>
      <c r="P45" s="62"/>
      <c r="Q45" s="64"/>
      <c r="R45" s="63"/>
      <c r="S45" s="62"/>
      <c r="T45" s="64"/>
      <c r="U45" s="63"/>
      <c r="V45" s="62"/>
      <c r="W45" s="64"/>
      <c r="X45" s="63"/>
      <c r="Y45" s="62"/>
      <c r="Z45" s="64"/>
      <c r="AA45" s="63"/>
      <c r="AB45" s="62"/>
      <c r="AC45" s="64"/>
      <c r="AD45" s="63"/>
      <c r="AE45" s="62"/>
      <c r="AF45" s="64"/>
      <c r="AG45" s="63"/>
      <c r="AH45" s="62"/>
      <c r="AI45" s="64"/>
      <c r="AJ45" s="63"/>
      <c r="AK45" s="62"/>
      <c r="AL45" s="64"/>
      <c r="AM45" s="63"/>
      <c r="AN45" s="62"/>
      <c r="AO45" s="64"/>
      <c r="AP45" s="63"/>
      <c r="AQ45" s="62"/>
      <c r="AR45" s="64"/>
      <c r="AS45" s="63"/>
      <c r="AT45" s="62"/>
      <c r="AU45" s="64"/>
      <c r="AV45" s="63"/>
      <c r="AW45" s="62"/>
      <c r="AX45" s="64"/>
      <c r="AY45" s="63"/>
      <c r="AZ45" s="62"/>
      <c r="BA45" s="64"/>
      <c r="BB45" s="63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4"/>
      <c r="BT45"/>
      <c r="BU45"/>
      <c r="BV45"/>
      <c r="BW45"/>
      <c r="BX45" s="412"/>
      <c r="BY45" s="63">
        <v>17.690000000000001</v>
      </c>
      <c r="BZ45" s="63">
        <v>17.690000000000001</v>
      </c>
      <c r="CA45" s="114"/>
      <c r="CB45" s="114"/>
      <c r="CC45"/>
      <c r="CD45"/>
      <c r="CE45"/>
      <c r="CF45"/>
      <c r="CG45"/>
      <c r="CH45"/>
      <c r="CI45"/>
      <c r="CJ45"/>
      <c r="CK45"/>
      <c r="CL45"/>
      <c r="CM45"/>
      <c r="CN45"/>
    </row>
    <row r="46" spans="1:92" s="353" customFormat="1" ht="12" customHeight="1">
      <c r="A46" s="352"/>
      <c r="B46" s="351"/>
      <c r="C46" s="351"/>
      <c r="D46" s="353" t="s">
        <v>322</v>
      </c>
      <c r="E46" s="351"/>
      <c r="F46" s="351"/>
      <c r="G46" s="351" t="s">
        <v>323</v>
      </c>
      <c r="H46" s="352" t="s">
        <v>324</v>
      </c>
      <c r="I46" s="352">
        <f>TTEST(I8:I12,I22:I26,2,1)</f>
        <v>0.44310281441431754</v>
      </c>
      <c r="J46" s="352" t="s">
        <v>324</v>
      </c>
      <c r="K46" s="352">
        <v>0.5917</v>
      </c>
      <c r="L46" s="352" t="s">
        <v>324</v>
      </c>
      <c r="M46" s="352"/>
      <c r="N46" s="352" t="s">
        <v>324</v>
      </c>
      <c r="O46" s="352"/>
      <c r="P46" s="352"/>
      <c r="Q46" s="352" t="s">
        <v>324</v>
      </c>
      <c r="R46" s="352"/>
      <c r="S46" s="352"/>
      <c r="T46" s="352" t="s">
        <v>324</v>
      </c>
      <c r="U46" s="352"/>
      <c r="V46" s="352"/>
      <c r="W46" s="352" t="s">
        <v>324</v>
      </c>
      <c r="X46" s="352"/>
      <c r="Y46" s="352"/>
      <c r="Z46" s="352" t="s">
        <v>324</v>
      </c>
      <c r="AA46" s="352"/>
      <c r="AB46" s="352"/>
      <c r="AC46" s="352" t="s">
        <v>324</v>
      </c>
      <c r="AD46" s="352"/>
      <c r="AE46" s="352"/>
      <c r="AF46" s="352" t="s">
        <v>324</v>
      </c>
      <c r="AG46" s="352"/>
      <c r="AH46" s="352"/>
      <c r="AI46" s="352" t="s">
        <v>324</v>
      </c>
      <c r="AJ46" s="352"/>
      <c r="AK46" s="352"/>
      <c r="AL46" s="352">
        <v>0.7631</v>
      </c>
      <c r="AM46" s="352"/>
      <c r="AN46" s="352"/>
      <c r="AO46" s="352" t="s">
        <v>324</v>
      </c>
      <c r="AP46" s="352"/>
      <c r="AQ46" s="352"/>
      <c r="AR46" s="352">
        <v>0.89100000000000001</v>
      </c>
      <c r="AS46" s="352"/>
      <c r="AT46" s="352"/>
      <c r="AU46" s="352">
        <v>0.98670000000000002</v>
      </c>
      <c r="AV46" s="352"/>
      <c r="AW46" s="352"/>
      <c r="AX46" s="352" t="s">
        <v>324</v>
      </c>
      <c r="AY46" s="352"/>
      <c r="AZ46" s="352"/>
      <c r="BA46" s="352" t="s">
        <v>324</v>
      </c>
      <c r="BB46" s="352"/>
      <c r="BC46" s="352"/>
      <c r="BD46" s="352" t="s">
        <v>324</v>
      </c>
      <c r="BE46" s="352"/>
      <c r="BF46" s="352"/>
      <c r="BG46" s="352" t="s">
        <v>324</v>
      </c>
      <c r="BH46" s="352"/>
      <c r="BI46" s="352"/>
      <c r="BJ46" s="352" t="s">
        <v>324</v>
      </c>
      <c r="BK46" s="352"/>
      <c r="BL46" s="352"/>
      <c r="BM46" s="352" t="s">
        <v>324</v>
      </c>
      <c r="BN46" s="352"/>
      <c r="BO46" s="352"/>
      <c r="BP46" s="352" t="s">
        <v>324</v>
      </c>
      <c r="BQ46" s="352"/>
      <c r="BR46" s="352"/>
      <c r="BS46" s="411" t="s">
        <v>324</v>
      </c>
      <c r="BT46" s="354"/>
      <c r="BU46" s="354"/>
      <c r="BV46" s="354"/>
      <c r="BW46" s="354"/>
      <c r="BX46" s="412"/>
      <c r="BY46" s="63">
        <v>17.739999999999998</v>
      </c>
      <c r="BZ46" s="63">
        <v>17.739999999999998</v>
      </c>
      <c r="CA46" s="412"/>
      <c r="CB46" s="412"/>
      <c r="CC46" s="354"/>
      <c r="CD46" s="354"/>
      <c r="CE46" s="354"/>
      <c r="CF46" s="354"/>
      <c r="CG46" s="354"/>
      <c r="CH46" s="354"/>
      <c r="CI46" s="354"/>
      <c r="CJ46" s="354"/>
      <c r="CK46" s="354"/>
      <c r="CL46" s="354"/>
      <c r="CM46" s="354"/>
      <c r="CN46" s="354"/>
    </row>
    <row r="47" spans="1:92" s="353" customFormat="1" ht="12.95" customHeight="1">
      <c r="A47" s="352"/>
      <c r="B47" s="351"/>
      <c r="C47" s="351"/>
      <c r="D47" s="353" t="s">
        <v>325</v>
      </c>
      <c r="E47" s="351"/>
      <c r="F47" s="351"/>
      <c r="G47" s="62" t="s">
        <v>326</v>
      </c>
      <c r="H47" s="352" t="s">
        <v>324</v>
      </c>
      <c r="I47" s="352">
        <f>TTEST(I8:I12,I36:I40,2,1)</f>
        <v>0.2008317184105769</v>
      </c>
      <c r="J47" s="352">
        <v>0.42859999999999998</v>
      </c>
      <c r="K47" s="355" t="s">
        <v>327</v>
      </c>
      <c r="L47" s="352">
        <v>0.52090000000000003</v>
      </c>
      <c r="M47" s="352"/>
      <c r="N47" s="355" t="s">
        <v>327</v>
      </c>
      <c r="O47" s="352"/>
      <c r="P47" s="352"/>
      <c r="Q47" s="355">
        <v>7.0000000000000001E-3</v>
      </c>
      <c r="R47" s="352"/>
      <c r="S47" s="352"/>
      <c r="T47" s="355">
        <v>4.1000000000000002E-2</v>
      </c>
      <c r="U47" s="352"/>
      <c r="V47" s="352"/>
      <c r="W47" s="352">
        <v>0.33489999999999998</v>
      </c>
      <c r="X47" s="352"/>
      <c r="Y47" s="352"/>
      <c r="Z47" s="352" t="s">
        <v>324</v>
      </c>
      <c r="AA47" s="352"/>
      <c r="AB47" s="352"/>
      <c r="AC47" s="352" t="s">
        <v>324</v>
      </c>
      <c r="AD47" s="352"/>
      <c r="AE47" s="352"/>
      <c r="AF47" s="352" t="s">
        <v>324</v>
      </c>
      <c r="AG47" s="352"/>
      <c r="AH47" s="352"/>
      <c r="AI47" s="352" t="s">
        <v>324</v>
      </c>
      <c r="AJ47" s="352"/>
      <c r="AK47" s="352"/>
      <c r="AL47" s="352" t="s">
        <v>324</v>
      </c>
      <c r="AM47" s="352"/>
      <c r="AN47" s="352"/>
      <c r="AO47" s="352" t="s">
        <v>324</v>
      </c>
      <c r="AP47" s="352"/>
      <c r="AQ47" s="352"/>
      <c r="AR47" s="352" t="s">
        <v>324</v>
      </c>
      <c r="AS47" s="352"/>
      <c r="AT47" s="352"/>
      <c r="AU47" s="352" t="s">
        <v>324</v>
      </c>
      <c r="AV47" s="352"/>
      <c r="AW47" s="352"/>
      <c r="AX47" s="352" t="s">
        <v>324</v>
      </c>
      <c r="AY47" s="352"/>
      <c r="AZ47" s="352"/>
      <c r="BA47" s="352" t="s">
        <v>324</v>
      </c>
      <c r="BB47" s="352"/>
      <c r="BC47" s="352"/>
      <c r="BD47" s="352" t="s">
        <v>324</v>
      </c>
      <c r="BE47" s="352"/>
      <c r="BF47" s="352"/>
      <c r="BG47" s="352" t="s">
        <v>324</v>
      </c>
      <c r="BH47" s="352"/>
      <c r="BI47" s="352"/>
      <c r="BJ47" s="352" t="s">
        <v>324</v>
      </c>
      <c r="BK47" s="352"/>
      <c r="BL47" s="352"/>
      <c r="BM47" s="352" t="s">
        <v>324</v>
      </c>
      <c r="BN47" s="352"/>
      <c r="BO47" s="352"/>
      <c r="BP47" s="352" t="s">
        <v>324</v>
      </c>
      <c r="BQ47" s="352"/>
      <c r="BR47" s="352"/>
      <c r="BS47" s="411" t="s">
        <v>324</v>
      </c>
      <c r="BT47" s="354"/>
      <c r="BU47" s="354"/>
      <c r="BV47" s="354"/>
      <c r="BW47" s="354"/>
      <c r="BX47" s="114"/>
      <c r="BY47" s="63">
        <v>17.84</v>
      </c>
      <c r="BZ47" s="63">
        <v>17.84</v>
      </c>
      <c r="CA47" s="412"/>
      <c r="CB47" s="412"/>
      <c r="CC47" s="354"/>
      <c r="CD47" s="354"/>
      <c r="CE47" s="354"/>
      <c r="CF47" s="354"/>
      <c r="CG47" s="354"/>
      <c r="CH47" s="354"/>
      <c r="CI47" s="354"/>
      <c r="CJ47" s="354"/>
      <c r="CK47" s="354"/>
      <c r="CL47" s="354"/>
      <c r="CM47" s="354"/>
      <c r="CN47" s="354"/>
    </row>
    <row r="48" spans="1:92" s="353" customFormat="1" ht="12" customHeight="1">
      <c r="A48" s="352"/>
      <c r="B48" s="351"/>
      <c r="C48" s="351"/>
      <c r="E48" s="351"/>
      <c r="F48" s="351"/>
      <c r="G48" s="351" t="s">
        <v>328</v>
      </c>
      <c r="H48" s="352" t="s">
        <v>324</v>
      </c>
      <c r="I48" s="352">
        <f>_xlfn.T.TEST(I22:I26,I36:I40,2,1)</f>
        <v>0.72115403462252292</v>
      </c>
      <c r="J48" s="352">
        <v>0.56410000000000005</v>
      </c>
      <c r="K48" s="355">
        <v>5.9999999999999995E-4</v>
      </c>
      <c r="L48" s="352">
        <v>0.46750000000000003</v>
      </c>
      <c r="M48" s="352"/>
      <c r="N48" s="355">
        <v>1E-4</v>
      </c>
      <c r="O48" s="352"/>
      <c r="P48" s="352"/>
      <c r="Q48" s="355">
        <v>8.5000000000000006E-3</v>
      </c>
      <c r="R48" s="352"/>
      <c r="S48" s="352"/>
      <c r="T48" s="355">
        <v>4.4200000000000003E-2</v>
      </c>
      <c r="U48" s="352"/>
      <c r="V48" s="352"/>
      <c r="W48" s="352">
        <v>0.2195</v>
      </c>
      <c r="X48" s="352"/>
      <c r="Y48" s="352"/>
      <c r="Z48" s="352" t="s">
        <v>324</v>
      </c>
      <c r="AA48" s="352"/>
      <c r="AB48" s="352"/>
      <c r="AC48" s="352" t="s">
        <v>324</v>
      </c>
      <c r="AD48" s="352"/>
      <c r="AE48" s="352"/>
      <c r="AF48" s="352" t="s">
        <v>324</v>
      </c>
      <c r="AG48" s="352"/>
      <c r="AH48" s="352"/>
      <c r="AI48" s="352" t="s">
        <v>324</v>
      </c>
      <c r="AJ48" s="352"/>
      <c r="AK48" s="352"/>
      <c r="AL48" s="352" t="s">
        <v>324</v>
      </c>
      <c r="AM48" s="352"/>
      <c r="AN48" s="352"/>
      <c r="AO48" s="352" t="s">
        <v>324</v>
      </c>
      <c r="AP48" s="352"/>
      <c r="AQ48" s="352"/>
      <c r="AR48" s="352" t="s">
        <v>324</v>
      </c>
      <c r="AS48" s="352"/>
      <c r="AT48" s="352"/>
      <c r="AU48" s="352" t="s">
        <v>324</v>
      </c>
      <c r="AV48" s="352"/>
      <c r="AW48" s="352"/>
      <c r="AX48" s="352" t="s">
        <v>324</v>
      </c>
      <c r="AY48" s="352"/>
      <c r="AZ48" s="352"/>
      <c r="BA48" s="352" t="s">
        <v>324</v>
      </c>
      <c r="BB48" s="352"/>
      <c r="BC48" s="352"/>
      <c r="BD48" s="352" t="s">
        <v>324</v>
      </c>
      <c r="BE48" s="352"/>
      <c r="BF48" s="352"/>
      <c r="BG48" s="352" t="s">
        <v>324</v>
      </c>
      <c r="BH48" s="352"/>
      <c r="BI48" s="352"/>
      <c r="BJ48" s="352" t="s">
        <v>324</v>
      </c>
      <c r="BK48" s="352"/>
      <c r="BL48" s="352"/>
      <c r="BM48" s="352" t="s">
        <v>324</v>
      </c>
      <c r="BN48" s="352"/>
      <c r="BO48" s="352"/>
      <c r="BP48" s="352" t="s">
        <v>324</v>
      </c>
      <c r="BQ48" s="352"/>
      <c r="BR48" s="352"/>
      <c r="BS48" s="411" t="s">
        <v>324</v>
      </c>
      <c r="BT48" s="354"/>
      <c r="BU48" s="354"/>
      <c r="BV48" s="354"/>
      <c r="BW48" s="354"/>
      <c r="BX48" s="412"/>
      <c r="BY48" s="63">
        <v>17.84</v>
      </c>
      <c r="BZ48" s="63">
        <v>17.84</v>
      </c>
      <c r="CA48" s="412"/>
      <c r="CB48" s="412"/>
      <c r="CC48" s="354"/>
      <c r="CD48" s="354"/>
      <c r="CE48" s="354"/>
      <c r="CF48" s="354"/>
      <c r="CG48" s="354"/>
      <c r="CH48" s="354"/>
      <c r="CI48" s="354"/>
      <c r="CJ48" s="354"/>
      <c r="CK48" s="354"/>
      <c r="CL48" s="354"/>
      <c r="CM48" s="354"/>
      <c r="CN48" s="354"/>
    </row>
    <row r="49" spans="1:92" ht="12" customHeight="1">
      <c r="A49" s="63"/>
      <c r="B49" s="62"/>
      <c r="C49" s="62"/>
      <c r="E49" s="62"/>
      <c r="F49" s="62"/>
      <c r="H49" s="63"/>
      <c r="I49" s="62"/>
      <c r="J49" s="63"/>
      <c r="K49" s="62"/>
      <c r="L49" s="63"/>
      <c r="M49" s="62"/>
      <c r="N49" s="64"/>
      <c r="O49" s="63"/>
      <c r="P49" s="62"/>
      <c r="Q49" s="64"/>
      <c r="R49" s="63"/>
      <c r="S49" s="62"/>
      <c r="T49" s="64"/>
      <c r="U49" s="63"/>
      <c r="V49" s="62"/>
      <c r="W49" s="64"/>
      <c r="X49" s="63"/>
      <c r="Y49" s="62"/>
      <c r="Z49" s="64"/>
      <c r="AA49" s="63"/>
      <c r="AB49" s="62"/>
      <c r="AC49" s="64"/>
      <c r="AD49" s="63"/>
      <c r="AE49" s="62"/>
      <c r="AF49" s="64"/>
      <c r="AG49" s="63"/>
      <c r="AH49" s="62"/>
      <c r="AI49" s="64"/>
      <c r="AJ49" s="63"/>
      <c r="AK49" s="62"/>
      <c r="AL49" s="64"/>
      <c r="AM49" s="63"/>
      <c r="AN49" s="62"/>
      <c r="AO49" s="64"/>
      <c r="AP49" s="63"/>
      <c r="AQ49" s="62"/>
      <c r="AR49" s="64"/>
      <c r="AS49" s="63"/>
      <c r="AT49" s="62"/>
      <c r="AU49" s="64"/>
      <c r="AV49" s="63"/>
      <c r="AW49" s="62"/>
      <c r="AX49" s="64"/>
      <c r="AY49" s="63"/>
      <c r="AZ49" s="62"/>
      <c r="BA49" s="64"/>
      <c r="BB49" s="63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4"/>
      <c r="BT49"/>
      <c r="BU49"/>
      <c r="BV49"/>
      <c r="BW49"/>
      <c r="BX49" s="412"/>
      <c r="BY49" s="63">
        <v>18.61</v>
      </c>
      <c r="BZ49" s="63">
        <v>18.61</v>
      </c>
      <c r="CA49" s="114"/>
      <c r="CB49" s="114"/>
      <c r="CC49"/>
      <c r="CD49"/>
      <c r="CE49"/>
      <c r="CF49"/>
      <c r="CG49"/>
      <c r="CH49"/>
      <c r="CI49"/>
      <c r="CJ49"/>
      <c r="CK49"/>
      <c r="CL49"/>
      <c r="CM49"/>
      <c r="CN49"/>
    </row>
    <row r="50" spans="1:92" s="60" customFormat="1" ht="12" customHeight="1">
      <c r="A50" s="9" t="s">
        <v>329</v>
      </c>
      <c r="B50" s="62" t="s">
        <v>330</v>
      </c>
      <c r="C50" s="11"/>
      <c r="D50" s="12" t="s">
        <v>26</v>
      </c>
      <c r="E50" s="10" t="s">
        <v>303</v>
      </c>
      <c r="F50" s="11">
        <v>42890</v>
      </c>
      <c r="G50" s="10" t="s">
        <v>263</v>
      </c>
      <c r="H50" s="63">
        <v>14.98</v>
      </c>
      <c r="I50" s="64">
        <f>H42-H50</f>
        <v>4.09</v>
      </c>
      <c r="J50" s="63">
        <v>12.73</v>
      </c>
      <c r="K50" s="64">
        <f>J50-H50</f>
        <v>-2.25</v>
      </c>
      <c r="L50" s="63">
        <v>11.95</v>
      </c>
      <c r="M50" s="62">
        <f>L50-J50</f>
        <v>-0.78000000000000114</v>
      </c>
      <c r="N50" s="64">
        <f>K50+M50</f>
        <v>-3.0300000000000011</v>
      </c>
      <c r="O50" s="63">
        <v>11.34</v>
      </c>
      <c r="P50" s="62">
        <f>O50-L50</f>
        <v>-0.60999999999999943</v>
      </c>
      <c r="Q50" s="64">
        <f>N50+P50</f>
        <v>-3.6400000000000006</v>
      </c>
      <c r="R50" s="63">
        <v>10.73</v>
      </c>
      <c r="S50" s="62">
        <f>R50-O50</f>
        <v>-0.60999999999999943</v>
      </c>
      <c r="T50" s="64">
        <f>Q50+S50</f>
        <v>-4.25</v>
      </c>
      <c r="U50" s="63" t="s">
        <v>331</v>
      </c>
      <c r="V50" s="62"/>
      <c r="W50" s="64"/>
      <c r="X50" s="63"/>
      <c r="Y50" s="62"/>
      <c r="Z50" s="64"/>
      <c r="AA50" s="63"/>
      <c r="AB50" s="62"/>
      <c r="AC50" s="64"/>
      <c r="AD50" s="63"/>
      <c r="AE50" s="62"/>
      <c r="AF50" s="64"/>
      <c r="AG50" s="63"/>
      <c r="AH50" s="62"/>
      <c r="AI50" s="64"/>
      <c r="AJ50" s="63"/>
      <c r="AK50" s="62"/>
      <c r="AL50" s="64"/>
      <c r="AM50" s="63"/>
      <c r="AN50" s="62"/>
      <c r="AO50" s="64"/>
      <c r="AP50" s="63"/>
      <c r="AQ50" s="62"/>
      <c r="AR50" s="64"/>
      <c r="AS50" s="63"/>
      <c r="AT50" s="62"/>
      <c r="AU50" s="64"/>
      <c r="AV50" s="63"/>
      <c r="AW50" s="62"/>
      <c r="AX50" s="64"/>
      <c r="AY50" s="63"/>
      <c r="AZ50" s="62"/>
      <c r="BA50" s="64"/>
      <c r="BB50" s="63"/>
      <c r="BC50" s="62"/>
      <c r="BD50" s="64"/>
      <c r="BE50" s="62"/>
      <c r="BF50" s="62"/>
      <c r="BG50" s="64"/>
      <c r="BH50" s="63"/>
      <c r="BI50" s="62"/>
      <c r="BJ50" s="64"/>
      <c r="BK50" s="63"/>
      <c r="BL50" s="62"/>
      <c r="BM50" s="64"/>
      <c r="BN50" s="63"/>
      <c r="BO50" s="62"/>
      <c r="BP50" s="64"/>
      <c r="BQ50" s="63"/>
      <c r="BR50" s="62"/>
      <c r="BS50" s="64"/>
      <c r="BT50" s="266" t="s">
        <v>332</v>
      </c>
      <c r="BU50"/>
      <c r="BV50"/>
      <c r="BW50"/>
      <c r="BX50" s="412"/>
      <c r="BY50" s="63">
        <v>18.670000000000002</v>
      </c>
      <c r="BZ50" s="63">
        <v>18.670000000000002</v>
      </c>
      <c r="CA50" s="114"/>
      <c r="CB50" s="114"/>
      <c r="CC50"/>
      <c r="CD50"/>
      <c r="CE50"/>
      <c r="CF50"/>
      <c r="CG50"/>
      <c r="CH50"/>
      <c r="CI50"/>
      <c r="CJ50"/>
      <c r="CK50"/>
      <c r="CL50"/>
      <c r="CM50"/>
      <c r="CN50"/>
    </row>
    <row r="51" spans="1:92" s="272" customFormat="1" ht="12" customHeight="1">
      <c r="A51" s="284" t="s">
        <v>333</v>
      </c>
      <c r="B51" s="263" t="s">
        <v>334</v>
      </c>
      <c r="C51" s="285"/>
      <c r="D51" s="265" t="s">
        <v>26</v>
      </c>
      <c r="E51" s="266" t="s">
        <v>262</v>
      </c>
      <c r="F51" s="264">
        <v>42890</v>
      </c>
      <c r="G51" s="266" t="s">
        <v>263</v>
      </c>
      <c r="H51" s="286">
        <v>14.38</v>
      </c>
      <c r="I51" s="268">
        <f>H15-H51</f>
        <v>4.8774999999999959</v>
      </c>
      <c r="J51" s="263">
        <v>14.01</v>
      </c>
      <c r="K51" s="268">
        <f>J51-H51</f>
        <v>-0.37000000000000099</v>
      </c>
      <c r="L51" s="263">
        <v>15.15</v>
      </c>
      <c r="M51" s="263">
        <f>L51-J51</f>
        <v>1.1400000000000006</v>
      </c>
      <c r="N51" s="268">
        <f>K51+M51</f>
        <v>0.76999999999999957</v>
      </c>
      <c r="O51" s="267">
        <v>16.43</v>
      </c>
      <c r="P51" s="263">
        <f>O51-L51</f>
        <v>1.2799999999999994</v>
      </c>
      <c r="Q51" s="263">
        <f>N51+P51</f>
        <v>2.0499999999999989</v>
      </c>
      <c r="R51" s="267">
        <v>17.079999999999998</v>
      </c>
      <c r="S51" s="263">
        <f>R51-O51</f>
        <v>0.64999999999999858</v>
      </c>
      <c r="T51" s="263">
        <f>Q51+S51</f>
        <v>2.6999999999999975</v>
      </c>
      <c r="U51" s="267">
        <v>17.45</v>
      </c>
      <c r="V51" s="263">
        <f t="shared" ref="V51" si="301">U51-R51</f>
        <v>0.37000000000000099</v>
      </c>
      <c r="W51" s="268">
        <f t="shared" ref="W51" si="302">T51+V51</f>
        <v>3.0699999999999985</v>
      </c>
      <c r="X51" s="263">
        <v>17.34</v>
      </c>
      <c r="Y51" s="263">
        <f>X51-U51</f>
        <v>-0.10999999999999943</v>
      </c>
      <c r="Z51" s="268">
        <f>W51+Y51</f>
        <v>2.9599999999999991</v>
      </c>
      <c r="AA51" s="263">
        <v>17.739999999999998</v>
      </c>
      <c r="AB51" s="263">
        <f t="shared" ref="AB51" si="303">AA51-X51</f>
        <v>0.39999999999999858</v>
      </c>
      <c r="AC51" s="268">
        <f t="shared" ref="AC51" si="304">Z51+AB51</f>
        <v>3.3599999999999977</v>
      </c>
      <c r="AD51" s="263">
        <v>18.7</v>
      </c>
      <c r="AE51" s="263">
        <f>AD51-AA51</f>
        <v>0.96000000000000085</v>
      </c>
      <c r="AF51" s="268">
        <f>AC51+AE51</f>
        <v>4.3199999999999985</v>
      </c>
      <c r="AG51" s="267">
        <v>19.64</v>
      </c>
      <c r="AH51" s="263">
        <f>AG51-AD51</f>
        <v>0.94000000000000128</v>
      </c>
      <c r="AI51" s="268">
        <f>AF51+AH51</f>
        <v>5.26</v>
      </c>
      <c r="AJ51" s="267">
        <v>19.79</v>
      </c>
      <c r="AK51" s="263">
        <f>AJ51-AG51</f>
        <v>0.14999999999999858</v>
      </c>
      <c r="AL51" s="268">
        <f>AI51+AK51</f>
        <v>5.4099999999999984</v>
      </c>
      <c r="AM51" s="263">
        <v>20.09</v>
      </c>
      <c r="AN51" s="263">
        <f>AM51-AJ51</f>
        <v>0.30000000000000071</v>
      </c>
      <c r="AO51" s="268">
        <f>AL51+AN51</f>
        <v>5.7099999999999991</v>
      </c>
      <c r="AP51" s="263">
        <v>20.48</v>
      </c>
      <c r="AQ51" s="263">
        <f>AP51-AM51</f>
        <v>0.39000000000000057</v>
      </c>
      <c r="AR51" s="268">
        <f>AO51+AQ51</f>
        <v>6.1</v>
      </c>
      <c r="AS51" s="263">
        <v>20.82</v>
      </c>
      <c r="AT51" s="263">
        <f>AS51-AP51</f>
        <v>0.33999999999999986</v>
      </c>
      <c r="AU51" s="268">
        <f>AR51+AT51</f>
        <v>6.4399999999999995</v>
      </c>
      <c r="AV51" s="263">
        <v>20.94</v>
      </c>
      <c r="AW51" s="263">
        <f>AV51-AS51</f>
        <v>0.12000000000000099</v>
      </c>
      <c r="AX51" s="268">
        <f>AU51+AW51</f>
        <v>6.5600000000000005</v>
      </c>
      <c r="AY51" s="267">
        <v>21.82</v>
      </c>
      <c r="AZ51" s="263">
        <f>AY51-AV51</f>
        <v>0.87999999999999901</v>
      </c>
      <c r="BA51" s="268">
        <f>AX51+AZ51</f>
        <v>7.4399999999999995</v>
      </c>
      <c r="BB51" s="267">
        <v>22.07</v>
      </c>
      <c r="BC51" s="263">
        <f>BB51-AY51</f>
        <v>0.25</v>
      </c>
      <c r="BD51" s="268">
        <f>BA51+BC51</f>
        <v>7.6899999999999995</v>
      </c>
      <c r="BE51" s="263">
        <v>22.37</v>
      </c>
      <c r="BF51" s="263">
        <f>BE51-BB51</f>
        <v>0.30000000000000071</v>
      </c>
      <c r="BG51" s="268">
        <f>BD51+BF51</f>
        <v>7.99</v>
      </c>
      <c r="BH51" s="263">
        <v>22.74</v>
      </c>
      <c r="BI51" s="263">
        <f t="shared" ref="BI51" si="305">BH51-BE51</f>
        <v>0.36999999999999744</v>
      </c>
      <c r="BJ51" s="268">
        <f t="shared" ref="BJ51" si="306">BG51+BI51</f>
        <v>8.3599999999999977</v>
      </c>
      <c r="BK51" s="267"/>
      <c r="BL51" s="263"/>
      <c r="BM51" s="268"/>
      <c r="BN51" s="267"/>
      <c r="BO51" s="263"/>
      <c r="BP51" s="268"/>
      <c r="BQ51" s="267"/>
      <c r="BR51" s="263"/>
      <c r="BS51" s="268"/>
      <c r="BT51" s="266" t="s">
        <v>332</v>
      </c>
      <c r="BU51" s="271"/>
      <c r="BV51" s="271"/>
      <c r="BW51" s="271"/>
      <c r="BX51" s="114"/>
      <c r="BY51" s="63">
        <v>18.920000000000002</v>
      </c>
      <c r="BZ51" s="63">
        <v>18.920000000000002</v>
      </c>
      <c r="CA51" s="266"/>
      <c r="CB51" s="266"/>
      <c r="CC51" s="271"/>
      <c r="CD51" s="271"/>
      <c r="CE51" s="271"/>
      <c r="CF51" s="271"/>
      <c r="CG51" s="271"/>
      <c r="CH51" s="271"/>
      <c r="CI51" s="271"/>
      <c r="CJ51" s="271"/>
      <c r="CK51" s="271"/>
      <c r="CL51" s="271"/>
      <c r="CM51" s="271"/>
      <c r="CN51" s="271"/>
    </row>
    <row r="52" spans="1:92" s="272" customFormat="1" ht="12" customHeight="1">
      <c r="A52" s="284" t="s">
        <v>335</v>
      </c>
      <c r="B52" s="263" t="s">
        <v>336</v>
      </c>
      <c r="C52" s="264"/>
      <c r="D52" s="265" t="s">
        <v>26</v>
      </c>
      <c r="E52" s="266" t="s">
        <v>284</v>
      </c>
      <c r="F52" s="264">
        <v>42890</v>
      </c>
      <c r="G52" s="266" t="s">
        <v>263</v>
      </c>
      <c r="H52" s="267">
        <v>12.17</v>
      </c>
      <c r="I52" s="268">
        <f>H28-H52</f>
        <v>7.2387500000000014</v>
      </c>
      <c r="J52" s="267">
        <v>11.27</v>
      </c>
      <c r="K52" s="268">
        <f>J52-H52</f>
        <v>-0.90000000000000036</v>
      </c>
      <c r="L52" s="267">
        <v>11.85</v>
      </c>
      <c r="M52" s="263">
        <f>L52-J52</f>
        <v>0.58000000000000007</v>
      </c>
      <c r="N52" s="268">
        <f>K52+M52</f>
        <v>-0.32000000000000028</v>
      </c>
      <c r="O52" s="267">
        <v>12.49</v>
      </c>
      <c r="P52" s="263">
        <f>O52-L52</f>
        <v>0.64000000000000057</v>
      </c>
      <c r="Q52" s="268">
        <f>N52+P52</f>
        <v>0.32000000000000028</v>
      </c>
      <c r="R52" s="267">
        <v>12.93</v>
      </c>
      <c r="S52" s="263">
        <f>R52-O52</f>
        <v>0.4399999999999995</v>
      </c>
      <c r="T52" s="268">
        <f>Q52+S52</f>
        <v>0.75999999999999979</v>
      </c>
      <c r="U52" s="267">
        <v>13.74</v>
      </c>
      <c r="V52" s="263">
        <f>U52-R52</f>
        <v>0.8100000000000005</v>
      </c>
      <c r="W52" s="268">
        <f>T52+V52</f>
        <v>1.5700000000000003</v>
      </c>
      <c r="X52" s="267">
        <v>14.33</v>
      </c>
      <c r="Y52" s="263">
        <f>X52-U52</f>
        <v>0.58999999999999986</v>
      </c>
      <c r="Z52" s="268">
        <f>W52+Y52</f>
        <v>2.16</v>
      </c>
      <c r="AA52" s="267">
        <v>15.18</v>
      </c>
      <c r="AB52" s="263">
        <f>AA52-X52</f>
        <v>0.84999999999999964</v>
      </c>
      <c r="AC52" s="268">
        <f>Z52+AB52</f>
        <v>3.01</v>
      </c>
      <c r="AD52" s="267">
        <v>15.75</v>
      </c>
      <c r="AE52" s="263">
        <f>AD52-AA52</f>
        <v>0.57000000000000028</v>
      </c>
      <c r="AF52" s="268">
        <f>AC52+AE52</f>
        <v>3.58</v>
      </c>
      <c r="AG52" s="267">
        <v>16.559999999999999</v>
      </c>
      <c r="AH52" s="263">
        <f>AG52-AD52</f>
        <v>0.80999999999999872</v>
      </c>
      <c r="AI52" s="268">
        <f>AF52+AH52</f>
        <v>4.3899999999999988</v>
      </c>
      <c r="AJ52" s="267">
        <v>17.100000000000001</v>
      </c>
      <c r="AK52" s="263">
        <f>AJ52-AG52</f>
        <v>0.5400000000000027</v>
      </c>
      <c r="AL52" s="268">
        <f>AI52+AK52</f>
        <v>4.9300000000000015</v>
      </c>
      <c r="AM52" s="267">
        <v>17.63</v>
      </c>
      <c r="AN52" s="263">
        <f>AM52-AJ52</f>
        <v>0.52999999999999758</v>
      </c>
      <c r="AO52" s="268">
        <f>AL52+AN52</f>
        <v>5.4599999999999991</v>
      </c>
      <c r="AP52" s="267">
        <v>18.16</v>
      </c>
      <c r="AQ52" s="263">
        <f>AP52-AM52</f>
        <v>0.53000000000000114</v>
      </c>
      <c r="AR52" s="268">
        <f>AO52+AQ52</f>
        <v>5.99</v>
      </c>
      <c r="AS52" s="267">
        <v>18.399999999999999</v>
      </c>
      <c r="AT52" s="263">
        <f>AS52-AP52</f>
        <v>0.23999999999999844</v>
      </c>
      <c r="AU52" s="268">
        <f>AR52+AT52</f>
        <v>6.2299999999999986</v>
      </c>
      <c r="AV52" s="267">
        <v>19.13</v>
      </c>
      <c r="AW52" s="263">
        <f>AV52-AS52</f>
        <v>0.73000000000000043</v>
      </c>
      <c r="AX52" s="268">
        <f>AU52+AW52</f>
        <v>6.9599999999999991</v>
      </c>
      <c r="AY52" s="267">
        <v>19.579999999999998</v>
      </c>
      <c r="AZ52" s="263">
        <f>AY52-AV52</f>
        <v>0.44999999999999929</v>
      </c>
      <c r="BA52" s="268">
        <f>AX52+AZ52</f>
        <v>7.4099999999999984</v>
      </c>
      <c r="BB52" s="267">
        <v>19.95</v>
      </c>
      <c r="BC52" s="263">
        <f>BB52-AY52</f>
        <v>0.37000000000000099</v>
      </c>
      <c r="BD52" s="268">
        <f>BA52+BC52</f>
        <v>7.7799999999999994</v>
      </c>
      <c r="BE52" s="263">
        <v>20.239999999999998</v>
      </c>
      <c r="BF52" s="263">
        <f>BE52-BB52</f>
        <v>0.28999999999999915</v>
      </c>
      <c r="BG52" s="268">
        <f>BD52+BF52</f>
        <v>8.0699999999999985</v>
      </c>
      <c r="BH52" s="267">
        <v>16.96</v>
      </c>
      <c r="BI52" s="263">
        <f>BH52-BE52</f>
        <v>-3.2799999999999976</v>
      </c>
      <c r="BJ52" s="268">
        <f>BG52+BI52</f>
        <v>4.7900000000000009</v>
      </c>
      <c r="BK52" s="267"/>
      <c r="BL52" s="263"/>
      <c r="BM52" s="268"/>
      <c r="BN52" s="267"/>
      <c r="BO52" s="263"/>
      <c r="BP52" s="268"/>
      <c r="BQ52" s="267"/>
      <c r="BR52" s="263"/>
      <c r="BS52" s="268"/>
      <c r="BT52" s="266" t="s">
        <v>332</v>
      </c>
      <c r="BU52" s="271"/>
      <c r="BV52" s="271"/>
      <c r="BW52" s="271"/>
      <c r="BX52" s="114"/>
      <c r="BY52" s="63">
        <v>19.190000000000001</v>
      </c>
      <c r="BZ52" s="63">
        <v>19.190000000000001</v>
      </c>
      <c r="CA52" s="266"/>
      <c r="CB52" s="266"/>
      <c r="CC52" s="271"/>
      <c r="CD52" s="271"/>
      <c r="CE52" s="271"/>
      <c r="CF52" s="271"/>
      <c r="CG52" s="271"/>
      <c r="CH52" s="271"/>
      <c r="CI52" s="271"/>
      <c r="CJ52" s="271"/>
      <c r="CK52" s="271"/>
      <c r="CL52" s="271"/>
      <c r="CM52" s="271"/>
      <c r="CN52" s="271"/>
    </row>
    <row r="53" spans="1:92" s="270" customFormat="1" ht="12" customHeight="1">
      <c r="A53" s="262" t="s">
        <v>337</v>
      </c>
      <c r="B53" s="263" t="s">
        <v>338</v>
      </c>
      <c r="C53" s="264"/>
      <c r="D53" s="265" t="s">
        <v>26</v>
      </c>
      <c r="E53" s="266" t="s">
        <v>303</v>
      </c>
      <c r="F53" s="264">
        <v>42890</v>
      </c>
      <c r="G53" s="266" t="s">
        <v>263</v>
      </c>
      <c r="H53" s="267">
        <v>17.3</v>
      </c>
      <c r="I53" s="268">
        <f>H42-H53</f>
        <v>1.7699999999999996</v>
      </c>
      <c r="J53" s="267">
        <v>14.04</v>
      </c>
      <c r="K53" s="268">
        <f t="shared" ref="K53" si="307">J53-H53</f>
        <v>-3.2600000000000016</v>
      </c>
      <c r="L53" s="267">
        <v>15.38</v>
      </c>
      <c r="M53" s="263">
        <f t="shared" ref="M53" si="308">L53-J53</f>
        <v>1.3400000000000016</v>
      </c>
      <c r="N53" s="268">
        <f t="shared" ref="N53" si="309">K53+M53</f>
        <v>-1.92</v>
      </c>
      <c r="O53" s="267">
        <v>15.9</v>
      </c>
      <c r="P53" s="263">
        <f t="shared" ref="P53" si="310">O53-L53</f>
        <v>0.51999999999999957</v>
      </c>
      <c r="Q53" s="268">
        <f t="shared" ref="Q53" si="311">N53+P53</f>
        <v>-1.4000000000000004</v>
      </c>
      <c r="R53" s="267">
        <v>16.39</v>
      </c>
      <c r="S53" s="263">
        <f t="shared" ref="S53" si="312">R53-O53</f>
        <v>0.49000000000000021</v>
      </c>
      <c r="T53" s="268">
        <f t="shared" ref="T53" si="313">Q53+S53</f>
        <v>-0.91000000000000014</v>
      </c>
      <c r="U53" s="267">
        <v>16.52</v>
      </c>
      <c r="V53" s="263">
        <f>U53-R53</f>
        <v>0.12999999999999901</v>
      </c>
      <c r="W53" s="268">
        <f>T53+V53</f>
        <v>-0.78000000000000114</v>
      </c>
      <c r="X53" s="267">
        <v>16.98</v>
      </c>
      <c r="Y53" s="263">
        <f>X53-U53</f>
        <v>0.46000000000000085</v>
      </c>
      <c r="Z53" s="268">
        <f>W53+Y53</f>
        <v>-0.32000000000000028</v>
      </c>
      <c r="AA53" s="267">
        <v>17.32</v>
      </c>
      <c r="AB53" s="263">
        <f>AA53-X53</f>
        <v>0.33999999999999986</v>
      </c>
      <c r="AC53" s="268">
        <f>Z53+AB53</f>
        <v>1.9999999999999574E-2</v>
      </c>
      <c r="AD53" s="267">
        <v>17.64</v>
      </c>
      <c r="AE53" s="263">
        <f>AD53-AA53</f>
        <v>0.32000000000000028</v>
      </c>
      <c r="AF53" s="268">
        <f>AC53+AE53</f>
        <v>0.33999999999999986</v>
      </c>
      <c r="AG53" s="267">
        <v>18.54</v>
      </c>
      <c r="AH53" s="263">
        <f>AG53-AD53</f>
        <v>0.89999999999999858</v>
      </c>
      <c r="AI53" s="268">
        <f>AF53+AH53</f>
        <v>1.2399999999999984</v>
      </c>
      <c r="AJ53" s="267">
        <v>18.760000000000002</v>
      </c>
      <c r="AK53" s="263">
        <f>AJ53-AG53</f>
        <v>0.22000000000000242</v>
      </c>
      <c r="AL53" s="268">
        <f>AI53+AK53</f>
        <v>1.4600000000000009</v>
      </c>
      <c r="AM53" s="267">
        <v>19.329999999999998</v>
      </c>
      <c r="AN53" s="263">
        <f>AM53-AJ53</f>
        <v>0.56999999999999673</v>
      </c>
      <c r="AO53" s="268">
        <f>AL53+AN53</f>
        <v>2.0299999999999976</v>
      </c>
      <c r="AP53" s="267">
        <v>19.11</v>
      </c>
      <c r="AQ53" s="263">
        <f>AP53-AM53</f>
        <v>-0.21999999999999886</v>
      </c>
      <c r="AR53" s="268">
        <f>AO53+AQ53</f>
        <v>1.8099999999999987</v>
      </c>
      <c r="AS53" s="267">
        <v>19.14</v>
      </c>
      <c r="AT53" s="263">
        <f>AS53-AP53</f>
        <v>3.0000000000001137E-2</v>
      </c>
      <c r="AU53" s="268">
        <f>AR53+AT53</f>
        <v>1.8399999999999999</v>
      </c>
      <c r="AV53" s="267">
        <v>19.559999999999999</v>
      </c>
      <c r="AW53" s="263">
        <f>AV53-AS53</f>
        <v>0.41999999999999815</v>
      </c>
      <c r="AX53" s="268">
        <f>AU53+AW53</f>
        <v>2.259999999999998</v>
      </c>
      <c r="AY53" s="267">
        <v>19.600000000000001</v>
      </c>
      <c r="AZ53" s="263">
        <f>AY53-AV53</f>
        <v>4.00000000000027E-2</v>
      </c>
      <c r="BA53" s="268">
        <f>AX53+AZ53</f>
        <v>2.3000000000000007</v>
      </c>
      <c r="BB53" s="267">
        <v>19.84</v>
      </c>
      <c r="BC53" s="263">
        <f>BB53-AY53</f>
        <v>0.23999999999999844</v>
      </c>
      <c r="BD53" s="268">
        <f>BA53+BC53</f>
        <v>2.5399999999999991</v>
      </c>
      <c r="BE53" s="263">
        <v>20.43</v>
      </c>
      <c r="BF53" s="263">
        <f>BE53-BB53</f>
        <v>0.58999999999999986</v>
      </c>
      <c r="BG53" s="268">
        <f>BD53+BF53</f>
        <v>3.129999999999999</v>
      </c>
      <c r="BH53" s="267">
        <v>17.09</v>
      </c>
      <c r="BI53" s="263">
        <f>BH53-BE53</f>
        <v>-3.34</v>
      </c>
      <c r="BJ53" s="268">
        <f>BG53+BI53</f>
        <v>-0.21000000000000085</v>
      </c>
      <c r="BK53" s="267"/>
      <c r="BL53" s="263"/>
      <c r="BM53" s="268"/>
      <c r="BN53" s="267"/>
      <c r="BO53" s="263"/>
      <c r="BP53" s="268"/>
      <c r="BQ53" s="267"/>
      <c r="BR53" s="263"/>
      <c r="BS53" s="268"/>
      <c r="BT53" s="266" t="s">
        <v>339</v>
      </c>
      <c r="BU53" s="269"/>
      <c r="BV53" s="269"/>
      <c r="BW53" s="269"/>
      <c r="BX53" s="266"/>
      <c r="BY53" s="13">
        <v>19.43</v>
      </c>
      <c r="BZ53" s="13">
        <v>19.43</v>
      </c>
      <c r="CA53" s="266"/>
      <c r="CB53" s="266"/>
      <c r="CC53" s="269"/>
      <c r="CD53" s="269"/>
      <c r="CE53" s="269"/>
      <c r="CF53" s="269"/>
      <c r="CG53" s="269"/>
      <c r="CH53" s="269"/>
      <c r="CI53" s="269"/>
      <c r="CJ53" s="269"/>
      <c r="CK53" s="269"/>
      <c r="CL53" s="269"/>
      <c r="CM53" s="269"/>
      <c r="CN53" s="269"/>
    </row>
    <row r="54" spans="1:92" ht="12" customHeight="1">
      <c r="A54" s="62"/>
      <c r="B54" s="62"/>
      <c r="C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Q54" s="62"/>
      <c r="BR54" s="62"/>
      <c r="BS54" s="62"/>
      <c r="BT54"/>
      <c r="BU54"/>
      <c r="BV54"/>
      <c r="BW54"/>
      <c r="BX54" s="266"/>
      <c r="BY54" s="51">
        <v>19.45</v>
      </c>
      <c r="BZ54" s="51">
        <v>19.45</v>
      </c>
      <c r="CA54" s="114"/>
      <c r="CB54" s="114"/>
      <c r="CC54"/>
      <c r="CD54"/>
      <c r="CE54"/>
      <c r="CF54"/>
      <c r="CG54"/>
      <c r="CH54"/>
      <c r="CI54"/>
      <c r="CJ54"/>
      <c r="CK54"/>
      <c r="CL54"/>
      <c r="CM54"/>
      <c r="CN54"/>
    </row>
    <row r="55" spans="1:92" ht="12" customHeight="1">
      <c r="A55" s="62"/>
      <c r="B55" s="62"/>
      <c r="C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Q55" s="62"/>
      <c r="BR55" s="62"/>
      <c r="BS55" s="62"/>
      <c r="BT55"/>
      <c r="BU55"/>
      <c r="BV55"/>
      <c r="BW55"/>
      <c r="BX55" s="266"/>
      <c r="BY55" s="13">
        <v>19.690000000000001</v>
      </c>
      <c r="BZ55" s="13">
        <v>19.690000000000001</v>
      </c>
      <c r="CA55" s="114"/>
      <c r="CB55" s="114"/>
      <c r="CC55"/>
      <c r="CD55"/>
      <c r="CE55"/>
      <c r="CF55"/>
      <c r="CG55"/>
      <c r="CH55"/>
      <c r="CI55"/>
      <c r="CJ55"/>
      <c r="CK55"/>
      <c r="CL55"/>
      <c r="CM55"/>
      <c r="CN55"/>
    </row>
    <row r="56" spans="1:92" ht="12" customHeight="1">
      <c r="A56" s="60"/>
      <c r="B56" s="60"/>
      <c r="C56" s="60"/>
      <c r="E56" s="60"/>
      <c r="G56" s="60"/>
      <c r="H56" s="60"/>
      <c r="I56" s="60"/>
      <c r="J56" s="60"/>
      <c r="K56" s="60"/>
      <c r="L56" s="60"/>
      <c r="M56" s="60"/>
      <c r="BX56" s="114"/>
      <c r="BY56" s="63">
        <v>19.850000000000001</v>
      </c>
      <c r="BZ56" s="63">
        <v>19.850000000000001</v>
      </c>
    </row>
    <row r="57" spans="1:92" ht="12" customHeight="1">
      <c r="A57" s="38"/>
      <c r="B57" s="39" t="s">
        <v>340</v>
      </c>
      <c r="C57" s="40"/>
      <c r="D57" s="40"/>
      <c r="E57" s="41"/>
      <c r="F57" s="40"/>
      <c r="G57" s="41"/>
      <c r="H57" s="39" t="s">
        <v>341</v>
      </c>
      <c r="I57" s="40"/>
      <c r="J57" s="40"/>
      <c r="K57" s="41"/>
      <c r="L57" s="40"/>
      <c r="M57" s="41"/>
      <c r="Q57" s="71"/>
      <c r="R57" s="91" t="s">
        <v>342</v>
      </c>
      <c r="S57" s="90" t="s">
        <v>343</v>
      </c>
      <c r="T57" s="91" t="s">
        <v>284</v>
      </c>
      <c r="U57" s="90" t="s">
        <v>344</v>
      </c>
      <c r="V57" s="91" t="s">
        <v>345</v>
      </c>
      <c r="W57" s="90" t="s">
        <v>346</v>
      </c>
      <c r="BX57" s="114"/>
      <c r="BY57" s="63">
        <v>20.309999999999999</v>
      </c>
      <c r="BZ57" s="63">
        <v>20.309999999999999</v>
      </c>
    </row>
    <row r="58" spans="1:92" ht="12" customHeight="1">
      <c r="A58" s="42" t="s">
        <v>347</v>
      </c>
      <c r="B58" s="43" t="s">
        <v>348</v>
      </c>
      <c r="C58" s="44" t="s">
        <v>349</v>
      </c>
      <c r="D58" s="45" t="s">
        <v>284</v>
      </c>
      <c r="E58" s="44" t="s">
        <v>344</v>
      </c>
      <c r="F58" s="45" t="s">
        <v>345</v>
      </c>
      <c r="G58" s="44" t="s">
        <v>346</v>
      </c>
      <c r="H58" s="46" t="s">
        <v>348</v>
      </c>
      <c r="I58" s="44" t="s">
        <v>349</v>
      </c>
      <c r="J58" s="46" t="s">
        <v>284</v>
      </c>
      <c r="K58" s="44" t="s">
        <v>344</v>
      </c>
      <c r="L58" s="46" t="s">
        <v>345</v>
      </c>
      <c r="M58" s="44" t="s">
        <v>346</v>
      </c>
      <c r="N58" s="60"/>
      <c r="O58" s="60"/>
      <c r="Q58" s="72" t="s">
        <v>347</v>
      </c>
      <c r="R58" s="54" t="s">
        <v>350</v>
      </c>
      <c r="S58" s="52" t="s">
        <v>351</v>
      </c>
      <c r="T58" s="93" t="s">
        <v>350</v>
      </c>
      <c r="U58" s="73" t="s">
        <v>352</v>
      </c>
      <c r="V58" s="93" t="s">
        <v>350</v>
      </c>
      <c r="W58" s="73" t="s">
        <v>352</v>
      </c>
      <c r="BY58" s="13">
        <v>20.56</v>
      </c>
      <c r="BZ58" s="13">
        <v>20.56</v>
      </c>
    </row>
    <row r="59" spans="1:92" ht="12" customHeight="1">
      <c r="A59" s="48">
        <v>0</v>
      </c>
      <c r="B59" s="49">
        <f>H15</f>
        <v>19.257499999999997</v>
      </c>
      <c r="C59" s="50">
        <f>H16</f>
        <v>0.40543517184801381</v>
      </c>
      <c r="D59" s="51">
        <f>H28</f>
        <v>19.408750000000001</v>
      </c>
      <c r="E59" s="50">
        <f>H29</f>
        <v>0.45447944122919354</v>
      </c>
      <c r="F59" s="51">
        <f>H42</f>
        <v>19.07</v>
      </c>
      <c r="G59" s="50">
        <f>H43</f>
        <v>1.0377534113926745</v>
      </c>
      <c r="H59" s="12">
        <f>I15</f>
        <v>-3.1086244689504383E-15</v>
      </c>
      <c r="I59" s="50">
        <v>0</v>
      </c>
      <c r="J59" s="62">
        <f>I28</f>
        <v>1.3322676295501878E-15</v>
      </c>
      <c r="K59" s="64">
        <v>0</v>
      </c>
      <c r="L59" s="62">
        <f>I42</f>
        <v>6.6613381477509392E-16</v>
      </c>
      <c r="M59" s="64">
        <v>0</v>
      </c>
      <c r="N59" s="60"/>
      <c r="O59" s="60"/>
      <c r="P59" s="60"/>
      <c r="Q59" s="74">
        <v>0</v>
      </c>
      <c r="R59" s="92">
        <v>0</v>
      </c>
      <c r="S59" s="75">
        <v>0</v>
      </c>
      <c r="T59" s="92">
        <v>0</v>
      </c>
      <c r="U59" s="75">
        <v>0</v>
      </c>
      <c r="V59" s="92">
        <v>0</v>
      </c>
      <c r="W59" s="75">
        <v>0</v>
      </c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Y59" s="62">
        <v>20.57</v>
      </c>
      <c r="BZ59" s="62">
        <v>20.57</v>
      </c>
    </row>
    <row r="60" spans="1:92" ht="12" customHeight="1">
      <c r="A60" s="48">
        <v>1</v>
      </c>
      <c r="B60" s="49">
        <f>J15</f>
        <v>19.423749999999998</v>
      </c>
      <c r="C60" s="50">
        <f>J16</f>
        <v>0.45865851559583143</v>
      </c>
      <c r="D60" s="51">
        <f>J28</f>
        <v>19.253750000000004</v>
      </c>
      <c r="E60" s="50">
        <f>J29</f>
        <v>0.46183228828222905</v>
      </c>
      <c r="F60" s="51">
        <f>J42</f>
        <v>17.822500000000002</v>
      </c>
      <c r="G60" s="50">
        <f>J43</f>
        <v>1.1117662106499042</v>
      </c>
      <c r="H60" s="62">
        <f>K15</f>
        <v>0.16624999999999979</v>
      </c>
      <c r="I60" s="64">
        <f>K16</f>
        <v>0.1238653863214878</v>
      </c>
      <c r="J60" s="62">
        <f>K28</f>
        <v>-0.15500000000000025</v>
      </c>
      <c r="K60" s="64">
        <f>K29</f>
        <v>0.1379311422413371</v>
      </c>
      <c r="L60" s="62">
        <f>K42</f>
        <v>-1.2474999999999994</v>
      </c>
      <c r="M60" s="64">
        <f>K43</f>
        <v>0.23004463852540807</v>
      </c>
      <c r="Q60" s="20">
        <v>1</v>
      </c>
      <c r="R60" s="92">
        <f>K15</f>
        <v>0.16624999999999979</v>
      </c>
      <c r="S60" s="75">
        <f>K16</f>
        <v>0.1238653863214878</v>
      </c>
      <c r="T60" s="92">
        <f>K28</f>
        <v>-0.15500000000000025</v>
      </c>
      <c r="U60" s="75">
        <f>K29</f>
        <v>0.1379311422413371</v>
      </c>
      <c r="V60" s="92">
        <f>K42</f>
        <v>-1.2474999999999994</v>
      </c>
      <c r="W60" s="75">
        <f>K43</f>
        <v>0.23004463852540807</v>
      </c>
      <c r="BY60" s="63">
        <v>20.72</v>
      </c>
      <c r="BZ60" s="63">
        <v>20.72</v>
      </c>
    </row>
    <row r="61" spans="1:92" ht="12" customHeight="1">
      <c r="A61" s="48">
        <v>2</v>
      </c>
      <c r="B61" s="76">
        <f>L15</f>
        <v>19.835000000000001</v>
      </c>
      <c r="C61" s="64">
        <f>L16</f>
        <v>0.45989905724750357</v>
      </c>
      <c r="D61" s="63">
        <f>L28</f>
        <v>19.901249999999997</v>
      </c>
      <c r="E61" s="64">
        <f>L29</f>
        <v>0.5752218128066523</v>
      </c>
      <c r="F61" s="63">
        <f>L42</f>
        <v>18.368749999999999</v>
      </c>
      <c r="G61" s="64">
        <f>L43</f>
        <v>1.0407696971472651</v>
      </c>
      <c r="H61" s="62">
        <f>N15</f>
        <v>0.57750000000000057</v>
      </c>
      <c r="I61" s="64">
        <f>N16</f>
        <v>0.1600641612425644</v>
      </c>
      <c r="J61" s="62">
        <f>N28</f>
        <v>0.49250000000000016</v>
      </c>
      <c r="K61" s="64">
        <f>N29</f>
        <v>0.22386020829335182</v>
      </c>
      <c r="L61" s="62">
        <f>N42</f>
        <v>-0.70124999999999948</v>
      </c>
      <c r="M61" s="64">
        <f>N43</f>
        <v>8.1293944160329673E-2</v>
      </c>
      <c r="Q61" s="20">
        <v>2</v>
      </c>
      <c r="R61" s="92">
        <f>M15</f>
        <v>0.41125000000000078</v>
      </c>
      <c r="S61" s="75">
        <f>M16</f>
        <v>0.17005710700484467</v>
      </c>
      <c r="T61" s="92">
        <f>M28</f>
        <v>0.64750000000000041</v>
      </c>
      <c r="U61" s="75">
        <f>M29</f>
        <v>0.19573807206862642</v>
      </c>
      <c r="V61" s="92">
        <f>M42</f>
        <v>0.5462499999999999</v>
      </c>
      <c r="W61" s="75">
        <f>M43</f>
        <v>0.18913277176931276</v>
      </c>
      <c r="AI61" s="60"/>
      <c r="BY61" s="63"/>
      <c r="BZ61" s="63"/>
    </row>
    <row r="62" spans="1:92" ht="12" customHeight="1">
      <c r="A62" s="48">
        <v>3</v>
      </c>
      <c r="B62" s="49">
        <f>O15</f>
        <v>19.893750000000004</v>
      </c>
      <c r="C62" s="50">
        <f>O16</f>
        <v>0.40238102722597213</v>
      </c>
      <c r="D62" s="51">
        <f>O28</f>
        <v>20.024999999999999</v>
      </c>
      <c r="E62" s="50">
        <f>O29</f>
        <v>0.55496138861829158</v>
      </c>
      <c r="F62" s="51">
        <f>O42</f>
        <v>18.864999999999998</v>
      </c>
      <c r="G62" s="50">
        <f>O43</f>
        <v>1.0375830431481512</v>
      </c>
      <c r="H62" s="12">
        <f>Q15</f>
        <v>0.63625000000000043</v>
      </c>
      <c r="I62" s="50">
        <f>Q16</f>
        <v>0.14763537976089211</v>
      </c>
      <c r="J62" s="12">
        <f>Q28</f>
        <v>0.61624999999999996</v>
      </c>
      <c r="K62" s="50">
        <f>Q29</f>
        <v>0.21399213520260829</v>
      </c>
      <c r="L62" s="12">
        <f>Q42</f>
        <v>-0.20499999999999985</v>
      </c>
      <c r="M62" s="50">
        <f>Q43</f>
        <v>0.14523380165394387</v>
      </c>
      <c r="Q62" s="20">
        <v>3</v>
      </c>
      <c r="R62" s="92">
        <f>P15</f>
        <v>5.8749999999999858E-2</v>
      </c>
      <c r="S62" s="75">
        <f>P16</f>
        <v>6.9806812500131599E-2</v>
      </c>
      <c r="T62" s="92">
        <f>P28</f>
        <v>0.1237499999999998</v>
      </c>
      <c r="U62" s="75">
        <f>P29</f>
        <v>0.14494996057753398</v>
      </c>
      <c r="V62" s="92">
        <f>P42</f>
        <v>0.49624999999999964</v>
      </c>
      <c r="W62" s="75">
        <f>P43</f>
        <v>0.10604812755132875</v>
      </c>
      <c r="BY62" s="13"/>
      <c r="BZ62" s="13"/>
    </row>
    <row r="63" spans="1:92" ht="12" customHeight="1">
      <c r="A63" s="48">
        <v>4</v>
      </c>
      <c r="B63" s="49">
        <f>R15</f>
        <v>20.083750000000002</v>
      </c>
      <c r="C63" s="50">
        <f>R16</f>
        <v>0.39152603224890592</v>
      </c>
      <c r="D63" s="51">
        <f>R28</f>
        <v>20.22625</v>
      </c>
      <c r="E63" s="50">
        <f>R29</f>
        <v>0.60830542581126834</v>
      </c>
      <c r="F63" s="51">
        <f>R42</f>
        <v>19.18375</v>
      </c>
      <c r="G63" s="50">
        <f>R43</f>
        <v>0.97235894588514216</v>
      </c>
      <c r="H63" s="12">
        <f>T15</f>
        <v>0.82625000000000082</v>
      </c>
      <c r="I63" s="50">
        <f>T16</f>
        <v>0.13785263223560748</v>
      </c>
      <c r="J63" s="12">
        <f>T28</f>
        <v>0.81749999999999901</v>
      </c>
      <c r="K63" s="50">
        <f>T29</f>
        <v>0.24346274282291536</v>
      </c>
      <c r="L63" s="12">
        <f>T42</f>
        <v>0.11375000000000046</v>
      </c>
      <c r="M63" s="50">
        <f>T43</f>
        <v>0.16395706646209854</v>
      </c>
      <c r="Q63" s="20">
        <v>4</v>
      </c>
      <c r="R63" s="92">
        <f>S15</f>
        <v>0.19000000000000039</v>
      </c>
      <c r="S63" s="75">
        <f>S16</f>
        <v>9.2059763197610014E-2</v>
      </c>
      <c r="T63" s="92">
        <f>S28</f>
        <v>0.20124999999999904</v>
      </c>
      <c r="U63" s="75">
        <f>S29</f>
        <v>7.8409126199879262E-2</v>
      </c>
      <c r="V63" s="92">
        <f>S42</f>
        <v>0.31875000000000031</v>
      </c>
      <c r="W63" s="75">
        <f>S43</f>
        <v>0.10976334120018669</v>
      </c>
      <c r="BY63" s="63"/>
      <c r="BZ63" s="63"/>
    </row>
    <row r="64" spans="1:92" ht="12" customHeight="1">
      <c r="A64" s="48">
        <v>5</v>
      </c>
      <c r="B64" s="76">
        <f>U15</f>
        <v>20.168749999999999</v>
      </c>
      <c r="C64" s="64">
        <f>U16</f>
        <v>0.37465907121389341</v>
      </c>
      <c r="D64" s="63">
        <f>U28</f>
        <v>20.37875</v>
      </c>
      <c r="E64" s="64">
        <f>U29</f>
        <v>0.57687098551458749</v>
      </c>
      <c r="F64" s="63">
        <f>U42</f>
        <v>19.548750000000002</v>
      </c>
      <c r="G64" s="64">
        <f>U43</f>
        <v>0.84685855940815136</v>
      </c>
      <c r="H64" s="62">
        <f>W15</f>
        <v>0.91124999999999989</v>
      </c>
      <c r="I64" s="64">
        <f>W16</f>
        <v>0.13625655292236663</v>
      </c>
      <c r="J64" s="62">
        <f>W28</f>
        <v>0.97000000000000064</v>
      </c>
      <c r="K64" s="64">
        <f>W29</f>
        <v>0.16889345754054524</v>
      </c>
      <c r="L64" s="62">
        <f>W42</f>
        <v>0.47874999999999979</v>
      </c>
      <c r="M64" s="64">
        <f>W43</f>
        <v>0.23376145884823923</v>
      </c>
      <c r="Q64" s="20">
        <v>5</v>
      </c>
      <c r="R64" s="92">
        <f>V15</f>
        <v>8.4999999999999076E-2</v>
      </c>
      <c r="S64" s="75">
        <f>V16</f>
        <v>5.9190974215427294E-2</v>
      </c>
      <c r="T64" s="92">
        <f>V28</f>
        <v>0.15250000000000163</v>
      </c>
      <c r="U64" s="75">
        <f>V29</f>
        <v>9.1158221947180443E-2</v>
      </c>
      <c r="V64" s="92">
        <f>V42</f>
        <v>0.36499999999999932</v>
      </c>
      <c r="W64" s="75">
        <f>V43</f>
        <v>0.16443626642041523</v>
      </c>
      <c r="BX64" s="144" t="s">
        <v>41</v>
      </c>
      <c r="BY64" s="18">
        <f>AVERAGE(BY41:BY63)</f>
        <v>18.731000000000002</v>
      </c>
      <c r="BZ64" s="18">
        <f>AVERAGE(BZ41:BZ63)</f>
        <v>18.731000000000002</v>
      </c>
    </row>
    <row r="65" spans="1:78" ht="12" customHeight="1">
      <c r="A65" s="48">
        <v>6</v>
      </c>
      <c r="B65" s="49">
        <f>X15</f>
        <v>20.407499999999999</v>
      </c>
      <c r="C65" s="50">
        <f>X16</f>
        <v>0.40830551411552485</v>
      </c>
      <c r="D65" s="51">
        <f>X28</f>
        <v>20.6</v>
      </c>
      <c r="E65" s="50">
        <f>X29</f>
        <v>0.62335497797918393</v>
      </c>
      <c r="F65" s="51">
        <f>X42</f>
        <v>20.126249999999999</v>
      </c>
      <c r="G65" s="50">
        <f>X43</f>
        <v>0.85945775575566896</v>
      </c>
      <c r="H65" s="12">
        <f>Z15</f>
        <v>1.1499999999999999</v>
      </c>
      <c r="I65" s="50">
        <f>Z16</f>
        <v>0.16401219466856701</v>
      </c>
      <c r="J65" s="12">
        <f>Z28</f>
        <v>1.1912500000000006</v>
      </c>
      <c r="K65" s="64">
        <f>Z29</f>
        <v>0.25036000864469432</v>
      </c>
      <c r="L65" s="12">
        <f>Z42</f>
        <v>1.0562500000000001</v>
      </c>
      <c r="M65" s="64">
        <f>Z43</f>
        <v>0.31211225945162707</v>
      </c>
      <c r="Q65" s="20">
        <v>6</v>
      </c>
      <c r="R65" s="92">
        <f>Y15</f>
        <v>0.23875000000000002</v>
      </c>
      <c r="S65" s="75">
        <f>Y16</f>
        <v>4.541229773656337E-2</v>
      </c>
      <c r="T65" s="92">
        <f>Y28</f>
        <v>0.22124999999999995</v>
      </c>
      <c r="U65" s="75">
        <f>Y29</f>
        <v>9.2686828699042975E-2</v>
      </c>
      <c r="V65" s="92">
        <f>Y42</f>
        <v>0.57750000000000035</v>
      </c>
      <c r="W65" s="75">
        <f>Y43</f>
        <v>0.17880306405172611</v>
      </c>
      <c r="AQ65" s="3"/>
      <c r="BC65" s="3"/>
      <c r="BD65" s="3"/>
      <c r="BX65" s="144" t="s">
        <v>45</v>
      </c>
      <c r="BY65" s="18">
        <f>STDEV(BY41:BY63)/SQRT(COUNT(BY41:BY63))</f>
        <v>0.29958383415032674</v>
      </c>
      <c r="BZ65" s="18">
        <f>STDEV(BZ41:BZ63)/SQRT(COUNT(BZ41:BZ63))</f>
        <v>0.29958383415032674</v>
      </c>
    </row>
    <row r="66" spans="1:78" ht="12" customHeight="1">
      <c r="A66" s="48">
        <v>7</v>
      </c>
      <c r="B66" s="49">
        <f>AA15</f>
        <v>20.784999999999997</v>
      </c>
      <c r="C66" s="50">
        <f>AA16</f>
        <v>0.44827048594730029</v>
      </c>
      <c r="D66" s="51">
        <f>AA28</f>
        <v>20.847500000000004</v>
      </c>
      <c r="E66" s="50">
        <f>AA29</f>
        <v>0.57388945550764148</v>
      </c>
      <c r="F66" s="51">
        <f>AA42</f>
        <v>20.477499999999999</v>
      </c>
      <c r="G66" s="50">
        <f>AA43</f>
        <v>0.84653442677441193</v>
      </c>
      <c r="H66" s="62">
        <f>AC15</f>
        <v>1.5274999999999999</v>
      </c>
      <c r="I66" s="64">
        <f>AC16</f>
        <v>0.15124188289907381</v>
      </c>
      <c r="J66" s="62">
        <f>AC28</f>
        <v>1.4387500000000002</v>
      </c>
      <c r="K66" s="64">
        <f>AC29</f>
        <v>0.23959368507657158</v>
      </c>
      <c r="L66" s="62">
        <f>AC42</f>
        <v>1.4075000000000006</v>
      </c>
      <c r="M66" s="64">
        <f>AC43</f>
        <v>0.3261668613280192</v>
      </c>
      <c r="Q66" s="20">
        <v>7</v>
      </c>
      <c r="R66" s="92">
        <f>AB15</f>
        <v>0.37749999999999995</v>
      </c>
      <c r="S66" s="75">
        <f>AB16</f>
        <v>6.6433371562361856E-2</v>
      </c>
      <c r="T66" s="92">
        <f>AB28</f>
        <v>0.24749999999999961</v>
      </c>
      <c r="U66" s="75">
        <f>AB29</f>
        <v>8.5726933590658652E-2</v>
      </c>
      <c r="V66" s="92">
        <f>AB42</f>
        <v>0.35125000000000051</v>
      </c>
      <c r="W66" s="75">
        <f>AB43</f>
        <v>7.2639951128837602E-2</v>
      </c>
      <c r="AQ66" s="3"/>
      <c r="BC66" s="3"/>
      <c r="BD66" s="3"/>
      <c r="BX66" s="144" t="s">
        <v>316</v>
      </c>
      <c r="BY66" s="68">
        <f>COUNT(BY41:BY63)</f>
        <v>20</v>
      </c>
      <c r="BZ66" s="68">
        <f>COUNT(BZ41:BZ63)</f>
        <v>20</v>
      </c>
    </row>
    <row r="67" spans="1:78" ht="12" customHeight="1">
      <c r="A67" s="48">
        <v>8</v>
      </c>
      <c r="B67" s="49">
        <f>AD15</f>
        <v>21.06</v>
      </c>
      <c r="C67" s="50">
        <f>AD16</f>
        <v>0.49956767023383036</v>
      </c>
      <c r="D67" s="51">
        <f>AD28</f>
        <v>20.83625</v>
      </c>
      <c r="E67" s="50">
        <f>AD29</f>
        <v>0.60200242494765488</v>
      </c>
      <c r="F67" s="51">
        <f>AD42</f>
        <v>20.69125</v>
      </c>
      <c r="G67" s="50">
        <f>AD43</f>
        <v>0.71995644089466559</v>
      </c>
      <c r="H67" s="62">
        <f>AF15</f>
        <v>1.8025000000000002</v>
      </c>
      <c r="I67" s="64">
        <f>AF16</f>
        <v>0.18575857988259903</v>
      </c>
      <c r="J67" s="62">
        <f>AF28</f>
        <v>1.4275000000000002</v>
      </c>
      <c r="K67" s="50">
        <f>AF29</f>
        <v>0.2380482394089781</v>
      </c>
      <c r="L67" s="62">
        <f>AF42</f>
        <v>1.6212500000000005</v>
      </c>
      <c r="M67" s="50">
        <f>AF43</f>
        <v>0.4351987948873805</v>
      </c>
      <c r="Q67" s="20">
        <v>8</v>
      </c>
      <c r="R67" s="92">
        <f>AE15</f>
        <v>0.27500000000000036</v>
      </c>
      <c r="S67" s="75">
        <f>AE16</f>
        <v>6.3835726674018364E-2</v>
      </c>
      <c r="T67" s="92">
        <f>AE28</f>
        <v>-1.1249999999999982E-2</v>
      </c>
      <c r="U67" s="75">
        <f>AE29</f>
        <v>7.3810507865943772E-2</v>
      </c>
      <c r="V67" s="92">
        <f>AE42</f>
        <v>0.21374999999999988</v>
      </c>
      <c r="W67" s="75">
        <f>AE43</f>
        <v>0.14862389612710322</v>
      </c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X67" s="409" t="s">
        <v>134</v>
      </c>
      <c r="BY67" s="409">
        <f>_xlfn.T.TEST(BY4:BY33, BY39:BY61,1,2)</f>
        <v>3.747603028452838E-2</v>
      </c>
      <c r="BZ67" s="409">
        <f>_xlfn.T.TEST(BZ4:BZ33, BZ39:BZ61,1,2)</f>
        <v>9.998120125992721E-2</v>
      </c>
    </row>
    <row r="68" spans="1:78" ht="12" customHeight="1">
      <c r="A68" s="48">
        <v>9</v>
      </c>
      <c r="B68" s="49">
        <f>AG15</f>
        <v>21.39</v>
      </c>
      <c r="C68" s="50">
        <f>AG16</f>
        <v>0.51696228102251329</v>
      </c>
      <c r="D68" s="51">
        <f>AG28</f>
        <v>21.07</v>
      </c>
      <c r="E68" s="50">
        <f>AG29</f>
        <v>0.60769470718680518</v>
      </c>
      <c r="F68" s="51">
        <f>AG42</f>
        <v>20.824999999999999</v>
      </c>
      <c r="G68" s="50">
        <f>AG43</f>
        <v>0.6749126927663629</v>
      </c>
      <c r="H68" s="62">
        <f>AI15</f>
        <v>2.1325000000000007</v>
      </c>
      <c r="I68" s="64">
        <f>AI16</f>
        <v>0.23722916888828921</v>
      </c>
      <c r="J68" s="62">
        <f>AI28</f>
        <v>1.6612500000000003</v>
      </c>
      <c r="K68" s="64">
        <f>AI29</f>
        <v>0.23249759983400109</v>
      </c>
      <c r="L68" s="62">
        <f>AI42</f>
        <v>1.7550000000000006</v>
      </c>
      <c r="M68" s="64">
        <f>AI43</f>
        <v>0.49647687329248857</v>
      </c>
      <c r="Q68" s="20">
        <v>9</v>
      </c>
      <c r="R68" s="92">
        <f>AH15</f>
        <v>0.33000000000000052</v>
      </c>
      <c r="S68" s="75">
        <f>AH16</f>
        <v>7.43303437365926E-2</v>
      </c>
      <c r="T68" s="92">
        <f>AH28</f>
        <v>0.23375000000000012</v>
      </c>
      <c r="U68" s="75">
        <f>AH29</f>
        <v>4.671102271260117E-2</v>
      </c>
      <c r="V68" s="92">
        <f>AH42</f>
        <v>0.13375000000000004</v>
      </c>
      <c r="W68" s="75">
        <f>AH43</f>
        <v>0.12822883423228748</v>
      </c>
      <c r="BX68" s="12" t="s">
        <v>300</v>
      </c>
      <c r="BY68" s="12">
        <f>(100/BY35)*BY64</f>
        <v>96.017018659011683</v>
      </c>
      <c r="BZ68" s="12">
        <f>(100/BZ35)*BZ64</f>
        <v>97.267804154302667</v>
      </c>
    </row>
    <row r="69" spans="1:78" ht="12" customHeight="1">
      <c r="A69" s="48">
        <v>10</v>
      </c>
      <c r="B69" s="76">
        <f>AJ15</f>
        <v>21.626249999999999</v>
      </c>
      <c r="C69" s="64">
        <f>AJ16</f>
        <v>0.57442809291378794</v>
      </c>
      <c r="D69" s="63">
        <f>AJ28</f>
        <v>21.186249999999998</v>
      </c>
      <c r="E69" s="64">
        <f>AJ29</f>
        <v>0.62977302458901818</v>
      </c>
      <c r="F69" s="63">
        <f>AJ42</f>
        <v>21.078749999999999</v>
      </c>
      <c r="G69" s="64">
        <f>AJ43</f>
        <v>0.64426712932491859</v>
      </c>
      <c r="H69" s="62">
        <f>AL15</f>
        <v>2.3687499999999999</v>
      </c>
      <c r="I69" s="64">
        <f>AL16</f>
        <v>0.23727197700408817</v>
      </c>
      <c r="J69" s="62">
        <f>AL28</f>
        <v>1.7774999999999994</v>
      </c>
      <c r="K69" s="64">
        <f>AL29</f>
        <v>0.23751503711795358</v>
      </c>
      <c r="L69" s="62">
        <f>AL42</f>
        <v>2.0087500000000009</v>
      </c>
      <c r="M69" s="64">
        <f>AL43</f>
        <v>0.51874311527272998</v>
      </c>
      <c r="Q69" s="20">
        <v>10</v>
      </c>
      <c r="R69" s="92">
        <f>AK15</f>
        <v>0.23624999999999918</v>
      </c>
      <c r="S69" s="75">
        <f>AK16</f>
        <v>0.10378441769910772</v>
      </c>
      <c r="T69" s="92">
        <f>AK28</f>
        <v>0.11624999999999908</v>
      </c>
      <c r="U69" s="75">
        <f>AK29</f>
        <v>6.2847249627284912E-2</v>
      </c>
      <c r="V69" s="92">
        <f>AK42</f>
        <v>0.25375000000000014</v>
      </c>
      <c r="W69" s="75">
        <f>AK43</f>
        <v>4.5235001460626374E-2</v>
      </c>
      <c r="BY69" s="12" t="s">
        <v>353</v>
      </c>
      <c r="BZ69" s="12" t="s">
        <v>354</v>
      </c>
    </row>
    <row r="70" spans="1:78" ht="12" customHeight="1">
      <c r="A70" s="48">
        <v>11</v>
      </c>
      <c r="B70" s="49">
        <f>AM15</f>
        <v>21.643750000000001</v>
      </c>
      <c r="C70" s="50">
        <f>AM16</f>
        <v>0.55495475201651734</v>
      </c>
      <c r="D70" s="51">
        <f>AM28</f>
        <v>21.339999999999996</v>
      </c>
      <c r="E70" s="50">
        <f>AM29</f>
        <v>0.65097728729305793</v>
      </c>
      <c r="F70" s="51">
        <f>AM42</f>
        <v>21.138749999999998</v>
      </c>
      <c r="G70" s="50">
        <f>AM43</f>
        <v>0.53117940707448363</v>
      </c>
      <c r="H70" s="12">
        <f>AO15</f>
        <v>2.38625</v>
      </c>
      <c r="I70" s="50">
        <f>AO16</f>
        <v>0.24521810627043275</v>
      </c>
      <c r="J70" s="12">
        <f>AO28</f>
        <v>1.9312499999999999</v>
      </c>
      <c r="K70" s="50">
        <f>AO29</f>
        <v>0.25922575310224971</v>
      </c>
      <c r="L70" s="12">
        <f>AO42</f>
        <v>2.0687500000000005</v>
      </c>
      <c r="M70" s="50">
        <f>AO43</f>
        <v>0.63412323469946574</v>
      </c>
      <c r="Q70" s="20">
        <v>11</v>
      </c>
      <c r="R70" s="92">
        <f>AN15</f>
        <v>1.7500000000000071E-2</v>
      </c>
      <c r="S70" s="75">
        <f>AN16</f>
        <v>8.22615601949922E-2</v>
      </c>
      <c r="T70" s="92">
        <f>AN28</f>
        <v>0.1537500000000005</v>
      </c>
      <c r="U70" s="75">
        <f>AN29</f>
        <v>6.3973697161969739E-2</v>
      </c>
      <c r="V70" s="92">
        <f>AN42</f>
        <v>5.9999999999999609E-2</v>
      </c>
      <c r="W70" s="75">
        <f>AN43</f>
        <v>0.15508062419270827</v>
      </c>
    </row>
    <row r="71" spans="1:78" ht="12" customHeight="1">
      <c r="A71" s="48">
        <v>12</v>
      </c>
      <c r="B71" s="49">
        <f>AP15</f>
        <v>21.971249999999998</v>
      </c>
      <c r="C71" s="50">
        <f>AP16</f>
        <v>0.59460502346395572</v>
      </c>
      <c r="D71" s="51">
        <f>AP28</f>
        <v>21.493749999999999</v>
      </c>
      <c r="E71" s="50">
        <f>AP29</f>
        <v>0.58047990459864951</v>
      </c>
      <c r="F71" s="51">
        <f>AP42</f>
        <v>21.347500000000004</v>
      </c>
      <c r="G71" s="50">
        <f>AP43</f>
        <v>0.50762665555363751</v>
      </c>
      <c r="H71" s="62">
        <f>AR15</f>
        <v>2.7137499999999997</v>
      </c>
      <c r="I71" s="64">
        <f>AR16</f>
        <v>0.30297299207779455</v>
      </c>
      <c r="J71" s="62">
        <f>AR28</f>
        <v>2.0850000000000004</v>
      </c>
      <c r="K71" s="64">
        <f>AR29</f>
        <v>0.23808011856755848</v>
      </c>
      <c r="L71" s="62">
        <f>AR42</f>
        <v>2.2774999999999999</v>
      </c>
      <c r="M71" s="64">
        <f>AR43</f>
        <v>0.6082901974269469</v>
      </c>
      <c r="Q71" s="20">
        <v>12</v>
      </c>
      <c r="R71" s="92">
        <f>AQ15</f>
        <v>0.32749999999999968</v>
      </c>
      <c r="S71" s="75">
        <f>AQ16</f>
        <v>9.824804614560334E-2</v>
      </c>
      <c r="T71" s="92">
        <f>AQ28</f>
        <v>0.1537500000000005</v>
      </c>
      <c r="U71" s="75">
        <f>AQ29</f>
        <v>0.14436978190941269</v>
      </c>
      <c r="V71" s="92">
        <f>AQ42</f>
        <v>0.20874999999999977</v>
      </c>
      <c r="W71" s="75">
        <f>AQ43</f>
        <v>8.0032080621282392E-2</v>
      </c>
    </row>
    <row r="72" spans="1:78" ht="12" customHeight="1">
      <c r="A72" s="48">
        <v>13</v>
      </c>
      <c r="B72" s="49">
        <f>AS15</f>
        <v>22.013750000000002</v>
      </c>
      <c r="C72" s="50">
        <f>AS16</f>
        <v>0.61442463649219958</v>
      </c>
      <c r="D72" s="51">
        <f>AS28</f>
        <v>21.573749999999997</v>
      </c>
      <c r="E72" s="50">
        <f>AS29</f>
        <v>0.69178841082887688</v>
      </c>
      <c r="F72" s="51">
        <f>AS42</f>
        <v>21.245000000000001</v>
      </c>
      <c r="G72" s="50">
        <f>AS43</f>
        <v>0.60044328862694663</v>
      </c>
      <c r="H72" s="62">
        <f>AU15</f>
        <v>2.7562500000000005</v>
      </c>
      <c r="I72" s="64">
        <f>AU16</f>
        <v>0.2983582308711647</v>
      </c>
      <c r="J72" s="62">
        <f>AU28</f>
        <v>2.1650000000000005</v>
      </c>
      <c r="K72" s="64">
        <f>AU29</f>
        <v>0.32108632573099166</v>
      </c>
      <c r="L72" s="62">
        <f>AU42</f>
        <v>2.1750000000000007</v>
      </c>
      <c r="M72" s="64">
        <f>AU43</f>
        <v>0.57682010069988765</v>
      </c>
      <c r="Q72" s="20">
        <v>13</v>
      </c>
      <c r="R72" s="92">
        <f>AT15</f>
        <v>4.250000000000087E-2</v>
      </c>
      <c r="S72" s="75">
        <f>AT16</f>
        <v>9.6023620606003848E-2</v>
      </c>
      <c r="T72" s="92">
        <f>AT28</f>
        <v>8.0000000000000071E-2</v>
      </c>
      <c r="U72" s="75">
        <f>AT29</f>
        <v>0.12286752447831178</v>
      </c>
      <c r="V72" s="92">
        <f>AT42</f>
        <v>-0.10249999999999915</v>
      </c>
      <c r="W72" s="75">
        <f>AT43</f>
        <v>0.17163863617662387</v>
      </c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BC72" s="3"/>
      <c r="BD72" s="3"/>
    </row>
    <row r="73" spans="1:78" ht="12" customHeight="1">
      <c r="A73" s="48">
        <v>14</v>
      </c>
      <c r="B73" s="12">
        <f>AV15</f>
        <v>22.037500000000001</v>
      </c>
      <c r="C73" s="50">
        <f>AV16</f>
        <v>0.60619937196555096</v>
      </c>
      <c r="D73" s="12">
        <f>AV28</f>
        <v>21.695</v>
      </c>
      <c r="E73" s="50">
        <f>AV29</f>
        <v>0.66912522851000866</v>
      </c>
      <c r="F73" s="12">
        <f>AV42</f>
        <v>21.518749999999997</v>
      </c>
      <c r="G73" s="50">
        <f>AV43</f>
        <v>0.48678037545547298</v>
      </c>
      <c r="H73" s="62">
        <f>AX15</f>
        <v>2.7800000000000007</v>
      </c>
      <c r="I73" s="64">
        <f>AX16</f>
        <v>0.29159046623646645</v>
      </c>
      <c r="J73" s="62">
        <f>AX28</f>
        <v>2.2862499999999999</v>
      </c>
      <c r="K73" s="64">
        <f>AX29</f>
        <v>0.31253535514287878</v>
      </c>
      <c r="L73" s="62">
        <f>AX42</f>
        <v>2.4487500000000004</v>
      </c>
      <c r="M73" s="64">
        <f>AX43</f>
        <v>0.6845943467797968</v>
      </c>
      <c r="Q73" s="20">
        <v>14</v>
      </c>
      <c r="R73" s="92">
        <f>AW15</f>
        <v>2.375000000000016E-2</v>
      </c>
      <c r="S73" s="75">
        <f>AW16</f>
        <v>3.2783788458844658E-2</v>
      </c>
      <c r="T73" s="92">
        <f>AW28</f>
        <v>0.12124999999999941</v>
      </c>
      <c r="U73" s="75">
        <f>AW29</f>
        <v>5.3400023408234472E-2</v>
      </c>
      <c r="V73" s="92">
        <f>AW42</f>
        <v>0.27374999999999927</v>
      </c>
      <c r="W73" s="75">
        <f>AW43</f>
        <v>0.15802280011803002</v>
      </c>
    </row>
    <row r="74" spans="1:78" ht="12" customHeight="1">
      <c r="A74" s="48">
        <v>15</v>
      </c>
      <c r="B74" s="12">
        <f>AY15</f>
        <v>22.278750000000002</v>
      </c>
      <c r="C74" s="50">
        <f>AY16</f>
        <v>0.61497804112946053</v>
      </c>
      <c r="D74" s="12">
        <f>AY28</f>
        <v>21.87125</v>
      </c>
      <c r="E74" s="50">
        <f>AY29</f>
        <v>0.70628160485541658</v>
      </c>
      <c r="F74" s="12">
        <f>AY42</f>
        <v>21.715</v>
      </c>
      <c r="G74" s="50">
        <f>AY43</f>
        <v>0.47812879316889395</v>
      </c>
      <c r="H74" s="62">
        <f>BA15</f>
        <v>3.0212500000000002</v>
      </c>
      <c r="I74" s="64">
        <f>BA16</f>
        <v>0.30634619480487851</v>
      </c>
      <c r="J74" s="62">
        <f>BA28</f>
        <v>2.4625000000000008</v>
      </c>
      <c r="K74" s="64">
        <f>BA29</f>
        <v>0.3495392375276748</v>
      </c>
      <c r="L74" s="62">
        <f>BA42</f>
        <v>2.6450000000000005</v>
      </c>
      <c r="M74" s="64">
        <f>BA43</f>
        <v>0.74145127958619084</v>
      </c>
      <c r="Q74" s="20">
        <v>15</v>
      </c>
      <c r="R74" s="92">
        <f>AZ15</f>
        <v>0.24124999999999952</v>
      </c>
      <c r="S74" s="75">
        <f>AZ16</f>
        <v>8.3354610378962024E-2</v>
      </c>
      <c r="T74" s="92">
        <f>AZ28</f>
        <v>0.17625000000000091</v>
      </c>
      <c r="U74" s="75">
        <f>AZ29</f>
        <v>6.2847249627285065E-2</v>
      </c>
      <c r="V74" s="92">
        <f>AZ42</f>
        <v>0.19625000000000004</v>
      </c>
      <c r="W74" s="75">
        <f>AZ43</f>
        <v>0.10090549857593072</v>
      </c>
    </row>
    <row r="75" spans="1:78" ht="12" customHeight="1">
      <c r="A75" s="48">
        <v>16</v>
      </c>
      <c r="B75" s="49">
        <f>BB15</f>
        <v>22.466249999999999</v>
      </c>
      <c r="C75" s="50">
        <f>BB16</f>
        <v>0.66314708964150648</v>
      </c>
      <c r="D75" s="12">
        <f>BB28</f>
        <v>22.061250000000001</v>
      </c>
      <c r="E75" s="50">
        <f>BB29</f>
        <v>0.68387143084688873</v>
      </c>
      <c r="F75" s="12">
        <f>BB42</f>
        <v>22.10125</v>
      </c>
      <c r="G75" s="50">
        <f>BB43</f>
        <v>0.44687581168757445</v>
      </c>
      <c r="H75" s="62">
        <f>BD15</f>
        <v>3.2087500000000002</v>
      </c>
      <c r="I75" s="64">
        <f>BD16</f>
        <v>0.33192855029358354</v>
      </c>
      <c r="J75" s="62">
        <f>BD28</f>
        <v>2.6525000000000003</v>
      </c>
      <c r="K75" s="64">
        <f>BD29</f>
        <v>0.33483871383953506</v>
      </c>
      <c r="L75" s="62">
        <f>BD42</f>
        <v>3.0312500000000004</v>
      </c>
      <c r="M75" s="64">
        <f>BD43</f>
        <v>0.74681331932991857</v>
      </c>
      <c r="Q75" s="20">
        <v>16</v>
      </c>
      <c r="R75" s="92">
        <f>BC15</f>
        <v>0.1875</v>
      </c>
      <c r="S75" s="75">
        <f>BC16</f>
        <v>0.10132602965533746</v>
      </c>
      <c r="T75" s="92">
        <f>BC28</f>
        <v>0.1899999999999995</v>
      </c>
      <c r="U75" s="75">
        <f>BC29</f>
        <v>5.7133927873774873E-2</v>
      </c>
      <c r="V75" s="92">
        <f>BC42</f>
        <v>0.38625000000000043</v>
      </c>
      <c r="W75" s="75">
        <f>BC43</f>
        <v>7.1337665366901448E-2</v>
      </c>
    </row>
    <row r="76" spans="1:78" ht="12" customHeight="1">
      <c r="A76" s="48">
        <v>17</v>
      </c>
      <c r="B76" s="49">
        <f>BE15</f>
        <v>22.403749999999999</v>
      </c>
      <c r="C76" s="50">
        <f>BE16</f>
        <v>0.62764280532117034</v>
      </c>
      <c r="D76" s="12">
        <f>BE28</f>
        <v>22.159999999999997</v>
      </c>
      <c r="E76" s="50">
        <f>BE29</f>
        <v>0.6835829973644123</v>
      </c>
      <c r="F76" s="12">
        <f>BE42</f>
        <v>22.053750000000001</v>
      </c>
      <c r="G76" s="50">
        <f>BE43</f>
        <v>0.41713708563766633</v>
      </c>
      <c r="H76" s="62">
        <f>BG15</f>
        <v>3.1462499999999998</v>
      </c>
      <c r="I76" s="64">
        <f>BG16</f>
        <v>0.34719250269637369</v>
      </c>
      <c r="J76" s="12">
        <f>BG28</f>
        <v>2.7512500000000006</v>
      </c>
      <c r="K76" s="50">
        <f>BG29</f>
        <v>0.3124753561711473</v>
      </c>
      <c r="L76" s="12">
        <f>BG42</f>
        <v>2.9837500000000001</v>
      </c>
      <c r="M76" s="50">
        <f>BG43</f>
        <v>0.87469369638748362</v>
      </c>
      <c r="N76" s="60"/>
      <c r="O76" s="60"/>
      <c r="P76" s="60"/>
      <c r="Q76" s="20">
        <v>17</v>
      </c>
      <c r="R76" s="51">
        <f>BF15</f>
        <v>-6.2500000000000444E-2</v>
      </c>
      <c r="S76" s="50">
        <f>BF16</f>
        <v>0.11162357021960662</v>
      </c>
      <c r="T76" s="51">
        <f>BF28</f>
        <v>9.8750000000000338E-2</v>
      </c>
      <c r="U76" s="50">
        <f>BF29</f>
        <v>0.10446184368330044</v>
      </c>
      <c r="V76" s="51">
        <f>BF42</f>
        <v>-4.750000000000032E-2</v>
      </c>
      <c r="W76" s="50">
        <f>BF43</f>
        <v>0.17844316822370693</v>
      </c>
    </row>
    <row r="77" spans="1:78" ht="12" customHeight="1">
      <c r="A77" s="48">
        <v>18</v>
      </c>
      <c r="B77" s="49">
        <f>BH15</f>
        <v>22.625</v>
      </c>
      <c r="C77" s="50">
        <f>BH16</f>
        <v>0.63991349861859115</v>
      </c>
      <c r="D77" s="12">
        <f>BH28</f>
        <v>22.315000000000001</v>
      </c>
      <c r="E77" s="50">
        <f>BH29</f>
        <v>0.67735304152055198</v>
      </c>
      <c r="F77" s="12">
        <f>BH42</f>
        <v>22.136250000000004</v>
      </c>
      <c r="G77" s="50">
        <f>BH43</f>
        <v>0.38708589624452683</v>
      </c>
      <c r="H77" s="62">
        <f>BJ15</f>
        <v>3.3675000000000002</v>
      </c>
      <c r="I77" s="64">
        <f>BJ16</f>
        <v>0.3440709540611806</v>
      </c>
      <c r="J77" s="12">
        <f>BJ28</f>
        <v>2.9062500000000004</v>
      </c>
      <c r="K77" s="50">
        <f>BJ29</f>
        <v>0.31682542229796806</v>
      </c>
      <c r="L77" s="12">
        <f>BJ42</f>
        <v>3.0662499999999997</v>
      </c>
      <c r="M77" s="50">
        <f>BJ43</f>
        <v>0.91216175237728503</v>
      </c>
      <c r="N77" s="60"/>
      <c r="O77" s="60"/>
      <c r="P77" s="60"/>
      <c r="Q77" s="20">
        <v>18</v>
      </c>
      <c r="R77" s="51">
        <f>BI15</f>
        <v>0.22125000000000039</v>
      </c>
      <c r="S77" s="50">
        <f>BI16</f>
        <v>8.0720804098359564E-2</v>
      </c>
      <c r="T77" s="51">
        <f>BI28</f>
        <v>0.1549999999999998</v>
      </c>
      <c r="U77" s="50">
        <f>BI29</f>
        <v>8.0644723501115997E-2</v>
      </c>
      <c r="V77" s="51">
        <f>BI42</f>
        <v>8.2499999999999574E-2</v>
      </c>
      <c r="W77" s="50">
        <f>BI43</f>
        <v>7.9860369216706029E-2</v>
      </c>
    </row>
    <row r="78" spans="1:78" ht="12" customHeight="1">
      <c r="A78" s="48">
        <v>19</v>
      </c>
      <c r="B78" s="12">
        <f>BK15</f>
        <v>22.795000000000002</v>
      </c>
      <c r="C78" s="50">
        <f>BK16</f>
        <v>0.66372326419116201</v>
      </c>
      <c r="D78" s="12">
        <f>BK28</f>
        <v>22.397499999999997</v>
      </c>
      <c r="E78" s="50">
        <f>BK29</f>
        <v>0.67799007051304649</v>
      </c>
      <c r="F78" s="12">
        <f>BK42</f>
        <v>22.168750000000003</v>
      </c>
      <c r="G78" s="50">
        <f>BK43</f>
        <v>0.37848116343013494</v>
      </c>
      <c r="H78" s="62">
        <f>BM15</f>
        <v>3.5375000000000005</v>
      </c>
      <c r="I78" s="64">
        <f>BM16</f>
        <v>0.36034581604738691</v>
      </c>
      <c r="J78" s="12">
        <f>BM28</f>
        <v>2.9887499999999996</v>
      </c>
      <c r="K78" s="50">
        <f>BM29</f>
        <v>0.36126977207384187</v>
      </c>
      <c r="L78" s="12">
        <f>BM42</f>
        <v>3.0987499999999999</v>
      </c>
      <c r="M78" s="50">
        <f>BM43</f>
        <v>0.92143218783897174</v>
      </c>
      <c r="N78" s="60"/>
      <c r="O78" s="60"/>
      <c r="P78" s="60"/>
      <c r="Q78" s="20">
        <v>19</v>
      </c>
      <c r="R78" s="51">
        <f>BL15</f>
        <v>0.17000000000000037</v>
      </c>
      <c r="S78" s="50">
        <f>BL16</f>
        <v>8.064472350111572E-2</v>
      </c>
      <c r="T78" s="51">
        <f>BL28</f>
        <v>8.249999999999913E-2</v>
      </c>
      <c r="U78" s="50">
        <f>BL29</f>
        <v>0.10111432708996845</v>
      </c>
      <c r="V78" s="51">
        <f>BL42</f>
        <v>3.2500000000000195E-2</v>
      </c>
      <c r="W78" s="50">
        <f>BL43</f>
        <v>0.1133696545440121</v>
      </c>
    </row>
    <row r="79" spans="1:78" ht="12" customHeight="1">
      <c r="A79" s="48">
        <v>20</v>
      </c>
      <c r="B79" s="12">
        <f>BN15</f>
        <v>22.988750000000003</v>
      </c>
      <c r="C79" s="50">
        <f>BM16</f>
        <v>0.36034581604738691</v>
      </c>
      <c r="D79" s="12">
        <f>BN28</f>
        <v>22.602499999999999</v>
      </c>
      <c r="E79" s="50">
        <f>BN29</f>
        <v>0.76218846094650394</v>
      </c>
      <c r="F79" s="12">
        <f>BN42</f>
        <v>22.3</v>
      </c>
      <c r="G79" s="50">
        <f>BN43</f>
        <v>0.31404617494884385</v>
      </c>
      <c r="H79" s="62">
        <f>BP15</f>
        <v>3.7312499999999997</v>
      </c>
      <c r="I79" s="64">
        <f>BP16</f>
        <v>0.40151693390725773</v>
      </c>
      <c r="J79" s="12">
        <f>BP28</f>
        <v>3.1937499999999996</v>
      </c>
      <c r="K79" s="50">
        <f>BP29</f>
        <v>0.42592310464616578</v>
      </c>
      <c r="L79" s="12">
        <f>BP42</f>
        <v>3.2300000000000004</v>
      </c>
      <c r="M79" s="50">
        <f>BP43</f>
        <v>0.92765641730730686</v>
      </c>
      <c r="N79" s="60"/>
      <c r="O79" s="60"/>
      <c r="P79" s="60"/>
      <c r="Q79" s="20">
        <v>20</v>
      </c>
      <c r="R79" s="51">
        <f>BO15</f>
        <v>0.1937499999999992</v>
      </c>
      <c r="S79" s="50">
        <f>BO16</f>
        <v>0.15316817904326152</v>
      </c>
      <c r="T79" s="51">
        <f>BO28</f>
        <v>0.20500000000000007</v>
      </c>
      <c r="U79" s="50">
        <f>BO29</f>
        <v>0.11072810973602983</v>
      </c>
      <c r="V79" s="51">
        <f>BO42</f>
        <v>0.13125000000000053</v>
      </c>
      <c r="W79" s="50">
        <f>BO43</f>
        <v>9.3358707222656642E-2</v>
      </c>
    </row>
    <row r="80" spans="1:78" ht="12" customHeight="1">
      <c r="A80" s="95">
        <v>21</v>
      </c>
      <c r="B80" s="35">
        <f>BQ15</f>
        <v>23.081250000000001</v>
      </c>
      <c r="C80" s="52">
        <f>BQ16</f>
        <v>0.67649157290707296</v>
      </c>
      <c r="D80" s="112">
        <f>BQ28</f>
        <v>22.862499999999997</v>
      </c>
      <c r="E80" s="52">
        <f>BQ29</f>
        <v>0.82250434215093549</v>
      </c>
      <c r="F80" s="112">
        <f>BQ42</f>
        <v>22.616250000000001</v>
      </c>
      <c r="G80" s="52">
        <f>BQ43</f>
        <v>0.33584082911403146</v>
      </c>
      <c r="H80" s="69">
        <f>BS15</f>
        <v>3.6300000000000012</v>
      </c>
      <c r="I80" s="70">
        <f>BS16</f>
        <v>0.33021637927706932</v>
      </c>
      <c r="J80" s="35">
        <f>BS28</f>
        <v>3.4537499999999999</v>
      </c>
      <c r="K80" s="52">
        <f>BS29</f>
        <v>0.47422093065514115</v>
      </c>
      <c r="L80" s="35">
        <f>BS42</f>
        <v>3.5462500000000006</v>
      </c>
      <c r="M80" s="52">
        <f>BS43</f>
        <v>0.88920497697180434</v>
      </c>
      <c r="N80" s="60"/>
      <c r="O80" s="60"/>
      <c r="P80" s="60"/>
      <c r="Q80" s="96">
        <v>21</v>
      </c>
      <c r="R80" s="54">
        <f>BR15</f>
        <v>9.2500000000000693E-2</v>
      </c>
      <c r="S80" s="52">
        <f>BR16</f>
        <v>0.12428006965835552</v>
      </c>
      <c r="T80" s="54">
        <f>BR28</f>
        <v>0.26000000000000023</v>
      </c>
      <c r="U80" s="52">
        <f>BR29</f>
        <v>0.11736694594305487</v>
      </c>
      <c r="V80" s="54">
        <f>BR42</f>
        <v>0.3162499999999997</v>
      </c>
      <c r="W80" s="52">
        <f>BR43</f>
        <v>0.15472253391151511</v>
      </c>
      <c r="BY80" s="60"/>
    </row>
    <row r="81" spans="1:77" ht="12" customHeight="1">
      <c r="A81" s="3"/>
      <c r="D81" s="62"/>
      <c r="E81" s="62"/>
      <c r="F81" s="62"/>
      <c r="G81" s="62"/>
      <c r="J81" s="60"/>
      <c r="K81" s="60"/>
      <c r="L81" s="60"/>
      <c r="BY81" s="60"/>
    </row>
    <row r="82" spans="1:77" ht="12" customHeight="1">
      <c r="A82" s="3"/>
      <c r="D82" s="60"/>
      <c r="E82" s="60"/>
      <c r="F82" s="60"/>
      <c r="H82" s="60"/>
      <c r="I82" s="60"/>
      <c r="J82" s="60"/>
      <c r="K82" s="60"/>
      <c r="L82" s="60"/>
      <c r="BY82" s="60"/>
    </row>
    <row r="83" spans="1:77" ht="12" customHeight="1">
      <c r="A83" s="60"/>
      <c r="D83" s="60"/>
      <c r="E83" s="60"/>
      <c r="F83" s="60"/>
      <c r="G83" s="60"/>
      <c r="H83" s="60"/>
      <c r="I83" s="60"/>
      <c r="J83" s="60"/>
      <c r="K83" s="60"/>
      <c r="L83" s="60"/>
      <c r="BY83" s="60"/>
    </row>
    <row r="84" spans="1:77" ht="12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BY84" s="60"/>
    </row>
    <row r="85" spans="1:77" ht="12" customHeight="1">
      <c r="A85" s="3"/>
      <c r="B85" s="60"/>
      <c r="C85" s="60"/>
      <c r="D85" s="60"/>
      <c r="E85" s="60"/>
      <c r="F85" s="60"/>
      <c r="H85" s="60"/>
      <c r="I85" s="60"/>
      <c r="J85" s="60"/>
      <c r="K85" s="60"/>
    </row>
    <row r="86" spans="1:77" ht="12" customHeight="1">
      <c r="A86" s="3"/>
      <c r="B86" s="60"/>
      <c r="C86" s="60"/>
      <c r="D86" s="60"/>
      <c r="E86" s="60"/>
      <c r="F86" s="60"/>
      <c r="H86" s="60"/>
      <c r="I86" s="60"/>
      <c r="J86" s="60"/>
      <c r="K86" s="60"/>
    </row>
    <row r="87" spans="1:77" ht="12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1:77" ht="12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spans="1:77" ht="12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spans="1:77" ht="12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spans="1:77" ht="12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spans="1:77" ht="12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1:77" ht="12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spans="1:77" ht="12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spans="1:77" ht="12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spans="1:77" ht="12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spans="1:78" ht="12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1:78" s="60" customFormat="1" ht="12" customHeight="1">
      <c r="BX98" s="12"/>
      <c r="BY98" s="12"/>
      <c r="BZ98" s="12"/>
    </row>
    <row r="99" spans="1:78" s="60" customFormat="1" ht="12" customHeight="1">
      <c r="B99" s="31"/>
      <c r="BX99" s="12"/>
      <c r="BY99" s="12"/>
      <c r="BZ99" s="12"/>
    </row>
    <row r="100" spans="1:78" s="60" customFormat="1" ht="12" customHeight="1">
      <c r="BY100" s="12"/>
    </row>
    <row r="101" spans="1:78" s="60" customFormat="1" ht="12" customHeight="1">
      <c r="BY101" s="12"/>
    </row>
    <row r="102" spans="1:78" s="60" customFormat="1" ht="12" customHeight="1">
      <c r="BY102" s="12"/>
    </row>
    <row r="103" spans="1:78" ht="12" customHeight="1">
      <c r="A103" s="60"/>
      <c r="B103" s="60"/>
      <c r="C103" s="60"/>
      <c r="D103" s="60"/>
      <c r="E103" s="60"/>
      <c r="F103" s="60"/>
      <c r="G103" s="60"/>
      <c r="H103" s="60"/>
      <c r="I103" s="60"/>
      <c r="BX103" s="60"/>
      <c r="BZ103" s="60"/>
    </row>
    <row r="104" spans="1:78" ht="12" customHeight="1">
      <c r="A104" s="60"/>
      <c r="B104" s="60"/>
      <c r="C104" s="60"/>
      <c r="D104" s="60"/>
      <c r="E104" s="60"/>
      <c r="F104" s="60"/>
      <c r="G104" s="60"/>
      <c r="H104" s="60"/>
      <c r="I104" s="60"/>
      <c r="BX104" s="60"/>
      <c r="BZ104" s="60"/>
    </row>
    <row r="105" spans="1:78" ht="12" customHeight="1">
      <c r="A105" s="60"/>
      <c r="B105" s="60"/>
      <c r="C105" s="60"/>
      <c r="D105" s="60"/>
      <c r="E105" s="60"/>
      <c r="F105" s="60"/>
      <c r="G105" s="60"/>
      <c r="H105" s="60"/>
      <c r="I105" s="60"/>
    </row>
    <row r="106" spans="1:78" ht="12" customHeight="1">
      <c r="A106" s="60"/>
      <c r="B106" s="60"/>
      <c r="C106" s="60"/>
      <c r="D106" s="60"/>
      <c r="E106" s="60"/>
      <c r="F106" s="60"/>
      <c r="G106" s="60"/>
      <c r="H106" s="60"/>
      <c r="I106" s="60"/>
    </row>
    <row r="107" spans="1:78" ht="12" customHeight="1">
      <c r="A107" s="60"/>
      <c r="B107" s="60"/>
      <c r="C107" s="60"/>
      <c r="D107" s="60"/>
      <c r="E107" s="60"/>
      <c r="F107" s="60"/>
      <c r="G107" s="60"/>
      <c r="H107" s="60"/>
      <c r="I107" s="60"/>
    </row>
  </sheetData>
  <sortState xmlns:xlrd2="http://schemas.microsoft.com/office/spreadsheetml/2017/richdata2" ref="BZ5:BZ32">
    <sortCondition ref="BZ5:BZ32"/>
  </sortState>
  <phoneticPr fontId="9" type="noConversion"/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f
Effect of Meal Feeding and Grazing on food selection (Male SD Rats)
(Anish Kundu FYP)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1C33-8350-4080-B0EB-6BBDB769CA99}">
  <dimension ref="A1:CN105"/>
  <sheetViews>
    <sheetView topLeftCell="A79" zoomScaleNormal="100" workbookViewId="0">
      <pane xSplit="1" topLeftCell="B1" activePane="topRight" state="frozen"/>
      <selection pane="topRight" activeCell="A55" sqref="A55:W78"/>
      <selection activeCell="A103" sqref="A103"/>
    </sheetView>
  </sheetViews>
  <sheetFormatPr defaultColWidth="9.5" defaultRowHeight="12" customHeight="1"/>
  <cols>
    <col min="1" max="1" width="9.5" style="12" customWidth="1"/>
    <col min="2" max="2" width="13.625" style="12" bestFit="1" customWidth="1"/>
    <col min="3" max="3" width="9.5" style="12" customWidth="1"/>
    <col min="4" max="4" width="10.625" style="12" customWidth="1"/>
    <col min="5" max="59" width="9.5" style="12" customWidth="1"/>
    <col min="60" max="60" width="9.5" style="12"/>
    <col min="61" max="62" width="9.625" style="12" bestFit="1" customWidth="1"/>
    <col min="63" max="16384" width="9.5" style="12"/>
  </cols>
  <sheetData>
    <row r="1" spans="1:92" s="3" customFormat="1" ht="12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I1" s="1" t="s">
        <v>4</v>
      </c>
      <c r="J1" s="1" t="s">
        <v>5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</row>
    <row r="2" spans="1:92" s="3" customFormat="1" ht="12" customHeight="1">
      <c r="L2" s="60"/>
      <c r="M2" s="60"/>
      <c r="N2" s="61"/>
      <c r="O2" s="60"/>
      <c r="P2" s="61"/>
      <c r="Q2" s="60"/>
      <c r="R2" s="61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L2" s="60"/>
      <c r="AM2" s="60"/>
      <c r="AN2" s="60"/>
      <c r="AO2" s="60"/>
      <c r="AP2" s="60"/>
      <c r="AQ2" s="60"/>
      <c r="AS2" s="60"/>
      <c r="AT2" s="60"/>
      <c r="AU2" s="60"/>
      <c r="AV2" s="60"/>
      <c r="AW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</row>
    <row r="3" spans="1:92" s="60" customFormat="1" ht="12" customHeight="1">
      <c r="A3" s="4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5" t="s">
        <v>194</v>
      </c>
      <c r="H3" s="4" t="s">
        <v>195</v>
      </c>
      <c r="I3" s="6" t="s">
        <v>196</v>
      </c>
      <c r="J3" s="5" t="s">
        <v>197</v>
      </c>
      <c r="K3" s="6" t="s">
        <v>198</v>
      </c>
      <c r="L3" s="5" t="s">
        <v>199</v>
      </c>
      <c r="M3" s="5" t="s">
        <v>200</v>
      </c>
      <c r="N3" s="6" t="s">
        <v>201</v>
      </c>
      <c r="O3" s="4" t="s">
        <v>202</v>
      </c>
      <c r="P3" s="5" t="s">
        <v>203</v>
      </c>
      <c r="Q3" s="5" t="s">
        <v>204</v>
      </c>
      <c r="R3" s="4" t="s">
        <v>205</v>
      </c>
      <c r="S3" s="5" t="s">
        <v>206</v>
      </c>
      <c r="T3" s="5" t="s">
        <v>207</v>
      </c>
      <c r="U3" s="4" t="s">
        <v>208</v>
      </c>
      <c r="V3" s="5" t="s">
        <v>209</v>
      </c>
      <c r="W3" s="6" t="s">
        <v>210</v>
      </c>
      <c r="X3" s="5" t="s">
        <v>211</v>
      </c>
      <c r="Y3" s="5" t="s">
        <v>212</v>
      </c>
      <c r="Z3" s="6" t="s">
        <v>213</v>
      </c>
      <c r="AA3" s="5" t="s">
        <v>214</v>
      </c>
      <c r="AB3" s="5" t="s">
        <v>215</v>
      </c>
      <c r="AC3" s="6" t="s">
        <v>216</v>
      </c>
      <c r="AD3" s="5" t="s">
        <v>217</v>
      </c>
      <c r="AE3" s="5" t="s">
        <v>218</v>
      </c>
      <c r="AF3" s="6" t="s">
        <v>219</v>
      </c>
      <c r="AG3" s="4" t="s">
        <v>220</v>
      </c>
      <c r="AH3" s="5" t="s">
        <v>221</v>
      </c>
      <c r="AI3" s="6" t="s">
        <v>222</v>
      </c>
      <c r="AJ3" s="4" t="s">
        <v>223</v>
      </c>
      <c r="AK3" s="5" t="s">
        <v>224</v>
      </c>
      <c r="AL3" s="6" t="s">
        <v>225</v>
      </c>
      <c r="AM3" s="5" t="s">
        <v>226</v>
      </c>
      <c r="AN3" s="5" t="s">
        <v>227</v>
      </c>
      <c r="AO3" s="6" t="s">
        <v>228</v>
      </c>
      <c r="AP3" s="5" t="s">
        <v>229</v>
      </c>
      <c r="AQ3" s="5" t="s">
        <v>230</v>
      </c>
      <c r="AR3" s="6" t="s">
        <v>231</v>
      </c>
      <c r="AS3" s="5" t="s">
        <v>232</v>
      </c>
      <c r="AT3" s="5" t="s">
        <v>233</v>
      </c>
      <c r="AU3" s="6" t="s">
        <v>234</v>
      </c>
      <c r="AV3" s="5" t="s">
        <v>235</v>
      </c>
      <c r="AW3" s="5" t="s">
        <v>236</v>
      </c>
      <c r="AX3" s="6" t="s">
        <v>237</v>
      </c>
      <c r="AY3" s="4" t="s">
        <v>238</v>
      </c>
      <c r="AZ3" s="5" t="s">
        <v>239</v>
      </c>
      <c r="BA3" s="6" t="s">
        <v>240</v>
      </c>
      <c r="BB3" s="4" t="s">
        <v>241</v>
      </c>
      <c r="BC3" s="5" t="s">
        <v>242</v>
      </c>
      <c r="BD3" s="6" t="s">
        <v>243</v>
      </c>
      <c r="BE3" s="5" t="s">
        <v>244</v>
      </c>
      <c r="BF3" s="5" t="s">
        <v>245</v>
      </c>
      <c r="BG3" s="6" t="s">
        <v>246</v>
      </c>
      <c r="BH3" s="5" t="s">
        <v>247</v>
      </c>
      <c r="BI3" s="5" t="s">
        <v>248</v>
      </c>
      <c r="BJ3" s="6" t="s">
        <v>249</v>
      </c>
      <c r="BK3" s="4" t="s">
        <v>250</v>
      </c>
      <c r="BL3" s="5" t="s">
        <v>251</v>
      </c>
      <c r="BM3" s="6" t="s">
        <v>252</v>
      </c>
      <c r="BN3" s="4" t="s">
        <v>253</v>
      </c>
      <c r="BO3" s="5" t="s">
        <v>254</v>
      </c>
      <c r="BP3" s="6" t="s">
        <v>255</v>
      </c>
      <c r="BQ3" s="4" t="s">
        <v>256</v>
      </c>
      <c r="BR3" s="5" t="s">
        <v>257</v>
      </c>
      <c r="BS3" s="6" t="s">
        <v>258</v>
      </c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</row>
    <row r="4" spans="1:92" s="60" customFormat="1" ht="12" customHeight="1">
      <c r="A4" s="131" t="s">
        <v>355</v>
      </c>
      <c r="B4" s="118" t="s">
        <v>356</v>
      </c>
      <c r="C4" s="138">
        <v>42548</v>
      </c>
      <c r="D4" s="12" t="s">
        <v>22</v>
      </c>
      <c r="E4" s="10" t="s">
        <v>262</v>
      </c>
      <c r="F4" s="11">
        <v>42587</v>
      </c>
      <c r="G4" s="10" t="s">
        <v>263</v>
      </c>
      <c r="H4" s="63">
        <v>18.18</v>
      </c>
      <c r="I4" s="64">
        <f>H16-H4</f>
        <v>0.21111111111111214</v>
      </c>
      <c r="J4" s="62">
        <v>18.940000000000001</v>
      </c>
      <c r="K4" s="64">
        <f>J4-H4</f>
        <v>0.76000000000000156</v>
      </c>
      <c r="L4" s="10">
        <v>19.21</v>
      </c>
      <c r="M4" s="62">
        <f>L4-J4</f>
        <v>0.26999999999999957</v>
      </c>
      <c r="N4" s="64">
        <f>K4+M4</f>
        <v>1.0300000000000011</v>
      </c>
      <c r="O4" s="63">
        <v>19.53</v>
      </c>
      <c r="P4" s="62">
        <f>O4-L4</f>
        <v>0.32000000000000028</v>
      </c>
      <c r="Q4" s="64">
        <f>N4+P4</f>
        <v>1.3500000000000014</v>
      </c>
      <c r="R4" s="63">
        <v>19.52</v>
      </c>
      <c r="S4" s="62">
        <f>R4-O4</f>
        <v>-1.0000000000001563E-2</v>
      </c>
      <c r="T4" s="64">
        <f>Q4+S4</f>
        <v>1.3399999999999999</v>
      </c>
      <c r="U4" s="63">
        <v>19.55</v>
      </c>
      <c r="V4" s="62">
        <f>U4-R4</f>
        <v>3.0000000000001137E-2</v>
      </c>
      <c r="W4" s="64">
        <f>T4+V4</f>
        <v>1.370000000000001</v>
      </c>
      <c r="X4" s="62">
        <v>19.89</v>
      </c>
      <c r="Y4" s="62">
        <f>X4-U4</f>
        <v>0.33999999999999986</v>
      </c>
      <c r="Z4" s="64">
        <f>W4+Y4</f>
        <v>1.7100000000000009</v>
      </c>
      <c r="AA4" s="62">
        <v>20.22</v>
      </c>
      <c r="AB4" s="62">
        <f>AA4-X4</f>
        <v>0.32999999999999829</v>
      </c>
      <c r="AC4" s="64">
        <f>Z4+AB4</f>
        <v>2.0399999999999991</v>
      </c>
      <c r="AD4" s="62">
        <v>20.83</v>
      </c>
      <c r="AE4" s="62">
        <f>AD4-AA4</f>
        <v>0.60999999999999943</v>
      </c>
      <c r="AF4" s="64">
        <f>AC4+AE4</f>
        <v>2.6499999999999986</v>
      </c>
      <c r="AG4" s="63">
        <v>20.97</v>
      </c>
      <c r="AH4" s="62">
        <f>AG4-AD4</f>
        <v>0.14000000000000057</v>
      </c>
      <c r="AI4" s="64">
        <f>AF4+AH4</f>
        <v>2.7899999999999991</v>
      </c>
      <c r="AJ4" s="63">
        <v>21.25</v>
      </c>
      <c r="AK4" s="62">
        <f>AJ4-AG4</f>
        <v>0.28000000000000114</v>
      </c>
      <c r="AL4" s="64">
        <f>AI4+AK4</f>
        <v>3.0700000000000003</v>
      </c>
      <c r="AM4" s="62">
        <v>21.2</v>
      </c>
      <c r="AN4" s="62">
        <f>AM4-AJ4</f>
        <v>-5.0000000000000711E-2</v>
      </c>
      <c r="AO4" s="64">
        <f>AL4+AN4</f>
        <v>3.0199999999999996</v>
      </c>
      <c r="AP4" s="62">
        <v>21.47</v>
      </c>
      <c r="AQ4" s="62">
        <f>AP4-AM4</f>
        <v>0.26999999999999957</v>
      </c>
      <c r="AR4" s="64">
        <f>AO4+AQ4</f>
        <v>3.2899999999999991</v>
      </c>
      <c r="AS4" s="62">
        <v>21.46</v>
      </c>
      <c r="AT4" s="62">
        <f>AS4-AP4</f>
        <v>-9.9999999999980105E-3</v>
      </c>
      <c r="AU4" s="64">
        <f>AR4+AT4</f>
        <v>3.2800000000000011</v>
      </c>
      <c r="AV4" s="62">
        <v>21.44</v>
      </c>
      <c r="AW4" s="62">
        <f>AV4-AS4</f>
        <v>-1.9999999999999574E-2</v>
      </c>
      <c r="AX4" s="64">
        <f>AU4+AW4</f>
        <v>3.2600000000000016</v>
      </c>
      <c r="AY4" s="63">
        <v>21.28</v>
      </c>
      <c r="AZ4" s="62">
        <f>AY4-AV4</f>
        <v>-0.16000000000000014</v>
      </c>
      <c r="BA4" s="64">
        <f>AX4+AZ4</f>
        <v>3.1000000000000014</v>
      </c>
      <c r="BB4" s="63">
        <v>21.65</v>
      </c>
      <c r="BC4" s="62">
        <f>BB4-AY4</f>
        <v>0.36999999999999744</v>
      </c>
      <c r="BD4" s="64">
        <f>BA4+BC4</f>
        <v>3.4699999999999989</v>
      </c>
      <c r="BE4" s="62">
        <v>21.63</v>
      </c>
      <c r="BF4" s="62">
        <f>BE4-BB4</f>
        <v>-1.9999999999999574E-2</v>
      </c>
      <c r="BG4" s="64">
        <f>BD4+BF4</f>
        <v>3.4499999999999993</v>
      </c>
      <c r="BH4" s="62">
        <v>21.54</v>
      </c>
      <c r="BI4" s="62">
        <f>BH4-BE4</f>
        <v>-8.9999999999999858E-2</v>
      </c>
      <c r="BJ4" s="64">
        <f>BG4+BI4</f>
        <v>3.3599999999999994</v>
      </c>
      <c r="BK4" s="63">
        <v>21.92</v>
      </c>
      <c r="BL4" s="62">
        <f>BK4-BH4</f>
        <v>0.38000000000000256</v>
      </c>
      <c r="BM4" s="64">
        <f>BJ4+BL4</f>
        <v>3.740000000000002</v>
      </c>
      <c r="BN4" s="63">
        <v>21.66</v>
      </c>
      <c r="BO4" s="62">
        <f>BN4-BK4</f>
        <v>-0.26000000000000156</v>
      </c>
      <c r="BP4" s="64">
        <f>BM4+BO4</f>
        <v>3.4800000000000004</v>
      </c>
      <c r="BQ4" s="63">
        <v>22.07</v>
      </c>
      <c r="BR4" s="62">
        <f>BQ4-BN4</f>
        <v>0.41000000000000014</v>
      </c>
      <c r="BS4" s="130">
        <f>BP4+BR4</f>
        <v>3.8900000000000006</v>
      </c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</row>
    <row r="5" spans="1:92" s="60" customFormat="1" ht="12" customHeight="1">
      <c r="A5" s="9" t="s">
        <v>357</v>
      </c>
      <c r="B5" s="116" t="s">
        <v>358</v>
      </c>
      <c r="C5" s="138">
        <v>42548</v>
      </c>
      <c r="D5" s="12" t="s">
        <v>22</v>
      </c>
      <c r="E5" s="10" t="s">
        <v>262</v>
      </c>
      <c r="F5" s="11">
        <v>42587</v>
      </c>
      <c r="G5" s="10" t="s">
        <v>263</v>
      </c>
      <c r="H5" s="63">
        <v>17.29</v>
      </c>
      <c r="I5" s="64">
        <f>H16-H5</f>
        <v>1.1011111111111127</v>
      </c>
      <c r="J5" s="62">
        <v>17.190000000000001</v>
      </c>
      <c r="K5" s="64">
        <f>J5-H5</f>
        <v>-9.9999999999997868E-2</v>
      </c>
      <c r="L5" s="10">
        <v>17.78</v>
      </c>
      <c r="M5" s="62">
        <f>L5-J5</f>
        <v>0.58999999999999986</v>
      </c>
      <c r="N5" s="64">
        <f>K5+M5</f>
        <v>0.49000000000000199</v>
      </c>
      <c r="O5" s="63">
        <v>18.25</v>
      </c>
      <c r="P5" s="62">
        <f t="shared" ref="P5:P6" si="0">O5-L5</f>
        <v>0.46999999999999886</v>
      </c>
      <c r="Q5" s="64">
        <f t="shared" ref="Q5:Q6" si="1">N5+P5</f>
        <v>0.96000000000000085</v>
      </c>
      <c r="R5" s="63">
        <v>18.09</v>
      </c>
      <c r="S5" s="62">
        <f>R5-O5</f>
        <v>-0.16000000000000014</v>
      </c>
      <c r="T5" s="64">
        <f>Q5+S5</f>
        <v>0.80000000000000071</v>
      </c>
      <c r="U5" s="63">
        <v>18.559999999999999</v>
      </c>
      <c r="V5" s="62">
        <f t="shared" ref="V5:V6" si="2">U5-R5</f>
        <v>0.46999999999999886</v>
      </c>
      <c r="W5" s="64">
        <f t="shared" ref="W5" si="3">T5+V5</f>
        <v>1.2699999999999996</v>
      </c>
      <c r="X5" s="62">
        <v>19.05</v>
      </c>
      <c r="Y5" s="62">
        <f t="shared" ref="Y5" si="4">X5-U5</f>
        <v>0.49000000000000199</v>
      </c>
      <c r="Z5" s="64">
        <f t="shared" ref="Z5:Z6" si="5">W5+Y5</f>
        <v>1.7600000000000016</v>
      </c>
      <c r="AA5" s="62">
        <v>19.190000000000001</v>
      </c>
      <c r="AB5" s="62">
        <f t="shared" ref="AB5:AB6" si="6">AA5-X5</f>
        <v>0.14000000000000057</v>
      </c>
      <c r="AC5" s="64">
        <f t="shared" ref="AC5:AC6" si="7">Z5+AB5</f>
        <v>1.9000000000000021</v>
      </c>
      <c r="AD5" s="62">
        <v>19.29</v>
      </c>
      <c r="AE5" s="62">
        <f t="shared" ref="AE5:AE6" si="8">AD5-AA5</f>
        <v>9.9999999999997868E-2</v>
      </c>
      <c r="AF5" s="64">
        <f t="shared" ref="AF5:AF6" si="9">AC5+AE5</f>
        <v>2</v>
      </c>
      <c r="AG5" s="63">
        <v>20.05</v>
      </c>
      <c r="AH5" s="62">
        <f>AG5-AD5</f>
        <v>0.76000000000000156</v>
      </c>
      <c r="AI5" s="64">
        <f>AF5+AH5</f>
        <v>2.7600000000000016</v>
      </c>
      <c r="AJ5" s="63">
        <v>20.149999999999999</v>
      </c>
      <c r="AK5" s="62">
        <f t="shared" ref="AK5:AK6" si="10">AJ5-AG5</f>
        <v>9.9999999999997868E-2</v>
      </c>
      <c r="AL5" s="64">
        <f t="shared" ref="AL5:AL6" si="11">AI5+AK5</f>
        <v>2.8599999999999994</v>
      </c>
      <c r="AM5" s="62">
        <v>20.350000000000001</v>
      </c>
      <c r="AN5" s="62">
        <f>AM5-AJ5</f>
        <v>0.20000000000000284</v>
      </c>
      <c r="AO5" s="64">
        <f>AL5+AN5</f>
        <v>3.0600000000000023</v>
      </c>
      <c r="AP5" s="62">
        <v>20.25</v>
      </c>
      <c r="AQ5" s="62">
        <f>AP5-AM5</f>
        <v>-0.10000000000000142</v>
      </c>
      <c r="AR5" s="64">
        <f>AO5+AQ5</f>
        <v>2.9600000000000009</v>
      </c>
      <c r="AS5" s="62">
        <v>20.64</v>
      </c>
      <c r="AT5" s="62">
        <f>AS5-AP5</f>
        <v>0.39000000000000057</v>
      </c>
      <c r="AU5" s="64">
        <f>AR5+AT5</f>
        <v>3.3500000000000014</v>
      </c>
      <c r="AV5" s="62">
        <v>20.49</v>
      </c>
      <c r="AW5" s="62">
        <f>AV5-AS5</f>
        <v>-0.15000000000000213</v>
      </c>
      <c r="AX5" s="64">
        <f>AU5+AW5</f>
        <v>3.1999999999999993</v>
      </c>
      <c r="AY5" s="63">
        <v>20.7</v>
      </c>
      <c r="AZ5" s="62">
        <f>AY5-AV5</f>
        <v>0.21000000000000085</v>
      </c>
      <c r="BA5" s="64">
        <f>AX5+AZ5</f>
        <v>3.41</v>
      </c>
      <c r="BB5" s="63">
        <v>20.89</v>
      </c>
      <c r="BC5" s="62">
        <f>BB5-AY5</f>
        <v>0.19000000000000128</v>
      </c>
      <c r="BD5" s="64">
        <f>BA5+BC5</f>
        <v>3.6000000000000014</v>
      </c>
      <c r="BE5" s="62">
        <v>21.03</v>
      </c>
      <c r="BF5" s="62">
        <f t="shared" ref="BF5:BF6" si="12">BE5-BB5</f>
        <v>0.14000000000000057</v>
      </c>
      <c r="BG5" s="64">
        <f t="shared" ref="BG5:BG6" si="13">BD5+BF5</f>
        <v>3.740000000000002</v>
      </c>
      <c r="BH5" s="62">
        <v>21.17</v>
      </c>
      <c r="BI5" s="62">
        <f t="shared" ref="BI5:BI6" si="14">BH5-BE5</f>
        <v>0.14000000000000057</v>
      </c>
      <c r="BJ5" s="64">
        <f t="shared" ref="BJ5:BJ6" si="15">BG5+BI5</f>
        <v>3.8800000000000026</v>
      </c>
      <c r="BK5" s="63">
        <v>21.41</v>
      </c>
      <c r="BL5" s="62">
        <f>BK5-BH5</f>
        <v>0.23999999999999844</v>
      </c>
      <c r="BM5" s="64">
        <f>BJ5+BL5</f>
        <v>4.120000000000001</v>
      </c>
      <c r="BN5" s="63">
        <v>21.55</v>
      </c>
      <c r="BO5" s="62">
        <f t="shared" ref="BO5:BO6" si="16">BN5-BK5</f>
        <v>0.14000000000000057</v>
      </c>
      <c r="BP5" s="64">
        <f t="shared" ref="BP5:BP6" si="17">BM5+BO5</f>
        <v>4.2600000000000016</v>
      </c>
      <c r="BQ5" s="63">
        <v>21.73</v>
      </c>
      <c r="BR5" s="62">
        <f>BQ5-BN5</f>
        <v>0.17999999999999972</v>
      </c>
      <c r="BS5" s="214">
        <f>BP5+BR5</f>
        <v>4.4400000000000013</v>
      </c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</row>
    <row r="6" spans="1:92" s="60" customFormat="1" ht="12" customHeight="1">
      <c r="A6" s="9" t="s">
        <v>359</v>
      </c>
      <c r="B6" s="116" t="s">
        <v>360</v>
      </c>
      <c r="C6" s="142">
        <v>42550</v>
      </c>
      <c r="D6" s="12" t="s">
        <v>22</v>
      </c>
      <c r="E6" s="10" t="s">
        <v>262</v>
      </c>
      <c r="F6" s="11">
        <v>42587</v>
      </c>
      <c r="G6" s="10" t="s">
        <v>263</v>
      </c>
      <c r="H6" s="63">
        <v>20.309999999999999</v>
      </c>
      <c r="I6" s="64">
        <f>H16-H6</f>
        <v>-1.9188888888888869</v>
      </c>
      <c r="J6" s="62">
        <v>19.93</v>
      </c>
      <c r="K6" s="64">
        <f>J6-H6</f>
        <v>-0.37999999999999901</v>
      </c>
      <c r="L6" s="10">
        <v>19.88</v>
      </c>
      <c r="M6" s="62">
        <f>L6-J6</f>
        <v>-5.0000000000000711E-2</v>
      </c>
      <c r="N6" s="64">
        <f>K6+M6</f>
        <v>-0.42999999999999972</v>
      </c>
      <c r="O6" s="63">
        <v>19.73</v>
      </c>
      <c r="P6" s="62">
        <f t="shared" si="0"/>
        <v>-0.14999999999999858</v>
      </c>
      <c r="Q6" s="64">
        <f t="shared" si="1"/>
        <v>-0.57999999999999829</v>
      </c>
      <c r="R6" s="63">
        <v>19.600000000000001</v>
      </c>
      <c r="S6" s="62">
        <f>R6-O6</f>
        <v>-0.12999999999999901</v>
      </c>
      <c r="T6" s="64">
        <f>Q6+S6</f>
        <v>-0.7099999999999973</v>
      </c>
      <c r="U6" s="63">
        <v>19.68</v>
      </c>
      <c r="V6" s="62">
        <f t="shared" si="2"/>
        <v>7.9999999999998295E-2</v>
      </c>
      <c r="W6" s="64">
        <f>T6+V6</f>
        <v>-0.62999999999999901</v>
      </c>
      <c r="X6" s="62">
        <v>19.68</v>
      </c>
      <c r="Y6" s="62">
        <f>X6-U6</f>
        <v>0</v>
      </c>
      <c r="Z6" s="64">
        <f t="shared" si="5"/>
        <v>-0.62999999999999901</v>
      </c>
      <c r="AA6" s="62">
        <v>19.809999999999999</v>
      </c>
      <c r="AB6" s="62">
        <f t="shared" si="6"/>
        <v>0.12999999999999901</v>
      </c>
      <c r="AC6" s="64">
        <f t="shared" si="7"/>
        <v>-0.5</v>
      </c>
      <c r="AD6" s="62">
        <v>20.03</v>
      </c>
      <c r="AE6" s="62">
        <f t="shared" si="8"/>
        <v>0.22000000000000242</v>
      </c>
      <c r="AF6" s="64">
        <f t="shared" si="9"/>
        <v>-0.27999999999999758</v>
      </c>
      <c r="AG6" s="63">
        <v>20.09</v>
      </c>
      <c r="AH6" s="62">
        <f>AG6-AD6</f>
        <v>5.9999999999998721E-2</v>
      </c>
      <c r="AI6" s="64">
        <f>AF6+AH6</f>
        <v>-0.21999999999999886</v>
      </c>
      <c r="AJ6" s="63">
        <v>20</v>
      </c>
      <c r="AK6" s="62">
        <f t="shared" si="10"/>
        <v>-8.9999999999999858E-2</v>
      </c>
      <c r="AL6" s="64">
        <f t="shared" si="11"/>
        <v>-0.30999999999999872</v>
      </c>
      <c r="AM6" s="62">
        <v>20.18</v>
      </c>
      <c r="AN6" s="62">
        <f>AM6-AJ6</f>
        <v>0.17999999999999972</v>
      </c>
      <c r="AO6" s="64">
        <f>AL6+AN6</f>
        <v>-0.12999999999999901</v>
      </c>
      <c r="AP6" s="62">
        <v>19.670000000000002</v>
      </c>
      <c r="AQ6" s="62">
        <f>AP6-AM6</f>
        <v>-0.50999999999999801</v>
      </c>
      <c r="AR6" s="64">
        <f>AO6+AQ6</f>
        <v>-0.63999999999999702</v>
      </c>
      <c r="AS6" s="62">
        <v>19.82</v>
      </c>
      <c r="AT6" s="62">
        <f>AS6-AP6</f>
        <v>0.14999999999999858</v>
      </c>
      <c r="AU6" s="64">
        <f>AR6+AT6</f>
        <v>-0.48999999999999844</v>
      </c>
      <c r="AV6" s="62">
        <v>19.97</v>
      </c>
      <c r="AW6" s="62">
        <f>AV6-AS6</f>
        <v>0.14999999999999858</v>
      </c>
      <c r="AX6" s="64">
        <f>AU6+AW6</f>
        <v>-0.33999999999999986</v>
      </c>
      <c r="AY6" s="63">
        <v>19.940000000000001</v>
      </c>
      <c r="AZ6" s="62">
        <f>AY6-AV6</f>
        <v>-2.9999999999997584E-2</v>
      </c>
      <c r="BA6" s="64">
        <f>AX6+AZ6</f>
        <v>-0.36999999999999744</v>
      </c>
      <c r="BB6" s="63">
        <v>20.170000000000002</v>
      </c>
      <c r="BC6" s="62">
        <f>BB6-AY6</f>
        <v>0.23000000000000043</v>
      </c>
      <c r="BD6" s="64">
        <f>BA6+BC6</f>
        <v>-0.13999999999999702</v>
      </c>
      <c r="BE6" s="62">
        <v>20.11</v>
      </c>
      <c r="BF6" s="62">
        <f t="shared" si="12"/>
        <v>-6.0000000000002274E-2</v>
      </c>
      <c r="BG6" s="64">
        <f t="shared" si="13"/>
        <v>-0.19999999999999929</v>
      </c>
      <c r="BH6" s="62">
        <v>20.65</v>
      </c>
      <c r="BI6" s="62">
        <f t="shared" si="14"/>
        <v>0.53999999999999915</v>
      </c>
      <c r="BJ6" s="64">
        <f t="shared" si="15"/>
        <v>0.33999999999999986</v>
      </c>
      <c r="BK6" s="63">
        <v>20.16</v>
      </c>
      <c r="BL6" s="62">
        <f>BK6-BH6</f>
        <v>-0.48999999999999844</v>
      </c>
      <c r="BM6" s="64">
        <f>BJ6+BL6</f>
        <v>-0.14999999999999858</v>
      </c>
      <c r="BN6" s="63">
        <v>20.309999999999999</v>
      </c>
      <c r="BO6" s="62">
        <f t="shared" si="16"/>
        <v>0.14999999999999858</v>
      </c>
      <c r="BP6" s="64">
        <f t="shared" si="17"/>
        <v>0</v>
      </c>
      <c r="BQ6" s="63">
        <v>20.74</v>
      </c>
      <c r="BR6" s="62">
        <f>BQ6-BN6</f>
        <v>0.42999999999999972</v>
      </c>
      <c r="BS6" s="64">
        <f>BP6+BR6</f>
        <v>0.42999999999999972</v>
      </c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60" customFormat="1" ht="12" customHeight="1">
      <c r="A7" s="133" t="s">
        <v>361</v>
      </c>
      <c r="B7" s="116" t="s">
        <v>362</v>
      </c>
      <c r="C7" s="142">
        <v>42559</v>
      </c>
      <c r="D7" s="12" t="s">
        <v>22</v>
      </c>
      <c r="E7" s="10" t="s">
        <v>262</v>
      </c>
      <c r="F7" s="11" t="s">
        <v>271</v>
      </c>
      <c r="G7" s="10" t="s">
        <v>263</v>
      </c>
      <c r="H7" s="63">
        <v>16.54</v>
      </c>
      <c r="I7" s="64">
        <f>H16-H7</f>
        <v>1.8511111111111127</v>
      </c>
      <c r="J7" s="62">
        <v>16.91</v>
      </c>
      <c r="K7" s="64">
        <f t="shared" ref="K7:K12" si="18">J7-H7</f>
        <v>0.37000000000000099</v>
      </c>
      <c r="L7" s="62">
        <v>17.52</v>
      </c>
      <c r="M7" s="62">
        <f t="shared" ref="M7:M8" si="19">L7-J7</f>
        <v>0.60999999999999943</v>
      </c>
      <c r="N7" s="64">
        <f t="shared" ref="N7:N8" si="20">K7+M7</f>
        <v>0.98000000000000043</v>
      </c>
      <c r="O7" s="63">
        <v>17.559999999999999</v>
      </c>
      <c r="P7" s="62">
        <f t="shared" ref="P7:P8" si="21">O7-L7</f>
        <v>3.9999999999999147E-2</v>
      </c>
      <c r="Q7" s="64">
        <f t="shared" ref="Q7:Q8" si="22">N7+P7</f>
        <v>1.0199999999999996</v>
      </c>
      <c r="R7" s="63">
        <v>17.53</v>
      </c>
      <c r="S7" s="62">
        <f t="shared" ref="S7:S11" si="23">R7-O7</f>
        <v>-2.9999999999997584E-2</v>
      </c>
      <c r="T7" s="64">
        <f t="shared" ref="T7:T11" si="24">Q7+S7</f>
        <v>0.99000000000000199</v>
      </c>
      <c r="U7" s="63">
        <v>17.920000000000002</v>
      </c>
      <c r="V7" s="62">
        <f t="shared" ref="V7:V8" si="25">U7-R7</f>
        <v>0.39000000000000057</v>
      </c>
      <c r="W7" s="64">
        <f t="shared" ref="W7:W8" si="26">T7+V7</f>
        <v>1.3800000000000026</v>
      </c>
      <c r="X7" s="62">
        <v>18.05</v>
      </c>
      <c r="Y7" s="62">
        <f t="shared" ref="Y7:Y11" si="27">X7-U7</f>
        <v>0.12999999999999901</v>
      </c>
      <c r="Z7" s="64">
        <f t="shared" ref="Z7:Z11" si="28">W7+Y7</f>
        <v>1.5100000000000016</v>
      </c>
      <c r="AA7" s="62">
        <v>18.05</v>
      </c>
      <c r="AB7" s="62">
        <f t="shared" ref="AB7:AB8" si="29">AA7-X7</f>
        <v>0</v>
      </c>
      <c r="AC7" s="64">
        <f t="shared" ref="AC7:AC8" si="30">Z7+AB7</f>
        <v>1.5100000000000016</v>
      </c>
      <c r="AD7" s="62">
        <v>18.04</v>
      </c>
      <c r="AE7" s="62">
        <f t="shared" ref="AE7:AE8" si="31">AD7-AA7</f>
        <v>-1.0000000000001563E-2</v>
      </c>
      <c r="AF7" s="64">
        <f t="shared" ref="AF7:AF8" si="32">AC7+AE7</f>
        <v>1.5</v>
      </c>
      <c r="AG7" s="63">
        <v>18.48</v>
      </c>
      <c r="AH7" s="62">
        <f t="shared" ref="AH7:AH11" si="33">AG7-AD7</f>
        <v>0.44000000000000128</v>
      </c>
      <c r="AI7" s="64">
        <f t="shared" ref="AI7:AI11" si="34">AF7+AH7</f>
        <v>1.9400000000000013</v>
      </c>
      <c r="AJ7" s="63">
        <v>18.88</v>
      </c>
      <c r="AK7" s="62">
        <f t="shared" ref="AK7:AK8" si="35">AJ7-AG7</f>
        <v>0.39999999999999858</v>
      </c>
      <c r="AL7" s="64">
        <f t="shared" ref="AL7:AL8" si="36">AI7+AK7</f>
        <v>2.34</v>
      </c>
      <c r="AM7" s="62">
        <v>19.07</v>
      </c>
      <c r="AN7" s="62">
        <f t="shared" ref="AN7:AN11" si="37">AM7-AJ7</f>
        <v>0.19000000000000128</v>
      </c>
      <c r="AO7" s="64">
        <f t="shared" ref="AO7:AO11" si="38">AL7+AN7</f>
        <v>2.5300000000000011</v>
      </c>
      <c r="AP7" s="62">
        <v>19.39</v>
      </c>
      <c r="AQ7" s="62">
        <f t="shared" ref="AQ7:AQ8" si="39">AP7-AM7</f>
        <v>0.32000000000000028</v>
      </c>
      <c r="AR7" s="64">
        <f t="shared" ref="AR7:AR8" si="40">AO7+AQ7</f>
        <v>2.8500000000000014</v>
      </c>
      <c r="AS7" s="62">
        <v>19.48</v>
      </c>
      <c r="AT7" s="62">
        <f t="shared" ref="AT7:AT11" si="41">AS7-AP7</f>
        <v>8.9999999999999858E-2</v>
      </c>
      <c r="AU7" s="64">
        <f t="shared" ref="AU7:AU11" si="42">AR7+AT7</f>
        <v>2.9400000000000013</v>
      </c>
      <c r="AV7" s="62">
        <v>19.46</v>
      </c>
      <c r="AW7" s="62">
        <f t="shared" ref="AW7:AW8" si="43">AV7-AS7</f>
        <v>-1.9999999999999574E-2</v>
      </c>
      <c r="AX7" s="64">
        <f t="shared" ref="AX7:AX8" si="44">AU7+AW7</f>
        <v>2.9200000000000017</v>
      </c>
      <c r="AY7" s="63">
        <v>19.91</v>
      </c>
      <c r="AZ7" s="62">
        <f t="shared" ref="AZ7:AZ8" si="45">AY7-AV7</f>
        <v>0.44999999999999929</v>
      </c>
      <c r="BA7" s="64">
        <f t="shared" ref="BA7:BA8" si="46">AX7+AZ7</f>
        <v>3.370000000000001</v>
      </c>
      <c r="BB7" s="63">
        <v>20</v>
      </c>
      <c r="BC7" s="62">
        <f t="shared" ref="BC7:BC8" si="47">BB7-AY7</f>
        <v>8.9999999999999858E-2</v>
      </c>
      <c r="BD7" s="64">
        <f t="shared" ref="BD7:BD8" si="48">BA7+BC7</f>
        <v>3.4600000000000009</v>
      </c>
      <c r="BE7" s="62">
        <v>20.100000000000001</v>
      </c>
      <c r="BF7" s="62">
        <f t="shared" ref="BF7:BF8" si="49">BE7-BB7</f>
        <v>0.10000000000000142</v>
      </c>
      <c r="BG7" s="64">
        <f t="shared" ref="BG7:BG8" si="50">BD7+BF7</f>
        <v>3.5600000000000023</v>
      </c>
      <c r="BH7" s="62">
        <v>20.41</v>
      </c>
      <c r="BI7" s="62">
        <f t="shared" ref="BI7:BI8" si="51">BH7-BE7</f>
        <v>0.30999999999999872</v>
      </c>
      <c r="BJ7" s="64">
        <f t="shared" ref="BJ7:BJ8" si="52">BG7+BI7</f>
        <v>3.870000000000001</v>
      </c>
      <c r="BK7" s="63">
        <v>20.2</v>
      </c>
      <c r="BL7" s="62">
        <f t="shared" ref="BL7:BL11" si="53">BK7-BH7</f>
        <v>-0.21000000000000085</v>
      </c>
      <c r="BM7" s="64">
        <f t="shared" ref="BM7:BM11" si="54">BJ7+BL7</f>
        <v>3.66</v>
      </c>
      <c r="BN7" s="63">
        <v>20.58</v>
      </c>
      <c r="BO7" s="62">
        <f t="shared" ref="BO7:BO11" si="55">BN7-BK7</f>
        <v>0.37999999999999901</v>
      </c>
      <c r="BP7" s="64">
        <f t="shared" ref="BP7:BP11" si="56">BM7+BO7</f>
        <v>4.0399999999999991</v>
      </c>
      <c r="BQ7" s="63">
        <v>20.309999999999999</v>
      </c>
      <c r="BR7" s="62">
        <f t="shared" ref="BR7:BR8" si="57">BQ7-BN7</f>
        <v>-0.26999999999999957</v>
      </c>
      <c r="BS7" s="64">
        <f t="shared" ref="BS7:BS8" si="58">BP7+BR7</f>
        <v>3.7699999999999996</v>
      </c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</row>
    <row r="8" spans="1:92" s="60" customFormat="1" ht="12" customHeight="1">
      <c r="A8" s="133" t="s">
        <v>363</v>
      </c>
      <c r="B8" s="116" t="s">
        <v>364</v>
      </c>
      <c r="C8" s="142">
        <v>42559</v>
      </c>
      <c r="D8" s="12" t="s">
        <v>22</v>
      </c>
      <c r="E8" s="10" t="s">
        <v>262</v>
      </c>
      <c r="F8" s="11" t="s">
        <v>271</v>
      </c>
      <c r="G8" s="10" t="s">
        <v>263</v>
      </c>
      <c r="H8" s="63">
        <v>17.46</v>
      </c>
      <c r="I8" s="64">
        <f>H16-H8</f>
        <v>0.931111111111111</v>
      </c>
      <c r="J8" s="62">
        <v>17.68</v>
      </c>
      <c r="K8" s="64">
        <f t="shared" si="18"/>
        <v>0.21999999999999886</v>
      </c>
      <c r="L8" s="62">
        <v>17.93</v>
      </c>
      <c r="M8" s="62">
        <f t="shared" si="19"/>
        <v>0.25</v>
      </c>
      <c r="N8" s="64">
        <f t="shared" si="20"/>
        <v>0.46999999999999886</v>
      </c>
      <c r="O8" s="63">
        <v>17.760000000000002</v>
      </c>
      <c r="P8" s="62">
        <f t="shared" si="21"/>
        <v>-0.16999999999999815</v>
      </c>
      <c r="Q8" s="64">
        <f t="shared" si="22"/>
        <v>0.30000000000000071</v>
      </c>
      <c r="R8" s="63">
        <v>17.86</v>
      </c>
      <c r="S8" s="62">
        <f t="shared" si="23"/>
        <v>9.9999999999997868E-2</v>
      </c>
      <c r="T8" s="64">
        <f t="shared" si="24"/>
        <v>0.39999999999999858</v>
      </c>
      <c r="U8" s="63">
        <v>17.88</v>
      </c>
      <c r="V8" s="62">
        <f t="shared" si="25"/>
        <v>1.9999999999999574E-2</v>
      </c>
      <c r="W8" s="64">
        <f t="shared" si="26"/>
        <v>0.41999999999999815</v>
      </c>
      <c r="X8" s="62">
        <v>17.64</v>
      </c>
      <c r="Y8" s="62">
        <f t="shared" si="27"/>
        <v>-0.23999999999999844</v>
      </c>
      <c r="Z8" s="64">
        <f t="shared" si="28"/>
        <v>0.17999999999999972</v>
      </c>
      <c r="AA8" s="62">
        <v>17.38</v>
      </c>
      <c r="AB8" s="62">
        <f t="shared" si="29"/>
        <v>-0.26000000000000156</v>
      </c>
      <c r="AC8" s="64">
        <f t="shared" si="30"/>
        <v>-8.0000000000001847E-2</v>
      </c>
      <c r="AD8" s="62">
        <v>17.739999999999998</v>
      </c>
      <c r="AE8" s="62">
        <f t="shared" si="31"/>
        <v>0.35999999999999943</v>
      </c>
      <c r="AF8" s="64">
        <f t="shared" si="32"/>
        <v>0.27999999999999758</v>
      </c>
      <c r="AG8" s="63">
        <v>17.98</v>
      </c>
      <c r="AH8" s="62">
        <f t="shared" si="33"/>
        <v>0.24000000000000199</v>
      </c>
      <c r="AI8" s="64">
        <f t="shared" si="34"/>
        <v>0.51999999999999957</v>
      </c>
      <c r="AJ8" s="63">
        <v>17.77</v>
      </c>
      <c r="AK8" s="62">
        <f t="shared" si="35"/>
        <v>-0.21000000000000085</v>
      </c>
      <c r="AL8" s="64">
        <f t="shared" si="36"/>
        <v>0.30999999999999872</v>
      </c>
      <c r="AM8" s="62">
        <v>17.829999999999998</v>
      </c>
      <c r="AN8" s="62">
        <f t="shared" si="37"/>
        <v>5.9999999999998721E-2</v>
      </c>
      <c r="AO8" s="64">
        <f t="shared" si="38"/>
        <v>0.36999999999999744</v>
      </c>
      <c r="AP8" s="62">
        <v>17.829999999999998</v>
      </c>
      <c r="AQ8" s="62">
        <f t="shared" si="39"/>
        <v>0</v>
      </c>
      <c r="AR8" s="64">
        <f t="shared" si="40"/>
        <v>0.36999999999999744</v>
      </c>
      <c r="AS8" s="62">
        <v>18</v>
      </c>
      <c r="AT8" s="62">
        <f t="shared" si="41"/>
        <v>0.17000000000000171</v>
      </c>
      <c r="AU8" s="64">
        <f t="shared" si="42"/>
        <v>0.53999999999999915</v>
      </c>
      <c r="AV8" s="62">
        <v>18.18</v>
      </c>
      <c r="AW8" s="62">
        <f t="shared" si="43"/>
        <v>0.17999999999999972</v>
      </c>
      <c r="AX8" s="64">
        <f t="shared" si="44"/>
        <v>0.71999999999999886</v>
      </c>
      <c r="AY8" s="63">
        <v>18.309999999999999</v>
      </c>
      <c r="AZ8" s="62">
        <f t="shared" si="45"/>
        <v>0.12999999999999901</v>
      </c>
      <c r="BA8" s="64">
        <f t="shared" si="46"/>
        <v>0.84999999999999787</v>
      </c>
      <c r="BB8" s="63">
        <v>18.62</v>
      </c>
      <c r="BC8" s="62">
        <f t="shared" si="47"/>
        <v>0.31000000000000227</v>
      </c>
      <c r="BD8" s="64">
        <f t="shared" si="48"/>
        <v>1.1600000000000001</v>
      </c>
      <c r="BE8" s="62">
        <v>18.54</v>
      </c>
      <c r="BF8" s="62">
        <f t="shared" si="49"/>
        <v>-8.0000000000001847E-2</v>
      </c>
      <c r="BG8" s="64">
        <f t="shared" si="50"/>
        <v>1.0799999999999983</v>
      </c>
      <c r="BH8" s="62">
        <v>18.84</v>
      </c>
      <c r="BI8" s="62">
        <f t="shared" si="51"/>
        <v>0.30000000000000071</v>
      </c>
      <c r="BJ8" s="64">
        <f t="shared" si="52"/>
        <v>1.379999999999999</v>
      </c>
      <c r="BK8" s="63">
        <v>18.600000000000001</v>
      </c>
      <c r="BL8" s="62">
        <f t="shared" si="53"/>
        <v>-0.23999999999999844</v>
      </c>
      <c r="BM8" s="64">
        <f t="shared" si="54"/>
        <v>1.1400000000000006</v>
      </c>
      <c r="BN8" s="63">
        <v>18.920000000000002</v>
      </c>
      <c r="BO8" s="62">
        <f t="shared" si="55"/>
        <v>0.32000000000000028</v>
      </c>
      <c r="BP8" s="64">
        <f t="shared" si="56"/>
        <v>1.4600000000000009</v>
      </c>
      <c r="BQ8" s="63">
        <v>18.88</v>
      </c>
      <c r="BR8" s="62">
        <f t="shared" si="57"/>
        <v>-4.00000000000027E-2</v>
      </c>
      <c r="BS8" s="64">
        <f t="shared" si="58"/>
        <v>1.4199999999999982</v>
      </c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</row>
    <row r="9" spans="1:92" s="215" customFormat="1" ht="12" customHeight="1">
      <c r="A9" s="133" t="s">
        <v>365</v>
      </c>
      <c r="B9" s="62" t="s">
        <v>366</v>
      </c>
      <c r="C9" s="62"/>
      <c r="D9" s="12" t="s">
        <v>22</v>
      </c>
      <c r="E9" s="10" t="s">
        <v>262</v>
      </c>
      <c r="F9" s="11">
        <v>42411</v>
      </c>
      <c r="G9" s="10" t="s">
        <v>263</v>
      </c>
      <c r="H9" s="13">
        <v>20.56</v>
      </c>
      <c r="I9" s="64">
        <f>H16-H9</f>
        <v>-2.1688888888888869</v>
      </c>
      <c r="J9" s="62">
        <v>21.19</v>
      </c>
      <c r="K9" s="64">
        <f t="shared" si="18"/>
        <v>0.63000000000000256</v>
      </c>
      <c r="L9" s="62">
        <v>21.38</v>
      </c>
      <c r="M9" s="62">
        <f t="shared" ref="M9:M11" si="59">L9-J9</f>
        <v>0.18999999999999773</v>
      </c>
      <c r="N9" s="64">
        <f t="shared" ref="N9:N11" si="60">K9+M9</f>
        <v>0.82000000000000028</v>
      </c>
      <c r="O9" s="63">
        <v>21.47</v>
      </c>
      <c r="P9" s="62">
        <f t="shared" ref="P9:P12" si="61">O9-L9</f>
        <v>8.9999999999999858E-2</v>
      </c>
      <c r="Q9" s="64">
        <f t="shared" ref="Q9:Q12" si="62">N9+P9</f>
        <v>0.91000000000000014</v>
      </c>
      <c r="R9" s="63">
        <v>21.73</v>
      </c>
      <c r="S9" s="62">
        <f t="shared" si="23"/>
        <v>0.26000000000000156</v>
      </c>
      <c r="T9" s="62">
        <f t="shared" si="24"/>
        <v>1.1700000000000017</v>
      </c>
      <c r="U9" s="63">
        <v>22.14</v>
      </c>
      <c r="V9" s="62">
        <f t="shared" ref="V9:V11" si="63">U9-R9</f>
        <v>0.41000000000000014</v>
      </c>
      <c r="W9" s="64">
        <f t="shared" ref="W9:W11" si="64">T9+V9</f>
        <v>1.5800000000000018</v>
      </c>
      <c r="X9" s="62">
        <v>22.13</v>
      </c>
      <c r="Y9" s="62">
        <f t="shared" si="27"/>
        <v>-1.0000000000001563E-2</v>
      </c>
      <c r="Z9" s="64">
        <f t="shared" si="28"/>
        <v>1.5700000000000003</v>
      </c>
      <c r="AA9" s="62">
        <v>22.42</v>
      </c>
      <c r="AB9" s="62">
        <f t="shared" ref="AB9:AB11" si="65">AA9-X9</f>
        <v>0.2900000000000027</v>
      </c>
      <c r="AC9" s="64">
        <f t="shared" ref="AC9:AC11" si="66">Z9+AB9</f>
        <v>1.860000000000003</v>
      </c>
      <c r="AD9" s="62">
        <v>22.53</v>
      </c>
      <c r="AE9" s="62">
        <f t="shared" ref="AE9:AE11" si="67">AD9-AA9</f>
        <v>0.10999999999999943</v>
      </c>
      <c r="AF9" s="64">
        <f t="shared" ref="AF9:AF11" si="68">AC9+AE9</f>
        <v>1.9700000000000024</v>
      </c>
      <c r="AG9" s="63">
        <v>22.96</v>
      </c>
      <c r="AH9" s="62">
        <f t="shared" si="33"/>
        <v>0.42999999999999972</v>
      </c>
      <c r="AI9" s="64">
        <f t="shared" si="34"/>
        <v>2.4000000000000021</v>
      </c>
      <c r="AJ9" s="63">
        <v>23.34</v>
      </c>
      <c r="AK9" s="62">
        <f t="shared" ref="AK9:AK12" si="69">AJ9-AG9</f>
        <v>0.37999999999999901</v>
      </c>
      <c r="AL9" s="64">
        <f t="shared" ref="AL9:AL12" si="70">AI9+AK9</f>
        <v>2.7800000000000011</v>
      </c>
      <c r="AM9" s="62">
        <v>23.48</v>
      </c>
      <c r="AN9" s="62">
        <f t="shared" si="37"/>
        <v>0.14000000000000057</v>
      </c>
      <c r="AO9" s="64">
        <f t="shared" si="38"/>
        <v>2.9200000000000017</v>
      </c>
      <c r="AP9" s="62">
        <v>23.59</v>
      </c>
      <c r="AQ9" s="62">
        <f t="shared" ref="AQ9:AQ11" si="71">AP9-AM9</f>
        <v>0.10999999999999943</v>
      </c>
      <c r="AR9" s="64">
        <f t="shared" ref="AR9:AR11" si="72">AO9+AQ9</f>
        <v>3.0300000000000011</v>
      </c>
      <c r="AS9" s="62">
        <v>23.93</v>
      </c>
      <c r="AT9" s="62">
        <f t="shared" si="41"/>
        <v>0.33999999999999986</v>
      </c>
      <c r="AU9" s="64">
        <f t="shared" si="42"/>
        <v>3.370000000000001</v>
      </c>
      <c r="AV9" s="62">
        <v>23.29</v>
      </c>
      <c r="AW9" s="62">
        <f t="shared" ref="AW9:AW11" si="73">AV9-AS9</f>
        <v>-0.64000000000000057</v>
      </c>
      <c r="AX9" s="64">
        <f t="shared" ref="AX9:AX11" si="74">AU9+AW9</f>
        <v>2.7300000000000004</v>
      </c>
      <c r="AY9" s="63">
        <v>24.09</v>
      </c>
      <c r="AZ9" s="62">
        <f t="shared" ref="AZ9:AZ11" si="75">AY9-AV9</f>
        <v>0.80000000000000071</v>
      </c>
      <c r="BA9" s="64">
        <f t="shared" ref="BA9:BA11" si="76">AX9+AZ9</f>
        <v>3.5300000000000011</v>
      </c>
      <c r="BB9" s="63">
        <v>24.22</v>
      </c>
      <c r="BC9" s="62">
        <f t="shared" ref="BC9:BC11" si="77">BB9-AY9</f>
        <v>0.12999999999999901</v>
      </c>
      <c r="BD9" s="64">
        <f t="shared" ref="BD9:BD11" si="78">BA9+BC9</f>
        <v>3.66</v>
      </c>
      <c r="BE9" s="62">
        <v>24.53</v>
      </c>
      <c r="BF9" s="62">
        <f t="shared" ref="BF9:BF12" si="79">BE9-BB9</f>
        <v>0.31000000000000227</v>
      </c>
      <c r="BG9" s="64">
        <f t="shared" ref="BG9:BG12" si="80">BD9+BF9</f>
        <v>3.9700000000000024</v>
      </c>
      <c r="BH9" s="62">
        <v>24.1</v>
      </c>
      <c r="BI9" s="62">
        <f t="shared" ref="BI9:BI11" si="81">BH9-BE9</f>
        <v>-0.42999999999999972</v>
      </c>
      <c r="BJ9" s="64">
        <f t="shared" ref="BJ9:BJ11" si="82">BG9+BI9</f>
        <v>3.5400000000000027</v>
      </c>
      <c r="BK9" s="63">
        <v>24.56</v>
      </c>
      <c r="BL9" s="62">
        <f t="shared" si="53"/>
        <v>0.4599999999999973</v>
      </c>
      <c r="BM9" s="64">
        <f t="shared" si="54"/>
        <v>4</v>
      </c>
      <c r="BN9" s="63">
        <v>24.55</v>
      </c>
      <c r="BO9" s="62">
        <f t="shared" si="55"/>
        <v>-9.9999999999980105E-3</v>
      </c>
      <c r="BP9" s="64">
        <f t="shared" si="56"/>
        <v>3.990000000000002</v>
      </c>
      <c r="BQ9" s="63">
        <v>24.62</v>
      </c>
      <c r="BR9" s="62">
        <f t="shared" ref="BR9:BR11" si="83">BQ9-BN9</f>
        <v>7.0000000000000284E-2</v>
      </c>
      <c r="BS9" s="64">
        <f t="shared" ref="BS9:BS11" si="84">BP9+BR9</f>
        <v>4.0600000000000023</v>
      </c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</row>
    <row r="10" spans="1:92" s="215" customFormat="1" ht="12" customHeight="1">
      <c r="A10" s="133" t="s">
        <v>367</v>
      </c>
      <c r="B10" s="62" t="s">
        <v>368</v>
      </c>
      <c r="C10" s="11"/>
      <c r="D10" s="12" t="s">
        <v>22</v>
      </c>
      <c r="E10" s="10" t="s">
        <v>262</v>
      </c>
      <c r="F10" s="11">
        <v>42411</v>
      </c>
      <c r="G10" s="10" t="s">
        <v>263</v>
      </c>
      <c r="H10" s="13">
        <v>19.43</v>
      </c>
      <c r="I10" s="64">
        <f>H16-H10</f>
        <v>-1.0388888888888879</v>
      </c>
      <c r="J10" s="62">
        <v>19.149999999999999</v>
      </c>
      <c r="K10" s="64">
        <f t="shared" si="18"/>
        <v>-0.28000000000000114</v>
      </c>
      <c r="L10" s="62">
        <v>18.93</v>
      </c>
      <c r="M10" s="62">
        <f t="shared" si="59"/>
        <v>-0.21999999999999886</v>
      </c>
      <c r="N10" s="64">
        <f t="shared" si="60"/>
        <v>-0.5</v>
      </c>
      <c r="O10" s="63">
        <v>19.440000000000001</v>
      </c>
      <c r="P10" s="62">
        <f t="shared" si="61"/>
        <v>0.51000000000000156</v>
      </c>
      <c r="Q10" s="64">
        <f t="shared" si="62"/>
        <v>1.0000000000001563E-2</v>
      </c>
      <c r="R10" s="63">
        <v>19.68</v>
      </c>
      <c r="S10" s="62">
        <f t="shared" si="23"/>
        <v>0.23999999999999844</v>
      </c>
      <c r="T10" s="62">
        <f t="shared" si="24"/>
        <v>0.25</v>
      </c>
      <c r="U10" s="63">
        <v>20.13</v>
      </c>
      <c r="V10" s="62">
        <f t="shared" si="63"/>
        <v>0.44999999999999929</v>
      </c>
      <c r="W10" s="64">
        <f t="shared" si="64"/>
        <v>0.69999999999999929</v>
      </c>
      <c r="X10" s="62">
        <v>19.61</v>
      </c>
      <c r="Y10" s="62">
        <f t="shared" si="27"/>
        <v>-0.51999999999999957</v>
      </c>
      <c r="Z10" s="64">
        <f t="shared" si="28"/>
        <v>0.17999999999999972</v>
      </c>
      <c r="AA10" s="62">
        <v>18.98</v>
      </c>
      <c r="AB10" s="62">
        <f t="shared" si="65"/>
        <v>-0.62999999999999901</v>
      </c>
      <c r="AC10" s="64">
        <f t="shared" si="66"/>
        <v>-0.44999999999999929</v>
      </c>
      <c r="AD10" s="62">
        <v>19.190000000000001</v>
      </c>
      <c r="AE10" s="62">
        <f t="shared" si="67"/>
        <v>0.21000000000000085</v>
      </c>
      <c r="AF10" s="64">
        <f t="shared" si="68"/>
        <v>-0.23999999999999844</v>
      </c>
      <c r="AG10" s="63">
        <v>19.37</v>
      </c>
      <c r="AH10" s="62">
        <f t="shared" si="33"/>
        <v>0.17999999999999972</v>
      </c>
      <c r="AI10" s="64">
        <f t="shared" si="34"/>
        <v>-5.9999999999998721E-2</v>
      </c>
      <c r="AJ10" s="63">
        <v>19.57</v>
      </c>
      <c r="AK10" s="62">
        <f t="shared" si="69"/>
        <v>0.19999999999999929</v>
      </c>
      <c r="AL10" s="64">
        <f t="shared" si="70"/>
        <v>0.14000000000000057</v>
      </c>
      <c r="AM10" s="62">
        <v>19.61</v>
      </c>
      <c r="AN10" s="62">
        <f t="shared" si="37"/>
        <v>3.9999999999999147E-2</v>
      </c>
      <c r="AO10" s="64">
        <f t="shared" si="38"/>
        <v>0.17999999999999972</v>
      </c>
      <c r="AP10" s="62">
        <v>19.75</v>
      </c>
      <c r="AQ10" s="62">
        <f t="shared" si="71"/>
        <v>0.14000000000000057</v>
      </c>
      <c r="AR10" s="64">
        <f t="shared" si="72"/>
        <v>0.32000000000000028</v>
      </c>
      <c r="AS10" s="62">
        <v>19.22</v>
      </c>
      <c r="AT10" s="62">
        <f t="shared" si="41"/>
        <v>-0.53000000000000114</v>
      </c>
      <c r="AU10" s="64">
        <f t="shared" si="42"/>
        <v>-0.21000000000000085</v>
      </c>
      <c r="AV10" s="62">
        <v>19.78</v>
      </c>
      <c r="AW10" s="62">
        <f t="shared" si="73"/>
        <v>0.56000000000000227</v>
      </c>
      <c r="AX10" s="64">
        <f t="shared" si="74"/>
        <v>0.35000000000000142</v>
      </c>
      <c r="AY10" s="63">
        <v>20.079999999999998</v>
      </c>
      <c r="AZ10" s="62">
        <f t="shared" si="75"/>
        <v>0.29999999999999716</v>
      </c>
      <c r="BA10" s="64">
        <f t="shared" si="76"/>
        <v>0.64999999999999858</v>
      </c>
      <c r="BB10" s="63">
        <v>20.079999999999998</v>
      </c>
      <c r="BC10" s="62">
        <f t="shared" si="77"/>
        <v>0</v>
      </c>
      <c r="BD10" s="64">
        <f t="shared" si="78"/>
        <v>0.64999999999999858</v>
      </c>
      <c r="BE10" s="62">
        <v>20.16</v>
      </c>
      <c r="BF10" s="62">
        <f t="shared" si="79"/>
        <v>8.0000000000001847E-2</v>
      </c>
      <c r="BG10" s="64">
        <f t="shared" si="80"/>
        <v>0.73000000000000043</v>
      </c>
      <c r="BH10" s="62">
        <v>20.25</v>
      </c>
      <c r="BI10" s="62">
        <f t="shared" si="81"/>
        <v>8.9999999999999858E-2</v>
      </c>
      <c r="BJ10" s="64">
        <f t="shared" si="82"/>
        <v>0.82000000000000028</v>
      </c>
      <c r="BK10" s="63">
        <v>20.2</v>
      </c>
      <c r="BL10" s="62">
        <f t="shared" si="53"/>
        <v>-5.0000000000000711E-2</v>
      </c>
      <c r="BM10" s="64">
        <f t="shared" si="54"/>
        <v>0.76999999999999957</v>
      </c>
      <c r="BN10" s="63">
        <v>19.82</v>
      </c>
      <c r="BO10" s="62">
        <f t="shared" si="55"/>
        <v>-0.37999999999999901</v>
      </c>
      <c r="BP10" s="64">
        <f t="shared" si="56"/>
        <v>0.39000000000000057</v>
      </c>
      <c r="BQ10" s="63">
        <v>20.149999999999999</v>
      </c>
      <c r="BR10" s="62">
        <f t="shared" si="83"/>
        <v>0.32999999999999829</v>
      </c>
      <c r="BS10" s="64">
        <f t="shared" si="84"/>
        <v>0.71999999999999886</v>
      </c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</row>
    <row r="11" spans="1:92" s="60" customFormat="1" ht="12" customHeight="1">
      <c r="A11" s="9" t="s">
        <v>369</v>
      </c>
      <c r="B11" s="62" t="s">
        <v>370</v>
      </c>
      <c r="C11" s="11"/>
      <c r="D11" s="12" t="s">
        <v>22</v>
      </c>
      <c r="E11" s="10" t="s">
        <v>262</v>
      </c>
      <c r="F11" s="11">
        <v>42411</v>
      </c>
      <c r="G11" s="10" t="s">
        <v>263</v>
      </c>
      <c r="H11" s="13">
        <v>16.059999999999999</v>
      </c>
      <c r="I11" s="64">
        <f>H16-H11</f>
        <v>2.3311111111111131</v>
      </c>
      <c r="J11" s="62">
        <v>16.170000000000002</v>
      </c>
      <c r="K11" s="64">
        <f t="shared" si="18"/>
        <v>0.11000000000000298</v>
      </c>
      <c r="L11" s="62">
        <v>16.920000000000002</v>
      </c>
      <c r="M11" s="62">
        <f t="shared" si="59"/>
        <v>0.75</v>
      </c>
      <c r="N11" s="64">
        <f t="shared" si="60"/>
        <v>0.86000000000000298</v>
      </c>
      <c r="O11" s="63">
        <v>17.04</v>
      </c>
      <c r="P11" s="62">
        <f t="shared" si="61"/>
        <v>0.11999999999999744</v>
      </c>
      <c r="Q11" s="64">
        <f t="shared" si="62"/>
        <v>0.98000000000000043</v>
      </c>
      <c r="R11" s="63">
        <v>17.8</v>
      </c>
      <c r="S11" s="62">
        <f t="shared" si="23"/>
        <v>0.76000000000000156</v>
      </c>
      <c r="T11" s="132">
        <f t="shared" si="24"/>
        <v>1.740000000000002</v>
      </c>
      <c r="U11" s="63">
        <v>18.66</v>
      </c>
      <c r="V11" s="62">
        <f t="shared" si="63"/>
        <v>0.85999999999999943</v>
      </c>
      <c r="W11" s="64">
        <f t="shared" si="64"/>
        <v>2.6000000000000014</v>
      </c>
      <c r="X11" s="62">
        <v>18.399999999999999</v>
      </c>
      <c r="Y11" s="62">
        <f t="shared" si="27"/>
        <v>-0.26000000000000156</v>
      </c>
      <c r="Z11" s="64">
        <f t="shared" si="28"/>
        <v>2.34</v>
      </c>
      <c r="AA11" s="62">
        <v>18.04</v>
      </c>
      <c r="AB11" s="62">
        <f t="shared" si="65"/>
        <v>-0.35999999999999943</v>
      </c>
      <c r="AC11" s="64">
        <f t="shared" si="66"/>
        <v>1.9800000000000004</v>
      </c>
      <c r="AD11" s="62">
        <v>19.170000000000002</v>
      </c>
      <c r="AE11" s="62">
        <f t="shared" si="67"/>
        <v>1.1300000000000026</v>
      </c>
      <c r="AF11" s="64">
        <f t="shared" si="68"/>
        <v>3.110000000000003</v>
      </c>
      <c r="AG11" s="63">
        <v>18.88</v>
      </c>
      <c r="AH11" s="62">
        <f t="shared" si="33"/>
        <v>-0.2900000000000027</v>
      </c>
      <c r="AI11" s="64">
        <f t="shared" si="34"/>
        <v>2.8200000000000003</v>
      </c>
      <c r="AJ11" s="63">
        <v>19.61</v>
      </c>
      <c r="AK11" s="62">
        <f t="shared" si="69"/>
        <v>0.73000000000000043</v>
      </c>
      <c r="AL11" s="64">
        <f t="shared" si="70"/>
        <v>3.5500000000000007</v>
      </c>
      <c r="AM11" s="62">
        <v>19.64</v>
      </c>
      <c r="AN11" s="62">
        <f t="shared" si="37"/>
        <v>3.0000000000001137E-2</v>
      </c>
      <c r="AO11" s="64">
        <f t="shared" si="38"/>
        <v>3.5800000000000018</v>
      </c>
      <c r="AP11" s="62">
        <v>19.96</v>
      </c>
      <c r="AQ11" s="62">
        <f t="shared" si="71"/>
        <v>0.32000000000000028</v>
      </c>
      <c r="AR11" s="64">
        <f t="shared" si="72"/>
        <v>3.9000000000000021</v>
      </c>
      <c r="AS11" s="62">
        <v>20.73</v>
      </c>
      <c r="AT11" s="62">
        <f t="shared" si="41"/>
        <v>0.76999999999999957</v>
      </c>
      <c r="AU11" s="64">
        <f t="shared" si="42"/>
        <v>4.6700000000000017</v>
      </c>
      <c r="AV11" s="62">
        <v>21.07</v>
      </c>
      <c r="AW11" s="62">
        <f t="shared" si="73"/>
        <v>0.33999999999999986</v>
      </c>
      <c r="AX11" s="64">
        <f t="shared" si="74"/>
        <v>5.0100000000000016</v>
      </c>
      <c r="AY11" s="63">
        <v>21.53</v>
      </c>
      <c r="AZ11" s="62">
        <f t="shared" si="75"/>
        <v>0.46000000000000085</v>
      </c>
      <c r="BA11" s="64">
        <f t="shared" si="76"/>
        <v>5.4700000000000024</v>
      </c>
      <c r="BB11" s="63">
        <v>21.66</v>
      </c>
      <c r="BC11" s="62">
        <f t="shared" si="77"/>
        <v>0.12999999999999901</v>
      </c>
      <c r="BD11" s="64">
        <f t="shared" si="78"/>
        <v>5.6000000000000014</v>
      </c>
      <c r="BE11" s="62">
        <v>21.23</v>
      </c>
      <c r="BF11" s="62">
        <f t="shared" si="79"/>
        <v>-0.42999999999999972</v>
      </c>
      <c r="BG11" s="64">
        <f t="shared" si="80"/>
        <v>5.1700000000000017</v>
      </c>
      <c r="BH11" s="62">
        <v>22.13</v>
      </c>
      <c r="BI11" s="62">
        <f t="shared" si="81"/>
        <v>0.89999999999999858</v>
      </c>
      <c r="BJ11" s="64">
        <f t="shared" si="82"/>
        <v>6.07</v>
      </c>
      <c r="BK11" s="63">
        <v>22.05</v>
      </c>
      <c r="BL11" s="62">
        <f t="shared" si="53"/>
        <v>-7.9999999999998295E-2</v>
      </c>
      <c r="BM11" s="64">
        <f t="shared" si="54"/>
        <v>5.990000000000002</v>
      </c>
      <c r="BN11" s="63">
        <v>23.29</v>
      </c>
      <c r="BO11" s="62">
        <f t="shared" si="55"/>
        <v>1.2399999999999984</v>
      </c>
      <c r="BP11" s="64">
        <f t="shared" si="56"/>
        <v>7.23</v>
      </c>
      <c r="BQ11" s="63">
        <v>23.62</v>
      </c>
      <c r="BR11" s="62">
        <f t="shared" si="83"/>
        <v>0.33000000000000185</v>
      </c>
      <c r="BS11" s="64">
        <f t="shared" si="84"/>
        <v>7.5600000000000023</v>
      </c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</row>
    <row r="12" spans="1:92" s="60" customFormat="1" ht="12" customHeight="1">
      <c r="A12" s="9" t="s">
        <v>371</v>
      </c>
      <c r="B12" s="62" t="s">
        <v>372</v>
      </c>
      <c r="C12" s="142">
        <v>43703</v>
      </c>
      <c r="D12" s="12" t="s">
        <v>22</v>
      </c>
      <c r="E12" s="10" t="s">
        <v>262</v>
      </c>
      <c r="F12" s="11">
        <v>43742</v>
      </c>
      <c r="G12" s="10" t="s">
        <v>276</v>
      </c>
      <c r="H12" s="13">
        <v>19.690000000000001</v>
      </c>
      <c r="I12" s="64">
        <f>H16-H12</f>
        <v>-1.2988888888888894</v>
      </c>
      <c r="J12" s="62">
        <v>19.920000000000002</v>
      </c>
      <c r="K12" s="64">
        <f t="shared" si="18"/>
        <v>0.23000000000000043</v>
      </c>
      <c r="L12" s="62">
        <v>20.14</v>
      </c>
      <c r="M12" s="62">
        <f t="shared" ref="M12" si="85">L12-J12</f>
        <v>0.21999999999999886</v>
      </c>
      <c r="N12" s="64">
        <f t="shared" ref="N12" si="86">K12+M12</f>
        <v>0.44999999999999929</v>
      </c>
      <c r="O12" s="63">
        <v>19.940000000000001</v>
      </c>
      <c r="P12" s="62">
        <f t="shared" si="61"/>
        <v>-0.19999999999999929</v>
      </c>
      <c r="Q12" s="62">
        <f t="shared" si="62"/>
        <v>0.25</v>
      </c>
      <c r="R12" s="63">
        <v>20.14</v>
      </c>
      <c r="S12" s="62">
        <f t="shared" ref="S12" si="87">R12-O12</f>
        <v>0.19999999999999929</v>
      </c>
      <c r="T12" s="132">
        <f t="shared" ref="T12" si="88">Q12+S12</f>
        <v>0.44999999999999929</v>
      </c>
      <c r="U12" s="63">
        <v>20</v>
      </c>
      <c r="V12" s="62">
        <f t="shared" ref="V12" si="89">U12-R12</f>
        <v>-0.14000000000000057</v>
      </c>
      <c r="W12" s="64">
        <f t="shared" ref="W12" si="90">T12+V12</f>
        <v>0.30999999999999872</v>
      </c>
      <c r="X12" s="62">
        <v>20.170000000000002</v>
      </c>
      <c r="Y12" s="62">
        <f t="shared" ref="Y12" si="91">X12-U12</f>
        <v>0.17000000000000171</v>
      </c>
      <c r="Z12" s="64">
        <f t="shared" ref="Z12" si="92">W12+Y12</f>
        <v>0.48000000000000043</v>
      </c>
      <c r="AA12" s="62">
        <v>20.29</v>
      </c>
      <c r="AB12" s="62">
        <f t="shared" ref="AB12" si="93">AA12-X12</f>
        <v>0.11999999999999744</v>
      </c>
      <c r="AC12" s="64">
        <f t="shared" ref="AC12" si="94">Z12+AB12</f>
        <v>0.59999999999999787</v>
      </c>
      <c r="AD12" s="62">
        <v>20.260000000000002</v>
      </c>
      <c r="AE12" s="62">
        <f t="shared" ref="AE12" si="95">AD12-AA12</f>
        <v>-2.9999999999997584E-2</v>
      </c>
      <c r="AF12" s="64">
        <f t="shared" ref="AF12" si="96">AC12+AE12</f>
        <v>0.57000000000000028</v>
      </c>
      <c r="AG12" s="63">
        <v>20.8</v>
      </c>
      <c r="AH12" s="62">
        <f t="shared" ref="AH12" si="97">AG12-AD12</f>
        <v>0.53999999999999915</v>
      </c>
      <c r="AI12" s="64">
        <f t="shared" ref="AI12" si="98">AF12+AH12</f>
        <v>1.1099999999999994</v>
      </c>
      <c r="AJ12" s="63">
        <v>20.78</v>
      </c>
      <c r="AK12" s="62">
        <f t="shared" si="69"/>
        <v>-1.9999999999999574E-2</v>
      </c>
      <c r="AL12" s="64">
        <f t="shared" si="70"/>
        <v>1.0899999999999999</v>
      </c>
      <c r="AM12" s="62">
        <v>21.21</v>
      </c>
      <c r="AN12" s="62">
        <f t="shared" ref="AN12" si="99">AM12-AJ12</f>
        <v>0.42999999999999972</v>
      </c>
      <c r="AO12" s="64">
        <f t="shared" ref="AO12" si="100">AL12+AN12</f>
        <v>1.5199999999999996</v>
      </c>
      <c r="AP12" s="62">
        <v>21.19</v>
      </c>
      <c r="AQ12" s="62">
        <f t="shared" ref="AQ12" si="101">AP12-AM12</f>
        <v>-1.9999999999999574E-2</v>
      </c>
      <c r="AR12" s="64">
        <f t="shared" ref="AR12" si="102">AO12+AQ12</f>
        <v>1.5</v>
      </c>
      <c r="AS12" s="62">
        <v>21.39</v>
      </c>
      <c r="AT12" s="62">
        <f t="shared" ref="AT12" si="103">AS12-AP12</f>
        <v>0.19999999999999929</v>
      </c>
      <c r="AU12" s="64">
        <f t="shared" ref="AU12" si="104">AR12+AT12</f>
        <v>1.6999999999999993</v>
      </c>
      <c r="AV12" s="62">
        <v>21.48</v>
      </c>
      <c r="AW12" s="62">
        <f t="shared" ref="AW12" si="105">AV12-AS12</f>
        <v>8.9999999999999858E-2</v>
      </c>
      <c r="AX12" s="64">
        <f t="shared" ref="AX12" si="106">AU12+AW12</f>
        <v>1.7899999999999991</v>
      </c>
      <c r="AY12" s="63">
        <v>21.97</v>
      </c>
      <c r="AZ12" s="62">
        <f t="shared" ref="AZ12" si="107">AY12-AV12</f>
        <v>0.48999999999999844</v>
      </c>
      <c r="BA12" s="64">
        <f t="shared" ref="BA12" si="108">AX12+AZ12</f>
        <v>2.2799999999999976</v>
      </c>
      <c r="BB12" s="63">
        <v>22.18</v>
      </c>
      <c r="BC12" s="62">
        <f t="shared" ref="BC12" si="109">BB12-AY12</f>
        <v>0.21000000000000085</v>
      </c>
      <c r="BD12" s="64">
        <f t="shared" ref="BD12" si="110">BA12+BC12</f>
        <v>2.4899999999999984</v>
      </c>
      <c r="BE12" s="62">
        <v>21.95</v>
      </c>
      <c r="BF12" s="62">
        <f t="shared" si="79"/>
        <v>-0.23000000000000043</v>
      </c>
      <c r="BG12" s="64">
        <f t="shared" si="80"/>
        <v>2.259999999999998</v>
      </c>
      <c r="BH12" s="62">
        <v>22.44</v>
      </c>
      <c r="BI12" s="62">
        <f t="shared" ref="BI12" si="111">BH12-BE12</f>
        <v>0.49000000000000199</v>
      </c>
      <c r="BJ12" s="64">
        <f t="shared" ref="BJ12" si="112">BG12+BI12</f>
        <v>2.75</v>
      </c>
      <c r="BK12" s="63">
        <v>22.44</v>
      </c>
      <c r="BL12" s="62">
        <f t="shared" ref="BL12" si="113">BK12-BH12</f>
        <v>0</v>
      </c>
      <c r="BM12" s="64">
        <f t="shared" ref="BM12" si="114">BJ12+BL12</f>
        <v>2.75</v>
      </c>
      <c r="BN12" s="63">
        <v>22.93</v>
      </c>
      <c r="BO12" s="62">
        <f t="shared" ref="BO12" si="115">BN12-BK12</f>
        <v>0.48999999999999844</v>
      </c>
      <c r="BP12" s="64">
        <f t="shared" ref="BP12" si="116">BM12+BO12</f>
        <v>3.2399999999999984</v>
      </c>
      <c r="BQ12" s="63">
        <v>22.87</v>
      </c>
      <c r="BR12" s="62">
        <f t="shared" ref="BR12" si="117">BQ12-BN12</f>
        <v>-5.9999999999998721E-2</v>
      </c>
      <c r="BS12" s="64">
        <f t="shared" ref="BS12" si="118">BP12+BR12</f>
        <v>3.1799999999999997</v>
      </c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</row>
    <row r="13" spans="1:92" s="60" customFormat="1" ht="12" customHeight="1">
      <c r="A13" s="9"/>
      <c r="B13" s="62"/>
      <c r="C13" s="11"/>
      <c r="D13" s="12"/>
      <c r="E13" s="10"/>
      <c r="F13" s="11"/>
      <c r="G13" s="10"/>
      <c r="H13" s="13"/>
      <c r="I13" s="64"/>
      <c r="J13" s="62"/>
      <c r="K13" s="64"/>
      <c r="L13" s="62"/>
      <c r="M13" s="62"/>
      <c r="N13" s="64"/>
      <c r="O13" s="63"/>
      <c r="P13" s="62"/>
      <c r="Q13" s="62"/>
      <c r="R13" s="63"/>
      <c r="S13" s="62"/>
      <c r="T13" s="62"/>
      <c r="U13" s="63"/>
      <c r="V13" s="62"/>
      <c r="W13" s="64"/>
      <c r="X13" s="62"/>
      <c r="Y13" s="62"/>
      <c r="Z13" s="64"/>
      <c r="AA13" s="62"/>
      <c r="AB13" s="62"/>
      <c r="AC13" s="64"/>
      <c r="AD13" s="62"/>
      <c r="AE13" s="62"/>
      <c r="AF13" s="64"/>
      <c r="AG13" s="63"/>
      <c r="AH13" s="62"/>
      <c r="AI13" s="64"/>
      <c r="AJ13" s="63"/>
      <c r="AK13" s="62"/>
      <c r="AL13" s="64"/>
      <c r="AM13" s="62"/>
      <c r="AN13" s="62"/>
      <c r="AO13" s="64"/>
      <c r="AP13" s="62"/>
      <c r="AQ13" s="62"/>
      <c r="AR13" s="64"/>
      <c r="AS13" s="62"/>
      <c r="AT13" s="62"/>
      <c r="AU13" s="64"/>
      <c r="AV13" s="62"/>
      <c r="AW13" s="62"/>
      <c r="AX13" s="64"/>
      <c r="AY13" s="63"/>
      <c r="AZ13" s="62"/>
      <c r="BA13" s="64"/>
      <c r="BB13" s="63"/>
      <c r="BC13" s="62"/>
      <c r="BD13" s="64"/>
      <c r="BE13" s="62"/>
      <c r="BF13" s="62"/>
      <c r="BG13" s="64"/>
      <c r="BH13" s="62"/>
      <c r="BI13" s="62"/>
      <c r="BJ13" s="64"/>
      <c r="BK13" s="63"/>
      <c r="BL13" s="62"/>
      <c r="BM13" s="64"/>
      <c r="BN13" s="63"/>
      <c r="BO13" s="62"/>
      <c r="BP13" s="64"/>
      <c r="BQ13" s="63"/>
      <c r="BR13" s="62"/>
      <c r="BS13" s="64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</row>
    <row r="14" spans="1:92" s="60" customFormat="1" ht="12" customHeight="1">
      <c r="A14" s="9"/>
      <c r="B14" s="62"/>
      <c r="C14" s="11"/>
      <c r="D14" s="12"/>
      <c r="E14" s="10"/>
      <c r="F14" s="11"/>
      <c r="G14" s="10"/>
      <c r="H14" s="13"/>
      <c r="I14" s="64"/>
      <c r="J14" s="62"/>
      <c r="K14" s="64"/>
      <c r="L14" s="62"/>
      <c r="M14" s="62"/>
      <c r="N14" s="64"/>
      <c r="O14" s="63"/>
      <c r="P14" s="62"/>
      <c r="Q14" s="62"/>
      <c r="R14" s="63"/>
      <c r="S14" s="62"/>
      <c r="T14" s="62"/>
      <c r="U14" s="63"/>
      <c r="V14" s="62"/>
      <c r="W14" s="64"/>
      <c r="X14" s="62"/>
      <c r="Y14" s="62"/>
      <c r="Z14" s="64"/>
      <c r="AA14" s="62"/>
      <c r="AB14" s="62"/>
      <c r="AC14" s="64"/>
      <c r="AD14" s="62"/>
      <c r="AE14" s="62"/>
      <c r="AF14" s="64"/>
      <c r="AG14" s="63"/>
      <c r="AH14" s="62"/>
      <c r="AI14" s="64"/>
      <c r="AJ14" s="63"/>
      <c r="AK14" s="62"/>
      <c r="AL14" s="64"/>
      <c r="AM14" s="62"/>
      <c r="AN14" s="62"/>
      <c r="AO14" s="64"/>
      <c r="AP14" s="62"/>
      <c r="AQ14" s="62"/>
      <c r="AR14" s="64"/>
      <c r="AS14" s="62"/>
      <c r="AT14" s="62"/>
      <c r="AU14" s="64"/>
      <c r="AV14" s="62"/>
      <c r="AW14" s="62"/>
      <c r="AX14" s="64"/>
      <c r="AY14" s="63"/>
      <c r="AZ14" s="62"/>
      <c r="BA14" s="64"/>
      <c r="BB14" s="63"/>
      <c r="BC14" s="62"/>
      <c r="BD14" s="64"/>
      <c r="BE14" s="62"/>
      <c r="BF14" s="62"/>
      <c r="BG14" s="64"/>
      <c r="BH14" s="62"/>
      <c r="BI14" s="62"/>
      <c r="BJ14" s="64"/>
      <c r="BK14" s="63"/>
      <c r="BL14" s="62"/>
      <c r="BM14" s="64"/>
      <c r="BN14" s="63"/>
      <c r="BO14" s="62"/>
      <c r="BP14" s="64"/>
      <c r="BQ14" s="63"/>
      <c r="BR14" s="62"/>
      <c r="BS14" s="6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</row>
    <row r="15" spans="1:92" s="60" customFormat="1" ht="12" customHeight="1">
      <c r="A15" s="9"/>
      <c r="B15" s="62"/>
      <c r="C15" s="11"/>
      <c r="D15" s="12"/>
      <c r="E15" s="10"/>
      <c r="F15" s="11"/>
      <c r="G15" s="216"/>
      <c r="H15" s="10"/>
      <c r="I15" s="64"/>
      <c r="J15" s="62"/>
      <c r="K15" s="64"/>
      <c r="L15" s="62"/>
      <c r="M15" s="62"/>
      <c r="N15" s="64"/>
      <c r="O15" s="63"/>
      <c r="P15" s="62"/>
      <c r="Q15" s="62"/>
      <c r="R15" s="63"/>
      <c r="S15" s="62"/>
      <c r="T15" s="62"/>
      <c r="U15" s="63"/>
      <c r="V15" s="62"/>
      <c r="W15" s="64"/>
      <c r="X15" s="62"/>
      <c r="Y15" s="62"/>
      <c r="Z15" s="64"/>
      <c r="AA15" s="62"/>
      <c r="AB15" s="62"/>
      <c r="AC15" s="64"/>
      <c r="AD15" s="62"/>
      <c r="AE15" s="62"/>
      <c r="AF15" s="64"/>
      <c r="AG15" s="63"/>
      <c r="AH15" s="62"/>
      <c r="AI15" s="64"/>
      <c r="AJ15" s="63"/>
      <c r="AK15" s="62"/>
      <c r="AL15" s="64"/>
      <c r="AM15" s="62"/>
      <c r="AN15" s="62"/>
      <c r="AO15" s="64"/>
      <c r="AP15" s="62"/>
      <c r="AQ15" s="62"/>
      <c r="AR15" s="64"/>
      <c r="AS15" s="62"/>
      <c r="AT15" s="62"/>
      <c r="AU15" s="64"/>
      <c r="AV15" s="62"/>
      <c r="AW15" s="62"/>
      <c r="AX15" s="64"/>
      <c r="AY15" s="63"/>
      <c r="AZ15" s="62"/>
      <c r="BA15" s="64"/>
      <c r="BB15" s="63"/>
      <c r="BC15" s="62"/>
      <c r="BD15" s="64"/>
      <c r="BE15" s="62"/>
      <c r="BF15" s="62"/>
      <c r="BG15" s="64"/>
      <c r="BH15" s="62"/>
      <c r="BI15" s="62"/>
      <c r="BJ15" s="64"/>
      <c r="BK15" s="63"/>
      <c r="BL15" s="62"/>
      <c r="BM15" s="64"/>
      <c r="BN15" s="63"/>
      <c r="BO15" s="62"/>
      <c r="BP15" s="64"/>
      <c r="BQ15" s="63"/>
      <c r="BR15" s="62"/>
      <c r="BS15" s="64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</row>
    <row r="16" spans="1:92" s="60" customFormat="1" ht="12" customHeight="1">
      <c r="A16" s="16"/>
      <c r="C16" s="11"/>
      <c r="D16" s="3"/>
      <c r="E16" s="3"/>
      <c r="F16" s="17"/>
      <c r="G16" s="3" t="s">
        <v>281</v>
      </c>
      <c r="H16" s="18">
        <f>AVERAGE(H4:H14)</f>
        <v>18.391111111111112</v>
      </c>
      <c r="I16" s="19">
        <f>AVERAGE(I4:I15)</f>
        <v>1.1842378929335002E-15</v>
      </c>
      <c r="J16" s="18">
        <f t="shared" ref="J16:N16" si="119">AVERAGE(J4:J15)</f>
        <v>18.564444444444447</v>
      </c>
      <c r="K16" s="19">
        <f t="shared" si="119"/>
        <v>0.17333333333333437</v>
      </c>
      <c r="L16" s="18">
        <f t="shared" si="119"/>
        <v>18.854444444444443</v>
      </c>
      <c r="M16" s="3">
        <f>AVERAGE(M4:M15)</f>
        <v>0.28999999999999954</v>
      </c>
      <c r="N16" s="3">
        <f t="shared" si="119"/>
        <v>0.46333333333333393</v>
      </c>
      <c r="O16" s="18">
        <f>AVERAGE(O4:O15)</f>
        <v>18.968888888888888</v>
      </c>
      <c r="P16" s="3">
        <f>AVERAGE(P4:P15)</f>
        <v>0.11444444444444457</v>
      </c>
      <c r="Q16" s="3">
        <f>AVERAGE(Q4:Q15)</f>
        <v>0.5777777777777785</v>
      </c>
      <c r="R16" s="18">
        <f t="shared" ref="R16:BP16" si="120">AVERAGE(R4:R15)</f>
        <v>19.105555555555561</v>
      </c>
      <c r="S16" s="3">
        <f t="shared" si="120"/>
        <v>0.13666666666666671</v>
      </c>
      <c r="T16" s="3">
        <f t="shared" si="120"/>
        <v>0.71444444444444521</v>
      </c>
      <c r="U16" s="18">
        <f t="shared" si="120"/>
        <v>19.391111111111112</v>
      </c>
      <c r="V16" s="3">
        <f t="shared" si="120"/>
        <v>0.28555555555555517</v>
      </c>
      <c r="W16" s="3">
        <f>AVERAGE(W4:W15)</f>
        <v>1.0000000000000004</v>
      </c>
      <c r="X16" s="18">
        <f t="shared" si="120"/>
        <v>19.402222222222221</v>
      </c>
      <c r="Y16" s="3">
        <f t="shared" si="120"/>
        <v>1.1111111111111269E-2</v>
      </c>
      <c r="Z16" s="3">
        <f t="shared" si="120"/>
        <v>1.0111111111111117</v>
      </c>
      <c r="AA16" s="18">
        <f t="shared" si="120"/>
        <v>19.37555555555555</v>
      </c>
      <c r="AB16" s="3">
        <f t="shared" si="120"/>
        <v>-2.6666666666666887E-2</v>
      </c>
      <c r="AC16" s="3">
        <f t="shared" si="120"/>
        <v>0.98444444444444479</v>
      </c>
      <c r="AD16" s="18">
        <f t="shared" si="120"/>
        <v>19.675555555555555</v>
      </c>
      <c r="AE16" s="3">
        <f t="shared" si="120"/>
        <v>0.30000000000000032</v>
      </c>
      <c r="AF16" s="3">
        <f t="shared" si="120"/>
        <v>1.2844444444444452</v>
      </c>
      <c r="AG16" s="18">
        <f t="shared" si="120"/>
        <v>19.953333333333333</v>
      </c>
      <c r="AH16" s="3">
        <f t="shared" si="120"/>
        <v>0.27777777777777779</v>
      </c>
      <c r="AI16" s="3">
        <f t="shared" ref="AI16" si="121">AVERAGE(AI4:AI15)</f>
        <v>1.5622222222222228</v>
      </c>
      <c r="AJ16" s="18">
        <f t="shared" si="120"/>
        <v>20.149999999999999</v>
      </c>
      <c r="AK16" s="3">
        <f t="shared" si="120"/>
        <v>0.19666666666666621</v>
      </c>
      <c r="AL16" s="3">
        <f t="shared" si="120"/>
        <v>1.7588888888888892</v>
      </c>
      <c r="AM16" s="18">
        <f t="shared" si="120"/>
        <v>20.285555555555558</v>
      </c>
      <c r="AN16" s="3">
        <f t="shared" si="120"/>
        <v>0.13555555555555582</v>
      </c>
      <c r="AO16" s="3">
        <f t="shared" si="120"/>
        <v>1.8944444444444448</v>
      </c>
      <c r="AP16" s="18">
        <f t="shared" si="120"/>
        <v>20.344444444444445</v>
      </c>
      <c r="AQ16" s="3">
        <f t="shared" si="120"/>
        <v>5.8888888888889018E-2</v>
      </c>
      <c r="AR16" s="3">
        <f t="shared" si="120"/>
        <v>1.953333333333334</v>
      </c>
      <c r="AS16" s="18">
        <f t="shared" si="120"/>
        <v>20.518888888888892</v>
      </c>
      <c r="AT16" s="3">
        <f>AVERAGE(AT4:AT15)</f>
        <v>0.17444444444444449</v>
      </c>
      <c r="AU16" s="3">
        <f>AVERAGE(AU4:AU15)</f>
        <v>2.1277777777777782</v>
      </c>
      <c r="AV16" s="18">
        <f t="shared" si="120"/>
        <v>20.573333333333331</v>
      </c>
      <c r="AW16" s="3">
        <f t="shared" si="120"/>
        <v>5.4444444444444268E-2</v>
      </c>
      <c r="AX16" s="3">
        <f t="shared" si="120"/>
        <v>2.1822222222222227</v>
      </c>
      <c r="AY16" s="18">
        <f t="shared" si="120"/>
        <v>20.867777777777778</v>
      </c>
      <c r="AZ16" s="3">
        <f t="shared" si="120"/>
        <v>0.29444444444444429</v>
      </c>
      <c r="BA16" s="3">
        <f t="shared" si="120"/>
        <v>2.476666666666667</v>
      </c>
      <c r="BB16" s="18">
        <f t="shared" si="120"/>
        <v>21.052222222222223</v>
      </c>
      <c r="BC16" s="3">
        <f t="shared" si="120"/>
        <v>0.18444444444444447</v>
      </c>
      <c r="BD16" s="3">
        <f>AVERAGE(BD4:BD15)</f>
        <v>2.6611111111111114</v>
      </c>
      <c r="BE16" s="18">
        <f t="shared" si="120"/>
        <v>21.031111111111109</v>
      </c>
      <c r="BF16" s="3">
        <f t="shared" si="120"/>
        <v>-2.1111111111110858E-2</v>
      </c>
      <c r="BG16" s="3">
        <f t="shared" si="120"/>
        <v>2.6400000000000006</v>
      </c>
      <c r="BH16" s="18">
        <f t="shared" si="120"/>
        <v>21.281111111111112</v>
      </c>
      <c r="BI16" s="3">
        <f t="shared" si="120"/>
        <v>0.25</v>
      </c>
      <c r="BJ16" s="3">
        <f t="shared" si="120"/>
        <v>2.8900000000000006</v>
      </c>
      <c r="BK16" s="18">
        <f t="shared" si="120"/>
        <v>21.28222222222222</v>
      </c>
      <c r="BL16" s="3">
        <f t="shared" si="120"/>
        <v>1.1111111111112848E-3</v>
      </c>
      <c r="BM16" s="3">
        <f t="shared" si="120"/>
        <v>2.8911111111111119</v>
      </c>
      <c r="BN16" s="18">
        <f t="shared" si="120"/>
        <v>21.512222222222221</v>
      </c>
      <c r="BO16" s="3">
        <f t="shared" si="120"/>
        <v>0.22999999999999965</v>
      </c>
      <c r="BP16" s="3">
        <f t="shared" si="120"/>
        <v>3.1211111111111114</v>
      </c>
      <c r="BQ16" s="18">
        <f>AVERAGE(BQ4:BQ15)</f>
        <v>21.665555555555557</v>
      </c>
      <c r="BR16" s="3">
        <f>AVERAGE(BR4:BR15)</f>
        <v>0.15333333333333321</v>
      </c>
      <c r="BS16" s="19">
        <f>AVERAGE(BS4:BS15)</f>
        <v>3.2744444444444447</v>
      </c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</row>
    <row r="17" spans="1:92" s="60" customFormat="1" ht="12" customHeight="1">
      <c r="A17" s="16"/>
      <c r="B17" s="62"/>
      <c r="C17" s="17"/>
      <c r="D17" s="3"/>
      <c r="E17" s="3"/>
      <c r="F17" s="17"/>
      <c r="G17" s="3" t="s">
        <v>45</v>
      </c>
      <c r="H17" s="18">
        <f t="shared" ref="H17:BA17" si="122">STDEV(H4:H15)/SQRT(COUNT(H4:H15))</f>
        <v>0.55449287252318435</v>
      </c>
      <c r="I17" s="19">
        <f>STDEV(I4:I15)/SQRT(COUNT(I4:I15))</f>
        <v>0.55449287252318435</v>
      </c>
      <c r="J17" s="18">
        <f t="shared" si="122"/>
        <v>0.55554805550492992</v>
      </c>
      <c r="K17" s="19">
        <f>STDEV(K4:K15)/SQRT(COUNT(K4:K15))</f>
        <v>0.12840906856172163</v>
      </c>
      <c r="L17" s="18">
        <f t="shared" si="122"/>
        <v>0.48228078241458011</v>
      </c>
      <c r="M17" s="3">
        <f t="shared" si="122"/>
        <v>0.10518502216993103</v>
      </c>
      <c r="N17" s="3">
        <f t="shared" si="122"/>
        <v>0.19001461932060815</v>
      </c>
      <c r="O17" s="18">
        <f t="shared" si="122"/>
        <v>0.47138225949636808</v>
      </c>
      <c r="P17" s="3">
        <f t="shared" si="122"/>
        <v>8.9831804425936648E-2</v>
      </c>
      <c r="Q17" s="3">
        <f t="shared" si="122"/>
        <v>0.20607292248792899</v>
      </c>
      <c r="R17" s="18">
        <f t="shared" si="122"/>
        <v>0.46358539639756385</v>
      </c>
      <c r="S17" s="3">
        <f t="shared" si="122"/>
        <v>9.3407708461347105E-2</v>
      </c>
      <c r="T17" s="3">
        <f t="shared" si="122"/>
        <v>0.24000642995501822</v>
      </c>
      <c r="U17" s="18">
        <f t="shared" si="122"/>
        <v>0.44495144692815286</v>
      </c>
      <c r="V17" s="3">
        <f t="shared" si="122"/>
        <v>0.10385768990828947</v>
      </c>
      <c r="W17" s="3">
        <f t="shared" si="122"/>
        <v>0.30754403478743247</v>
      </c>
      <c r="X17" s="18">
        <f t="shared" si="122"/>
        <v>0.44800414735734612</v>
      </c>
      <c r="Y17" s="3">
        <f t="shared" si="122"/>
        <v>0.10515127257174216</v>
      </c>
      <c r="Z17" s="3">
        <f t="shared" si="122"/>
        <v>0.32772975166050577</v>
      </c>
      <c r="AA17" s="18">
        <f t="shared" si="122"/>
        <v>0.50991042544285048</v>
      </c>
      <c r="AB17" s="3">
        <f t="shared" si="122"/>
        <v>0.10747092630102333</v>
      </c>
      <c r="AC17" s="3">
        <f t="shared" si="122"/>
        <v>0.36378454822994383</v>
      </c>
      <c r="AD17" s="18">
        <f t="shared" si="122"/>
        <v>0.48604443987238904</v>
      </c>
      <c r="AE17" s="3">
        <f t="shared" si="122"/>
        <v>0.12271240089466666</v>
      </c>
      <c r="AF17" s="3">
        <f t="shared" si="122"/>
        <v>0.41694361166546495</v>
      </c>
      <c r="AG17" s="18">
        <f t="shared" si="122"/>
        <v>0.50518973333458261</v>
      </c>
      <c r="AH17" s="3">
        <f t="shared" si="122"/>
        <v>0.10209986638605091</v>
      </c>
      <c r="AI17" s="3">
        <f t="shared" ref="AI17" si="123">STDEV(AI4:AI15)/SQRT(COUNT(AI4:AI15))</f>
        <v>0.41612223690807809</v>
      </c>
      <c r="AJ17" s="18">
        <f t="shared" si="122"/>
        <v>0.52322185649216835</v>
      </c>
      <c r="AK17" s="3">
        <f t="shared" si="122"/>
        <v>9.6479704256042062E-2</v>
      </c>
      <c r="AL17" s="3">
        <f t="shared" si="122"/>
        <v>0.48545066245604435</v>
      </c>
      <c r="AM17" s="18">
        <f t="shared" si="122"/>
        <v>0.53086698247905739</v>
      </c>
      <c r="AN17" s="3">
        <f t="shared" si="122"/>
        <v>4.658060848056584E-2</v>
      </c>
      <c r="AO17" s="3">
        <f t="shared" si="122"/>
        <v>0.47761011269976977</v>
      </c>
      <c r="AP17" s="18">
        <f>STDEV(AP4:AP15)/SQRT(COUNT(AP4:AP15))</f>
        <v>0.53636925276216385</v>
      </c>
      <c r="AQ17" s="3">
        <f>STDEV(AQ4:AQ15)/SQRT(COUNT(AQ4:AQ15))</f>
        <v>8.7296500573308511E-2</v>
      </c>
      <c r="AR17" s="3">
        <f t="shared" si="122"/>
        <v>0.53565121321828657</v>
      </c>
      <c r="AS17" s="18">
        <f t="shared" si="122"/>
        <v>0.56444526465382239</v>
      </c>
      <c r="AT17" s="3">
        <f>STDEV(AT4:AT15)/SQRT(COUNT(AT4:AT15))</f>
        <v>0.11590358913902819</v>
      </c>
      <c r="AU17" s="3">
        <f>STDEV(AU4:AU15)/SQRT(COUNT(AU4:AU15))</f>
        <v>0.60678061607914191</v>
      </c>
      <c r="AV17" s="18">
        <f t="shared" si="122"/>
        <v>0.48830773539279965</v>
      </c>
      <c r="AW17" s="3">
        <f t="shared" si="122"/>
        <v>0.11170535537633429</v>
      </c>
      <c r="AX17" s="3">
        <f t="shared" si="122"/>
        <v>0.56579289933532373</v>
      </c>
      <c r="AY17" s="18">
        <f t="shared" si="122"/>
        <v>0.54230930539319488</v>
      </c>
      <c r="AZ17" s="3">
        <f t="shared" si="122"/>
        <v>9.7995338765438575E-2</v>
      </c>
      <c r="BA17" s="3">
        <f t="shared" si="122"/>
        <v>0.60383266629827936</v>
      </c>
      <c r="BB17" s="18">
        <f>STDEV(BB4:BB14)/SQRT(COUNT(BB4:BB14))</f>
        <v>0.53756337553450306</v>
      </c>
      <c r="BC17" s="3">
        <f>STDEV(BC4:BC14)/SQRT(COUNT(BC4:BC14))</f>
        <v>3.7605817779489882E-2</v>
      </c>
      <c r="BD17" s="3">
        <f>STDEV(BD4:BD14)/SQRT(COUNT(BD4:BD14))</f>
        <v>0.60072050360944906</v>
      </c>
      <c r="BE17" s="18">
        <f t="shared" ref="BE17:BP17" si="124">STDEV(BE4:BE15)/SQRT(COUNT(BE4:BE15))</f>
        <v>0.55483592280472249</v>
      </c>
      <c r="BF17" s="3">
        <f t="shared" si="124"/>
        <v>7.2292700654362566E-2</v>
      </c>
      <c r="BG17" s="3">
        <f t="shared" si="124"/>
        <v>0.59130270495651305</v>
      </c>
      <c r="BH17" s="18">
        <f t="shared" si="124"/>
        <v>0.50371520956357785</v>
      </c>
      <c r="BI17" s="3">
        <f t="shared" si="124"/>
        <v>0.12834415538785626</v>
      </c>
      <c r="BJ17" s="3">
        <f t="shared" si="124"/>
        <v>0.59841689295822675</v>
      </c>
      <c r="BK17" s="18">
        <f t="shared" si="124"/>
        <v>0.57606128574854909</v>
      </c>
      <c r="BL17" s="3">
        <f t="shared" si="124"/>
        <v>0.1030297212302842</v>
      </c>
      <c r="BM17" s="3">
        <f t="shared" si="124"/>
        <v>0.65073130750556452</v>
      </c>
      <c r="BN17" s="18">
        <f t="shared" si="124"/>
        <v>0.60460680009081058</v>
      </c>
      <c r="BO17" s="3">
        <f t="shared" si="124"/>
        <v>0.15822803516163325</v>
      </c>
      <c r="BP17" s="3">
        <f t="shared" si="124"/>
        <v>0.74425474365756683</v>
      </c>
      <c r="BQ17" s="18">
        <f>STDEV(BQ4:BQ15)/SQRT(COUNT(BQ4:BQ15))</f>
        <v>0.61143526756293143</v>
      </c>
      <c r="BR17" s="3">
        <f>STDEV(BR4:BR15)/SQRT(COUNT(BR4:BR15))</f>
        <v>8.1189079725457317E-2</v>
      </c>
      <c r="BS17" s="19">
        <f>STDEV(BS4:BS15)/SQRT(COUNT(BS4:BS15))</f>
        <v>0.73626329663735746</v>
      </c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</row>
    <row r="18" spans="1:92" s="60" customFormat="1" ht="12" customHeight="1">
      <c r="A18" s="21"/>
      <c r="B18" s="65"/>
      <c r="C18" s="23"/>
      <c r="D18" s="24"/>
      <c r="E18" s="24"/>
      <c r="F18" s="25"/>
      <c r="G18" s="24"/>
      <c r="H18" s="26"/>
      <c r="I18" s="27"/>
      <c r="J18" s="26"/>
      <c r="K18" s="66"/>
      <c r="L18" s="26"/>
      <c r="M18" s="65"/>
      <c r="N18" s="66"/>
      <c r="O18" s="26"/>
      <c r="P18" s="65"/>
      <c r="Q18" s="65"/>
      <c r="R18" s="26"/>
      <c r="S18" s="65"/>
      <c r="T18" s="65"/>
      <c r="U18" s="26"/>
      <c r="V18" s="65"/>
      <c r="W18" s="66"/>
      <c r="X18" s="26"/>
      <c r="Y18" s="65"/>
      <c r="Z18" s="66"/>
      <c r="AA18" s="26"/>
      <c r="AB18" s="65"/>
      <c r="AC18" s="66"/>
      <c r="AD18" s="26"/>
      <c r="AE18" s="65"/>
      <c r="AF18" s="66"/>
      <c r="AG18" s="26"/>
      <c r="AH18" s="65"/>
      <c r="AI18" s="66"/>
      <c r="AJ18" s="26"/>
      <c r="AK18" s="65"/>
      <c r="AL18" s="66"/>
      <c r="AM18" s="26"/>
      <c r="AN18" s="65"/>
      <c r="AO18" s="66"/>
      <c r="AP18" s="26"/>
      <c r="AQ18" s="65"/>
      <c r="AR18" s="66"/>
      <c r="AS18" s="26"/>
      <c r="AT18" s="65"/>
      <c r="AU18" s="66"/>
      <c r="AV18" s="26"/>
      <c r="AW18" s="65"/>
      <c r="AX18" s="66"/>
      <c r="AY18" s="26"/>
      <c r="AZ18" s="65"/>
      <c r="BA18" s="66"/>
      <c r="BB18" s="26"/>
      <c r="BC18" s="65"/>
      <c r="BD18" s="66"/>
      <c r="BE18" s="24"/>
      <c r="BF18" s="65"/>
      <c r="BG18" s="66"/>
      <c r="BH18" s="26"/>
      <c r="BI18" s="24"/>
      <c r="BJ18" s="66"/>
      <c r="BK18" s="26"/>
      <c r="BL18" s="24"/>
      <c r="BM18" s="66"/>
      <c r="BN18" s="26"/>
      <c r="BO18" s="24"/>
      <c r="BP18" s="66"/>
      <c r="BQ18" s="26"/>
      <c r="BR18" s="24"/>
      <c r="BS18" s="66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</row>
    <row r="19" spans="1:92" s="60" customFormat="1" ht="12" customHeight="1">
      <c r="A19" s="9" t="s">
        <v>373</v>
      </c>
      <c r="B19" s="116" t="s">
        <v>374</v>
      </c>
      <c r="C19" s="142">
        <v>42549</v>
      </c>
      <c r="D19" s="12" t="s">
        <v>22</v>
      </c>
      <c r="E19" s="10" t="s">
        <v>284</v>
      </c>
      <c r="F19" s="11">
        <v>42587</v>
      </c>
      <c r="G19" s="10" t="s">
        <v>263</v>
      </c>
      <c r="H19" s="63">
        <v>17.84</v>
      </c>
      <c r="I19" s="64">
        <f>H28-H19</f>
        <v>0.74874999999999758</v>
      </c>
      <c r="J19" s="63">
        <v>17.079999999999998</v>
      </c>
      <c r="K19" s="64">
        <f>J19-H19</f>
        <v>-0.76000000000000156</v>
      </c>
      <c r="L19" s="63">
        <v>17.73</v>
      </c>
      <c r="M19" s="62">
        <f>L19-J19</f>
        <v>0.65000000000000213</v>
      </c>
      <c r="N19" s="64">
        <f>K19+M19</f>
        <v>-0.10999999999999943</v>
      </c>
      <c r="O19" s="63">
        <v>18.47</v>
      </c>
      <c r="P19" s="62">
        <f>O19-L19</f>
        <v>0.73999999999999844</v>
      </c>
      <c r="Q19" s="64">
        <f>N19+P19</f>
        <v>0.62999999999999901</v>
      </c>
      <c r="R19" s="63">
        <v>18.7</v>
      </c>
      <c r="S19" s="62">
        <f>R19-O19</f>
        <v>0.23000000000000043</v>
      </c>
      <c r="T19" s="64">
        <f>Q19+S19</f>
        <v>0.85999999999999943</v>
      </c>
      <c r="U19" s="63">
        <v>19.100000000000001</v>
      </c>
      <c r="V19" s="62">
        <f>U19-R19</f>
        <v>0.40000000000000213</v>
      </c>
      <c r="W19" s="64">
        <f>T19+V19</f>
        <v>1.2600000000000016</v>
      </c>
      <c r="X19" s="63">
        <v>18.96</v>
      </c>
      <c r="Y19" s="62">
        <f>X19-U19</f>
        <v>-0.14000000000000057</v>
      </c>
      <c r="Z19" s="64">
        <f t="shared" ref="Z19" si="125">W19+Y19</f>
        <v>1.120000000000001</v>
      </c>
      <c r="AA19" s="63">
        <v>19.350000000000001</v>
      </c>
      <c r="AB19" s="62">
        <f>AA19-X19</f>
        <v>0.39000000000000057</v>
      </c>
      <c r="AC19" s="64">
        <f>Z19+AB19</f>
        <v>1.5100000000000016</v>
      </c>
      <c r="AD19" s="63">
        <v>19.59</v>
      </c>
      <c r="AE19" s="62">
        <f>AD19-AA19</f>
        <v>0.23999999999999844</v>
      </c>
      <c r="AF19" s="64">
        <f>AC19+AE19</f>
        <v>1.75</v>
      </c>
      <c r="AG19" s="63">
        <v>19.75</v>
      </c>
      <c r="AH19" s="62">
        <f>AG19-AD19</f>
        <v>0.16000000000000014</v>
      </c>
      <c r="AI19" s="64">
        <f>AF19+AH19</f>
        <v>1.9100000000000001</v>
      </c>
      <c r="AJ19" s="63">
        <v>19.940000000000001</v>
      </c>
      <c r="AK19" s="62">
        <f>AJ19-AG19</f>
        <v>0.19000000000000128</v>
      </c>
      <c r="AL19" s="64">
        <f>AI19+AK19</f>
        <v>2.1000000000000014</v>
      </c>
      <c r="AM19" s="63">
        <v>20.25</v>
      </c>
      <c r="AN19" s="62">
        <f>AM19-AJ19</f>
        <v>0.30999999999999872</v>
      </c>
      <c r="AO19" s="64">
        <f>AL19+AN19</f>
        <v>2.41</v>
      </c>
      <c r="AP19" s="63">
        <v>20.25</v>
      </c>
      <c r="AQ19" s="62">
        <f>AP19-AM19</f>
        <v>0</v>
      </c>
      <c r="AR19" s="64">
        <f>AO19+AQ19</f>
        <v>2.41</v>
      </c>
      <c r="AS19" s="63">
        <v>20.67</v>
      </c>
      <c r="AT19" s="62">
        <f>AS19-AP19</f>
        <v>0.42000000000000171</v>
      </c>
      <c r="AU19" s="64">
        <f>AR19+AT19</f>
        <v>2.8300000000000018</v>
      </c>
      <c r="AV19" s="63">
        <v>20.49</v>
      </c>
      <c r="AW19" s="62">
        <f>AV19-AS19</f>
        <v>-0.18000000000000327</v>
      </c>
      <c r="AX19" s="64">
        <f>AU19+AW19</f>
        <v>2.6499999999999986</v>
      </c>
      <c r="AY19" s="63">
        <v>21.05</v>
      </c>
      <c r="AZ19" s="62">
        <f>AY19-AV19</f>
        <v>0.56000000000000227</v>
      </c>
      <c r="BA19" s="64">
        <f>AX19+AZ19</f>
        <v>3.2100000000000009</v>
      </c>
      <c r="BB19" s="63">
        <v>21.07</v>
      </c>
      <c r="BC19" s="62">
        <f>BB19-AY19</f>
        <v>1.9999999999999574E-2</v>
      </c>
      <c r="BD19" s="64">
        <f>BA19+BC19</f>
        <v>3.2300000000000004</v>
      </c>
      <c r="BE19" s="62">
        <v>20.9</v>
      </c>
      <c r="BF19" s="62">
        <f>BE19-BB19</f>
        <v>-0.17000000000000171</v>
      </c>
      <c r="BG19" s="64">
        <f>BD19+BF19</f>
        <v>3.0599999999999987</v>
      </c>
      <c r="BH19" s="63">
        <v>21.18</v>
      </c>
      <c r="BI19" s="62">
        <f>BH19-BE19</f>
        <v>0.28000000000000114</v>
      </c>
      <c r="BJ19" s="64">
        <f>BG19+BI19</f>
        <v>3.34</v>
      </c>
      <c r="BK19" s="63">
        <v>21.22</v>
      </c>
      <c r="BL19" s="62">
        <f>BK19-BH19</f>
        <v>3.9999999999999147E-2</v>
      </c>
      <c r="BM19" s="64">
        <f>BJ19+BL19</f>
        <v>3.379999999999999</v>
      </c>
      <c r="BN19" s="63">
        <v>21.51</v>
      </c>
      <c r="BO19" s="62">
        <f>BN19-BK19</f>
        <v>0.2900000000000027</v>
      </c>
      <c r="BP19" s="64">
        <f>BM19+BO19</f>
        <v>3.6700000000000017</v>
      </c>
      <c r="BQ19" s="63">
        <v>21.43</v>
      </c>
      <c r="BR19" s="62">
        <f>BQ19-BN19</f>
        <v>-8.0000000000001847E-2</v>
      </c>
      <c r="BS19" s="214">
        <f>BP19+BR19</f>
        <v>3.59</v>
      </c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</row>
    <row r="20" spans="1:92" s="60" customFormat="1" ht="12" customHeight="1">
      <c r="A20" s="9" t="s">
        <v>375</v>
      </c>
      <c r="B20" s="116" t="s">
        <v>376</v>
      </c>
      <c r="C20" s="142">
        <v>42529</v>
      </c>
      <c r="D20" s="12" t="s">
        <v>22</v>
      </c>
      <c r="E20" s="10" t="s">
        <v>284</v>
      </c>
      <c r="F20" s="11" t="s">
        <v>271</v>
      </c>
      <c r="G20" s="10" t="s">
        <v>263</v>
      </c>
      <c r="H20" s="63">
        <v>20.72</v>
      </c>
      <c r="I20" s="64">
        <f>H28-H20</f>
        <v>-2.1312500000000014</v>
      </c>
      <c r="J20" s="63">
        <v>20.54</v>
      </c>
      <c r="K20" s="64">
        <f t="shared" ref="K20:K26" si="126">J20-H20</f>
        <v>-0.17999999999999972</v>
      </c>
      <c r="L20" s="63">
        <v>21.62</v>
      </c>
      <c r="M20" s="62">
        <f t="shared" ref="M20" si="127">L20-J20</f>
        <v>1.0800000000000018</v>
      </c>
      <c r="N20" s="64">
        <f t="shared" ref="N20" si="128">K20+M20</f>
        <v>0.90000000000000213</v>
      </c>
      <c r="O20" s="63">
        <v>21.97</v>
      </c>
      <c r="P20" s="62">
        <f t="shared" ref="P20:P21" si="129">O20-L20</f>
        <v>0.34999999999999787</v>
      </c>
      <c r="Q20" s="64">
        <f t="shared" ref="Q20:Q21" si="130">N20+P20</f>
        <v>1.25</v>
      </c>
      <c r="R20" s="63">
        <v>22.24</v>
      </c>
      <c r="S20" s="62">
        <f t="shared" ref="S20" si="131">R20-O20</f>
        <v>0.26999999999999957</v>
      </c>
      <c r="T20" s="64">
        <f t="shared" ref="T20" si="132">Q20+S20</f>
        <v>1.5199999999999996</v>
      </c>
      <c r="U20" s="63">
        <v>22.05</v>
      </c>
      <c r="V20" s="62">
        <f t="shared" ref="V20:V21" si="133">U20-R20</f>
        <v>-0.18999999999999773</v>
      </c>
      <c r="W20" s="64">
        <f t="shared" ref="W20" si="134">T20+V20</f>
        <v>1.3300000000000018</v>
      </c>
      <c r="X20" s="63">
        <v>22.02</v>
      </c>
      <c r="Y20" s="62">
        <f t="shared" ref="Y20:Y21" si="135">X20-U20</f>
        <v>-3.0000000000001137E-2</v>
      </c>
      <c r="Z20" s="64">
        <f t="shared" ref="Z20:Z21" si="136">W20+Y20</f>
        <v>1.3000000000000007</v>
      </c>
      <c r="AA20" s="63">
        <v>21.98</v>
      </c>
      <c r="AB20" s="62">
        <f t="shared" ref="AB20:AB21" si="137">AA20-X20</f>
        <v>-3.9999999999999147E-2</v>
      </c>
      <c r="AC20" s="64">
        <f t="shared" ref="AC20:AC21" si="138">Z20+AB20</f>
        <v>1.2600000000000016</v>
      </c>
      <c r="AD20" s="63">
        <v>22.05</v>
      </c>
      <c r="AE20" s="62">
        <f t="shared" ref="AE20:AE21" si="139">AD20-AA20</f>
        <v>7.0000000000000284E-2</v>
      </c>
      <c r="AF20" s="64">
        <f t="shared" ref="AF20:AF21" si="140">AC20+AE20</f>
        <v>1.3300000000000018</v>
      </c>
      <c r="AG20" s="63">
        <v>22.32</v>
      </c>
      <c r="AH20" s="62">
        <f t="shared" ref="AH20:AH21" si="141">AG20-AD20</f>
        <v>0.26999999999999957</v>
      </c>
      <c r="AI20" s="64">
        <f t="shared" ref="AI20:AI21" si="142">AF20+AH20</f>
        <v>1.6000000000000014</v>
      </c>
      <c r="AJ20" s="63">
        <v>22.27</v>
      </c>
      <c r="AK20" s="62">
        <f t="shared" ref="AK20:AK21" si="143">AJ20-AG20</f>
        <v>-5.0000000000000711E-2</v>
      </c>
      <c r="AL20" s="64">
        <f t="shared" ref="AL20:AL21" si="144">AI20+AK20</f>
        <v>1.5500000000000007</v>
      </c>
      <c r="AM20" s="63">
        <v>22.21</v>
      </c>
      <c r="AN20" s="62">
        <f t="shared" ref="AN20:AN21" si="145">AM20-AJ20</f>
        <v>-5.9999999999998721E-2</v>
      </c>
      <c r="AO20" s="64">
        <f t="shared" ref="AO20:AO21" si="146">AL20+AN20</f>
        <v>1.490000000000002</v>
      </c>
      <c r="AP20" s="63">
        <v>22.28</v>
      </c>
      <c r="AQ20" s="62">
        <f t="shared" ref="AQ20:AQ21" si="147">AP20-AM20</f>
        <v>7.0000000000000284E-2</v>
      </c>
      <c r="AR20" s="64">
        <f t="shared" ref="AR20:AR21" si="148">AO20+AQ20</f>
        <v>1.5600000000000023</v>
      </c>
      <c r="AS20" s="63">
        <v>22.09</v>
      </c>
      <c r="AT20" s="62">
        <f t="shared" ref="AT20:AT21" si="149">AS20-AP20</f>
        <v>-0.19000000000000128</v>
      </c>
      <c r="AU20" s="64">
        <f t="shared" ref="AU20:AU21" si="150">AR20+AT20</f>
        <v>1.370000000000001</v>
      </c>
      <c r="AV20" s="63">
        <v>22.18</v>
      </c>
      <c r="AW20" s="62">
        <f t="shared" ref="AW20:AW21" si="151">AV20-AS20</f>
        <v>8.9999999999999858E-2</v>
      </c>
      <c r="AX20" s="64">
        <f t="shared" ref="AX20:AX21" si="152">AU20+AW20</f>
        <v>1.4600000000000009</v>
      </c>
      <c r="AY20" s="63">
        <v>22.07</v>
      </c>
      <c r="AZ20" s="62">
        <f t="shared" ref="AZ20:AZ21" si="153">AY20-AV20</f>
        <v>-0.10999999999999943</v>
      </c>
      <c r="BA20" s="64">
        <f t="shared" ref="BA20:BA21" si="154">AX20+AZ20</f>
        <v>1.3500000000000014</v>
      </c>
      <c r="BB20" s="63">
        <v>22.64</v>
      </c>
      <c r="BC20" s="62">
        <f t="shared" ref="BC20:BC21" si="155">BB20-AY20</f>
        <v>0.57000000000000028</v>
      </c>
      <c r="BD20" s="64">
        <f t="shared" ref="BD20:BD21" si="156">BA20+BC20</f>
        <v>1.9200000000000017</v>
      </c>
      <c r="BE20" s="62">
        <v>22.48</v>
      </c>
      <c r="BF20" s="62">
        <f t="shared" ref="BF20:BF21" si="157">BE20-BB20</f>
        <v>-0.16000000000000014</v>
      </c>
      <c r="BG20" s="64">
        <f t="shared" ref="BG20:BG21" si="158">BD20+BF20</f>
        <v>1.7600000000000016</v>
      </c>
      <c r="BH20" s="63">
        <v>22.54</v>
      </c>
      <c r="BI20" s="62">
        <f t="shared" ref="BI20:BI21" si="159">BH20-BE20</f>
        <v>5.9999999999998721E-2</v>
      </c>
      <c r="BJ20" s="64">
        <f t="shared" ref="BJ20:BJ21" si="160">BG20+BI20</f>
        <v>1.8200000000000003</v>
      </c>
      <c r="BK20" s="63">
        <v>22.53</v>
      </c>
      <c r="BL20" s="62">
        <f t="shared" ref="BL20:BL21" si="161">BK20-BH20</f>
        <v>-9.9999999999980105E-3</v>
      </c>
      <c r="BM20" s="64">
        <f t="shared" ref="BM20:BM21" si="162">BJ20+BL20</f>
        <v>1.8100000000000023</v>
      </c>
      <c r="BN20" s="63">
        <v>22.7</v>
      </c>
      <c r="BO20" s="62">
        <f t="shared" ref="BO20:BO21" si="163">BN20-BK20</f>
        <v>0.16999999999999815</v>
      </c>
      <c r="BP20" s="64">
        <f t="shared" ref="BP20:BP21" si="164">BM20+BO20</f>
        <v>1.9800000000000004</v>
      </c>
      <c r="BQ20" s="63">
        <v>22.65</v>
      </c>
      <c r="BR20" s="62">
        <f t="shared" ref="BR20:BR21" si="165">BQ20-BN20</f>
        <v>-5.0000000000000711E-2</v>
      </c>
      <c r="BS20" s="214">
        <f t="shared" ref="BS20:BS21" si="166">BP20+BR20</f>
        <v>1.9299999999999997</v>
      </c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</row>
    <row r="21" spans="1:92" s="60" customFormat="1" ht="12" customHeight="1">
      <c r="A21" s="133" t="s">
        <v>377</v>
      </c>
      <c r="B21" s="116" t="s">
        <v>378</v>
      </c>
      <c r="C21" s="11">
        <v>42621</v>
      </c>
      <c r="D21" s="12" t="s">
        <v>22</v>
      </c>
      <c r="E21" s="10" t="s">
        <v>284</v>
      </c>
      <c r="F21" s="11" t="s">
        <v>271</v>
      </c>
      <c r="G21" s="10" t="s">
        <v>263</v>
      </c>
      <c r="H21" s="63">
        <v>17.170000000000002</v>
      </c>
      <c r="I21" s="64">
        <f>H28-H21</f>
        <v>1.4187499999999957</v>
      </c>
      <c r="J21" s="63">
        <v>16.97</v>
      </c>
      <c r="K21" s="64">
        <f t="shared" si="126"/>
        <v>-0.20000000000000284</v>
      </c>
      <c r="L21" s="63">
        <v>17.63</v>
      </c>
      <c r="M21" s="62">
        <f t="shared" ref="M21:M22" si="167">L21-J21</f>
        <v>0.66000000000000014</v>
      </c>
      <c r="N21" s="64">
        <f t="shared" ref="N21:N22" si="168">K21+M21</f>
        <v>0.4599999999999973</v>
      </c>
      <c r="O21" s="63">
        <v>18.03</v>
      </c>
      <c r="P21" s="62">
        <f t="shared" si="129"/>
        <v>0.40000000000000213</v>
      </c>
      <c r="Q21" s="64">
        <f t="shared" si="130"/>
        <v>0.85999999999999943</v>
      </c>
      <c r="R21" s="63">
        <v>18.23</v>
      </c>
      <c r="S21" s="62">
        <f t="shared" ref="S21:S26" si="169">R21-O21</f>
        <v>0.19999999999999929</v>
      </c>
      <c r="T21" s="64">
        <f t="shared" ref="T21:T26" si="170">Q21+S21</f>
        <v>1.0599999999999987</v>
      </c>
      <c r="U21" s="63">
        <v>18.63</v>
      </c>
      <c r="V21" s="62">
        <f t="shared" si="133"/>
        <v>0.39999999999999858</v>
      </c>
      <c r="W21" s="64">
        <f t="shared" ref="W21:W26" si="171">T21+V21</f>
        <v>1.4599999999999973</v>
      </c>
      <c r="X21" s="63">
        <v>18.739999999999998</v>
      </c>
      <c r="Y21" s="62">
        <f t="shared" si="135"/>
        <v>0.10999999999999943</v>
      </c>
      <c r="Z21" s="64">
        <f t="shared" si="136"/>
        <v>1.5699999999999967</v>
      </c>
      <c r="AA21" s="63">
        <v>19.2</v>
      </c>
      <c r="AB21" s="62">
        <f t="shared" si="137"/>
        <v>0.46000000000000085</v>
      </c>
      <c r="AC21" s="64">
        <f t="shared" si="138"/>
        <v>2.0299999999999976</v>
      </c>
      <c r="AD21" s="63">
        <v>19.25</v>
      </c>
      <c r="AE21" s="62">
        <f t="shared" si="139"/>
        <v>5.0000000000000711E-2</v>
      </c>
      <c r="AF21" s="64">
        <f t="shared" si="140"/>
        <v>2.0799999999999983</v>
      </c>
      <c r="AG21" s="63">
        <v>19.72</v>
      </c>
      <c r="AH21" s="62">
        <f t="shared" si="141"/>
        <v>0.46999999999999886</v>
      </c>
      <c r="AI21" s="64">
        <f t="shared" si="142"/>
        <v>2.5499999999999972</v>
      </c>
      <c r="AJ21" s="63">
        <v>19.86</v>
      </c>
      <c r="AK21" s="62">
        <f t="shared" si="143"/>
        <v>0.14000000000000057</v>
      </c>
      <c r="AL21" s="64">
        <f t="shared" si="144"/>
        <v>2.6899999999999977</v>
      </c>
      <c r="AM21" s="63">
        <v>20.010000000000002</v>
      </c>
      <c r="AN21" s="62">
        <f t="shared" si="145"/>
        <v>0.15000000000000213</v>
      </c>
      <c r="AO21" s="64">
        <f t="shared" si="146"/>
        <v>2.84</v>
      </c>
      <c r="AP21" s="63">
        <v>20.350000000000001</v>
      </c>
      <c r="AQ21" s="62">
        <f t="shared" si="147"/>
        <v>0.33999999999999986</v>
      </c>
      <c r="AR21" s="64">
        <f t="shared" si="148"/>
        <v>3.1799999999999997</v>
      </c>
      <c r="AS21" s="63">
        <v>20.39</v>
      </c>
      <c r="AT21" s="62">
        <f t="shared" si="149"/>
        <v>3.9999999999999147E-2</v>
      </c>
      <c r="AU21" s="64">
        <f t="shared" si="150"/>
        <v>3.2199999999999989</v>
      </c>
      <c r="AV21" s="63">
        <v>20.36</v>
      </c>
      <c r="AW21" s="62">
        <f t="shared" si="151"/>
        <v>-3.0000000000001137E-2</v>
      </c>
      <c r="AX21" s="64">
        <f t="shared" si="152"/>
        <v>3.1899999999999977</v>
      </c>
      <c r="AY21" s="63">
        <v>20.38</v>
      </c>
      <c r="AZ21" s="62">
        <f t="shared" si="153"/>
        <v>1.9999999999999574E-2</v>
      </c>
      <c r="BA21" s="64">
        <f t="shared" si="154"/>
        <v>3.2099999999999973</v>
      </c>
      <c r="BB21" s="63">
        <v>20.45</v>
      </c>
      <c r="BC21" s="62">
        <f t="shared" si="155"/>
        <v>7.0000000000000284E-2</v>
      </c>
      <c r="BD21" s="64">
        <f t="shared" si="156"/>
        <v>3.2799999999999976</v>
      </c>
      <c r="BE21" s="62">
        <v>20.67</v>
      </c>
      <c r="BF21" s="62">
        <f t="shared" si="157"/>
        <v>0.22000000000000242</v>
      </c>
      <c r="BG21" s="64">
        <f t="shared" si="158"/>
        <v>3.5</v>
      </c>
      <c r="BH21" s="63">
        <v>20.83</v>
      </c>
      <c r="BI21" s="62">
        <f t="shared" si="159"/>
        <v>0.15999999999999659</v>
      </c>
      <c r="BJ21" s="64">
        <f t="shared" si="160"/>
        <v>3.6599999999999966</v>
      </c>
      <c r="BK21" s="63">
        <v>20.9</v>
      </c>
      <c r="BL21" s="62">
        <f t="shared" si="161"/>
        <v>7.0000000000000284E-2</v>
      </c>
      <c r="BM21" s="64">
        <f t="shared" si="162"/>
        <v>3.7299999999999969</v>
      </c>
      <c r="BN21" s="63">
        <v>20.399999999999999</v>
      </c>
      <c r="BO21" s="62">
        <f t="shared" si="163"/>
        <v>-0.5</v>
      </c>
      <c r="BP21" s="64">
        <f t="shared" si="164"/>
        <v>3.2299999999999969</v>
      </c>
      <c r="BQ21" s="63">
        <v>20.239999999999998</v>
      </c>
      <c r="BR21" s="62">
        <f t="shared" si="165"/>
        <v>-0.16000000000000014</v>
      </c>
      <c r="BS21" s="214">
        <f t="shared" si="166"/>
        <v>3.0699999999999967</v>
      </c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</row>
    <row r="22" spans="1:92" s="215" customFormat="1" ht="12" customHeight="1">
      <c r="A22" s="133" t="s">
        <v>379</v>
      </c>
      <c r="B22" s="62" t="s">
        <v>380</v>
      </c>
      <c r="C22" s="11"/>
      <c r="D22" s="12" t="s">
        <v>22</v>
      </c>
      <c r="E22" s="10" t="s">
        <v>284</v>
      </c>
      <c r="F22" s="11">
        <v>42411</v>
      </c>
      <c r="G22" s="10" t="s">
        <v>263</v>
      </c>
      <c r="H22" s="63">
        <v>17.690000000000001</v>
      </c>
      <c r="I22" s="64">
        <f>H28-H22</f>
        <v>0.89874999999999616</v>
      </c>
      <c r="J22" s="63">
        <v>17.75</v>
      </c>
      <c r="K22" s="64">
        <f t="shared" si="126"/>
        <v>5.9999999999998721E-2</v>
      </c>
      <c r="L22" s="63">
        <v>18.420000000000002</v>
      </c>
      <c r="M22" s="62">
        <f t="shared" si="167"/>
        <v>0.67000000000000171</v>
      </c>
      <c r="N22" s="64">
        <f t="shared" si="168"/>
        <v>0.73000000000000043</v>
      </c>
      <c r="O22" s="63">
        <v>18.77</v>
      </c>
      <c r="P22" s="62">
        <f t="shared" ref="P22:P26" si="172">O22-L22</f>
        <v>0.34999999999999787</v>
      </c>
      <c r="Q22" s="64">
        <f t="shared" ref="Q22:Q26" si="173">N22+P22</f>
        <v>1.0799999999999983</v>
      </c>
      <c r="R22" s="63">
        <v>18.87</v>
      </c>
      <c r="S22" s="62">
        <f t="shared" si="169"/>
        <v>0.10000000000000142</v>
      </c>
      <c r="T22" s="64">
        <f t="shared" si="170"/>
        <v>1.1799999999999997</v>
      </c>
      <c r="U22" s="63">
        <v>19.27</v>
      </c>
      <c r="V22" s="62">
        <f t="shared" ref="V22:V25" si="174">U22-R22</f>
        <v>0.39999999999999858</v>
      </c>
      <c r="W22" s="64">
        <f t="shared" si="171"/>
        <v>1.5799999999999983</v>
      </c>
      <c r="X22" s="63">
        <v>19.350000000000001</v>
      </c>
      <c r="Y22" s="62">
        <f t="shared" ref="Y22" si="175">X22-U22</f>
        <v>8.0000000000001847E-2</v>
      </c>
      <c r="Z22" s="64">
        <f t="shared" ref="Z22" si="176">W22+Y22</f>
        <v>1.6600000000000001</v>
      </c>
      <c r="AA22" s="63">
        <v>19.63</v>
      </c>
      <c r="AB22" s="62">
        <f t="shared" ref="AB22:AB25" si="177">AA22-X22</f>
        <v>0.27999999999999758</v>
      </c>
      <c r="AC22" s="64">
        <f t="shared" ref="AC22:AC25" si="178">Z22+AB22</f>
        <v>1.9399999999999977</v>
      </c>
      <c r="AD22" s="63">
        <v>19.61</v>
      </c>
      <c r="AE22" s="62">
        <f t="shared" ref="AE22" si="179">AD22-AA22</f>
        <v>-1.9999999999999574E-2</v>
      </c>
      <c r="AF22" s="64">
        <f t="shared" ref="AF22" si="180">AC22+AE22</f>
        <v>1.9199999999999982</v>
      </c>
      <c r="AG22" s="63">
        <v>19.98</v>
      </c>
      <c r="AH22" s="62">
        <f t="shared" ref="AH22" si="181">AG22-AD22</f>
        <v>0.37000000000000099</v>
      </c>
      <c r="AI22" s="64">
        <f t="shared" ref="AI22" si="182">AF22+AH22</f>
        <v>2.2899999999999991</v>
      </c>
      <c r="AJ22" s="63">
        <v>19.96</v>
      </c>
      <c r="AK22" s="62">
        <f t="shared" ref="AK22" si="183">AJ22-AG22</f>
        <v>-1.9999999999999574E-2</v>
      </c>
      <c r="AL22" s="64">
        <f t="shared" ref="AL22" si="184">AI22+AK22</f>
        <v>2.2699999999999996</v>
      </c>
      <c r="AM22" s="63">
        <v>20.02</v>
      </c>
      <c r="AN22" s="62">
        <f t="shared" ref="AN22:AN24" si="185">AM22-AJ22</f>
        <v>5.9999999999998721E-2</v>
      </c>
      <c r="AO22" s="64">
        <f t="shared" ref="AO22:AO24" si="186">AL22+AN22</f>
        <v>2.3299999999999983</v>
      </c>
      <c r="AP22" s="63">
        <v>20.260000000000002</v>
      </c>
      <c r="AQ22" s="62">
        <f t="shared" ref="AQ22" si="187">AP22-AM22</f>
        <v>0.24000000000000199</v>
      </c>
      <c r="AR22" s="64">
        <f t="shared" ref="AR22" si="188">AO22+AQ22</f>
        <v>2.5700000000000003</v>
      </c>
      <c r="AS22" s="63">
        <v>20.059999999999999</v>
      </c>
      <c r="AT22" s="62">
        <f t="shared" ref="AT22:AT23" si="189">AS22-AP22</f>
        <v>-0.20000000000000284</v>
      </c>
      <c r="AU22" s="64">
        <f t="shared" ref="AU22:AU23" si="190">AR22+AT22</f>
        <v>2.3699999999999974</v>
      </c>
      <c r="AV22" s="63">
        <v>20.190000000000001</v>
      </c>
      <c r="AW22" s="62">
        <f t="shared" ref="AW22" si="191">AV22-AS22</f>
        <v>0.13000000000000256</v>
      </c>
      <c r="AX22" s="64">
        <f t="shared" ref="AX22" si="192">AU22+AW22</f>
        <v>2.5</v>
      </c>
      <c r="AY22" s="63">
        <v>20.51</v>
      </c>
      <c r="AZ22" s="62">
        <f t="shared" ref="AZ22" si="193">AY22-AV22</f>
        <v>0.32000000000000028</v>
      </c>
      <c r="BA22" s="64">
        <f t="shared" ref="BA22" si="194">AX22+AZ22</f>
        <v>2.8200000000000003</v>
      </c>
      <c r="BB22" s="63">
        <v>20.66</v>
      </c>
      <c r="BC22" s="62">
        <f t="shared" ref="BC22" si="195">BB22-AY22</f>
        <v>0.14999999999999858</v>
      </c>
      <c r="BD22" s="64">
        <f t="shared" ref="BD22" si="196">BA22+BC22</f>
        <v>2.9699999999999989</v>
      </c>
      <c r="BE22" s="62">
        <v>20.72</v>
      </c>
      <c r="BF22" s="62">
        <f t="shared" ref="BF22" si="197">BE22-BB22</f>
        <v>5.9999999999998721E-2</v>
      </c>
      <c r="BG22" s="64">
        <f t="shared" ref="BG22" si="198">BD22+BF22</f>
        <v>3.0299999999999976</v>
      </c>
      <c r="BH22" s="63">
        <v>21.07</v>
      </c>
      <c r="BI22" s="62">
        <f t="shared" ref="BI22:BI23" si="199">BH22-BE22</f>
        <v>0.35000000000000142</v>
      </c>
      <c r="BJ22" s="64">
        <f t="shared" ref="BJ22:BJ23" si="200">BG22+BI22</f>
        <v>3.379999999999999</v>
      </c>
      <c r="BK22" s="63">
        <v>21.07</v>
      </c>
      <c r="BL22" s="62">
        <f t="shared" ref="BL22:BL25" si="201">BK22-BH22</f>
        <v>0</v>
      </c>
      <c r="BM22" s="64">
        <f t="shared" ref="BM22:BM25" si="202">BJ22+BL22</f>
        <v>3.379999999999999</v>
      </c>
      <c r="BN22" s="63">
        <v>21.38</v>
      </c>
      <c r="BO22" s="62">
        <f t="shared" ref="BO22" si="203">BN22-BK22</f>
        <v>0.30999999999999872</v>
      </c>
      <c r="BP22" s="64">
        <f t="shared" ref="BP22" si="204">BM22+BO22</f>
        <v>3.6899999999999977</v>
      </c>
      <c r="BQ22" s="63">
        <v>21.5</v>
      </c>
      <c r="BR22" s="62">
        <f t="shared" ref="BR22" si="205">BQ22-BN22</f>
        <v>0.12000000000000099</v>
      </c>
      <c r="BS22" s="214">
        <f t="shared" ref="BS22" si="206">BP22+BR22</f>
        <v>3.8099999999999987</v>
      </c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</row>
    <row r="23" spans="1:92" s="60" customFormat="1" ht="12" customHeight="1">
      <c r="A23" s="9" t="s">
        <v>381</v>
      </c>
      <c r="B23" s="62" t="s">
        <v>382</v>
      </c>
      <c r="C23" s="11" t="s">
        <v>308</v>
      </c>
      <c r="D23" s="12" t="s">
        <v>22</v>
      </c>
      <c r="E23" s="10" t="s">
        <v>284</v>
      </c>
      <c r="F23" s="11" t="s">
        <v>309</v>
      </c>
      <c r="G23" s="10" t="s">
        <v>263</v>
      </c>
      <c r="H23" s="63">
        <v>18.61</v>
      </c>
      <c r="I23" s="64">
        <f>H28-H23</f>
        <v>-2.125000000000199E-2</v>
      </c>
      <c r="J23" s="63">
        <v>20.55</v>
      </c>
      <c r="K23" s="64">
        <f t="shared" si="126"/>
        <v>1.9400000000000013</v>
      </c>
      <c r="L23" s="63">
        <v>20.66</v>
      </c>
      <c r="M23" s="62">
        <f t="shared" ref="M23:M25" si="207">L23-J23</f>
        <v>0.10999999999999943</v>
      </c>
      <c r="N23" s="64">
        <f t="shared" ref="N23:N25" si="208">K23+M23</f>
        <v>2.0500000000000007</v>
      </c>
      <c r="O23" s="63">
        <v>21.78</v>
      </c>
      <c r="P23" s="62">
        <f t="shared" si="172"/>
        <v>1.120000000000001</v>
      </c>
      <c r="Q23" s="62">
        <f t="shared" si="173"/>
        <v>3.1700000000000017</v>
      </c>
      <c r="R23" s="63">
        <v>21.57</v>
      </c>
      <c r="S23" s="62">
        <f t="shared" si="169"/>
        <v>-0.21000000000000085</v>
      </c>
      <c r="T23" s="64">
        <f t="shared" si="170"/>
        <v>2.9600000000000009</v>
      </c>
      <c r="U23" s="63">
        <v>21.71</v>
      </c>
      <c r="V23" s="62">
        <f t="shared" si="174"/>
        <v>0.14000000000000057</v>
      </c>
      <c r="W23" s="64">
        <f t="shared" si="171"/>
        <v>3.1000000000000014</v>
      </c>
      <c r="X23" s="63">
        <v>21.9</v>
      </c>
      <c r="Y23" s="62">
        <f t="shared" ref="Y23:Y25" si="209">X23-U23</f>
        <v>0.18999999999999773</v>
      </c>
      <c r="Z23" s="64">
        <f t="shared" ref="Z23:Z25" si="210">W23+Y23</f>
        <v>3.2899999999999991</v>
      </c>
      <c r="AA23" s="63">
        <v>21.77</v>
      </c>
      <c r="AB23" s="62">
        <f t="shared" si="177"/>
        <v>-0.12999999999999901</v>
      </c>
      <c r="AC23" s="64">
        <f t="shared" si="178"/>
        <v>3.16</v>
      </c>
      <c r="AD23" s="63">
        <v>21.94</v>
      </c>
      <c r="AE23" s="62">
        <f t="shared" ref="AE23:AE25" si="211">AD23-AA23</f>
        <v>0.17000000000000171</v>
      </c>
      <c r="AF23" s="64">
        <f t="shared" ref="AF23:AF25" si="212">AC23+AE23</f>
        <v>3.3300000000000018</v>
      </c>
      <c r="AG23" s="63">
        <v>22.07</v>
      </c>
      <c r="AH23" s="62">
        <f t="shared" ref="AH23" si="213">AG23-AD23</f>
        <v>0.12999999999999901</v>
      </c>
      <c r="AI23" s="64">
        <f t="shared" ref="AI23" si="214">AF23+AH23</f>
        <v>3.4600000000000009</v>
      </c>
      <c r="AJ23" s="63">
        <v>22.49</v>
      </c>
      <c r="AK23" s="62">
        <f t="shared" ref="AK23:AK24" si="215">AJ23-AG23</f>
        <v>0.41999999999999815</v>
      </c>
      <c r="AL23" s="64">
        <f t="shared" ref="AL23:AL24" si="216">AI23+AK23</f>
        <v>3.879999999999999</v>
      </c>
      <c r="AM23" s="63">
        <v>22.03</v>
      </c>
      <c r="AN23" s="62">
        <f t="shared" si="185"/>
        <v>-0.4599999999999973</v>
      </c>
      <c r="AO23" s="64">
        <f t="shared" si="186"/>
        <v>3.4200000000000017</v>
      </c>
      <c r="AP23" s="63">
        <v>22.27</v>
      </c>
      <c r="AQ23" s="62">
        <f t="shared" ref="AQ23:AQ24" si="217">AP23-AM23</f>
        <v>0.23999999999999844</v>
      </c>
      <c r="AR23" s="64">
        <f t="shared" ref="AR23:AR24" si="218">AO23+AQ23</f>
        <v>3.66</v>
      </c>
      <c r="AS23" s="63">
        <v>22.2</v>
      </c>
      <c r="AT23" s="62">
        <f t="shared" si="189"/>
        <v>-7.0000000000000284E-2</v>
      </c>
      <c r="AU23" s="64">
        <f t="shared" si="190"/>
        <v>3.59</v>
      </c>
      <c r="AV23" s="63">
        <v>22.07</v>
      </c>
      <c r="AW23" s="62">
        <f>AV23-AS23</f>
        <v>-0.12999999999999901</v>
      </c>
      <c r="AX23" s="64">
        <f>AU23+AW23</f>
        <v>3.4600000000000009</v>
      </c>
      <c r="AY23" s="63">
        <v>22.7</v>
      </c>
      <c r="AZ23" s="62">
        <f>AY23-AV23</f>
        <v>0.62999999999999901</v>
      </c>
      <c r="BA23" s="64">
        <f>AX23+AZ23</f>
        <v>4.09</v>
      </c>
      <c r="BB23" s="63">
        <v>22.74</v>
      </c>
      <c r="BC23" s="62">
        <f>BB23-AY23</f>
        <v>3.9999999999999147E-2</v>
      </c>
      <c r="BD23" s="64">
        <f>BA23+BC23</f>
        <v>4.129999999999999</v>
      </c>
      <c r="BE23" s="62">
        <v>23.12</v>
      </c>
      <c r="BF23" s="62">
        <f>BE23-BB23</f>
        <v>0.38000000000000256</v>
      </c>
      <c r="BG23" s="64">
        <f>BD23+BF23</f>
        <v>4.5100000000000016</v>
      </c>
      <c r="BH23" s="63">
        <v>22.53</v>
      </c>
      <c r="BI23" s="62">
        <f t="shared" si="199"/>
        <v>-0.58999999999999986</v>
      </c>
      <c r="BJ23" s="64">
        <f t="shared" si="200"/>
        <v>3.9200000000000017</v>
      </c>
      <c r="BK23" s="63">
        <v>22.52</v>
      </c>
      <c r="BL23" s="62">
        <f t="shared" si="201"/>
        <v>-1.0000000000001563E-2</v>
      </c>
      <c r="BM23" s="64">
        <f t="shared" si="202"/>
        <v>3.91</v>
      </c>
      <c r="BN23" s="63">
        <v>22.48</v>
      </c>
      <c r="BO23" s="62">
        <f t="shared" ref="BO23:BO25" si="219">BN23-BK23</f>
        <v>-3.9999999999999147E-2</v>
      </c>
      <c r="BP23" s="64">
        <f t="shared" ref="BP23:BP25" si="220">BM23+BO23</f>
        <v>3.870000000000001</v>
      </c>
      <c r="BQ23" s="63">
        <v>22.22</v>
      </c>
      <c r="BR23" s="62">
        <f t="shared" ref="BR23" si="221">BQ23-BN23</f>
        <v>-0.26000000000000156</v>
      </c>
      <c r="BS23" s="214">
        <f t="shared" ref="BS23" si="222">BP23+BR23</f>
        <v>3.6099999999999994</v>
      </c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</row>
    <row r="24" spans="1:92" s="60" customFormat="1" ht="12" customHeight="1">
      <c r="A24" s="9" t="s">
        <v>383</v>
      </c>
      <c r="B24" s="62" t="s">
        <v>384</v>
      </c>
      <c r="C24" s="11">
        <v>43165</v>
      </c>
      <c r="D24" s="12" t="s">
        <v>22</v>
      </c>
      <c r="E24" s="10" t="s">
        <v>284</v>
      </c>
      <c r="F24" s="11">
        <v>43203</v>
      </c>
      <c r="G24" s="10" t="s">
        <v>263</v>
      </c>
      <c r="H24" s="63">
        <v>20.57</v>
      </c>
      <c r="I24" s="64">
        <f>H28-H24</f>
        <v>-1.9812500000000028</v>
      </c>
      <c r="J24" s="63">
        <v>21.08</v>
      </c>
      <c r="K24" s="64">
        <f t="shared" si="126"/>
        <v>0.50999999999999801</v>
      </c>
      <c r="L24" s="63">
        <v>21.48</v>
      </c>
      <c r="M24" s="62">
        <f t="shared" si="207"/>
        <v>0.40000000000000213</v>
      </c>
      <c r="N24" s="64">
        <f t="shared" si="208"/>
        <v>0.91000000000000014</v>
      </c>
      <c r="O24" s="63">
        <v>21.66</v>
      </c>
      <c r="P24" s="62">
        <f t="shared" si="172"/>
        <v>0.17999999999999972</v>
      </c>
      <c r="Q24" s="62">
        <f t="shared" si="173"/>
        <v>1.0899999999999999</v>
      </c>
      <c r="R24" s="63">
        <v>21.32</v>
      </c>
      <c r="S24" s="62">
        <f t="shared" si="169"/>
        <v>-0.33999999999999986</v>
      </c>
      <c r="T24" s="64">
        <f t="shared" si="170"/>
        <v>0.75</v>
      </c>
      <c r="U24" s="63">
        <v>21.8</v>
      </c>
      <c r="V24" s="62">
        <f t="shared" si="174"/>
        <v>0.48000000000000043</v>
      </c>
      <c r="W24" s="64">
        <f t="shared" si="171"/>
        <v>1.2300000000000004</v>
      </c>
      <c r="X24" s="63">
        <v>21.43</v>
      </c>
      <c r="Y24" s="62">
        <f t="shared" si="209"/>
        <v>-0.37000000000000099</v>
      </c>
      <c r="Z24" s="64">
        <f t="shared" si="210"/>
        <v>0.85999999999999943</v>
      </c>
      <c r="AA24" s="63">
        <v>21.69</v>
      </c>
      <c r="AB24" s="62">
        <f t="shared" si="177"/>
        <v>0.26000000000000156</v>
      </c>
      <c r="AC24" s="64">
        <f t="shared" si="178"/>
        <v>1.120000000000001</v>
      </c>
      <c r="AD24" s="63">
        <v>21.72</v>
      </c>
      <c r="AE24" s="62">
        <f t="shared" si="211"/>
        <v>2.9999999999997584E-2</v>
      </c>
      <c r="AF24" s="64">
        <f t="shared" si="212"/>
        <v>1.1499999999999986</v>
      </c>
      <c r="AG24" s="63">
        <v>21.95</v>
      </c>
      <c r="AH24" s="62">
        <f t="shared" ref="AH24:AH25" si="223">AG24-AD24</f>
        <v>0.23000000000000043</v>
      </c>
      <c r="AI24" s="64">
        <f t="shared" ref="AI24:AI25" si="224">AF24+AH24</f>
        <v>1.379999999999999</v>
      </c>
      <c r="AJ24" s="63">
        <v>22.09</v>
      </c>
      <c r="AK24" s="62">
        <f t="shared" si="215"/>
        <v>0.14000000000000057</v>
      </c>
      <c r="AL24" s="64">
        <f t="shared" si="216"/>
        <v>1.5199999999999996</v>
      </c>
      <c r="AM24" s="63">
        <v>22.19</v>
      </c>
      <c r="AN24" s="62">
        <f t="shared" si="185"/>
        <v>0.10000000000000142</v>
      </c>
      <c r="AO24" s="64">
        <f t="shared" si="186"/>
        <v>1.620000000000001</v>
      </c>
      <c r="AP24" s="63">
        <v>22.27</v>
      </c>
      <c r="AQ24" s="62">
        <f t="shared" si="217"/>
        <v>7.9999999999998295E-2</v>
      </c>
      <c r="AR24" s="64">
        <f t="shared" si="218"/>
        <v>1.6999999999999993</v>
      </c>
      <c r="AS24" s="63">
        <v>22.18</v>
      </c>
      <c r="AT24" s="62">
        <f>AS24-AP24</f>
        <v>-8.9999999999999858E-2</v>
      </c>
      <c r="AU24" s="64">
        <f>AR24+AT24</f>
        <v>1.6099999999999994</v>
      </c>
      <c r="AV24" s="63">
        <v>22.13</v>
      </c>
      <c r="AW24" s="62">
        <f>AV24-AS24</f>
        <v>-5.0000000000000711E-2</v>
      </c>
      <c r="AX24" s="64">
        <f>AU24+AW24</f>
        <v>1.5599999999999987</v>
      </c>
      <c r="AY24" s="63">
        <v>22.6</v>
      </c>
      <c r="AZ24" s="62">
        <f>AY24-AV24</f>
        <v>0.47000000000000242</v>
      </c>
      <c r="BA24" s="64">
        <f>AX24+AZ24</f>
        <v>2.0300000000000011</v>
      </c>
      <c r="BB24" s="63">
        <v>22.73</v>
      </c>
      <c r="BC24" s="62">
        <f>BB24-AY24</f>
        <v>0.12999999999999901</v>
      </c>
      <c r="BD24" s="64">
        <f>BA24+BC24</f>
        <v>2.16</v>
      </c>
      <c r="BE24" s="62">
        <v>22.73</v>
      </c>
      <c r="BF24" s="62">
        <f>BE24-BB24</f>
        <v>0</v>
      </c>
      <c r="BG24" s="64">
        <f>BD24+BF24</f>
        <v>2.16</v>
      </c>
      <c r="BH24" s="63">
        <v>23.78</v>
      </c>
      <c r="BI24" s="62">
        <f t="shared" ref="BI24" si="225">BH24-BE24</f>
        <v>1.0500000000000007</v>
      </c>
      <c r="BJ24" s="64">
        <f t="shared" ref="BJ24" si="226">BG24+BI24</f>
        <v>3.2100000000000009</v>
      </c>
      <c r="BK24" s="63">
        <v>23.05</v>
      </c>
      <c r="BL24" s="62">
        <f t="shared" si="201"/>
        <v>-0.73000000000000043</v>
      </c>
      <c r="BM24" s="64">
        <f t="shared" si="202"/>
        <v>2.4800000000000004</v>
      </c>
      <c r="BN24" s="63">
        <v>23.35</v>
      </c>
      <c r="BO24" s="62">
        <f t="shared" si="219"/>
        <v>0.30000000000000071</v>
      </c>
      <c r="BP24" s="64">
        <f t="shared" si="220"/>
        <v>2.7800000000000011</v>
      </c>
      <c r="BQ24" s="63">
        <v>23.64</v>
      </c>
      <c r="BR24" s="62">
        <f t="shared" ref="BR24:BR25" si="227">BQ24-BN24</f>
        <v>0.28999999999999915</v>
      </c>
      <c r="BS24" s="214">
        <f t="shared" ref="BS24:BS25" si="228">BP24+BR24</f>
        <v>3.0700000000000003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</row>
    <row r="25" spans="1:92" s="60" customFormat="1" ht="12" customHeight="1">
      <c r="A25" s="9" t="s">
        <v>385</v>
      </c>
      <c r="B25" s="62" t="s">
        <v>386</v>
      </c>
      <c r="C25" s="11">
        <v>43253</v>
      </c>
      <c r="D25" s="12" t="s">
        <v>22</v>
      </c>
      <c r="E25" s="10" t="s">
        <v>284</v>
      </c>
      <c r="F25" s="11">
        <v>43287</v>
      </c>
      <c r="G25" s="10" t="s">
        <v>263</v>
      </c>
      <c r="H25" s="63">
        <v>16.920000000000002</v>
      </c>
      <c r="I25" s="64">
        <f>H28-H25</f>
        <v>1.6687499999999957</v>
      </c>
      <c r="J25" s="63">
        <v>16.829999999999998</v>
      </c>
      <c r="K25" s="64">
        <f t="shared" si="126"/>
        <v>-9.0000000000003411E-2</v>
      </c>
      <c r="L25" s="63">
        <v>16.420000000000002</v>
      </c>
      <c r="M25" s="62">
        <f t="shared" si="207"/>
        <v>-0.40999999999999659</v>
      </c>
      <c r="N25" s="64">
        <f t="shared" si="208"/>
        <v>-0.5</v>
      </c>
      <c r="O25" s="63">
        <v>17.62</v>
      </c>
      <c r="P25" s="62">
        <f t="shared" si="172"/>
        <v>1.1999999999999993</v>
      </c>
      <c r="Q25" s="62">
        <f t="shared" si="173"/>
        <v>0.69999999999999929</v>
      </c>
      <c r="R25" s="63">
        <v>17.32</v>
      </c>
      <c r="S25" s="62">
        <f t="shared" si="169"/>
        <v>-0.30000000000000071</v>
      </c>
      <c r="T25" s="62">
        <f t="shared" si="170"/>
        <v>0.39999999999999858</v>
      </c>
      <c r="U25" s="63">
        <v>17.690000000000001</v>
      </c>
      <c r="V25" s="62">
        <f t="shared" si="174"/>
        <v>0.37000000000000099</v>
      </c>
      <c r="W25" s="64">
        <f t="shared" si="171"/>
        <v>0.76999999999999957</v>
      </c>
      <c r="X25" s="63">
        <v>17.91</v>
      </c>
      <c r="Y25" s="62">
        <f t="shared" si="209"/>
        <v>0.21999999999999886</v>
      </c>
      <c r="Z25" s="64">
        <f t="shared" si="210"/>
        <v>0.98999999999999844</v>
      </c>
      <c r="AA25" s="63">
        <v>17.97</v>
      </c>
      <c r="AB25" s="62">
        <f t="shared" si="177"/>
        <v>5.9999999999998721E-2</v>
      </c>
      <c r="AC25" s="64">
        <f t="shared" si="178"/>
        <v>1.0499999999999972</v>
      </c>
      <c r="AD25" s="63">
        <v>18.16</v>
      </c>
      <c r="AE25" s="62">
        <f t="shared" si="211"/>
        <v>0.19000000000000128</v>
      </c>
      <c r="AF25" s="64">
        <f t="shared" si="212"/>
        <v>1.2399999999999984</v>
      </c>
      <c r="AG25" s="63">
        <v>18.54</v>
      </c>
      <c r="AH25" s="62">
        <f t="shared" si="223"/>
        <v>0.37999999999999901</v>
      </c>
      <c r="AI25" s="64">
        <f t="shared" si="224"/>
        <v>1.6199999999999974</v>
      </c>
      <c r="AJ25" s="63">
        <v>18.850000000000001</v>
      </c>
      <c r="AK25" s="62">
        <f t="shared" ref="AK25:AK26" si="229">AJ25-AG25</f>
        <v>0.31000000000000227</v>
      </c>
      <c r="AL25" s="64">
        <f t="shared" ref="AL25:AL26" si="230">AI25+AK25</f>
        <v>1.9299999999999997</v>
      </c>
      <c r="AM25" s="63">
        <v>18.95</v>
      </c>
      <c r="AN25" s="62">
        <f t="shared" ref="AN25" si="231">AM25-AJ25</f>
        <v>9.9999999999997868E-2</v>
      </c>
      <c r="AO25" s="64">
        <f t="shared" ref="AO25" si="232">AL25+AN25</f>
        <v>2.0299999999999976</v>
      </c>
      <c r="AP25" s="63">
        <v>19.25</v>
      </c>
      <c r="AQ25" s="62">
        <f t="shared" ref="AQ25" si="233">AP25-AM25</f>
        <v>0.30000000000000071</v>
      </c>
      <c r="AR25" s="64">
        <f t="shared" ref="AR25" si="234">AO25+AQ25</f>
        <v>2.3299999999999983</v>
      </c>
      <c r="AS25" s="63">
        <v>19.350000000000001</v>
      </c>
      <c r="AT25" s="62">
        <f>AS25-AP25</f>
        <v>0.10000000000000142</v>
      </c>
      <c r="AU25" s="64">
        <f>AR25+AT25</f>
        <v>2.4299999999999997</v>
      </c>
      <c r="AV25" s="63">
        <v>19.53</v>
      </c>
      <c r="AW25" s="62">
        <f>AV25-AS25</f>
        <v>0.17999999999999972</v>
      </c>
      <c r="AX25" s="64">
        <f>AU25+AW25</f>
        <v>2.6099999999999994</v>
      </c>
      <c r="AY25" s="63">
        <v>19.73</v>
      </c>
      <c r="AZ25" s="62">
        <f>AY25-AV25</f>
        <v>0.19999999999999929</v>
      </c>
      <c r="BA25" s="64">
        <f>AX25+AZ25</f>
        <v>2.8099999999999987</v>
      </c>
      <c r="BB25" s="63">
        <v>19.95</v>
      </c>
      <c r="BC25" s="62">
        <f>BB25-AY25</f>
        <v>0.21999999999999886</v>
      </c>
      <c r="BD25" s="64">
        <f>BA25+BC25</f>
        <v>3.0299999999999976</v>
      </c>
      <c r="BE25" s="62">
        <v>19.8</v>
      </c>
      <c r="BF25" s="62">
        <f>BE25-BB25</f>
        <v>-0.14999999999999858</v>
      </c>
      <c r="BG25" s="64">
        <f>BD25+BF25</f>
        <v>2.879999999999999</v>
      </c>
      <c r="BH25" s="63">
        <v>19.7</v>
      </c>
      <c r="BI25" s="62">
        <f t="shared" ref="BI25" si="235">BH25-BE25</f>
        <v>-0.10000000000000142</v>
      </c>
      <c r="BJ25" s="64">
        <f t="shared" ref="BJ25" si="236">BG25+BI25</f>
        <v>2.7799999999999976</v>
      </c>
      <c r="BK25" s="63">
        <v>19.579999999999998</v>
      </c>
      <c r="BL25" s="62">
        <f t="shared" si="201"/>
        <v>-0.12000000000000099</v>
      </c>
      <c r="BM25" s="64">
        <f t="shared" si="202"/>
        <v>2.6599999999999966</v>
      </c>
      <c r="BN25" s="63">
        <v>19.62</v>
      </c>
      <c r="BO25" s="62">
        <f t="shared" si="219"/>
        <v>4.00000000000027E-2</v>
      </c>
      <c r="BP25" s="64">
        <f t="shared" si="220"/>
        <v>2.6999999999999993</v>
      </c>
      <c r="BQ25" s="63">
        <v>19.829999999999998</v>
      </c>
      <c r="BR25" s="62">
        <f t="shared" si="227"/>
        <v>0.2099999999999973</v>
      </c>
      <c r="BS25" s="64">
        <f t="shared" si="228"/>
        <v>2.9099999999999966</v>
      </c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</row>
    <row r="26" spans="1:92" s="60" customFormat="1" ht="12" customHeight="1">
      <c r="A26" s="9" t="s">
        <v>387</v>
      </c>
      <c r="B26" s="62" t="s">
        <v>388</v>
      </c>
      <c r="C26" s="142">
        <v>43703</v>
      </c>
      <c r="D26" s="12" t="s">
        <v>22</v>
      </c>
      <c r="E26" s="10" t="s">
        <v>284</v>
      </c>
      <c r="F26" s="11">
        <v>43742</v>
      </c>
      <c r="G26" s="10" t="s">
        <v>276</v>
      </c>
      <c r="H26" s="63">
        <v>19.190000000000001</v>
      </c>
      <c r="I26" s="64">
        <f>H28-H26</f>
        <v>-0.60125000000000384</v>
      </c>
      <c r="J26" s="63">
        <v>20.74</v>
      </c>
      <c r="K26" s="64">
        <f t="shared" si="126"/>
        <v>1.5499999999999972</v>
      </c>
      <c r="L26" s="63">
        <v>21.47</v>
      </c>
      <c r="M26" s="62">
        <f t="shared" ref="M26" si="237">L26-J26</f>
        <v>0.73000000000000043</v>
      </c>
      <c r="N26" s="64">
        <f t="shared" ref="N26" si="238">K26+M26</f>
        <v>2.2799999999999976</v>
      </c>
      <c r="O26" s="63">
        <v>21.7</v>
      </c>
      <c r="P26" s="62">
        <f t="shared" si="172"/>
        <v>0.23000000000000043</v>
      </c>
      <c r="Q26" s="62">
        <f t="shared" si="173"/>
        <v>2.509999999999998</v>
      </c>
      <c r="R26" s="63">
        <v>22.03</v>
      </c>
      <c r="S26" s="62">
        <f t="shared" si="169"/>
        <v>0.33000000000000185</v>
      </c>
      <c r="T26" s="62">
        <f t="shared" si="170"/>
        <v>2.84</v>
      </c>
      <c r="U26" s="63">
        <v>22.47</v>
      </c>
      <c r="V26" s="62">
        <f t="shared" ref="V26" si="239">U26-R26</f>
        <v>0.43999999999999773</v>
      </c>
      <c r="W26" s="64">
        <f t="shared" si="171"/>
        <v>3.2799999999999976</v>
      </c>
      <c r="X26" s="63">
        <v>22.85</v>
      </c>
      <c r="Y26" s="62">
        <f t="shared" ref="Y26" si="240">X26-U26</f>
        <v>0.38000000000000256</v>
      </c>
      <c r="Z26" s="64">
        <f t="shared" ref="Z26" si="241">W26+Y26</f>
        <v>3.66</v>
      </c>
      <c r="AA26" s="63">
        <v>23.01</v>
      </c>
      <c r="AB26" s="62">
        <f t="shared" ref="AB26" si="242">AA26-X26</f>
        <v>0.16000000000000014</v>
      </c>
      <c r="AC26" s="64">
        <f t="shared" ref="AC26" si="243">Z26+AB26</f>
        <v>3.8200000000000003</v>
      </c>
      <c r="AD26" s="63">
        <v>23.26</v>
      </c>
      <c r="AE26" s="62">
        <f t="shared" ref="AE26" si="244">AD26-AA26</f>
        <v>0.25</v>
      </c>
      <c r="AF26" s="64">
        <f t="shared" ref="AF26" si="245">AC26+AE26</f>
        <v>4.07</v>
      </c>
      <c r="AG26" s="63">
        <v>23.11</v>
      </c>
      <c r="AH26" s="62">
        <f t="shared" ref="AH26" si="246">AG26-AD26</f>
        <v>-0.15000000000000213</v>
      </c>
      <c r="AI26" s="64">
        <f t="shared" ref="AI26" si="247">AF26+AH26</f>
        <v>3.9199999999999982</v>
      </c>
      <c r="AJ26" s="63">
        <v>23.47</v>
      </c>
      <c r="AK26" s="62">
        <f t="shared" si="229"/>
        <v>0.35999999999999943</v>
      </c>
      <c r="AL26" s="64">
        <f t="shared" si="230"/>
        <v>4.2799999999999976</v>
      </c>
      <c r="AM26" s="63">
        <v>23.42</v>
      </c>
      <c r="AN26" s="62">
        <f t="shared" ref="AN26" si="248">AM26-AJ26</f>
        <v>-4.9999999999997158E-2</v>
      </c>
      <c r="AO26" s="64">
        <f t="shared" ref="AO26" si="249">AL26+AN26</f>
        <v>4.2300000000000004</v>
      </c>
      <c r="AP26" s="63">
        <v>23.3</v>
      </c>
      <c r="AQ26" s="62">
        <f t="shared" ref="AQ26" si="250">AP26-AM26</f>
        <v>-0.12000000000000099</v>
      </c>
      <c r="AR26" s="64">
        <f t="shared" ref="AR26" si="251">AO26+AQ26</f>
        <v>4.1099999999999994</v>
      </c>
      <c r="AS26" s="63">
        <v>23.74</v>
      </c>
      <c r="AT26" s="62">
        <f>AS26-AP26</f>
        <v>0.43999999999999773</v>
      </c>
      <c r="AU26" s="64">
        <f>AR26+AT26</f>
        <v>4.5499999999999972</v>
      </c>
      <c r="AV26" s="63">
        <v>23.35</v>
      </c>
      <c r="AW26" s="62">
        <f>AV26-AS26</f>
        <v>-0.38999999999999702</v>
      </c>
      <c r="AX26" s="64">
        <f>AU26+AW26</f>
        <v>4.16</v>
      </c>
      <c r="AY26" s="63">
        <v>23.74</v>
      </c>
      <c r="AZ26" s="62">
        <f>AY26-AV26</f>
        <v>0.38999999999999702</v>
      </c>
      <c r="BA26" s="64">
        <f>AX26+AZ26</f>
        <v>4.5499999999999972</v>
      </c>
      <c r="BB26" s="63">
        <v>24.25</v>
      </c>
      <c r="BC26" s="62">
        <f>BB26-AY26</f>
        <v>0.51000000000000156</v>
      </c>
      <c r="BD26" s="64">
        <f>BA26+BC26</f>
        <v>5.0599999999999987</v>
      </c>
      <c r="BE26" s="62">
        <v>24.28</v>
      </c>
      <c r="BF26" s="62">
        <f>BE26-BB26</f>
        <v>3.0000000000001137E-2</v>
      </c>
      <c r="BG26" s="64">
        <f>BD26+BF26</f>
        <v>5.09</v>
      </c>
      <c r="BH26" s="63">
        <v>24.15</v>
      </c>
      <c r="BI26" s="62">
        <f t="shared" ref="BI26" si="252">BH26-BE26</f>
        <v>-0.13000000000000256</v>
      </c>
      <c r="BJ26" s="64">
        <f t="shared" ref="BJ26" si="253">BG26+BI26</f>
        <v>4.9599999999999973</v>
      </c>
      <c r="BK26" s="63">
        <v>24.04</v>
      </c>
      <c r="BL26" s="62">
        <f t="shared" ref="BL26" si="254">BK26-BH26</f>
        <v>-0.10999999999999943</v>
      </c>
      <c r="BM26" s="64">
        <f t="shared" ref="BM26" si="255">BJ26+BL26</f>
        <v>4.8499999999999979</v>
      </c>
      <c r="BN26" s="63">
        <v>24.91</v>
      </c>
      <c r="BO26" s="62">
        <f t="shared" ref="BO26" si="256">BN26-BK26</f>
        <v>0.87000000000000099</v>
      </c>
      <c r="BP26" s="64">
        <f t="shared" ref="BP26" si="257">BM26+BO26</f>
        <v>5.7199999999999989</v>
      </c>
      <c r="BQ26" s="63">
        <v>24.81</v>
      </c>
      <c r="BR26" s="62">
        <f t="shared" ref="BR26" si="258">BQ26-BN26</f>
        <v>-0.10000000000000142</v>
      </c>
      <c r="BS26" s="64">
        <f t="shared" ref="BS26" si="259">BP26+BR26</f>
        <v>5.6199999999999974</v>
      </c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</row>
    <row r="27" spans="1:92" s="60" customFormat="1" ht="12" customHeight="1">
      <c r="A27" s="9"/>
      <c r="B27" s="62"/>
      <c r="C27" s="11"/>
      <c r="D27" s="12"/>
      <c r="E27" s="10"/>
      <c r="F27" s="11"/>
      <c r="G27" s="10"/>
      <c r="H27" s="63"/>
      <c r="I27" s="64"/>
      <c r="J27" s="63"/>
      <c r="K27" s="64"/>
      <c r="L27" s="63"/>
      <c r="M27" s="62"/>
      <c r="N27" s="62"/>
      <c r="O27" s="63"/>
      <c r="P27" s="62"/>
      <c r="Q27" s="62"/>
      <c r="R27" s="63"/>
      <c r="S27" s="62"/>
      <c r="T27" s="62"/>
      <c r="U27" s="63"/>
      <c r="V27" s="62"/>
      <c r="W27" s="62"/>
      <c r="X27" s="63"/>
      <c r="Y27" s="62"/>
      <c r="Z27" s="62"/>
      <c r="AA27" s="63"/>
      <c r="AB27" s="62"/>
      <c r="AC27" s="62"/>
      <c r="AD27" s="63"/>
      <c r="AE27" s="62"/>
      <c r="AF27" s="64"/>
      <c r="AG27" s="63"/>
      <c r="AH27" s="62"/>
      <c r="AI27" s="62"/>
      <c r="AJ27" s="63"/>
      <c r="AK27" s="62"/>
      <c r="AL27" s="62"/>
      <c r="AM27" s="63"/>
      <c r="AN27" s="62"/>
      <c r="AO27" s="62"/>
      <c r="AP27" s="63"/>
      <c r="AQ27" s="62"/>
      <c r="AR27" s="62"/>
      <c r="AS27" s="63"/>
      <c r="AT27" s="62"/>
      <c r="AU27" s="62"/>
      <c r="AV27" s="63"/>
      <c r="AW27" s="62"/>
      <c r="AX27" s="62"/>
      <c r="AY27" s="63"/>
      <c r="AZ27" s="62"/>
      <c r="BA27" s="62"/>
      <c r="BB27" s="63"/>
      <c r="BC27" s="62"/>
      <c r="BD27" s="64"/>
      <c r="BE27" s="62"/>
      <c r="BF27" s="62"/>
      <c r="BG27" s="62"/>
      <c r="BH27" s="63"/>
      <c r="BI27" s="62"/>
      <c r="BJ27" s="62"/>
      <c r="BK27" s="63"/>
      <c r="BL27" s="62"/>
      <c r="BM27" s="62"/>
      <c r="BN27" s="63"/>
      <c r="BO27" s="62"/>
      <c r="BP27" s="62"/>
      <c r="BQ27" s="63"/>
      <c r="BR27" s="62"/>
      <c r="BS27" s="64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</row>
    <row r="28" spans="1:92" ht="12" customHeight="1">
      <c r="A28" s="9"/>
      <c r="B28" s="11"/>
      <c r="C28" s="3"/>
      <c r="F28" s="31"/>
      <c r="G28" s="3" t="s">
        <v>281</v>
      </c>
      <c r="H28" s="18">
        <f>AVERAGE(H19:H26)</f>
        <v>18.588749999999997</v>
      </c>
      <c r="I28" s="19">
        <f t="shared" ref="I28:BP28" si="260">AVERAGE(I19:I26)</f>
        <v>-3.1086244689504383E-15</v>
      </c>
      <c r="J28" s="18">
        <f t="shared" si="260"/>
        <v>18.942500000000003</v>
      </c>
      <c r="K28" s="19">
        <f t="shared" si="260"/>
        <v>0.35374999999999845</v>
      </c>
      <c r="L28" s="18">
        <f t="shared" si="260"/>
        <v>19.428750000000001</v>
      </c>
      <c r="M28" s="3">
        <f t="shared" si="260"/>
        <v>0.4862500000000014</v>
      </c>
      <c r="N28" s="3">
        <f t="shared" si="260"/>
        <v>0.83999999999999986</v>
      </c>
      <c r="O28" s="18">
        <f t="shared" si="260"/>
        <v>19.999999999999996</v>
      </c>
      <c r="P28" s="3">
        <f t="shared" si="260"/>
        <v>0.57124999999999959</v>
      </c>
      <c r="Q28" s="3">
        <f t="shared" si="260"/>
        <v>1.4112499999999994</v>
      </c>
      <c r="R28" s="18">
        <f t="shared" si="260"/>
        <v>20.035</v>
      </c>
      <c r="S28" s="3">
        <f t="shared" si="260"/>
        <v>3.5000000000000142E-2</v>
      </c>
      <c r="T28" s="3">
        <f t="shared" si="260"/>
        <v>1.4462499999999996</v>
      </c>
      <c r="U28" s="18">
        <f t="shared" si="260"/>
        <v>20.34</v>
      </c>
      <c r="V28" s="3">
        <f t="shared" si="260"/>
        <v>0.30500000000000016</v>
      </c>
      <c r="W28" s="3">
        <f t="shared" si="260"/>
        <v>1.7512499999999998</v>
      </c>
      <c r="X28" s="18">
        <f t="shared" si="260"/>
        <v>20.395</v>
      </c>
      <c r="Y28" s="3">
        <f t="shared" si="260"/>
        <v>5.4999999999999716E-2</v>
      </c>
      <c r="Z28" s="3">
        <f t="shared" si="260"/>
        <v>1.8062499999999995</v>
      </c>
      <c r="AA28" s="18">
        <f t="shared" si="260"/>
        <v>20.574999999999996</v>
      </c>
      <c r="AB28" s="3">
        <f t="shared" si="260"/>
        <v>0.18000000000000016</v>
      </c>
      <c r="AC28" s="3">
        <f t="shared" si="260"/>
        <v>1.9862499999999996</v>
      </c>
      <c r="AD28" s="18">
        <f t="shared" si="260"/>
        <v>20.697499999999998</v>
      </c>
      <c r="AE28" s="3">
        <f t="shared" si="260"/>
        <v>0.12250000000000005</v>
      </c>
      <c r="AF28" s="19">
        <f t="shared" si="260"/>
        <v>2.1087499999999997</v>
      </c>
      <c r="AG28" s="18">
        <f t="shared" si="260"/>
        <v>20.93</v>
      </c>
      <c r="AH28" s="3">
        <f t="shared" si="260"/>
        <v>0.23249999999999948</v>
      </c>
      <c r="AI28" s="3">
        <f t="shared" si="260"/>
        <v>2.3412499999999992</v>
      </c>
      <c r="AJ28" s="18">
        <f t="shared" si="260"/>
        <v>21.116250000000001</v>
      </c>
      <c r="AK28" s="3">
        <f t="shared" si="260"/>
        <v>0.18625000000000025</v>
      </c>
      <c r="AL28" s="3">
        <f t="shared" si="260"/>
        <v>2.5274999999999994</v>
      </c>
      <c r="AM28" s="18">
        <f t="shared" si="260"/>
        <v>21.134999999999998</v>
      </c>
      <c r="AN28" s="3">
        <f t="shared" si="260"/>
        <v>1.8750000000000711E-2</v>
      </c>
      <c r="AO28" s="3">
        <f t="shared" si="260"/>
        <v>2.5462500000000001</v>
      </c>
      <c r="AP28" s="18">
        <f t="shared" si="260"/>
        <v>21.278750000000002</v>
      </c>
      <c r="AQ28" s="3">
        <f t="shared" si="260"/>
        <v>0.14374999999999982</v>
      </c>
      <c r="AR28" s="3">
        <f t="shared" si="260"/>
        <v>2.69</v>
      </c>
      <c r="AS28" s="18">
        <f t="shared" si="260"/>
        <v>21.335000000000001</v>
      </c>
      <c r="AT28" s="3">
        <f t="shared" si="260"/>
        <v>5.6249999999999467E-2</v>
      </c>
      <c r="AU28" s="3">
        <f t="shared" si="260"/>
        <v>2.7462499999999994</v>
      </c>
      <c r="AV28" s="18">
        <f t="shared" si="260"/>
        <v>21.287499999999998</v>
      </c>
      <c r="AW28" s="3">
        <f t="shared" si="260"/>
        <v>-4.7499999999999876E-2</v>
      </c>
      <c r="AX28" s="3">
        <f t="shared" si="260"/>
        <v>2.6987499999999995</v>
      </c>
      <c r="AY28" s="18">
        <f t="shared" si="260"/>
        <v>21.5975</v>
      </c>
      <c r="AZ28" s="3">
        <f t="shared" si="260"/>
        <v>0.31000000000000005</v>
      </c>
      <c r="BA28" s="3">
        <f t="shared" si="260"/>
        <v>3.0087499999999996</v>
      </c>
      <c r="BB28" s="18">
        <f t="shared" si="260"/>
        <v>21.811249999999998</v>
      </c>
      <c r="BC28" s="3">
        <f t="shared" si="260"/>
        <v>0.21374999999999966</v>
      </c>
      <c r="BD28" s="3">
        <f t="shared" si="260"/>
        <v>3.2224999999999993</v>
      </c>
      <c r="BE28" s="18">
        <f t="shared" si="260"/>
        <v>21.837500000000002</v>
      </c>
      <c r="BF28" s="3">
        <f t="shared" si="260"/>
        <v>2.6250000000000551E-2</v>
      </c>
      <c r="BG28" s="3">
        <f t="shared" si="260"/>
        <v>3.2487499999999998</v>
      </c>
      <c r="BH28" s="18">
        <f t="shared" si="260"/>
        <v>21.9725</v>
      </c>
      <c r="BI28" s="3">
        <f t="shared" si="260"/>
        <v>0.13499999999999934</v>
      </c>
      <c r="BJ28" s="3">
        <f t="shared" si="260"/>
        <v>3.3837499999999991</v>
      </c>
      <c r="BK28" s="18">
        <f t="shared" si="260"/>
        <v>21.86375</v>
      </c>
      <c r="BL28" s="3">
        <f t="shared" si="260"/>
        <v>-0.10875000000000012</v>
      </c>
      <c r="BM28" s="3">
        <f t="shared" si="260"/>
        <v>3.274999999999999</v>
      </c>
      <c r="BN28" s="18">
        <f>AVERAGE(BN19:BN26)</f>
        <v>22.043749999999999</v>
      </c>
      <c r="BO28" s="3">
        <f t="shared" si="260"/>
        <v>0.1800000000000006</v>
      </c>
      <c r="BP28" s="3">
        <f t="shared" si="260"/>
        <v>3.4549999999999996</v>
      </c>
      <c r="BQ28" s="18">
        <f>AVERAGE(BQ19:BQ26)</f>
        <v>22.04</v>
      </c>
      <c r="BR28" s="3">
        <f>AVERAGE(BR19:BR26)</f>
        <v>-3.7500000000010303E-3</v>
      </c>
      <c r="BS28" s="19">
        <f>AVERAGE(BS19:BS26)</f>
        <v>3.4512499999999986</v>
      </c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</row>
    <row r="29" spans="1:92" ht="12" customHeight="1">
      <c r="A29" s="9"/>
      <c r="B29" s="31"/>
      <c r="C29" s="3"/>
      <c r="F29" s="31"/>
      <c r="G29" s="3" t="s">
        <v>45</v>
      </c>
      <c r="H29" s="18">
        <f t="shared" ref="H29:BP29" si="261">STDEV(H19:H26)/SQRT(COUNT(H19:H26))</f>
        <v>0.51747131563015136</v>
      </c>
      <c r="I29" s="19">
        <f t="shared" si="261"/>
        <v>0.51747131563015136</v>
      </c>
      <c r="J29" s="18">
        <f t="shared" si="261"/>
        <v>0.68374428699624246</v>
      </c>
      <c r="K29" s="19">
        <f t="shared" si="261"/>
        <v>0.3296856592704201</v>
      </c>
      <c r="L29" s="18">
        <f t="shared" si="261"/>
        <v>0.74262189355398833</v>
      </c>
      <c r="M29" s="3">
        <f t="shared" si="261"/>
        <v>0.16118908040824945</v>
      </c>
      <c r="N29" s="3">
        <f t="shared" si="261"/>
        <v>0.3380828300875392</v>
      </c>
      <c r="O29" s="18">
        <f t="shared" si="261"/>
        <v>0.68261576726170448</v>
      </c>
      <c r="P29" s="3">
        <f t="shared" si="261"/>
        <v>0.14152785566301582</v>
      </c>
      <c r="Q29" s="3">
        <f t="shared" si="261"/>
        <v>0.32621989461536094</v>
      </c>
      <c r="R29" s="18">
        <f t="shared" si="261"/>
        <v>0.68943817706883603</v>
      </c>
      <c r="S29" s="3">
        <f t="shared" si="261"/>
        <v>9.6787691071009513E-2</v>
      </c>
      <c r="T29" s="3">
        <f t="shared" si="261"/>
        <v>0.33760150589965443</v>
      </c>
      <c r="U29" s="18">
        <f t="shared" si="261"/>
        <v>0.6559970600979419</v>
      </c>
      <c r="V29" s="3">
        <f t="shared" si="261"/>
        <v>7.9327530800202592E-2</v>
      </c>
      <c r="W29" s="3">
        <f t="shared" si="261"/>
        <v>0.32523858001253686</v>
      </c>
      <c r="X29" s="18">
        <f t="shared" si="261"/>
        <v>0.65559950753925544</v>
      </c>
      <c r="Y29" s="3">
        <f t="shared" si="261"/>
        <v>8.2440454701733695E-2</v>
      </c>
      <c r="Z29" s="3">
        <f t="shared" si="261"/>
        <v>0.37805865710797548</v>
      </c>
      <c r="AA29" s="18">
        <f t="shared" si="261"/>
        <v>0.62170273098506323</v>
      </c>
      <c r="AB29" s="3">
        <f t="shared" si="261"/>
        <v>7.2972597596632091E-2</v>
      </c>
      <c r="AC29" s="3">
        <f t="shared" si="261"/>
        <v>0.35671085479498871</v>
      </c>
      <c r="AD29" s="18">
        <f t="shared" si="261"/>
        <v>0.62576167873354838</v>
      </c>
      <c r="AE29" s="3">
        <f t="shared" si="261"/>
        <v>3.6290002558752851E-2</v>
      </c>
      <c r="AF29" s="19">
        <f t="shared" si="261"/>
        <v>0.37281476394355134</v>
      </c>
      <c r="AG29" s="18">
        <f t="shared" si="261"/>
        <v>0.57469867881227243</v>
      </c>
      <c r="AH29" s="3">
        <f t="shared" si="261"/>
        <v>6.8210545895987337E-2</v>
      </c>
      <c r="AI29" s="3">
        <f t="shared" si="261"/>
        <v>0.32650441639979622</v>
      </c>
      <c r="AJ29" s="18">
        <f>STDEV(AJ19:AJ26)/SQRT(COUNT(AJ19:AJ26))</f>
        <v>0.58464255716023339</v>
      </c>
      <c r="AK29" s="3">
        <f>STDEV(AK19:AK26)/SQRT(COUNT(AK19:AK26))</f>
        <v>6.0176451849065095E-2</v>
      </c>
      <c r="AL29" s="3">
        <f t="shared" si="261"/>
        <v>0.36604912824061497</v>
      </c>
      <c r="AM29" s="18">
        <f t="shared" si="261"/>
        <v>0.54045615654080337</v>
      </c>
      <c r="AN29" s="3">
        <f t="shared" si="261"/>
        <v>7.9853381268421786E-2</v>
      </c>
      <c r="AO29" s="3">
        <f t="shared" si="261"/>
        <v>0.32705906795038031</v>
      </c>
      <c r="AP29" s="18">
        <f t="shared" si="261"/>
        <v>0.50227495849242909</v>
      </c>
      <c r="AQ29" s="3">
        <f t="shared" si="261"/>
        <v>5.6881377193494433E-2</v>
      </c>
      <c r="AR29" s="3">
        <f t="shared" si="261"/>
        <v>0.31838880095164851</v>
      </c>
      <c r="AS29" s="18">
        <f t="shared" si="261"/>
        <v>0.51265067471496995</v>
      </c>
      <c r="AT29" s="3">
        <f t="shared" si="261"/>
        <v>8.9181546377519974E-2</v>
      </c>
      <c r="AU29" s="3">
        <f t="shared" si="261"/>
        <v>0.36896543343710181</v>
      </c>
      <c r="AV29" s="18">
        <f t="shared" si="261"/>
        <v>0.46602709148717952</v>
      </c>
      <c r="AW29" s="3">
        <f t="shared" si="261"/>
        <v>6.6028943869877371E-2</v>
      </c>
      <c r="AX29" s="3">
        <f t="shared" si="261"/>
        <v>0.32285245137236124</v>
      </c>
      <c r="AY29" s="18">
        <f t="shared" si="261"/>
        <v>0.49074196740387754</v>
      </c>
      <c r="AZ29" s="3">
        <f t="shared" si="261"/>
        <v>9.1573545774499193E-2</v>
      </c>
      <c r="BA29" s="3">
        <f t="shared" si="261"/>
        <v>0.36376227274337886</v>
      </c>
      <c r="BB29" s="18">
        <f t="shared" si="261"/>
        <v>0.5266655129206772</v>
      </c>
      <c r="BC29" s="3">
        <f t="shared" si="261"/>
        <v>7.4903211355913185E-2</v>
      </c>
      <c r="BD29" s="3">
        <f t="shared" si="261"/>
        <v>0.35681002348188384</v>
      </c>
      <c r="BE29" s="18">
        <f t="shared" si="261"/>
        <v>0.54218720409625532</v>
      </c>
      <c r="BF29" s="3">
        <f t="shared" si="261"/>
        <v>6.9280421373677681E-2</v>
      </c>
      <c r="BG29" s="3">
        <f t="shared" si="261"/>
        <v>0.39336659337787455</v>
      </c>
      <c r="BH29" s="18">
        <f t="shared" si="261"/>
        <v>0.54369026765508432</v>
      </c>
      <c r="BI29" s="3">
        <f t="shared" si="261"/>
        <v>0.16700085542980247</v>
      </c>
      <c r="BJ29" s="3">
        <f t="shared" si="261"/>
        <v>0.31876960724008802</v>
      </c>
      <c r="BK29" s="18">
        <f t="shared" si="261"/>
        <v>0.50367555281152987</v>
      </c>
      <c r="BL29" s="3">
        <f t="shared" si="261"/>
        <v>9.1757395575818024E-2</v>
      </c>
      <c r="BM29" s="3">
        <f t="shared" si="261"/>
        <v>0.33459463747730811</v>
      </c>
      <c r="BN29" s="18">
        <f>STDEV(BN19:BN26)/SQRT(COUNT(BN19:BN26))</f>
        <v>0.59528785803892503</v>
      </c>
      <c r="BO29" s="3">
        <f t="shared" si="261"/>
        <v>0.13693063937629157</v>
      </c>
      <c r="BP29" s="3">
        <f t="shared" si="261"/>
        <v>0.3931511886575661</v>
      </c>
      <c r="BQ29" s="18">
        <f>STDEV(BQ19:BQ26)/SQRT(COUNT(BQ19:BQ26))</f>
        <v>0.58896398143568296</v>
      </c>
      <c r="BR29" s="3">
        <f>STDEV(BR19:BR26)/SQRT(COUNT(BR19:BR26))</f>
        <v>6.742555418491461E-2</v>
      </c>
      <c r="BS29" s="19">
        <f>STDEV(BS19:BS26)/SQRT(COUNT(BS19:BS26))</f>
        <v>0.37259915986025993</v>
      </c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</row>
    <row r="30" spans="1:92" ht="12" customHeight="1">
      <c r="A30" s="9"/>
      <c r="B30" s="31"/>
      <c r="C30" s="3"/>
      <c r="F30" s="31"/>
      <c r="G30" s="62" t="s">
        <v>300</v>
      </c>
      <c r="H30" s="63">
        <f t="shared" ref="H30:BS30" si="262">(100/H16)*H28</f>
        <v>101.07464354760752</v>
      </c>
      <c r="I30" s="62">
        <f t="shared" si="262"/>
        <v>-262.5</v>
      </c>
      <c r="J30" s="63">
        <f t="shared" si="262"/>
        <v>102.03644960497964</v>
      </c>
      <c r="K30" s="62">
        <f t="shared" si="262"/>
        <v>204.08653846153635</v>
      </c>
      <c r="L30" s="63">
        <f t="shared" si="262"/>
        <v>103.04599563910662</v>
      </c>
      <c r="M30" s="62">
        <f t="shared" si="262"/>
        <v>167.6724137931042</v>
      </c>
      <c r="N30" s="62">
        <f t="shared" si="262"/>
        <v>181.29496402877672</v>
      </c>
      <c r="O30" s="63">
        <f t="shared" si="262"/>
        <v>105.43580131208996</v>
      </c>
      <c r="P30" s="62">
        <f t="shared" si="262"/>
        <v>499.15048543689232</v>
      </c>
      <c r="Q30" s="62">
        <f t="shared" si="262"/>
        <v>244.25480769230731</v>
      </c>
      <c r="R30" s="63">
        <f t="shared" si="262"/>
        <v>104.86478627507992</v>
      </c>
      <c r="S30" s="62">
        <f t="shared" si="262"/>
        <v>25.609756097561068</v>
      </c>
      <c r="T30" s="62">
        <f t="shared" si="262"/>
        <v>202.43001555209926</v>
      </c>
      <c r="U30" s="63">
        <f>(100/U16)*U28</f>
        <v>104.89342195736879</v>
      </c>
      <c r="V30" s="62">
        <f t="shared" si="262"/>
        <v>106.80933852140097</v>
      </c>
      <c r="W30" s="62">
        <f t="shared" si="262"/>
        <v>175.12499999999989</v>
      </c>
      <c r="X30" s="63">
        <f t="shared" si="262"/>
        <v>105.11682510594434</v>
      </c>
      <c r="Y30" s="62">
        <f t="shared" si="262"/>
        <v>494.99999999999045</v>
      </c>
      <c r="Z30" s="62">
        <f t="shared" si="262"/>
        <v>178.64010989010973</v>
      </c>
      <c r="AA30" s="63">
        <f t="shared" si="262"/>
        <v>106.19050349810759</v>
      </c>
      <c r="AB30" s="62">
        <f t="shared" si="262"/>
        <v>-674.999999999995</v>
      </c>
      <c r="AC30" s="62">
        <f t="shared" si="262"/>
        <v>201.76354401805858</v>
      </c>
      <c r="AD30" s="63">
        <f t="shared" si="262"/>
        <v>105.19398012197877</v>
      </c>
      <c r="AE30" s="62">
        <f t="shared" si="262"/>
        <v>40.833333333333307</v>
      </c>
      <c r="AF30" s="64">
        <f t="shared" si="262"/>
        <v>164.17603806228362</v>
      </c>
      <c r="AG30" s="63">
        <f t="shared" si="262"/>
        <v>104.89475442699633</v>
      </c>
      <c r="AH30" s="62">
        <f t="shared" si="262"/>
        <v>83.699999999999818</v>
      </c>
      <c r="AI30" s="64">
        <f>(100/AI16)*AI28</f>
        <v>149.86664295874812</v>
      </c>
      <c r="AJ30" s="63">
        <f t="shared" si="262"/>
        <v>104.79528535980151</v>
      </c>
      <c r="AK30" s="62">
        <f t="shared" si="262"/>
        <v>94.703389830508826</v>
      </c>
      <c r="AL30" s="64">
        <f>(100/AL16)*AL28</f>
        <v>143.69867340492732</v>
      </c>
      <c r="AM30" s="63">
        <f t="shared" si="262"/>
        <v>104.18743495645504</v>
      </c>
      <c r="AN30" s="62">
        <f t="shared" si="262"/>
        <v>13.831967213115252</v>
      </c>
      <c r="AO30" s="62">
        <f t="shared" si="262"/>
        <v>134.40615835777123</v>
      </c>
      <c r="AP30" s="63">
        <f t="shared" si="262"/>
        <v>104.59243582741671</v>
      </c>
      <c r="AQ30" s="62">
        <f t="shared" si="262"/>
        <v>244.10377358490481</v>
      </c>
      <c r="AR30" s="62">
        <f t="shared" si="262"/>
        <v>137.71331058020471</v>
      </c>
      <c r="AS30" s="63">
        <f t="shared" si="262"/>
        <v>103.9773650295121</v>
      </c>
      <c r="AT30" s="62">
        <f t="shared" si="262"/>
        <v>32.245222929935998</v>
      </c>
      <c r="AU30" s="64">
        <f t="shared" si="262"/>
        <v>129.06657963446469</v>
      </c>
      <c r="AV30" s="63">
        <f t="shared" si="262"/>
        <v>103.47132209980558</v>
      </c>
      <c r="AW30" s="62">
        <f t="shared" si="262"/>
        <v>-87.244897959183731</v>
      </c>
      <c r="AX30" s="64">
        <f t="shared" si="262"/>
        <v>123.66980651731156</v>
      </c>
      <c r="AY30" s="63">
        <f t="shared" si="262"/>
        <v>103.49688514988553</v>
      </c>
      <c r="AZ30" s="62">
        <f t="shared" si="262"/>
        <v>105.2830188679246</v>
      </c>
      <c r="BA30" s="64">
        <f t="shared" si="262"/>
        <v>121.48384925975772</v>
      </c>
      <c r="BB30" s="63">
        <f t="shared" si="262"/>
        <v>103.60545205045651</v>
      </c>
      <c r="BC30" s="62">
        <f t="shared" si="262"/>
        <v>115.88855421686728</v>
      </c>
      <c r="BD30" s="64">
        <f t="shared" si="262"/>
        <v>121.09603340292273</v>
      </c>
      <c r="BE30" s="63">
        <f t="shared" si="262"/>
        <v>103.83426669484363</v>
      </c>
      <c r="BF30" s="62">
        <f t="shared" si="262"/>
        <v>-124.342105263162</v>
      </c>
      <c r="BG30" s="64">
        <f t="shared" si="262"/>
        <v>123.05871212121208</v>
      </c>
      <c r="BH30" s="63">
        <f t="shared" si="262"/>
        <v>103.24883830209366</v>
      </c>
      <c r="BI30" s="62">
        <f t="shared" si="262"/>
        <v>53.999999999999737</v>
      </c>
      <c r="BJ30" s="64">
        <f t="shared" si="262"/>
        <v>117.08477508650513</v>
      </c>
      <c r="BK30" s="63">
        <f t="shared" si="262"/>
        <v>102.73245797222513</v>
      </c>
      <c r="BL30" s="62">
        <f t="shared" si="262"/>
        <v>-9787.4999999984811</v>
      </c>
      <c r="BM30" s="64">
        <f t="shared" si="262"/>
        <v>113.27824750192154</v>
      </c>
      <c r="BN30" s="63">
        <f t="shared" si="262"/>
        <v>102.47081762305667</v>
      </c>
      <c r="BO30" s="62">
        <f t="shared" si="262"/>
        <v>78.260869565217774</v>
      </c>
      <c r="BP30" s="64">
        <f t="shared" si="262"/>
        <v>110.69775720897113</v>
      </c>
      <c r="BQ30" s="63">
        <f t="shared" si="262"/>
        <v>101.72829375865429</v>
      </c>
      <c r="BR30" s="62">
        <f t="shared" si="262"/>
        <v>-2.4456521739137176</v>
      </c>
      <c r="BS30" s="64">
        <f t="shared" si="262"/>
        <v>105.39955887343055</v>
      </c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</row>
    <row r="31" spans="1:92" ht="12" customHeight="1">
      <c r="A31" s="67"/>
      <c r="B31" s="65"/>
      <c r="C31" s="65"/>
      <c r="D31" s="24"/>
      <c r="E31" s="65"/>
      <c r="F31" s="65"/>
      <c r="G31" s="65"/>
      <c r="H31" s="67"/>
      <c r="I31" s="65"/>
      <c r="J31" s="67"/>
      <c r="K31" s="65"/>
      <c r="L31" s="67"/>
      <c r="M31" s="65"/>
      <c r="N31" s="66"/>
      <c r="O31" s="67"/>
      <c r="P31" s="65"/>
      <c r="Q31" s="65"/>
      <c r="R31" s="67"/>
      <c r="S31" s="65"/>
      <c r="T31" s="65"/>
      <c r="U31" s="67"/>
      <c r="V31" s="65"/>
      <c r="W31" s="65"/>
      <c r="X31" s="67"/>
      <c r="Y31" s="65"/>
      <c r="Z31" s="65"/>
      <c r="AA31" s="67"/>
      <c r="AB31" s="65"/>
      <c r="AC31" s="65"/>
      <c r="AD31" s="67"/>
      <c r="AE31" s="65"/>
      <c r="AF31" s="66"/>
      <c r="AG31" s="67"/>
      <c r="AH31" s="65"/>
      <c r="AI31" s="66"/>
      <c r="AJ31" s="67"/>
      <c r="AK31" s="65"/>
      <c r="AL31" s="65"/>
      <c r="AM31" s="67"/>
      <c r="AN31" s="65"/>
      <c r="AO31" s="65"/>
      <c r="AP31" s="67"/>
      <c r="AQ31" s="65"/>
      <c r="AR31" s="65"/>
      <c r="AS31" s="67"/>
      <c r="AT31" s="65"/>
      <c r="AU31" s="65"/>
      <c r="AV31" s="67"/>
      <c r="AW31" s="65"/>
      <c r="AX31" s="65"/>
      <c r="AY31" s="67"/>
      <c r="AZ31" s="65"/>
      <c r="BA31" s="66"/>
      <c r="BB31" s="67"/>
      <c r="BC31" s="65"/>
      <c r="BD31" s="66"/>
      <c r="BE31" s="65"/>
      <c r="BF31" s="65"/>
      <c r="BG31" s="65"/>
      <c r="BH31" s="67"/>
      <c r="BI31" s="65"/>
      <c r="BJ31" s="66"/>
      <c r="BK31" s="67"/>
      <c r="BL31" s="65"/>
      <c r="BM31" s="66"/>
      <c r="BN31" s="67"/>
      <c r="BO31" s="65"/>
      <c r="BP31" s="66"/>
      <c r="BQ31" s="67"/>
      <c r="BR31" s="65"/>
      <c r="BS31" s="66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</row>
    <row r="32" spans="1:92" s="60" customFormat="1" ht="12" customHeight="1">
      <c r="A32" s="9" t="s">
        <v>389</v>
      </c>
      <c r="B32" s="118" t="s">
        <v>390</v>
      </c>
      <c r="C32" s="11">
        <v>42548</v>
      </c>
      <c r="D32" s="12" t="s">
        <v>22</v>
      </c>
      <c r="E32" s="10" t="s">
        <v>303</v>
      </c>
      <c r="F32" s="11">
        <v>42587</v>
      </c>
      <c r="G32" s="10" t="s">
        <v>263</v>
      </c>
      <c r="H32" s="63">
        <v>19.850000000000001</v>
      </c>
      <c r="I32" s="64">
        <f>H41-H32</f>
        <v>-1.4962499999999999</v>
      </c>
      <c r="J32" s="63">
        <v>18.760000000000002</v>
      </c>
      <c r="K32" s="64">
        <f>J32-H32</f>
        <v>-1.0899999999999999</v>
      </c>
      <c r="L32" s="63">
        <v>18.829999999999998</v>
      </c>
      <c r="M32" s="62">
        <f>L32-J32</f>
        <v>6.9999999999996732E-2</v>
      </c>
      <c r="N32" s="64">
        <f>K32+M32</f>
        <v>-1.0200000000000031</v>
      </c>
      <c r="O32" s="63">
        <v>20.170000000000002</v>
      </c>
      <c r="P32" s="62">
        <f t="shared" ref="P32:P39" si="263">O32-L32</f>
        <v>1.3400000000000034</v>
      </c>
      <c r="Q32" s="64">
        <f t="shared" ref="Q32:Q39" si="264">N32+P32</f>
        <v>0.32000000000000028</v>
      </c>
      <c r="R32" s="63">
        <v>20.440000000000001</v>
      </c>
      <c r="S32" s="62">
        <f>R32-O32</f>
        <v>0.26999999999999957</v>
      </c>
      <c r="T32" s="64">
        <f>Q32+S32</f>
        <v>0.58999999999999986</v>
      </c>
      <c r="U32" s="63">
        <v>21</v>
      </c>
      <c r="V32" s="62">
        <f>U32-R32</f>
        <v>0.55999999999999872</v>
      </c>
      <c r="W32" s="64">
        <f>T32+V32</f>
        <v>1.1499999999999986</v>
      </c>
      <c r="X32" s="63">
        <v>21.02</v>
      </c>
      <c r="Y32" s="62">
        <f>X32-U32</f>
        <v>1.9999999999999574E-2</v>
      </c>
      <c r="Z32" s="64">
        <f t="shared" ref="Z32" si="265">W32+Y32</f>
        <v>1.1699999999999982</v>
      </c>
      <c r="AA32" s="63">
        <v>20.78</v>
      </c>
      <c r="AB32" s="62">
        <f>AA32-X32</f>
        <v>-0.23999999999999844</v>
      </c>
      <c r="AC32" s="64">
        <f>Z32+AB32</f>
        <v>0.92999999999999972</v>
      </c>
      <c r="AD32" s="63">
        <v>20.440000000000001</v>
      </c>
      <c r="AE32" s="62">
        <f>AD32-AA32</f>
        <v>-0.33999999999999986</v>
      </c>
      <c r="AF32" s="64">
        <f>AC32+AE32</f>
        <v>0.58999999999999986</v>
      </c>
      <c r="AG32" s="63">
        <v>20.82</v>
      </c>
      <c r="AH32" s="62">
        <f>AG32-AD32</f>
        <v>0.37999999999999901</v>
      </c>
      <c r="AI32" s="64">
        <f>AF32+AH32</f>
        <v>0.96999999999999886</v>
      </c>
      <c r="AJ32" s="63">
        <v>20.53</v>
      </c>
      <c r="AK32" s="62">
        <f>AJ32-AG32</f>
        <v>-0.28999999999999915</v>
      </c>
      <c r="AL32" s="64">
        <f>AI32+AK32</f>
        <v>0.67999999999999972</v>
      </c>
      <c r="AM32" s="63">
        <v>20.3</v>
      </c>
      <c r="AN32" s="62">
        <f>AM32-AJ32</f>
        <v>-0.23000000000000043</v>
      </c>
      <c r="AO32" s="64">
        <f>AL32+AN32</f>
        <v>0.44999999999999929</v>
      </c>
      <c r="AP32" s="63">
        <v>20.8</v>
      </c>
      <c r="AQ32" s="62">
        <f>AP32-AM32</f>
        <v>0.5</v>
      </c>
      <c r="AR32" s="64">
        <f>AO32+AQ32</f>
        <v>0.94999999999999929</v>
      </c>
      <c r="AS32" s="63">
        <v>20.95</v>
      </c>
      <c r="AT32" s="62">
        <f>AS32-AP32</f>
        <v>0.14999999999999858</v>
      </c>
      <c r="AU32" s="64">
        <f>AR32+AT32</f>
        <v>1.0999999999999979</v>
      </c>
      <c r="AV32" s="63">
        <v>21.12</v>
      </c>
      <c r="AW32" s="62">
        <f t="shared" ref="AW32:AW36" si="266">AV32-AS32</f>
        <v>0.17000000000000171</v>
      </c>
      <c r="AX32" s="64">
        <f t="shared" ref="AX32:AX36" si="267">AU32+AW32</f>
        <v>1.2699999999999996</v>
      </c>
      <c r="AY32" s="63">
        <v>21.31</v>
      </c>
      <c r="AZ32" s="62">
        <f t="shared" ref="AZ32:AZ36" si="268">AY32-AV32</f>
        <v>0.18999999999999773</v>
      </c>
      <c r="BA32" s="64">
        <f t="shared" ref="BA32:BA36" si="269">AX32+AZ32</f>
        <v>1.4599999999999973</v>
      </c>
      <c r="BB32" s="63">
        <v>21.54</v>
      </c>
      <c r="BC32" s="62">
        <f t="shared" ref="BC32:BC35" si="270">BB32-AY32</f>
        <v>0.23000000000000043</v>
      </c>
      <c r="BD32" s="64">
        <f t="shared" ref="BD32:BD35" si="271">BA32+BC32</f>
        <v>1.6899999999999977</v>
      </c>
      <c r="BE32" s="62">
        <v>21.65</v>
      </c>
      <c r="BF32" s="62">
        <f t="shared" ref="BF32:BF36" si="272">BE32-BB32</f>
        <v>0.10999999999999943</v>
      </c>
      <c r="BG32" s="64">
        <f t="shared" ref="BG32:BG36" si="273">BD32+BF32</f>
        <v>1.7999999999999972</v>
      </c>
      <c r="BH32" s="63">
        <v>21.61</v>
      </c>
      <c r="BI32" s="62">
        <f>BH32-BE32</f>
        <v>-3.9999999999999147E-2</v>
      </c>
      <c r="BJ32" s="64">
        <f>BG32+BI32</f>
        <v>1.759999999999998</v>
      </c>
      <c r="BK32" s="63">
        <v>21.75</v>
      </c>
      <c r="BL32" s="62">
        <f>BK32-BH32</f>
        <v>0.14000000000000057</v>
      </c>
      <c r="BM32" s="64">
        <f>BJ32+BL32</f>
        <v>1.8999999999999986</v>
      </c>
      <c r="BN32" s="63">
        <v>21.55</v>
      </c>
      <c r="BO32" s="62">
        <f>BN32-BK32</f>
        <v>-0.19999999999999929</v>
      </c>
      <c r="BP32" s="64">
        <f>BM32+BO32</f>
        <v>1.6999999999999993</v>
      </c>
      <c r="BQ32" s="63">
        <v>22.14</v>
      </c>
      <c r="BR32" s="62">
        <f>BQ32-BN32</f>
        <v>0.58999999999999986</v>
      </c>
      <c r="BS32" s="214">
        <f>BP32+BR32</f>
        <v>2.2899999999999991</v>
      </c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</row>
    <row r="33" spans="1:92" s="60" customFormat="1" ht="12" customHeight="1">
      <c r="A33" s="9" t="s">
        <v>391</v>
      </c>
      <c r="B33" s="116" t="s">
        <v>392</v>
      </c>
      <c r="C33" s="11">
        <v>42548</v>
      </c>
      <c r="D33" s="12" t="s">
        <v>22</v>
      </c>
      <c r="E33" s="10" t="s">
        <v>303</v>
      </c>
      <c r="F33" s="11">
        <v>42587</v>
      </c>
      <c r="G33" s="10" t="s">
        <v>263</v>
      </c>
      <c r="H33" s="63">
        <v>17.84</v>
      </c>
      <c r="I33" s="64">
        <f>H41-H33</f>
        <v>0.51375000000000171</v>
      </c>
      <c r="J33" s="63">
        <v>16.41</v>
      </c>
      <c r="K33" s="64">
        <f>J33-H33</f>
        <v>-1.4299999999999997</v>
      </c>
      <c r="L33" s="63">
        <v>16.29</v>
      </c>
      <c r="M33" s="62">
        <f>L33-J33</f>
        <v>-0.12000000000000099</v>
      </c>
      <c r="N33" s="64">
        <f>K33+M33</f>
        <v>-1.5500000000000007</v>
      </c>
      <c r="O33" s="63">
        <v>15.58</v>
      </c>
      <c r="P33" s="153">
        <f t="shared" si="263"/>
        <v>-0.70999999999999908</v>
      </c>
      <c r="Q33" s="64">
        <f t="shared" si="264"/>
        <v>-2.2599999999999998</v>
      </c>
      <c r="R33" s="63">
        <v>15.37</v>
      </c>
      <c r="S33" s="154">
        <f>R33-O33</f>
        <v>-0.21000000000000085</v>
      </c>
      <c r="T33" s="64">
        <f>Q33+S33</f>
        <v>-2.4700000000000006</v>
      </c>
      <c r="U33" s="63">
        <v>16.16</v>
      </c>
      <c r="V33" s="62">
        <f>U33-R33</f>
        <v>0.79000000000000092</v>
      </c>
      <c r="W33" s="64">
        <f>T33+V33</f>
        <v>-1.6799999999999997</v>
      </c>
      <c r="X33" s="63">
        <v>16.170000000000002</v>
      </c>
      <c r="Y33" s="62">
        <f>X33-U33</f>
        <v>1.0000000000001563E-2</v>
      </c>
      <c r="Z33" s="64">
        <f t="shared" ref="Z33" si="274">W33+Y33</f>
        <v>-1.6699999999999982</v>
      </c>
      <c r="AA33" s="63">
        <v>16.11</v>
      </c>
      <c r="AB33" s="62">
        <f>AA33-X33</f>
        <v>-6.0000000000002274E-2</v>
      </c>
      <c r="AC33" s="64">
        <f>Z33+AB33</f>
        <v>-1.7300000000000004</v>
      </c>
      <c r="AD33" s="63">
        <v>15.8</v>
      </c>
      <c r="AE33" s="62">
        <f t="shared" ref="AE33" si="275">AD33-AA33</f>
        <v>-0.30999999999999872</v>
      </c>
      <c r="AF33" s="64">
        <f t="shared" ref="AF33" si="276">AC33+AE33</f>
        <v>-2.0399999999999991</v>
      </c>
      <c r="AG33" s="63">
        <v>16.100000000000001</v>
      </c>
      <c r="AH33" s="62">
        <f>AG33-AD33</f>
        <v>0.30000000000000071</v>
      </c>
      <c r="AI33" s="64">
        <f>AF33+AH33</f>
        <v>-1.7399999999999984</v>
      </c>
      <c r="AJ33" s="63">
        <v>16.559999999999999</v>
      </c>
      <c r="AK33" s="62">
        <f>AJ33-AG33</f>
        <v>0.4599999999999973</v>
      </c>
      <c r="AL33" s="64">
        <f>AI33+AK33</f>
        <v>-1.2800000000000011</v>
      </c>
      <c r="AM33" s="63">
        <v>16.61</v>
      </c>
      <c r="AN33" s="62">
        <f>AM33-AJ33</f>
        <v>5.0000000000000711E-2</v>
      </c>
      <c r="AO33" s="64">
        <f>AL33+AN33</f>
        <v>-1.2300000000000004</v>
      </c>
      <c r="AP33" s="63">
        <v>17.079999999999998</v>
      </c>
      <c r="AQ33" s="62">
        <f>AP33-AM33</f>
        <v>0.46999999999999886</v>
      </c>
      <c r="AR33" s="64">
        <f>AO33+AQ33</f>
        <v>-0.76000000000000156</v>
      </c>
      <c r="AS33" s="63">
        <v>18.37</v>
      </c>
      <c r="AT33" s="62">
        <f>AS33-AP33</f>
        <v>1.2900000000000027</v>
      </c>
      <c r="AU33" s="64">
        <f>AR33+AT33</f>
        <v>0.53000000000000114</v>
      </c>
      <c r="AV33" s="63">
        <v>18.79</v>
      </c>
      <c r="AW33" s="62">
        <f t="shared" si="266"/>
        <v>0.41999999999999815</v>
      </c>
      <c r="AX33" s="64">
        <f t="shared" si="267"/>
        <v>0.94999999999999929</v>
      </c>
      <c r="AY33" s="63">
        <v>19.28</v>
      </c>
      <c r="AZ33" s="62">
        <f t="shared" si="268"/>
        <v>0.49000000000000199</v>
      </c>
      <c r="BA33" s="64">
        <f t="shared" si="269"/>
        <v>1.4400000000000013</v>
      </c>
      <c r="BB33" s="63">
        <v>19.32</v>
      </c>
      <c r="BC33" s="62">
        <f t="shared" si="270"/>
        <v>3.9999999999999147E-2</v>
      </c>
      <c r="BD33" s="64">
        <f t="shared" si="271"/>
        <v>1.4800000000000004</v>
      </c>
      <c r="BE33" s="62">
        <v>19.34</v>
      </c>
      <c r="BF33" s="62">
        <f t="shared" si="272"/>
        <v>1.9999999999999574E-2</v>
      </c>
      <c r="BG33" s="64">
        <f t="shared" si="273"/>
        <v>1.5</v>
      </c>
      <c r="BH33" s="63">
        <v>19.36</v>
      </c>
      <c r="BI33" s="62">
        <f>BH33-BE33</f>
        <v>1.9999999999999574E-2</v>
      </c>
      <c r="BJ33" s="64">
        <f>BG33+BI33</f>
        <v>1.5199999999999996</v>
      </c>
      <c r="BK33" s="63">
        <v>19.510000000000002</v>
      </c>
      <c r="BL33" s="62">
        <f>BK33-BH33</f>
        <v>0.15000000000000213</v>
      </c>
      <c r="BM33" s="64">
        <f>BJ33+BL33</f>
        <v>1.6700000000000017</v>
      </c>
      <c r="BN33" s="63">
        <v>19.68</v>
      </c>
      <c r="BO33" s="62">
        <f>BN33-BK33</f>
        <v>0.16999999999999815</v>
      </c>
      <c r="BP33" s="64">
        <f>BM33+BO33</f>
        <v>1.8399999999999999</v>
      </c>
      <c r="BQ33" s="63">
        <v>19.54</v>
      </c>
      <c r="BR33" s="62">
        <f>BQ33-BN33</f>
        <v>-0.14000000000000057</v>
      </c>
      <c r="BS33" s="64">
        <f>BP33+BR33</f>
        <v>1.6999999999999993</v>
      </c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</row>
    <row r="34" spans="1:92" s="60" customFormat="1" ht="12" customHeight="1">
      <c r="A34" s="9" t="s">
        <v>393</v>
      </c>
      <c r="B34" s="114" t="s">
        <v>394</v>
      </c>
      <c r="D34" s="12" t="s">
        <v>22</v>
      </c>
      <c r="E34" s="10" t="s">
        <v>303</v>
      </c>
      <c r="F34" s="11">
        <v>42411</v>
      </c>
      <c r="G34" s="10" t="s">
        <v>263</v>
      </c>
      <c r="H34" s="63">
        <v>17.45</v>
      </c>
      <c r="I34" s="64">
        <f>H41-H34</f>
        <v>0.90375000000000227</v>
      </c>
      <c r="J34" s="63">
        <v>15.5</v>
      </c>
      <c r="K34" s="64">
        <f>J34-H34</f>
        <v>-1.9499999999999993</v>
      </c>
      <c r="L34" s="63">
        <v>14.72</v>
      </c>
      <c r="M34" s="62">
        <f>L34-J34</f>
        <v>-0.77999999999999936</v>
      </c>
      <c r="N34" s="64">
        <f>K34+M34</f>
        <v>-2.7299999999999986</v>
      </c>
      <c r="O34" s="63">
        <v>16.22</v>
      </c>
      <c r="P34" s="218">
        <f t="shared" si="263"/>
        <v>1.4999999999999982</v>
      </c>
      <c r="Q34" s="64">
        <f t="shared" si="264"/>
        <v>-1.2300000000000004</v>
      </c>
      <c r="R34" s="63">
        <v>16.72</v>
      </c>
      <c r="S34" s="62">
        <f>R34-O34</f>
        <v>0.5</v>
      </c>
      <c r="T34" s="64">
        <f>Q34+S34</f>
        <v>-0.73000000000000043</v>
      </c>
      <c r="U34" s="63">
        <v>17.39</v>
      </c>
      <c r="V34" s="62">
        <f>U34-R34</f>
        <v>0.67000000000000171</v>
      </c>
      <c r="W34" s="64">
        <f>T34+V34</f>
        <v>-5.9999999999998721E-2</v>
      </c>
      <c r="X34" s="63">
        <v>18.100000000000001</v>
      </c>
      <c r="Y34" s="62">
        <f>X34-U34</f>
        <v>0.71000000000000085</v>
      </c>
      <c r="Z34" s="64">
        <f t="shared" ref="Z34" si="277">W34+Y34</f>
        <v>0.65000000000000213</v>
      </c>
      <c r="AA34" s="63">
        <v>18.91</v>
      </c>
      <c r="AB34" s="62">
        <f>AA34-X34</f>
        <v>0.80999999999999872</v>
      </c>
      <c r="AC34" s="64">
        <f>Z34+AB34</f>
        <v>1.4600000000000009</v>
      </c>
      <c r="AD34" s="63">
        <v>19.760000000000002</v>
      </c>
      <c r="AE34" s="62">
        <f t="shared" ref="AE34" si="278">AD34-AA34</f>
        <v>0.85000000000000142</v>
      </c>
      <c r="AF34" s="64">
        <f t="shared" ref="AF34" si="279">AC34+AE34</f>
        <v>2.3100000000000023</v>
      </c>
      <c r="AG34" s="63">
        <v>19.68</v>
      </c>
      <c r="AH34" s="62">
        <f>AG34-AD34</f>
        <v>-8.0000000000001847E-2</v>
      </c>
      <c r="AI34" s="64">
        <f>AF34+AH34</f>
        <v>2.2300000000000004</v>
      </c>
      <c r="AJ34" s="63">
        <v>20.07</v>
      </c>
      <c r="AK34" s="62">
        <f>AJ34-AG34</f>
        <v>0.39000000000000057</v>
      </c>
      <c r="AL34" s="64">
        <f>AI34+AK34</f>
        <v>2.620000000000001</v>
      </c>
      <c r="AM34" s="63">
        <v>20.27</v>
      </c>
      <c r="AN34" s="62">
        <f>AM34-AJ34</f>
        <v>0.19999999999999929</v>
      </c>
      <c r="AO34" s="64">
        <f>AL34+AN34</f>
        <v>2.8200000000000003</v>
      </c>
      <c r="AP34" s="63">
        <v>20.66</v>
      </c>
      <c r="AQ34" s="62">
        <f>AP34-AM34</f>
        <v>0.39000000000000057</v>
      </c>
      <c r="AR34" s="64">
        <f>AO34+AQ34</f>
        <v>3.2100000000000009</v>
      </c>
      <c r="AS34" s="63">
        <v>20.34</v>
      </c>
      <c r="AT34" s="62">
        <f>AS34-AP34</f>
        <v>-0.32000000000000028</v>
      </c>
      <c r="AU34" s="64">
        <f>AR34+AT34</f>
        <v>2.8900000000000006</v>
      </c>
      <c r="AV34" s="63">
        <v>20.63</v>
      </c>
      <c r="AW34" s="62">
        <f t="shared" si="266"/>
        <v>0.28999999999999915</v>
      </c>
      <c r="AX34" s="64">
        <f t="shared" si="267"/>
        <v>3.1799999999999997</v>
      </c>
      <c r="AY34" s="63">
        <v>21.31</v>
      </c>
      <c r="AZ34" s="62">
        <f t="shared" si="268"/>
        <v>0.67999999999999972</v>
      </c>
      <c r="BA34" s="64">
        <f t="shared" si="269"/>
        <v>3.8599999999999994</v>
      </c>
      <c r="BB34" s="63">
        <v>21.5</v>
      </c>
      <c r="BC34" s="62">
        <f t="shared" si="270"/>
        <v>0.19000000000000128</v>
      </c>
      <c r="BD34" s="64">
        <f t="shared" si="271"/>
        <v>4.0500000000000007</v>
      </c>
      <c r="BE34" s="62">
        <v>21.77</v>
      </c>
      <c r="BF34" s="62">
        <f t="shared" si="272"/>
        <v>0.26999999999999957</v>
      </c>
      <c r="BG34" s="64">
        <f t="shared" si="273"/>
        <v>4.32</v>
      </c>
      <c r="BH34" s="63">
        <v>21.79</v>
      </c>
      <c r="BI34" s="62">
        <f>BH34-BE34</f>
        <v>1.9999999999999574E-2</v>
      </c>
      <c r="BJ34" s="64">
        <f>BG34+BI34</f>
        <v>4.34</v>
      </c>
      <c r="BK34" s="63">
        <v>21.71</v>
      </c>
      <c r="BL34" s="62">
        <f>BK34-BH34</f>
        <v>-7.9999999999998295E-2</v>
      </c>
      <c r="BM34" s="64">
        <f>BJ34+BL34</f>
        <v>4.2600000000000016</v>
      </c>
      <c r="BN34" s="63">
        <v>21.84</v>
      </c>
      <c r="BO34" s="62">
        <f>BN34-BK34</f>
        <v>0.12999999999999901</v>
      </c>
      <c r="BP34" s="64">
        <f>BM34+BO34</f>
        <v>4.3900000000000006</v>
      </c>
      <c r="BQ34" s="63">
        <v>22.04</v>
      </c>
      <c r="BR34" s="62">
        <f>BQ34-BN34</f>
        <v>0.19999999999999929</v>
      </c>
      <c r="BS34" s="64">
        <f>BP34+BR34</f>
        <v>4.59</v>
      </c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</row>
    <row r="35" spans="1:92" s="60" customFormat="1" ht="12" customHeight="1">
      <c r="A35" s="9" t="s">
        <v>395</v>
      </c>
      <c r="B35" s="62" t="s">
        <v>396</v>
      </c>
      <c r="C35" s="11" t="s">
        <v>397</v>
      </c>
      <c r="D35" s="12" t="s">
        <v>22</v>
      </c>
      <c r="E35" s="10" t="s">
        <v>303</v>
      </c>
      <c r="F35" s="11" t="s">
        <v>309</v>
      </c>
      <c r="G35" s="10" t="s">
        <v>263</v>
      </c>
      <c r="H35" s="63">
        <v>18.670000000000002</v>
      </c>
      <c r="I35" s="214">
        <f>H41-H35</f>
        <v>-0.31625000000000014</v>
      </c>
      <c r="J35" s="62">
        <v>16.16</v>
      </c>
      <c r="K35" s="214">
        <f t="shared" ref="K35:K39" si="280">J35-H35</f>
        <v>-2.5100000000000016</v>
      </c>
      <c r="L35" s="62">
        <v>16.21</v>
      </c>
      <c r="M35" s="62">
        <f t="shared" ref="M35" si="281">L35-J35</f>
        <v>5.0000000000000711E-2</v>
      </c>
      <c r="N35" s="214">
        <f t="shared" ref="N35" si="282">K35+M35</f>
        <v>-2.4600000000000009</v>
      </c>
      <c r="O35" s="62">
        <v>16.47</v>
      </c>
      <c r="P35" s="62">
        <f t="shared" si="263"/>
        <v>0.25999999999999801</v>
      </c>
      <c r="Q35" s="214">
        <f t="shared" si="264"/>
        <v>-2.2000000000000028</v>
      </c>
      <c r="R35" s="62">
        <v>16.48</v>
      </c>
      <c r="S35" s="62">
        <f t="shared" ref="S35:S36" si="283">R35-O35</f>
        <v>1.0000000000001563E-2</v>
      </c>
      <c r="T35" s="214">
        <f t="shared" ref="T35:T36" si="284">Q35+S35</f>
        <v>-2.1900000000000013</v>
      </c>
      <c r="U35" s="62">
        <v>18.149999999999999</v>
      </c>
      <c r="V35" s="62">
        <f t="shared" ref="V35" si="285">U35-R35</f>
        <v>1.6699999999999982</v>
      </c>
      <c r="W35" s="214">
        <f t="shared" ref="W35" si="286">T35+V35</f>
        <v>-0.52000000000000313</v>
      </c>
      <c r="X35" s="62">
        <v>18.809999999999999</v>
      </c>
      <c r="Y35" s="62">
        <f t="shared" ref="Y35" si="287">X35-U35</f>
        <v>0.66000000000000014</v>
      </c>
      <c r="Z35" s="214">
        <f t="shared" ref="Z35" si="288">W35+Y35</f>
        <v>0.13999999999999702</v>
      </c>
      <c r="AA35" s="62">
        <v>19.32</v>
      </c>
      <c r="AB35" s="62">
        <f t="shared" ref="AB35:AB37" si="289">AA35-X35</f>
        <v>0.51000000000000156</v>
      </c>
      <c r="AC35" s="64">
        <f t="shared" ref="AC35:AC37" si="290">Z35+AB35</f>
        <v>0.64999999999999858</v>
      </c>
      <c r="AD35" s="63">
        <v>19.02</v>
      </c>
      <c r="AE35" s="62">
        <f t="shared" ref="AE35" si="291">AD35-AA35</f>
        <v>-0.30000000000000071</v>
      </c>
      <c r="AF35" s="64">
        <f t="shared" ref="AF35" si="292">AC35+AE35</f>
        <v>0.34999999999999787</v>
      </c>
      <c r="AG35" s="63">
        <v>19.59</v>
      </c>
      <c r="AH35" s="62">
        <f t="shared" ref="AH35" si="293">AG35-AD35</f>
        <v>0.57000000000000028</v>
      </c>
      <c r="AI35" s="64">
        <f t="shared" ref="AI35" si="294">AF35+AH35</f>
        <v>0.91999999999999815</v>
      </c>
      <c r="AJ35" s="63">
        <v>19.45</v>
      </c>
      <c r="AK35" s="62">
        <f t="shared" ref="AK35:AK39" si="295">AJ35-AG35</f>
        <v>-0.14000000000000057</v>
      </c>
      <c r="AL35" s="64">
        <f t="shared" ref="AL35:AL39" si="296">AI35+AK35</f>
        <v>0.77999999999999758</v>
      </c>
      <c r="AM35" s="63">
        <v>20.03</v>
      </c>
      <c r="AN35" s="62">
        <f t="shared" ref="AN35" si="297">AM35-AJ35</f>
        <v>0.58000000000000185</v>
      </c>
      <c r="AO35" s="64">
        <f t="shared" ref="AO35" si="298">AL35+AN35</f>
        <v>1.3599999999999994</v>
      </c>
      <c r="AP35" s="63">
        <v>19.95</v>
      </c>
      <c r="AQ35" s="62">
        <f t="shared" ref="AQ35:AQ37" si="299">AP35-AM35</f>
        <v>-8.0000000000001847E-2</v>
      </c>
      <c r="AR35" s="64">
        <f t="shared" ref="AR35:AR37" si="300">AO35+AQ35</f>
        <v>1.2799999999999976</v>
      </c>
      <c r="AS35" s="63">
        <v>19.21</v>
      </c>
      <c r="AT35" s="62">
        <f t="shared" ref="AT35" si="301">AS35-AP35</f>
        <v>-0.73999999999999844</v>
      </c>
      <c r="AU35" s="64">
        <f t="shared" ref="AU35" si="302">AR35+AT35</f>
        <v>0.53999999999999915</v>
      </c>
      <c r="AV35" s="63">
        <v>19.440000000000001</v>
      </c>
      <c r="AW35" s="62">
        <f t="shared" si="266"/>
        <v>0.23000000000000043</v>
      </c>
      <c r="AX35" s="64">
        <f t="shared" si="267"/>
        <v>0.76999999999999957</v>
      </c>
      <c r="AY35" s="63">
        <v>19.21</v>
      </c>
      <c r="AZ35" s="62">
        <f t="shared" si="268"/>
        <v>-0.23000000000000043</v>
      </c>
      <c r="BA35" s="64">
        <f t="shared" si="269"/>
        <v>0.53999999999999915</v>
      </c>
      <c r="BB35" s="63">
        <v>19.16</v>
      </c>
      <c r="BC35" s="62">
        <f t="shared" si="270"/>
        <v>-5.0000000000000711E-2</v>
      </c>
      <c r="BD35" s="64">
        <f t="shared" si="271"/>
        <v>0.48999999999999844</v>
      </c>
      <c r="BE35" s="62">
        <v>19.89</v>
      </c>
      <c r="BF35" s="62">
        <f t="shared" si="272"/>
        <v>0.73000000000000043</v>
      </c>
      <c r="BG35" s="64">
        <f t="shared" si="273"/>
        <v>1.2199999999999989</v>
      </c>
      <c r="BH35" s="63">
        <v>19.82</v>
      </c>
      <c r="BI35" s="62">
        <f t="shared" ref="BI35:BI36" si="303">BH35-BE35</f>
        <v>-7.0000000000000284E-2</v>
      </c>
      <c r="BJ35" s="64">
        <f t="shared" ref="BJ35:BJ36" si="304">BG35+BI35</f>
        <v>1.1499999999999986</v>
      </c>
      <c r="BK35" s="63">
        <v>20.76</v>
      </c>
      <c r="BL35" s="62">
        <f t="shared" ref="BL35" si="305">BK35-BH35</f>
        <v>0.94000000000000128</v>
      </c>
      <c r="BM35" s="64">
        <f t="shared" ref="BM35" si="306">BJ35+BL35</f>
        <v>2.09</v>
      </c>
      <c r="BN35" s="63">
        <v>20.92</v>
      </c>
      <c r="BO35" s="62">
        <f t="shared" ref="BO35:BO37" si="307">BN35-BK35</f>
        <v>0.16000000000000014</v>
      </c>
      <c r="BP35" s="64">
        <f t="shared" ref="BP35:BP37" si="308">BM35+BO35</f>
        <v>2.25</v>
      </c>
      <c r="BQ35" s="63">
        <v>21.37</v>
      </c>
      <c r="BR35" s="62">
        <f t="shared" ref="BR35" si="309">BQ35-BN35</f>
        <v>0.44999999999999929</v>
      </c>
      <c r="BS35" s="64">
        <f t="shared" ref="BS35" si="310">BP35+BR35</f>
        <v>2.6999999999999993</v>
      </c>
      <c r="BT35" s="62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</row>
    <row r="36" spans="1:92" ht="12" customHeight="1">
      <c r="A36" s="119" t="s">
        <v>398</v>
      </c>
      <c r="B36" s="12" t="s">
        <v>399</v>
      </c>
      <c r="C36" s="305">
        <v>42989</v>
      </c>
      <c r="D36" s="12" t="s">
        <v>22</v>
      </c>
      <c r="E36" s="10" t="s">
        <v>303</v>
      </c>
      <c r="F36" s="11" t="s">
        <v>291</v>
      </c>
      <c r="G36" s="216" t="s">
        <v>263</v>
      </c>
      <c r="H36" s="12">
        <v>19.45</v>
      </c>
      <c r="I36" s="214">
        <f>H41-H36</f>
        <v>-1.0962499999999977</v>
      </c>
      <c r="J36" s="12">
        <v>18.71</v>
      </c>
      <c r="K36" s="214">
        <f t="shared" si="280"/>
        <v>-0.73999999999999844</v>
      </c>
      <c r="L36" s="12">
        <v>19.7</v>
      </c>
      <c r="M36" s="62">
        <f t="shared" ref="M36:M37" si="311">L36-J36</f>
        <v>0.98999999999999844</v>
      </c>
      <c r="N36" s="214">
        <f t="shared" ref="N36:N37" si="312">K36+M36</f>
        <v>0.25</v>
      </c>
      <c r="O36" s="12">
        <v>19.760000000000002</v>
      </c>
      <c r="P36" s="12">
        <f t="shared" si="263"/>
        <v>6.0000000000002274E-2</v>
      </c>
      <c r="Q36" s="203">
        <f t="shared" si="264"/>
        <v>0.31000000000000227</v>
      </c>
      <c r="R36" s="12">
        <v>20.38</v>
      </c>
      <c r="S36" s="12">
        <f t="shared" si="283"/>
        <v>0.61999999999999744</v>
      </c>
      <c r="T36" s="203">
        <f t="shared" si="284"/>
        <v>0.92999999999999972</v>
      </c>
      <c r="U36" s="12">
        <v>20.420000000000002</v>
      </c>
      <c r="V36" s="62">
        <f t="shared" ref="V36:V37" si="313">U36-R36</f>
        <v>4.00000000000027E-2</v>
      </c>
      <c r="W36" s="214">
        <f t="shared" ref="W36:W37" si="314">T36+V36</f>
        <v>0.97000000000000242</v>
      </c>
      <c r="X36" s="12">
        <v>20.53</v>
      </c>
      <c r="Y36" s="62">
        <f t="shared" ref="Y36:Y37" si="315">X36-U36</f>
        <v>0.10999999999999943</v>
      </c>
      <c r="Z36" s="214">
        <f t="shared" ref="Z36:Z37" si="316">W36+Y36</f>
        <v>1.0800000000000018</v>
      </c>
      <c r="AA36" s="12">
        <v>20.88</v>
      </c>
      <c r="AB36" s="12">
        <f t="shared" si="289"/>
        <v>0.34999999999999787</v>
      </c>
      <c r="AC36" s="203">
        <f t="shared" si="290"/>
        <v>1.4299999999999997</v>
      </c>
      <c r="AD36" s="12">
        <v>20.54</v>
      </c>
      <c r="AE36" s="62">
        <f t="shared" ref="AE36:AE37" si="317">AD36-AA36</f>
        <v>-0.33999999999999986</v>
      </c>
      <c r="AF36" s="64">
        <f t="shared" ref="AF36:AF37" si="318">AC36+AE36</f>
        <v>1.0899999999999999</v>
      </c>
      <c r="AG36" s="12">
        <v>20.29</v>
      </c>
      <c r="AH36" s="62">
        <f t="shared" ref="AH36" si="319">AG36-AD36</f>
        <v>-0.25</v>
      </c>
      <c r="AI36" s="64">
        <f t="shared" ref="AI36" si="320">AF36+AH36</f>
        <v>0.83999999999999986</v>
      </c>
      <c r="AJ36" s="12">
        <v>20.53</v>
      </c>
      <c r="AK36" s="12">
        <f t="shared" si="295"/>
        <v>0.24000000000000199</v>
      </c>
      <c r="AL36" s="203">
        <f t="shared" si="296"/>
        <v>1.0800000000000018</v>
      </c>
      <c r="AM36" s="12">
        <v>20.84</v>
      </c>
      <c r="AN36" s="62">
        <f t="shared" ref="AN36:AN37" si="321">AM36-AJ36</f>
        <v>0.30999999999999872</v>
      </c>
      <c r="AO36" s="64">
        <f t="shared" ref="AO36:AO37" si="322">AL36+AN36</f>
        <v>1.3900000000000006</v>
      </c>
      <c r="AP36" s="12">
        <v>20.98</v>
      </c>
      <c r="AQ36" s="12">
        <f t="shared" si="299"/>
        <v>0.14000000000000057</v>
      </c>
      <c r="AR36" s="203">
        <f t="shared" si="300"/>
        <v>1.5300000000000011</v>
      </c>
      <c r="AS36" s="12">
        <v>21.1</v>
      </c>
      <c r="AT36" s="62">
        <f t="shared" ref="AT36" si="323">AS36-AP36</f>
        <v>0.12000000000000099</v>
      </c>
      <c r="AU36" s="64">
        <f t="shared" ref="AU36" si="324">AR36+AT36</f>
        <v>1.6500000000000021</v>
      </c>
      <c r="AV36" s="12">
        <v>21.16</v>
      </c>
      <c r="AW36" s="12">
        <f t="shared" si="266"/>
        <v>5.9999999999998721E-2</v>
      </c>
      <c r="AX36" s="203">
        <f t="shared" si="267"/>
        <v>1.7100000000000009</v>
      </c>
      <c r="AY36" s="12">
        <v>21.3</v>
      </c>
      <c r="AZ36" s="12">
        <f t="shared" si="268"/>
        <v>0.14000000000000057</v>
      </c>
      <c r="BA36" s="203">
        <f t="shared" si="269"/>
        <v>1.8500000000000014</v>
      </c>
      <c r="BB36" s="12">
        <v>21.46</v>
      </c>
      <c r="BC36" s="62">
        <f t="shared" ref="BC36" si="325">BB36-AY36</f>
        <v>0.16000000000000014</v>
      </c>
      <c r="BD36" s="64">
        <f t="shared" ref="BD36" si="326">BA36+BC36</f>
        <v>2.0100000000000016</v>
      </c>
      <c r="BE36" s="12">
        <v>21.76</v>
      </c>
      <c r="BF36" s="12">
        <f t="shared" si="272"/>
        <v>0.30000000000000071</v>
      </c>
      <c r="BG36" s="203">
        <f t="shared" si="273"/>
        <v>2.3100000000000023</v>
      </c>
      <c r="BH36" s="12">
        <v>21.67</v>
      </c>
      <c r="BI36" s="12">
        <f t="shared" si="303"/>
        <v>-8.9999999999999858E-2</v>
      </c>
      <c r="BJ36" s="203">
        <f t="shared" si="304"/>
        <v>2.2200000000000024</v>
      </c>
      <c r="BK36" s="12">
        <v>22.12</v>
      </c>
      <c r="BL36" s="62">
        <f t="shared" ref="BL36:BL37" si="327">BK36-BH36</f>
        <v>0.44999999999999929</v>
      </c>
      <c r="BM36" s="64">
        <f t="shared" ref="BM36:BM37" si="328">BJ36+BL36</f>
        <v>2.6700000000000017</v>
      </c>
      <c r="BN36" s="12">
        <v>21.85</v>
      </c>
      <c r="BO36" s="12">
        <f t="shared" si="307"/>
        <v>-0.26999999999999957</v>
      </c>
      <c r="BP36" s="203">
        <f t="shared" si="308"/>
        <v>2.4000000000000021</v>
      </c>
      <c r="BQ36" s="12">
        <v>22.01</v>
      </c>
      <c r="BR36" s="62">
        <f t="shared" ref="BR36" si="329">BQ36-BN36</f>
        <v>0.16000000000000014</v>
      </c>
      <c r="BS36" s="64">
        <f t="shared" ref="BS36" si="330">BP36+BR36</f>
        <v>2.5600000000000023</v>
      </c>
    </row>
    <row r="37" spans="1:92" s="60" customFormat="1" ht="12" customHeight="1">
      <c r="A37" s="9" t="s">
        <v>400</v>
      </c>
      <c r="B37" s="62" t="s">
        <v>401</v>
      </c>
      <c r="C37" s="11">
        <v>43165</v>
      </c>
      <c r="D37" s="12" t="s">
        <v>22</v>
      </c>
      <c r="E37" s="10" t="s">
        <v>303</v>
      </c>
      <c r="F37" s="11">
        <v>43203</v>
      </c>
      <c r="G37" s="10" t="s">
        <v>263</v>
      </c>
      <c r="H37" s="63">
        <v>18.920000000000002</v>
      </c>
      <c r="I37" s="214">
        <f>H41-H37</f>
        <v>-0.56625000000000014</v>
      </c>
      <c r="J37" s="62">
        <v>17.239999999999998</v>
      </c>
      <c r="K37" s="214">
        <f t="shared" si="280"/>
        <v>-1.6800000000000033</v>
      </c>
      <c r="L37" s="62">
        <v>18.149999999999999</v>
      </c>
      <c r="M37" s="62">
        <f t="shared" si="311"/>
        <v>0.91000000000000014</v>
      </c>
      <c r="N37" s="214">
        <f t="shared" si="312"/>
        <v>-0.77000000000000313</v>
      </c>
      <c r="O37" s="62">
        <v>19.47</v>
      </c>
      <c r="P37" s="62">
        <f t="shared" si="263"/>
        <v>1.3200000000000003</v>
      </c>
      <c r="Q37" s="214">
        <f t="shared" si="264"/>
        <v>0.54999999999999716</v>
      </c>
      <c r="R37" s="62">
        <v>20.2</v>
      </c>
      <c r="S37" s="12">
        <f t="shared" ref="S37" si="331">R37-O37</f>
        <v>0.73000000000000043</v>
      </c>
      <c r="T37" s="203">
        <f t="shared" ref="T37" si="332">Q37+S37</f>
        <v>1.2799999999999976</v>
      </c>
      <c r="U37" s="62">
        <v>20.65</v>
      </c>
      <c r="V37" s="62">
        <f t="shared" si="313"/>
        <v>0.44999999999999929</v>
      </c>
      <c r="W37" s="214">
        <f t="shared" si="314"/>
        <v>1.7299999999999969</v>
      </c>
      <c r="X37" s="62">
        <v>20.309999999999999</v>
      </c>
      <c r="Y37" s="62">
        <f t="shared" si="315"/>
        <v>-0.33999999999999986</v>
      </c>
      <c r="Z37" s="64">
        <f t="shared" si="316"/>
        <v>1.389999999999997</v>
      </c>
      <c r="AA37" s="63">
        <v>20.37</v>
      </c>
      <c r="AB37" s="62">
        <f t="shared" si="289"/>
        <v>6.0000000000002274E-2</v>
      </c>
      <c r="AC37" s="64">
        <f t="shared" si="290"/>
        <v>1.4499999999999993</v>
      </c>
      <c r="AD37" s="63">
        <v>20.94</v>
      </c>
      <c r="AE37" s="62">
        <f t="shared" si="317"/>
        <v>0.57000000000000028</v>
      </c>
      <c r="AF37" s="64">
        <f t="shared" si="318"/>
        <v>2.0199999999999996</v>
      </c>
      <c r="AG37" s="63">
        <v>21.1</v>
      </c>
      <c r="AH37" s="62">
        <f t="shared" ref="AH37" si="333">AG37-AD37</f>
        <v>0.16000000000000014</v>
      </c>
      <c r="AI37" s="64">
        <f t="shared" ref="AI37" si="334">AF37+AH37</f>
        <v>2.1799999999999997</v>
      </c>
      <c r="AJ37" s="63">
        <v>20.65</v>
      </c>
      <c r="AK37" s="62">
        <f t="shared" si="295"/>
        <v>-0.45000000000000284</v>
      </c>
      <c r="AL37" s="64">
        <f t="shared" si="296"/>
        <v>1.7299999999999969</v>
      </c>
      <c r="AM37" s="63">
        <v>21.06</v>
      </c>
      <c r="AN37" s="62">
        <f t="shared" si="321"/>
        <v>0.41000000000000014</v>
      </c>
      <c r="AO37" s="64">
        <f t="shared" si="322"/>
        <v>2.139999999999997</v>
      </c>
      <c r="AP37" s="63">
        <v>20.86</v>
      </c>
      <c r="AQ37" s="62">
        <f t="shared" si="299"/>
        <v>-0.19999999999999929</v>
      </c>
      <c r="AR37" s="64">
        <f t="shared" si="300"/>
        <v>1.9399999999999977</v>
      </c>
      <c r="AS37" s="63">
        <v>21.19</v>
      </c>
      <c r="AT37" s="62">
        <f>AS37-AP37</f>
        <v>0.33000000000000185</v>
      </c>
      <c r="AU37" s="64">
        <f>AR37+AT37</f>
        <v>2.2699999999999996</v>
      </c>
      <c r="AV37" s="63">
        <v>21.62</v>
      </c>
      <c r="AW37" s="62">
        <f>AV37-AS37</f>
        <v>0.42999999999999972</v>
      </c>
      <c r="AX37" s="64">
        <f>AU37+AW37</f>
        <v>2.6999999999999993</v>
      </c>
      <c r="AY37" s="63">
        <v>21.8</v>
      </c>
      <c r="AZ37" s="62">
        <f>AY37-AV37</f>
        <v>0.17999999999999972</v>
      </c>
      <c r="BA37" s="64">
        <f>AX37+AZ37</f>
        <v>2.879999999999999</v>
      </c>
      <c r="BB37" s="63">
        <v>22.13</v>
      </c>
      <c r="BC37" s="62">
        <f>BB37-AY37</f>
        <v>0.32999999999999829</v>
      </c>
      <c r="BD37" s="64">
        <f>BA37+BC37</f>
        <v>3.2099999999999973</v>
      </c>
      <c r="BE37" s="62">
        <v>21.92</v>
      </c>
      <c r="BF37" s="12">
        <f t="shared" ref="BF37:BF38" si="335">BE37-BB37</f>
        <v>-0.2099999999999973</v>
      </c>
      <c r="BG37" s="203">
        <f t="shared" ref="BG37:BG38" si="336">BD37+BF37</f>
        <v>3</v>
      </c>
      <c r="BH37" s="63">
        <v>23.82</v>
      </c>
      <c r="BI37" s="12">
        <f t="shared" ref="BI37" si="337">BH37-BE37</f>
        <v>1.8999999999999986</v>
      </c>
      <c r="BJ37" s="203">
        <f t="shared" ref="BJ37" si="338">BG37+BI37</f>
        <v>4.8999999999999986</v>
      </c>
      <c r="BK37" s="63">
        <v>22.2</v>
      </c>
      <c r="BL37" s="62">
        <f t="shared" si="327"/>
        <v>-1.620000000000001</v>
      </c>
      <c r="BM37" s="64">
        <f t="shared" si="328"/>
        <v>3.2799999999999976</v>
      </c>
      <c r="BN37" s="63">
        <v>22.66</v>
      </c>
      <c r="BO37" s="62">
        <f t="shared" si="307"/>
        <v>0.46000000000000085</v>
      </c>
      <c r="BP37" s="64">
        <f t="shared" si="308"/>
        <v>3.7399999999999984</v>
      </c>
      <c r="BQ37" s="63">
        <v>23.3</v>
      </c>
      <c r="BR37" s="62">
        <f t="shared" ref="BR37" si="339">BQ37-BN37</f>
        <v>0.64000000000000057</v>
      </c>
      <c r="BS37" s="64">
        <f t="shared" ref="BS37" si="340">BP37+BR37</f>
        <v>4.379999999999999</v>
      </c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</row>
    <row r="38" spans="1:92" s="60" customFormat="1" ht="12" customHeight="1">
      <c r="A38" s="9" t="s">
        <v>402</v>
      </c>
      <c r="B38" s="62" t="s">
        <v>403</v>
      </c>
      <c r="C38" s="142">
        <v>43705</v>
      </c>
      <c r="D38" s="12" t="s">
        <v>22</v>
      </c>
      <c r="E38" s="10" t="s">
        <v>303</v>
      </c>
      <c r="F38" s="11">
        <v>43742</v>
      </c>
      <c r="G38" s="10" t="s">
        <v>276</v>
      </c>
      <c r="H38" s="63">
        <v>17.739999999999998</v>
      </c>
      <c r="I38" s="214">
        <f>H41-H38</f>
        <v>0.61375000000000313</v>
      </c>
      <c r="J38" s="63">
        <v>18.14</v>
      </c>
      <c r="K38" s="214">
        <f t="shared" si="280"/>
        <v>0.40000000000000213</v>
      </c>
      <c r="L38" s="62">
        <v>18.21</v>
      </c>
      <c r="M38" s="62">
        <f t="shared" ref="M38:M39" si="341">L38-J38</f>
        <v>7.0000000000000284E-2</v>
      </c>
      <c r="N38" s="214">
        <f t="shared" ref="N38:N39" si="342">K38+M38</f>
        <v>0.47000000000000242</v>
      </c>
      <c r="O38" s="63">
        <v>19.399999999999999</v>
      </c>
      <c r="P38" s="62">
        <f t="shared" si="263"/>
        <v>1.1899999999999977</v>
      </c>
      <c r="Q38" s="62">
        <f t="shared" si="264"/>
        <v>1.6600000000000001</v>
      </c>
      <c r="R38" s="63">
        <v>20.29</v>
      </c>
      <c r="S38" s="12">
        <f t="shared" ref="S38:S39" si="343">R38-O38</f>
        <v>0.89000000000000057</v>
      </c>
      <c r="T38" s="203">
        <f t="shared" ref="T38:T39" si="344">Q38+S38</f>
        <v>2.5500000000000007</v>
      </c>
      <c r="U38" s="63">
        <v>20.37</v>
      </c>
      <c r="V38" s="62">
        <f t="shared" ref="V38:V39" si="345">U38-R38</f>
        <v>8.0000000000001847E-2</v>
      </c>
      <c r="W38" s="214">
        <f t="shared" ref="W38:W39" si="346">T38+V38</f>
        <v>2.6300000000000026</v>
      </c>
      <c r="X38" s="63">
        <v>20.239999999999998</v>
      </c>
      <c r="Y38" s="62">
        <f t="shared" ref="Y38:Y39" si="347">X38-U38</f>
        <v>-0.13000000000000256</v>
      </c>
      <c r="Z38" s="64">
        <f t="shared" ref="Z38:Z39" si="348">W38+Y38</f>
        <v>2.5</v>
      </c>
      <c r="AA38" s="63">
        <v>20.239999999999998</v>
      </c>
      <c r="AB38" s="62">
        <f t="shared" ref="AB38:AB39" si="349">AA38-X38</f>
        <v>0</v>
      </c>
      <c r="AC38" s="64">
        <f t="shared" ref="AC38:AC39" si="350">Z38+AB38</f>
        <v>2.5</v>
      </c>
      <c r="AD38" s="63">
        <v>20.61</v>
      </c>
      <c r="AE38" s="62">
        <f t="shared" ref="AE38:AE39" si="351">AD38-AA38</f>
        <v>0.37000000000000099</v>
      </c>
      <c r="AF38" s="64">
        <f t="shared" ref="AF38:AF39" si="352">AC38+AE38</f>
        <v>2.870000000000001</v>
      </c>
      <c r="AG38" s="63">
        <v>20.9</v>
      </c>
      <c r="AH38" s="62">
        <f t="shared" ref="AH38:AH39" si="353">AG38-AD38</f>
        <v>0.28999999999999915</v>
      </c>
      <c r="AI38" s="64">
        <f t="shared" ref="AI38:AI39" si="354">AF38+AH38</f>
        <v>3.16</v>
      </c>
      <c r="AJ38" s="63">
        <v>20.74</v>
      </c>
      <c r="AK38" s="62">
        <f t="shared" si="295"/>
        <v>-0.16000000000000014</v>
      </c>
      <c r="AL38" s="64">
        <f t="shared" si="296"/>
        <v>3</v>
      </c>
      <c r="AM38" s="63">
        <v>20.89</v>
      </c>
      <c r="AN38" s="62">
        <f t="shared" ref="AN38:AN39" si="355">AM38-AJ38</f>
        <v>0.15000000000000213</v>
      </c>
      <c r="AO38" s="64">
        <f t="shared" ref="AO38:AO39" si="356">AL38+AN38</f>
        <v>3.1500000000000021</v>
      </c>
      <c r="AP38" s="63">
        <v>21.02</v>
      </c>
      <c r="AQ38" s="62">
        <f t="shared" ref="AQ38:AQ39" si="357">AP38-AM38</f>
        <v>0.12999999999999901</v>
      </c>
      <c r="AR38" s="64">
        <f t="shared" ref="AR38:AR39" si="358">AO38+AQ38</f>
        <v>3.2800000000000011</v>
      </c>
      <c r="AS38" s="63">
        <v>21.26</v>
      </c>
      <c r="AT38" s="62">
        <f t="shared" ref="AT38:AT39" si="359">AS38-AP38</f>
        <v>0.24000000000000199</v>
      </c>
      <c r="AU38" s="64">
        <f t="shared" ref="AU38:AU39" si="360">AR38+AT38</f>
        <v>3.5200000000000031</v>
      </c>
      <c r="AV38" s="63">
        <v>20.85</v>
      </c>
      <c r="AW38" s="62">
        <f t="shared" ref="AW38:AW39" si="361">AV38-AS38</f>
        <v>-0.41000000000000014</v>
      </c>
      <c r="AX38" s="64">
        <f t="shared" ref="AX38:AX39" si="362">AU38+AW38</f>
        <v>3.110000000000003</v>
      </c>
      <c r="AY38" s="63">
        <v>21.55</v>
      </c>
      <c r="AZ38" s="62">
        <f t="shared" ref="AZ38:AZ39" si="363">AY38-AV38</f>
        <v>0.69999999999999929</v>
      </c>
      <c r="BA38" s="64">
        <f t="shared" ref="BA38:BA39" si="364">AX38+AZ38</f>
        <v>3.8100000000000023</v>
      </c>
      <c r="BB38" s="63">
        <v>21.78</v>
      </c>
      <c r="BC38" s="62">
        <f t="shared" ref="BC38:BC39" si="365">BB38-AY38</f>
        <v>0.23000000000000043</v>
      </c>
      <c r="BD38" s="64">
        <f t="shared" ref="BD38:BD39" si="366">BA38+BC38</f>
        <v>4.0400000000000027</v>
      </c>
      <c r="BE38" s="62">
        <v>22.01</v>
      </c>
      <c r="BF38" s="62">
        <f t="shared" si="335"/>
        <v>0.23000000000000043</v>
      </c>
      <c r="BG38" s="64">
        <f t="shared" si="336"/>
        <v>4.2700000000000031</v>
      </c>
      <c r="BH38" s="63">
        <v>22.08</v>
      </c>
      <c r="BI38" s="12">
        <f t="shared" ref="BI38:BI39" si="367">BH38-BE38</f>
        <v>6.9999999999996732E-2</v>
      </c>
      <c r="BJ38" s="203">
        <f t="shared" ref="BJ38:BJ39" si="368">BG38+BI38</f>
        <v>4.34</v>
      </c>
      <c r="BK38" s="63">
        <v>22.48</v>
      </c>
      <c r="BL38" s="62">
        <f t="shared" ref="BL38:BL39" si="369">BK38-BH38</f>
        <v>0.40000000000000213</v>
      </c>
      <c r="BM38" s="64">
        <f t="shared" ref="BM38:BM39" si="370">BJ38+BL38</f>
        <v>4.740000000000002</v>
      </c>
      <c r="BN38" s="63">
        <v>22.94</v>
      </c>
      <c r="BO38" s="62">
        <f t="shared" ref="BO38:BO39" si="371">BN38-BK38</f>
        <v>0.46000000000000085</v>
      </c>
      <c r="BP38" s="64">
        <f t="shared" ref="BP38:BP39" si="372">BM38+BO38</f>
        <v>5.2000000000000028</v>
      </c>
      <c r="BQ38" s="62">
        <v>23.34</v>
      </c>
      <c r="BR38" s="62">
        <f t="shared" ref="BR38:BR39" si="373">BQ38-BN38</f>
        <v>0.39999999999999858</v>
      </c>
      <c r="BS38" s="64">
        <f t="shared" ref="BS38:BS39" si="374">BP38+BR38</f>
        <v>5.6000000000000014</v>
      </c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</row>
    <row r="39" spans="1:92" s="60" customFormat="1" ht="12" customHeight="1">
      <c r="A39" s="9" t="s">
        <v>404</v>
      </c>
      <c r="B39" s="62" t="s">
        <v>405</v>
      </c>
      <c r="C39" s="142">
        <v>43705</v>
      </c>
      <c r="D39" s="12" t="s">
        <v>22</v>
      </c>
      <c r="E39" s="10" t="s">
        <v>303</v>
      </c>
      <c r="F39" s="11">
        <v>43742</v>
      </c>
      <c r="G39" s="10" t="s">
        <v>276</v>
      </c>
      <c r="H39" s="63">
        <v>16.91</v>
      </c>
      <c r="I39" s="214">
        <f>H41-H39</f>
        <v>1.4437500000000014</v>
      </c>
      <c r="J39" s="63">
        <v>15.82</v>
      </c>
      <c r="K39" s="62">
        <f t="shared" si="280"/>
        <v>-1.0899999999999999</v>
      </c>
      <c r="L39" s="63">
        <v>16.43</v>
      </c>
      <c r="M39" s="62">
        <f t="shared" si="341"/>
        <v>0.60999999999999943</v>
      </c>
      <c r="N39" s="214">
        <f t="shared" si="342"/>
        <v>-0.48000000000000043</v>
      </c>
      <c r="O39" s="63">
        <v>17.55</v>
      </c>
      <c r="P39" s="62">
        <f t="shared" si="263"/>
        <v>1.120000000000001</v>
      </c>
      <c r="Q39" s="62">
        <f t="shared" si="264"/>
        <v>0.64000000000000057</v>
      </c>
      <c r="R39" s="63">
        <v>18.63</v>
      </c>
      <c r="S39" s="12">
        <f t="shared" si="343"/>
        <v>1.0799999999999983</v>
      </c>
      <c r="T39" s="203">
        <f t="shared" si="344"/>
        <v>1.7199999999999989</v>
      </c>
      <c r="U39" s="63">
        <v>19.600000000000001</v>
      </c>
      <c r="V39" s="62">
        <f t="shared" si="345"/>
        <v>0.97000000000000242</v>
      </c>
      <c r="W39" s="214">
        <f t="shared" si="346"/>
        <v>2.6900000000000013</v>
      </c>
      <c r="X39" s="63">
        <v>19.57</v>
      </c>
      <c r="Y39" s="62">
        <f t="shared" si="347"/>
        <v>-3.0000000000001137E-2</v>
      </c>
      <c r="Z39" s="64">
        <f t="shared" si="348"/>
        <v>2.66</v>
      </c>
      <c r="AA39" s="63">
        <v>19.84</v>
      </c>
      <c r="AB39" s="62">
        <f t="shared" si="349"/>
        <v>0.26999999999999957</v>
      </c>
      <c r="AC39" s="64">
        <f t="shared" si="350"/>
        <v>2.9299999999999997</v>
      </c>
      <c r="AD39" s="63">
        <v>20.41</v>
      </c>
      <c r="AE39" s="62">
        <f t="shared" si="351"/>
        <v>0.57000000000000028</v>
      </c>
      <c r="AF39" s="64">
        <f t="shared" si="352"/>
        <v>3.5</v>
      </c>
      <c r="AG39" s="63">
        <v>20.66</v>
      </c>
      <c r="AH39" s="62">
        <f t="shared" si="353"/>
        <v>0.25</v>
      </c>
      <c r="AI39" s="64">
        <f t="shared" si="354"/>
        <v>3.75</v>
      </c>
      <c r="AJ39" s="63">
        <v>19.760000000000002</v>
      </c>
      <c r="AK39" s="62">
        <f t="shared" si="295"/>
        <v>-0.89999999999999858</v>
      </c>
      <c r="AL39" s="62">
        <f t="shared" si="296"/>
        <v>2.8500000000000014</v>
      </c>
      <c r="AM39" s="63">
        <v>20.14</v>
      </c>
      <c r="AN39" s="62">
        <f t="shared" si="355"/>
        <v>0.37999999999999901</v>
      </c>
      <c r="AO39" s="64">
        <f t="shared" si="356"/>
        <v>3.2300000000000004</v>
      </c>
      <c r="AP39" s="63">
        <v>20.2</v>
      </c>
      <c r="AQ39" s="62">
        <f t="shared" si="357"/>
        <v>5.9999999999998721E-2</v>
      </c>
      <c r="AR39" s="64">
        <f t="shared" si="358"/>
        <v>3.2899999999999991</v>
      </c>
      <c r="AS39" s="63">
        <v>20.28</v>
      </c>
      <c r="AT39" s="62">
        <f t="shared" si="359"/>
        <v>8.0000000000001847E-2</v>
      </c>
      <c r="AU39" s="64">
        <f t="shared" si="360"/>
        <v>3.370000000000001</v>
      </c>
      <c r="AV39" s="63">
        <v>20.73</v>
      </c>
      <c r="AW39" s="62">
        <f t="shared" si="361"/>
        <v>0.44999999999999929</v>
      </c>
      <c r="AX39" s="64">
        <f t="shared" si="362"/>
        <v>3.8200000000000003</v>
      </c>
      <c r="AY39" s="63">
        <v>21.41</v>
      </c>
      <c r="AZ39" s="62">
        <f t="shared" si="363"/>
        <v>0.67999999999999972</v>
      </c>
      <c r="BA39" s="64">
        <f t="shared" si="364"/>
        <v>4.5</v>
      </c>
      <c r="BB39" s="63">
        <v>21.67</v>
      </c>
      <c r="BC39" s="62">
        <f t="shared" si="365"/>
        <v>0.26000000000000156</v>
      </c>
      <c r="BD39" s="64">
        <f t="shared" si="366"/>
        <v>4.7600000000000016</v>
      </c>
      <c r="BE39" s="62">
        <v>21.45</v>
      </c>
      <c r="BF39" s="62">
        <f t="shared" ref="BF39" si="375">BE39-BB39</f>
        <v>-0.22000000000000242</v>
      </c>
      <c r="BG39" s="64">
        <f t="shared" ref="BG39" si="376">BD39+BF39</f>
        <v>4.5399999999999991</v>
      </c>
      <c r="BH39" s="62">
        <v>21.89</v>
      </c>
      <c r="BI39" s="12">
        <f t="shared" si="367"/>
        <v>0.44000000000000128</v>
      </c>
      <c r="BJ39" s="203">
        <f t="shared" si="368"/>
        <v>4.9800000000000004</v>
      </c>
      <c r="BK39" s="62">
        <v>21.86</v>
      </c>
      <c r="BL39" s="62">
        <f t="shared" si="369"/>
        <v>-3.0000000000001137E-2</v>
      </c>
      <c r="BM39" s="64">
        <f t="shared" si="370"/>
        <v>4.9499999999999993</v>
      </c>
      <c r="BN39" s="62">
        <v>22.6</v>
      </c>
      <c r="BO39" s="62">
        <f t="shared" si="371"/>
        <v>0.74000000000000199</v>
      </c>
      <c r="BP39" s="64">
        <f t="shared" si="372"/>
        <v>5.6900000000000013</v>
      </c>
      <c r="BQ39" s="62">
        <v>21.9</v>
      </c>
      <c r="BR39" s="62">
        <f t="shared" si="373"/>
        <v>-0.70000000000000284</v>
      </c>
      <c r="BS39" s="64">
        <f t="shared" si="374"/>
        <v>4.9899999999999984</v>
      </c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</row>
    <row r="40" spans="1:92" s="60" customFormat="1" ht="12" customHeight="1">
      <c r="A40" s="9"/>
      <c r="B40" s="62"/>
      <c r="C40" s="11"/>
      <c r="D40" s="12"/>
      <c r="E40" s="10"/>
      <c r="F40" s="11"/>
      <c r="G40" s="10"/>
      <c r="H40" s="63"/>
      <c r="I40" s="62"/>
      <c r="J40" s="63"/>
      <c r="K40" s="62"/>
      <c r="L40" s="63"/>
      <c r="M40" s="62"/>
      <c r="N40" s="64"/>
      <c r="O40" s="63"/>
      <c r="P40" s="62"/>
      <c r="Q40" s="62"/>
      <c r="R40" s="63"/>
      <c r="S40" s="62"/>
      <c r="T40" s="62"/>
      <c r="U40" s="63"/>
      <c r="V40" s="62"/>
      <c r="W40" s="62"/>
      <c r="X40" s="63"/>
      <c r="Y40" s="62"/>
      <c r="Z40" s="62"/>
      <c r="AA40" s="63"/>
      <c r="AB40" s="62"/>
      <c r="AC40" s="62"/>
      <c r="AD40" s="63"/>
      <c r="AE40" s="62"/>
      <c r="AF40" s="64"/>
      <c r="AG40" s="63"/>
      <c r="AH40" s="62"/>
      <c r="AI40" s="64"/>
      <c r="AJ40" s="63"/>
      <c r="AK40" s="62"/>
      <c r="AL40" s="62"/>
      <c r="AM40" s="63"/>
      <c r="AN40" s="62"/>
      <c r="AO40" s="62"/>
      <c r="AP40" s="63"/>
      <c r="AQ40" s="62"/>
      <c r="AR40" s="62"/>
      <c r="AS40" s="63"/>
      <c r="AT40" s="62"/>
      <c r="AU40" s="62"/>
      <c r="AV40" s="63"/>
      <c r="AW40" s="62"/>
      <c r="AX40" s="62"/>
      <c r="AY40" s="63"/>
      <c r="AZ40" s="62"/>
      <c r="BA40" s="62"/>
      <c r="BB40" s="63"/>
      <c r="BC40" s="62"/>
      <c r="BD40" s="64"/>
      <c r="BE40" s="62"/>
      <c r="BF40" s="62"/>
      <c r="BG40" s="64"/>
      <c r="BH40" s="62"/>
      <c r="BI40" s="12"/>
      <c r="BJ40" s="203"/>
      <c r="BK40" s="62"/>
      <c r="BL40" s="62"/>
      <c r="BM40" s="64"/>
      <c r="BN40" s="62"/>
      <c r="BO40" s="62"/>
      <c r="BP40" s="247"/>
      <c r="BQ40" s="62"/>
      <c r="BR40" s="62"/>
      <c r="BS40" s="64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</row>
    <row r="41" spans="1:92" ht="12" customHeight="1">
      <c r="F41" s="31"/>
      <c r="G41" s="3" t="s">
        <v>281</v>
      </c>
      <c r="H41" s="18">
        <f t="shared" ref="H41:AM41" si="377">AVERAGE(H32:H39)</f>
        <v>18.353750000000002</v>
      </c>
      <c r="I41" s="3">
        <f t="shared" si="377"/>
        <v>1.3322676295501878E-15</v>
      </c>
      <c r="J41" s="18">
        <f t="shared" si="377"/>
        <v>17.092499999999998</v>
      </c>
      <c r="K41" s="3">
        <f t="shared" si="377"/>
        <v>-1.26125</v>
      </c>
      <c r="L41" s="18">
        <f t="shared" si="377"/>
        <v>17.317500000000003</v>
      </c>
      <c r="M41" s="3">
        <f t="shared" si="377"/>
        <v>0.22499999999999942</v>
      </c>
      <c r="N41" s="19">
        <f t="shared" si="377"/>
        <v>-1.0362500000000006</v>
      </c>
      <c r="O41" s="18">
        <f t="shared" si="377"/>
        <v>18.077500000000001</v>
      </c>
      <c r="P41" s="3">
        <f t="shared" si="377"/>
        <v>0.76000000000000023</v>
      </c>
      <c r="Q41" s="19">
        <f t="shared" si="377"/>
        <v>-0.27625000000000033</v>
      </c>
      <c r="R41" s="18">
        <f t="shared" si="377"/>
        <v>18.563749999999999</v>
      </c>
      <c r="S41" s="3">
        <f t="shared" si="377"/>
        <v>0.48624999999999963</v>
      </c>
      <c r="T41" s="19">
        <f t="shared" si="377"/>
        <v>0.2099999999999993</v>
      </c>
      <c r="U41" s="18">
        <f t="shared" si="377"/>
        <v>19.217499999999998</v>
      </c>
      <c r="V41" s="3">
        <f t="shared" si="377"/>
        <v>0.65375000000000072</v>
      </c>
      <c r="W41" s="19">
        <f t="shared" si="377"/>
        <v>0.86375000000000002</v>
      </c>
      <c r="X41" s="18">
        <f t="shared" si="377"/>
        <v>19.34375</v>
      </c>
      <c r="Y41" s="3">
        <f t="shared" si="377"/>
        <v>0.12624999999999975</v>
      </c>
      <c r="Z41" s="19">
        <f t="shared" si="377"/>
        <v>0.98999999999999977</v>
      </c>
      <c r="AA41" s="18">
        <f t="shared" si="377"/>
        <v>19.556250000000002</v>
      </c>
      <c r="AB41" s="3">
        <f t="shared" si="377"/>
        <v>0.21249999999999991</v>
      </c>
      <c r="AC41" s="19">
        <f t="shared" si="377"/>
        <v>1.2024999999999997</v>
      </c>
      <c r="AD41" s="18">
        <f t="shared" si="377"/>
        <v>19.690000000000001</v>
      </c>
      <c r="AE41" s="3">
        <f t="shared" si="377"/>
        <v>0.13375000000000048</v>
      </c>
      <c r="AF41" s="19">
        <f t="shared" si="377"/>
        <v>1.3362500000000002</v>
      </c>
      <c r="AG41" s="18">
        <f t="shared" si="377"/>
        <v>19.892499999999998</v>
      </c>
      <c r="AH41" s="3">
        <f t="shared" si="377"/>
        <v>0.20249999999999968</v>
      </c>
      <c r="AI41" s="19">
        <f t="shared" si="377"/>
        <v>1.5387499999999998</v>
      </c>
      <c r="AJ41" s="18">
        <f t="shared" si="377"/>
        <v>19.786249999999999</v>
      </c>
      <c r="AK41" s="3">
        <f t="shared" si="377"/>
        <v>-0.10625000000000018</v>
      </c>
      <c r="AL41" s="19">
        <f t="shared" si="377"/>
        <v>1.4324999999999997</v>
      </c>
      <c r="AM41" s="18">
        <f t="shared" si="377"/>
        <v>20.017499999999998</v>
      </c>
      <c r="AN41" s="3">
        <f t="shared" ref="AN41:BS41" si="378">AVERAGE(AN32:AN39)</f>
        <v>0.23125000000000018</v>
      </c>
      <c r="AO41" s="19">
        <f t="shared" si="378"/>
        <v>1.6637499999999998</v>
      </c>
      <c r="AP41" s="18">
        <f t="shared" si="378"/>
        <v>20.193749999999998</v>
      </c>
      <c r="AQ41" s="3">
        <f t="shared" si="378"/>
        <v>0.17624999999999957</v>
      </c>
      <c r="AR41" s="19">
        <f t="shared" si="378"/>
        <v>1.8399999999999994</v>
      </c>
      <c r="AS41" s="18">
        <f t="shared" si="378"/>
        <v>20.337499999999999</v>
      </c>
      <c r="AT41" s="3">
        <f t="shared" si="378"/>
        <v>0.14375000000000115</v>
      </c>
      <c r="AU41" s="19">
        <f t="shared" si="378"/>
        <v>1.9837500000000006</v>
      </c>
      <c r="AV41" s="18">
        <f t="shared" si="378"/>
        <v>20.542499999999997</v>
      </c>
      <c r="AW41" s="3">
        <f t="shared" si="378"/>
        <v>0.20499999999999963</v>
      </c>
      <c r="AX41" s="19">
        <f t="shared" si="378"/>
        <v>2.1887500000000002</v>
      </c>
      <c r="AY41" s="18">
        <f t="shared" si="378"/>
        <v>20.896250000000002</v>
      </c>
      <c r="AZ41" s="3">
        <f t="shared" si="378"/>
        <v>0.35374999999999979</v>
      </c>
      <c r="BA41" s="19">
        <f t="shared" si="378"/>
        <v>2.5425</v>
      </c>
      <c r="BB41" s="18">
        <f t="shared" si="378"/>
        <v>21.07</v>
      </c>
      <c r="BC41" s="3">
        <f t="shared" si="378"/>
        <v>0.17375000000000007</v>
      </c>
      <c r="BD41" s="19">
        <f t="shared" si="378"/>
        <v>2.7162500000000001</v>
      </c>
      <c r="BE41" s="18">
        <f t="shared" si="378"/>
        <v>21.223749999999999</v>
      </c>
      <c r="BF41" s="3">
        <f t="shared" si="378"/>
        <v>0.15375000000000005</v>
      </c>
      <c r="BG41" s="19">
        <f t="shared" si="378"/>
        <v>2.87</v>
      </c>
      <c r="BH41" s="18">
        <f t="shared" si="378"/>
        <v>21.504999999999995</v>
      </c>
      <c r="BI41" s="3">
        <f t="shared" si="378"/>
        <v>0.28124999999999956</v>
      </c>
      <c r="BJ41" s="19">
        <f t="shared" si="378"/>
        <v>3.1512499999999997</v>
      </c>
      <c r="BK41" s="18">
        <f t="shared" si="378"/>
        <v>21.548749999999998</v>
      </c>
      <c r="BL41" s="3">
        <f t="shared" si="378"/>
        <v>4.3750000000000622E-2</v>
      </c>
      <c r="BM41" s="19">
        <f t="shared" si="378"/>
        <v>3.1950000000000003</v>
      </c>
      <c r="BN41" s="18">
        <f t="shared" si="378"/>
        <v>21.754999999999999</v>
      </c>
      <c r="BO41" s="3">
        <f t="shared" si="378"/>
        <v>0.20625000000000027</v>
      </c>
      <c r="BP41" s="19">
        <f t="shared" si="378"/>
        <v>3.4012500000000006</v>
      </c>
      <c r="BQ41" s="18">
        <f t="shared" si="378"/>
        <v>21.955000000000002</v>
      </c>
      <c r="BR41" s="3">
        <f t="shared" si="378"/>
        <v>0.19999999999999929</v>
      </c>
      <c r="BS41" s="19">
        <f t="shared" si="378"/>
        <v>3.6012499999999998</v>
      </c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</row>
    <row r="42" spans="1:92" ht="12" customHeight="1">
      <c r="A42" s="9"/>
      <c r="B42" s="31"/>
      <c r="C42" s="3"/>
      <c r="F42" s="31"/>
      <c r="G42" s="3" t="s">
        <v>45</v>
      </c>
      <c r="H42" s="18">
        <f>STDEV(H32:H38)/SQRT(COUNT(H32:H38))</f>
        <v>0.34574970302641955</v>
      </c>
      <c r="I42" s="3">
        <f>STDEV(I32:I39)/SQRT(COUNT(I32:I39))</f>
        <v>0.3635879609628776</v>
      </c>
      <c r="J42" s="18">
        <f>STDEV(J32:J38)/SQRT(COUNT(J32:J38))</f>
        <v>0.49174062628322174</v>
      </c>
      <c r="K42" s="3">
        <f t="shared" ref="K42:AP42" si="379">STDEV(K32:K39)/SQRT(COUNT(K32:K39))</f>
        <v>0.30844331211053105</v>
      </c>
      <c r="L42" s="18">
        <f t="shared" si="379"/>
        <v>0.58661483469625453</v>
      </c>
      <c r="M42" s="3">
        <f t="shared" si="379"/>
        <v>0.20746772554510037</v>
      </c>
      <c r="N42" s="19">
        <f t="shared" si="379"/>
        <v>0.41108713666152513</v>
      </c>
      <c r="O42" s="18">
        <f t="shared" si="379"/>
        <v>0.64707515019509143</v>
      </c>
      <c r="P42" s="3">
        <f t="shared" si="379"/>
        <v>0.28071973822403612</v>
      </c>
      <c r="Q42" s="19">
        <f t="shared" si="379"/>
        <v>0.50913420031320977</v>
      </c>
      <c r="R42" s="18">
        <f t="shared" si="379"/>
        <v>0.73705722180458344</v>
      </c>
      <c r="S42" s="3">
        <f t="shared" si="379"/>
        <v>0.15534451919156048</v>
      </c>
      <c r="T42" s="19">
        <f t="shared" si="379"/>
        <v>0.64627227786967401</v>
      </c>
      <c r="U42" s="18">
        <f t="shared" si="379"/>
        <v>0.62646328703284748</v>
      </c>
      <c r="V42" s="3">
        <f t="shared" si="379"/>
        <v>0.18457419626960672</v>
      </c>
      <c r="W42" s="19">
        <f t="shared" si="379"/>
        <v>0.54342149354148417</v>
      </c>
      <c r="X42" s="18">
        <f t="shared" si="379"/>
        <v>0.56552105398472985</v>
      </c>
      <c r="Y42" s="3">
        <f t="shared" si="379"/>
        <v>0.1308070757697328</v>
      </c>
      <c r="Z42" s="19">
        <f t="shared" si="379"/>
        <v>0.48519510067011756</v>
      </c>
      <c r="AA42" s="18">
        <f t="shared" si="379"/>
        <v>0.5478886014901726</v>
      </c>
      <c r="AB42" s="3">
        <f t="shared" si="379"/>
        <v>0.12064928512013637</v>
      </c>
      <c r="AC42" s="19">
        <f t="shared" si="379"/>
        <v>0.49688583770750172</v>
      </c>
      <c r="AD42" s="18">
        <f t="shared" si="379"/>
        <v>0.59459169664088452</v>
      </c>
      <c r="AE42" s="3">
        <f t="shared" si="379"/>
        <v>0.17845505136348172</v>
      </c>
      <c r="AF42" s="19">
        <f t="shared" si="379"/>
        <v>0.61874278495071877</v>
      </c>
      <c r="AG42" s="18">
        <f t="shared" si="379"/>
        <v>0.57632068825809601</v>
      </c>
      <c r="AH42" s="3">
        <f t="shared" si="379"/>
        <v>9.18412839009312E-2</v>
      </c>
      <c r="AI42" s="19">
        <f t="shared" si="379"/>
        <v>0.60284870614441888</v>
      </c>
      <c r="AJ42" s="18">
        <f t="shared" si="379"/>
        <v>0.48852890505212548</v>
      </c>
      <c r="AK42" s="3">
        <f t="shared" si="379"/>
        <v>0.16217205920168326</v>
      </c>
      <c r="AL42" s="19">
        <f t="shared" si="379"/>
        <v>0.50777789717271371</v>
      </c>
      <c r="AM42" s="18">
        <f t="shared" si="379"/>
        <v>0.5052289085157341</v>
      </c>
      <c r="AN42" s="3">
        <f t="shared" si="379"/>
        <v>8.8144311460565367E-2</v>
      </c>
      <c r="AO42" s="19">
        <f t="shared" si="379"/>
        <v>0.53851627346414932</v>
      </c>
      <c r="AP42" s="18">
        <f t="shared" si="379"/>
        <v>0.46453870167849637</v>
      </c>
      <c r="AQ42" s="3">
        <f t="shared" ref="AQ42:BS42" si="380">STDEV(AQ32:AQ39)/SQRT(COUNT(AQ32:AQ39))</f>
        <v>9.0729926941760214E-2</v>
      </c>
      <c r="AR42" s="19">
        <f t="shared" si="380"/>
        <v>0.50044266119392466</v>
      </c>
      <c r="AS42" s="18">
        <f t="shared" si="380"/>
        <v>0.37032683441213687</v>
      </c>
      <c r="AT42" s="3">
        <f t="shared" si="380"/>
        <v>0.20522581204266555</v>
      </c>
      <c r="AU42" s="19">
        <f t="shared" si="380"/>
        <v>0.42835206439496565</v>
      </c>
      <c r="AV42" s="18">
        <f t="shared" si="380"/>
        <v>0.33540886562948397</v>
      </c>
      <c r="AW42" s="3">
        <f t="shared" si="380"/>
        <v>0.10046321288340884</v>
      </c>
      <c r="AX42" s="19">
        <f t="shared" si="380"/>
        <v>0.40914299587238273</v>
      </c>
      <c r="AY42" s="18">
        <f t="shared" si="380"/>
        <v>0.36521000563276684</v>
      </c>
      <c r="AZ42" s="3">
        <f t="shared" si="380"/>
        <v>0.1191328415197566</v>
      </c>
      <c r="BA42" s="19">
        <f t="shared" si="380"/>
        <v>0.502936910272338</v>
      </c>
      <c r="BB42" s="18">
        <f t="shared" si="380"/>
        <v>0.40655785039067405</v>
      </c>
      <c r="BC42" s="3">
        <f t="shared" si="380"/>
        <v>4.3627379181950907E-2</v>
      </c>
      <c r="BD42" s="19">
        <f t="shared" si="380"/>
        <v>0.53432847541831197</v>
      </c>
      <c r="BE42" s="18">
        <f t="shared" si="380"/>
        <v>0.35979129615057998</v>
      </c>
      <c r="BF42" s="3">
        <f t="shared" si="380"/>
        <v>0.10893867049203161</v>
      </c>
      <c r="BG42" s="19">
        <f t="shared" si="380"/>
        <v>0.48044250436446645</v>
      </c>
      <c r="BH42" s="18">
        <f t="shared" si="380"/>
        <v>0.48912823325936583</v>
      </c>
      <c r="BI42" s="3">
        <f t="shared" si="380"/>
        <v>0.23871259991282989</v>
      </c>
      <c r="BJ42" s="19">
        <f t="shared" si="380"/>
        <v>0.57782670876063069</v>
      </c>
      <c r="BK42" s="18">
        <f t="shared" si="380"/>
        <v>0.34225323487983883</v>
      </c>
      <c r="BL42" s="3">
        <f t="shared" si="380"/>
        <v>0.2640544958634759</v>
      </c>
      <c r="BM42" s="19">
        <f t="shared" si="380"/>
        <v>0.4649846387631687</v>
      </c>
      <c r="BN42" s="18">
        <f t="shared" si="380"/>
        <v>0.37792667467191499</v>
      </c>
      <c r="BO42" s="3">
        <f t="shared" si="380"/>
        <v>0.12062245556161724</v>
      </c>
      <c r="BP42" s="19">
        <f t="shared" si="380"/>
        <v>0.5546216132901528</v>
      </c>
      <c r="BQ42" s="18">
        <f t="shared" si="380"/>
        <v>0.42150241483802409</v>
      </c>
      <c r="BR42" s="3">
        <f t="shared" si="380"/>
        <v>0.15671858308992706</v>
      </c>
      <c r="BS42" s="19">
        <f t="shared" si="380"/>
        <v>0.51301433250655171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</row>
    <row r="43" spans="1:92" ht="12" customHeight="1">
      <c r="A43" s="68"/>
      <c r="B43" s="69"/>
      <c r="C43" s="69"/>
      <c r="D43" s="35"/>
      <c r="E43" s="69"/>
      <c r="F43" s="69"/>
      <c r="G43" s="69" t="s">
        <v>300</v>
      </c>
      <c r="H43" s="68">
        <f t="shared" ref="H43:AM43" si="381">(100/H16)*H41</f>
        <v>99.796852344127601</v>
      </c>
      <c r="I43" s="69">
        <f t="shared" si="381"/>
        <v>112.5</v>
      </c>
      <c r="J43" s="68">
        <f t="shared" si="381"/>
        <v>92.071163514484041</v>
      </c>
      <c r="K43" s="69">
        <f t="shared" si="381"/>
        <v>-727.6442307692264</v>
      </c>
      <c r="L43" s="68">
        <f t="shared" si="381"/>
        <v>91.84837055807651</v>
      </c>
      <c r="M43" s="69">
        <f t="shared" si="381"/>
        <v>77.586206896551644</v>
      </c>
      <c r="N43" s="70">
        <f t="shared" si="381"/>
        <v>-223.65107913669047</v>
      </c>
      <c r="O43" s="68">
        <f t="shared" si="381"/>
        <v>95.300784910965334</v>
      </c>
      <c r="P43" s="69">
        <f t="shared" si="381"/>
        <v>664.07766990291213</v>
      </c>
      <c r="Q43" s="70">
        <f t="shared" si="381"/>
        <v>-47.8125</v>
      </c>
      <c r="R43" s="68">
        <f t="shared" si="381"/>
        <v>97.16414655423084</v>
      </c>
      <c r="S43" s="69">
        <f t="shared" si="381"/>
        <v>355.79268292682883</v>
      </c>
      <c r="T43" s="70">
        <f t="shared" si="381"/>
        <v>29.393468118195827</v>
      </c>
      <c r="U43" s="68">
        <f t="shared" si="381"/>
        <v>99.104687141874848</v>
      </c>
      <c r="V43" s="69">
        <f t="shared" si="381"/>
        <v>228.93968871595385</v>
      </c>
      <c r="W43" s="70">
        <f t="shared" si="381"/>
        <v>86.374999999999972</v>
      </c>
      <c r="X43" s="68">
        <f t="shared" si="381"/>
        <v>99.698631313709768</v>
      </c>
      <c r="Y43" s="69">
        <f t="shared" si="381"/>
        <v>1136.2499999999816</v>
      </c>
      <c r="Z43" s="70">
        <f t="shared" si="381"/>
        <v>97.912087912087827</v>
      </c>
      <c r="AA43" s="68">
        <f t="shared" si="381"/>
        <v>100.93258974653061</v>
      </c>
      <c r="AB43" s="69">
        <f t="shared" si="381"/>
        <v>-796.87499999999307</v>
      </c>
      <c r="AC43" s="70">
        <f t="shared" si="381"/>
        <v>122.15011286681708</v>
      </c>
      <c r="AD43" s="68">
        <f t="shared" si="381"/>
        <v>100.07341314660042</v>
      </c>
      <c r="AE43" s="69">
        <f t="shared" si="381"/>
        <v>44.583333333333442</v>
      </c>
      <c r="AF43" s="70">
        <f t="shared" si="381"/>
        <v>104.03330449826986</v>
      </c>
      <c r="AG43" s="68">
        <f t="shared" si="381"/>
        <v>99.695121951219505</v>
      </c>
      <c r="AH43" s="69">
        <f t="shared" si="381"/>
        <v>72.899999999999892</v>
      </c>
      <c r="AI43" s="70">
        <f t="shared" si="381"/>
        <v>98.497510668563251</v>
      </c>
      <c r="AJ43" s="68">
        <f t="shared" si="381"/>
        <v>98.194789081885858</v>
      </c>
      <c r="AK43" s="69">
        <f t="shared" si="381"/>
        <v>-54.025423728813777</v>
      </c>
      <c r="AL43" s="70">
        <f t="shared" si="381"/>
        <v>81.443461781427644</v>
      </c>
      <c r="AM43" s="68">
        <f t="shared" si="381"/>
        <v>98.678589034342963</v>
      </c>
      <c r="AN43" s="69">
        <f t="shared" ref="AN43:BS43" si="382">(100/AN16)*AN41</f>
        <v>170.59426229508176</v>
      </c>
      <c r="AO43" s="70">
        <f t="shared" si="382"/>
        <v>87.822580645161267</v>
      </c>
      <c r="AP43" s="68">
        <f t="shared" si="382"/>
        <v>99.259284543965023</v>
      </c>
      <c r="AQ43" s="69">
        <f t="shared" si="382"/>
        <v>299.2924528301873</v>
      </c>
      <c r="AR43" s="70">
        <f t="shared" si="382"/>
        <v>94.197952218429961</v>
      </c>
      <c r="AS43" s="68">
        <f t="shared" si="382"/>
        <v>99.115990686088679</v>
      </c>
      <c r="AT43" s="69">
        <f t="shared" si="382"/>
        <v>82.404458598726762</v>
      </c>
      <c r="AU43" s="70">
        <f t="shared" si="382"/>
        <v>93.231070496083547</v>
      </c>
      <c r="AV43" s="68">
        <f t="shared" si="382"/>
        <v>99.850129617627985</v>
      </c>
      <c r="AW43" s="69">
        <f t="shared" si="382"/>
        <v>376.53061224489852</v>
      </c>
      <c r="AX43" s="70">
        <f t="shared" si="382"/>
        <v>100.29913441955192</v>
      </c>
      <c r="AY43" s="68">
        <f t="shared" si="382"/>
        <v>100.13644108407435</v>
      </c>
      <c r="AZ43" s="69">
        <f t="shared" si="382"/>
        <v>120.14150943396224</v>
      </c>
      <c r="BA43" s="70">
        <f t="shared" si="382"/>
        <v>102.65814266487213</v>
      </c>
      <c r="BB43" s="68">
        <f t="shared" si="382"/>
        <v>100.08444608645166</v>
      </c>
      <c r="BC43" s="69">
        <f t="shared" si="382"/>
        <v>94.201807228915698</v>
      </c>
      <c r="BD43" s="69">
        <f t="shared" si="382"/>
        <v>102.07202505219206</v>
      </c>
      <c r="BE43" s="210">
        <f t="shared" si="382"/>
        <v>100.9159710481826</v>
      </c>
      <c r="BF43" s="69">
        <f t="shared" si="382"/>
        <v>-728.2894736842195</v>
      </c>
      <c r="BG43" s="69">
        <f t="shared" si="382"/>
        <v>108.71212121212119</v>
      </c>
      <c r="BH43" s="210">
        <f t="shared" si="382"/>
        <v>101.05205450843208</v>
      </c>
      <c r="BI43" s="69">
        <f t="shared" si="382"/>
        <v>112.49999999999983</v>
      </c>
      <c r="BJ43" s="69">
        <f t="shared" si="382"/>
        <v>109.03979238754322</v>
      </c>
      <c r="BK43" s="210">
        <f t="shared" si="382"/>
        <v>101.25234937871986</v>
      </c>
      <c r="BL43" s="69">
        <f t="shared" si="382"/>
        <v>3937.4999999994402</v>
      </c>
      <c r="BM43" s="208">
        <f t="shared" si="382"/>
        <v>110.51114527286701</v>
      </c>
      <c r="BN43" s="69">
        <f t="shared" si="382"/>
        <v>101.12855740922474</v>
      </c>
      <c r="BO43" s="69">
        <f t="shared" si="382"/>
        <v>89.673913043478507</v>
      </c>
      <c r="BP43" s="69">
        <f t="shared" si="382"/>
        <v>108.97561409754361</v>
      </c>
      <c r="BQ43" s="210">
        <f t="shared" si="382"/>
        <v>101.33596594697165</v>
      </c>
      <c r="BR43" s="69">
        <f t="shared" si="382"/>
        <v>130.43478260869529</v>
      </c>
      <c r="BS43" s="70">
        <f t="shared" si="382"/>
        <v>109.98048863250762</v>
      </c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</row>
    <row r="44" spans="1:92" s="60" customFormat="1" ht="12" customHeight="1">
      <c r="A44" s="422"/>
      <c r="B44" s="422"/>
      <c r="C44" s="11"/>
      <c r="D44" s="12"/>
      <c r="E44" s="10"/>
      <c r="F44" s="11"/>
      <c r="G44" s="10"/>
      <c r="H44" s="10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341" t="s">
        <v>406</v>
      </c>
      <c r="T44" s="62"/>
      <c r="U44" s="62"/>
      <c r="V44" s="62"/>
      <c r="W44" s="62"/>
      <c r="X44" s="62"/>
      <c r="Y44" s="62"/>
      <c r="Z44" s="62"/>
      <c r="AA44" s="10"/>
      <c r="AB44" s="62"/>
      <c r="AC44" s="10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10"/>
      <c r="BL44" s="62"/>
      <c r="BM44" s="62"/>
      <c r="BN44" s="62"/>
      <c r="BO44" s="62"/>
      <c r="BP44" s="62"/>
      <c r="BQ44" s="62"/>
      <c r="BR44" s="62"/>
      <c r="BS44" s="62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</row>
    <row r="45" spans="1:92" s="353" customFormat="1" ht="12" customHeight="1">
      <c r="A45" s="352"/>
      <c r="B45" s="351"/>
      <c r="C45" s="351"/>
      <c r="D45" s="353" t="s">
        <v>322</v>
      </c>
      <c r="E45" s="351"/>
      <c r="F45" s="351"/>
      <c r="G45" s="351" t="s">
        <v>323</v>
      </c>
      <c r="H45" s="352" t="s">
        <v>324</v>
      </c>
      <c r="I45" s="352" t="s">
        <v>324</v>
      </c>
      <c r="J45" s="352" t="s">
        <v>324</v>
      </c>
      <c r="K45" s="352" t="s">
        <v>324</v>
      </c>
      <c r="L45" s="352" t="s">
        <v>324</v>
      </c>
      <c r="M45" s="352"/>
      <c r="N45" s="352" t="s">
        <v>324</v>
      </c>
      <c r="O45" s="352"/>
      <c r="P45" s="352"/>
      <c r="Q45" s="352">
        <v>0.33429999999999999</v>
      </c>
      <c r="R45" s="352"/>
      <c r="S45" s="352"/>
      <c r="T45" s="352">
        <v>0.71409999999999996</v>
      </c>
      <c r="U45" s="352"/>
      <c r="V45" s="352"/>
      <c r="W45" s="352">
        <v>0.58140000000000003</v>
      </c>
      <c r="X45" s="352"/>
      <c r="Y45" s="352"/>
      <c r="Z45" s="352">
        <v>0.50270000000000004</v>
      </c>
      <c r="AA45" s="352"/>
      <c r="AB45" s="352"/>
      <c r="AC45" s="352">
        <v>0.28129999999999999</v>
      </c>
      <c r="AD45" s="352"/>
      <c r="AE45" s="352"/>
      <c r="AF45" s="352">
        <v>0.69330000000000003</v>
      </c>
      <c r="AG45" s="352"/>
      <c r="AH45" s="352"/>
      <c r="AI45" s="352">
        <v>0.72030000000000005</v>
      </c>
      <c r="AJ45" s="352"/>
      <c r="AK45" s="352"/>
      <c r="AL45" s="352">
        <v>0.7409</v>
      </c>
      <c r="AM45" s="352"/>
      <c r="AN45" s="352"/>
      <c r="AO45" s="352">
        <v>0.96760000000000002</v>
      </c>
      <c r="AP45" s="352"/>
      <c r="AQ45" s="352"/>
      <c r="AR45" s="352">
        <v>0.82520000000000004</v>
      </c>
      <c r="AS45" s="352"/>
      <c r="AT45" s="352"/>
      <c r="AU45" s="352" t="s">
        <v>324</v>
      </c>
      <c r="AV45" s="352"/>
      <c r="AW45" s="352"/>
      <c r="AX45" s="352" t="s">
        <v>324</v>
      </c>
      <c r="AY45" s="352"/>
      <c r="AZ45" s="352"/>
      <c r="BA45" s="352" t="s">
        <v>324</v>
      </c>
      <c r="BB45" s="352"/>
      <c r="BC45" s="352"/>
      <c r="BD45" s="352" t="s">
        <v>324</v>
      </c>
      <c r="BE45" s="352"/>
      <c r="BF45" s="352"/>
      <c r="BG45" s="352" t="s">
        <v>324</v>
      </c>
      <c r="BH45" s="352"/>
      <c r="BI45" s="352"/>
      <c r="BJ45" s="352" t="s">
        <v>324</v>
      </c>
      <c r="BK45" s="352"/>
      <c r="BL45" s="352"/>
      <c r="BM45" s="352" t="s">
        <v>324</v>
      </c>
      <c r="BN45" s="352"/>
      <c r="BO45" s="352"/>
      <c r="BP45" s="352" t="s">
        <v>324</v>
      </c>
      <c r="BQ45" s="352"/>
      <c r="BR45" s="352"/>
      <c r="BS45" s="410" t="s">
        <v>324</v>
      </c>
      <c r="BT45" s="354"/>
      <c r="BU45" s="354"/>
      <c r="BV45" s="354"/>
      <c r="BW45" s="354"/>
      <c r="BX45"/>
      <c r="BY45"/>
      <c r="BZ45"/>
      <c r="CA45"/>
      <c r="CB45"/>
      <c r="CC45" s="354"/>
      <c r="CD45" s="354"/>
      <c r="CE45" s="354"/>
      <c r="CF45" s="354"/>
      <c r="CG45" s="354"/>
      <c r="CH45" s="354"/>
      <c r="CI45" s="354"/>
      <c r="CJ45" s="354"/>
      <c r="CK45" s="354"/>
      <c r="CL45" s="354"/>
      <c r="CM45" s="354"/>
      <c r="CN45" s="354"/>
    </row>
    <row r="46" spans="1:92" s="353" customFormat="1" ht="12" customHeight="1">
      <c r="A46" s="352"/>
      <c r="B46" s="351"/>
      <c r="C46" s="351"/>
      <c r="E46" s="351"/>
      <c r="F46" s="351"/>
      <c r="G46" s="62" t="s">
        <v>326</v>
      </c>
      <c r="H46" s="352" t="s">
        <v>324</v>
      </c>
      <c r="I46" s="352" t="s">
        <v>324</v>
      </c>
      <c r="J46" s="352">
        <v>0.24340000000000001</v>
      </c>
      <c r="K46" s="355">
        <v>2.3E-3</v>
      </c>
      <c r="L46" s="352">
        <v>0.25009999999999999</v>
      </c>
      <c r="M46" s="352"/>
      <c r="N46" s="355">
        <v>8.3000000000000001E-3</v>
      </c>
      <c r="O46" s="352"/>
      <c r="P46" s="352"/>
      <c r="Q46" s="352">
        <v>0.31009999999999999</v>
      </c>
      <c r="R46" s="352"/>
      <c r="S46" s="352"/>
      <c r="T46" s="352" t="s">
        <v>324</v>
      </c>
      <c r="U46" s="352"/>
      <c r="V46" s="352"/>
      <c r="W46" s="352" t="s">
        <v>324</v>
      </c>
      <c r="X46" s="352"/>
      <c r="Y46" s="352"/>
      <c r="Z46" s="352" t="s">
        <v>324</v>
      </c>
      <c r="AA46" s="352"/>
      <c r="AB46" s="352"/>
      <c r="AC46" s="352" t="s">
        <v>324</v>
      </c>
      <c r="AD46" s="352"/>
      <c r="AE46" s="352"/>
      <c r="AF46" s="352" t="s">
        <v>324</v>
      </c>
      <c r="AG46" s="352"/>
      <c r="AH46" s="352"/>
      <c r="AI46" s="352" t="s">
        <v>324</v>
      </c>
      <c r="AJ46" s="352"/>
      <c r="AK46" s="352"/>
      <c r="AL46" s="352" t="s">
        <v>324</v>
      </c>
      <c r="AM46" s="352"/>
      <c r="AN46" s="352"/>
      <c r="AO46" s="352" t="s">
        <v>324</v>
      </c>
      <c r="AP46" s="352"/>
      <c r="AQ46" s="352"/>
      <c r="AR46" s="352" t="s">
        <v>324</v>
      </c>
      <c r="AS46" s="352"/>
      <c r="AT46" s="352"/>
      <c r="AU46" s="352" t="s">
        <v>324</v>
      </c>
      <c r="AV46" s="352"/>
      <c r="AW46" s="352"/>
      <c r="AX46" s="352" t="s">
        <v>324</v>
      </c>
      <c r="AY46" s="352"/>
      <c r="AZ46" s="352"/>
      <c r="BA46" s="352" t="s">
        <v>324</v>
      </c>
      <c r="BB46" s="352"/>
      <c r="BC46" s="352"/>
      <c r="BD46" s="352" t="s">
        <v>324</v>
      </c>
      <c r="BE46" s="352"/>
      <c r="BF46" s="352"/>
      <c r="BG46" s="352" t="s">
        <v>324</v>
      </c>
      <c r="BH46" s="352"/>
      <c r="BI46" s="352"/>
      <c r="BJ46" s="352" t="s">
        <v>324</v>
      </c>
      <c r="BK46" s="352"/>
      <c r="BL46" s="352"/>
      <c r="BM46" s="352" t="s">
        <v>324</v>
      </c>
      <c r="BN46" s="352"/>
      <c r="BO46" s="352"/>
      <c r="BP46" s="352" t="s">
        <v>324</v>
      </c>
      <c r="BQ46" s="352"/>
      <c r="BR46" s="352"/>
      <c r="BS46" s="411" t="s">
        <v>324</v>
      </c>
      <c r="BT46" s="354"/>
      <c r="BU46" s="354"/>
      <c r="BV46" s="354"/>
      <c r="BW46" s="354"/>
      <c r="BX46"/>
      <c r="BY46"/>
      <c r="BZ46"/>
      <c r="CA46"/>
      <c r="CB46"/>
      <c r="CC46" s="354"/>
      <c r="CD46" s="354"/>
      <c r="CE46" s="354"/>
      <c r="CF46" s="354"/>
      <c r="CG46" s="354"/>
      <c r="CH46" s="354"/>
      <c r="CI46" s="354"/>
      <c r="CJ46" s="354"/>
      <c r="CK46" s="354"/>
      <c r="CL46" s="354"/>
      <c r="CM46" s="354"/>
      <c r="CN46" s="354"/>
    </row>
    <row r="47" spans="1:92" s="353" customFormat="1" ht="12" customHeight="1">
      <c r="A47" s="352"/>
      <c r="B47" s="351"/>
      <c r="C47" s="351"/>
      <c r="E47" s="351"/>
      <c r="F47" s="351"/>
      <c r="G47" s="351" t="s">
        <v>328</v>
      </c>
      <c r="H47" s="352" t="s">
        <v>324</v>
      </c>
      <c r="I47" s="352" t="s">
        <v>324</v>
      </c>
      <c r="J47" s="352">
        <v>0.1082</v>
      </c>
      <c r="K47" s="355">
        <v>8.9999999999999998E-4</v>
      </c>
      <c r="L47" s="355">
        <v>7.2499999999999995E-2</v>
      </c>
      <c r="M47" s="352"/>
      <c r="N47" s="355">
        <v>1.4E-3</v>
      </c>
      <c r="O47" s="352"/>
      <c r="P47" s="352"/>
      <c r="Q47" s="355">
        <v>1.0699999999999999E-2</v>
      </c>
      <c r="R47" s="352"/>
      <c r="S47" s="352"/>
      <c r="T47" s="352">
        <v>0.17699999999999999</v>
      </c>
      <c r="U47" s="352"/>
      <c r="V47" s="352"/>
      <c r="W47" s="352">
        <v>0.4143</v>
      </c>
      <c r="X47" s="352"/>
      <c r="Y47" s="352"/>
      <c r="Z47" s="352">
        <v>0.50560000000000005</v>
      </c>
      <c r="AA47" s="352"/>
      <c r="AB47" s="352"/>
      <c r="AC47" s="352">
        <v>0.58979999999999999</v>
      </c>
      <c r="AD47" s="352"/>
      <c r="AE47" s="352"/>
      <c r="AF47" s="352">
        <v>0.82230000000000003</v>
      </c>
      <c r="AG47" s="352"/>
      <c r="AH47" s="352"/>
      <c r="AI47" s="352">
        <v>0.71879999999999999</v>
      </c>
      <c r="AJ47" s="352"/>
      <c r="AK47" s="352"/>
      <c r="AL47" s="352">
        <v>0.34150000000000003</v>
      </c>
      <c r="AM47" s="352"/>
      <c r="AN47" s="352"/>
      <c r="AO47" s="352">
        <v>0.58989999999999998</v>
      </c>
      <c r="AP47" s="352"/>
      <c r="AQ47" s="352"/>
      <c r="AR47" s="352">
        <v>0.66779999999999995</v>
      </c>
      <c r="AS47" s="352"/>
      <c r="AT47" s="352"/>
      <c r="AU47" s="352">
        <v>0.88419999999999999</v>
      </c>
      <c r="AV47" s="352"/>
      <c r="AW47" s="352"/>
      <c r="AX47" s="352" t="s">
        <v>324</v>
      </c>
      <c r="AY47" s="352"/>
      <c r="AZ47" s="352"/>
      <c r="BA47" s="352" t="s">
        <v>324</v>
      </c>
      <c r="BB47" s="352"/>
      <c r="BC47" s="352"/>
      <c r="BD47" s="352" t="s">
        <v>324</v>
      </c>
      <c r="BE47" s="352"/>
      <c r="BF47" s="352"/>
      <c r="BG47" s="352" t="s">
        <v>324</v>
      </c>
      <c r="BH47" s="352"/>
      <c r="BI47" s="352"/>
      <c r="BJ47" s="352" t="s">
        <v>324</v>
      </c>
      <c r="BK47" s="352"/>
      <c r="BL47" s="352"/>
      <c r="BM47" s="352" t="s">
        <v>324</v>
      </c>
      <c r="BN47" s="352"/>
      <c r="BO47" s="352"/>
      <c r="BP47" s="352" t="s">
        <v>324</v>
      </c>
      <c r="BQ47" s="352"/>
      <c r="BR47" s="352"/>
      <c r="BS47" s="411" t="s">
        <v>324</v>
      </c>
      <c r="BT47" s="354"/>
      <c r="BU47" s="354"/>
      <c r="BV47" s="354"/>
      <c r="BW47" s="354"/>
      <c r="BX47"/>
      <c r="BY47"/>
      <c r="BZ47"/>
      <c r="CA47"/>
      <c r="CB47"/>
      <c r="CC47" s="354"/>
      <c r="CD47" s="354"/>
      <c r="CE47" s="354"/>
      <c r="CF47" s="354"/>
      <c r="CG47" s="354"/>
      <c r="CH47" s="354"/>
      <c r="CI47" s="354"/>
      <c r="CJ47" s="354"/>
      <c r="CK47" s="354"/>
      <c r="CL47" s="354"/>
      <c r="CM47" s="354"/>
      <c r="CN47" s="354"/>
    </row>
    <row r="48" spans="1:92" ht="12" customHeight="1">
      <c r="A48" s="63"/>
      <c r="B48" s="62"/>
      <c r="C48" s="62"/>
      <c r="E48" s="62"/>
      <c r="F48" s="62"/>
      <c r="H48" s="63"/>
      <c r="I48" s="62"/>
      <c r="J48" s="63"/>
      <c r="K48" s="62"/>
      <c r="L48" s="63"/>
      <c r="M48" s="62"/>
      <c r="N48" s="64"/>
      <c r="O48" s="63"/>
      <c r="P48" s="62"/>
      <c r="Q48" s="64"/>
      <c r="R48" s="63"/>
      <c r="S48" s="62"/>
      <c r="T48" s="64"/>
      <c r="U48" s="63"/>
      <c r="V48" s="62"/>
      <c r="W48" s="64"/>
      <c r="X48" s="63"/>
      <c r="Y48" s="62"/>
      <c r="Z48" s="64"/>
      <c r="AA48" s="63"/>
      <c r="AB48" s="62"/>
      <c r="AC48" s="64"/>
      <c r="AD48" s="63"/>
      <c r="AE48" s="62"/>
      <c r="AF48" s="64"/>
      <c r="AG48" s="63"/>
      <c r="AH48" s="62"/>
      <c r="AI48" s="64"/>
      <c r="AJ48" s="63"/>
      <c r="AK48" s="62"/>
      <c r="AL48" s="64"/>
      <c r="AM48" s="63"/>
      <c r="AN48" s="62"/>
      <c r="AO48" s="64"/>
      <c r="AP48" s="63"/>
      <c r="AQ48" s="62"/>
      <c r="AR48" s="64"/>
      <c r="AS48" s="63"/>
      <c r="AT48" s="62"/>
      <c r="AU48" s="64"/>
      <c r="AV48" s="63"/>
      <c r="AW48" s="62"/>
      <c r="AX48" s="64"/>
      <c r="AY48" s="63"/>
      <c r="AZ48" s="62"/>
      <c r="BA48" s="64"/>
      <c r="BB48" s="63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4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</row>
    <row r="49" spans="1:92" s="270" customFormat="1" ht="12" customHeight="1">
      <c r="A49" s="262" t="s">
        <v>407</v>
      </c>
      <c r="B49" s="263" t="s">
        <v>408</v>
      </c>
      <c r="C49" s="264"/>
      <c r="D49" s="265" t="s">
        <v>22</v>
      </c>
      <c r="E49" s="266" t="s">
        <v>303</v>
      </c>
      <c r="F49" s="264">
        <v>42890</v>
      </c>
      <c r="G49" s="266" t="s">
        <v>263</v>
      </c>
      <c r="H49" s="267">
        <v>17.329999999999998</v>
      </c>
      <c r="I49" s="268">
        <f>H41-H49</f>
        <v>1.0237500000000033</v>
      </c>
      <c r="J49" s="267">
        <v>15.13</v>
      </c>
      <c r="K49" s="268">
        <f>J49-H49</f>
        <v>-2.1999999999999975</v>
      </c>
      <c r="L49" s="267">
        <v>14.07</v>
      </c>
      <c r="M49" s="263">
        <f t="shared" ref="M49" si="383">L49-J49</f>
        <v>-1.0600000000000005</v>
      </c>
      <c r="N49" s="268">
        <f t="shared" ref="N49" si="384">K49+M49</f>
        <v>-3.259999999999998</v>
      </c>
      <c r="O49" s="267">
        <v>13.13</v>
      </c>
      <c r="P49" s="263">
        <f>O49-L49</f>
        <v>-0.9399999999999995</v>
      </c>
      <c r="Q49" s="263">
        <f>N49+P49</f>
        <v>-4.1999999999999975</v>
      </c>
      <c r="R49" s="267">
        <v>12.45</v>
      </c>
      <c r="S49" s="263">
        <f t="shared" ref="S49" si="385">R49-O49</f>
        <v>-0.68000000000000149</v>
      </c>
      <c r="T49" s="268">
        <f t="shared" ref="T49" si="386">Q49+S49</f>
        <v>-4.879999999999999</v>
      </c>
      <c r="U49" s="267">
        <v>12.44</v>
      </c>
      <c r="V49" s="263">
        <f t="shared" ref="V49" si="387">U49-R49</f>
        <v>-9.9999999999997868E-3</v>
      </c>
      <c r="W49" s="268">
        <f t="shared" ref="W49" si="388">T49+V49</f>
        <v>-4.8899999999999988</v>
      </c>
      <c r="X49" s="267">
        <v>12.73</v>
      </c>
      <c r="Y49" s="263">
        <f>X49-U49</f>
        <v>0.29000000000000092</v>
      </c>
      <c r="Z49" s="268">
        <f>W49+Y49</f>
        <v>-4.5999999999999979</v>
      </c>
      <c r="AA49" s="267">
        <v>12.79</v>
      </c>
      <c r="AB49" s="263">
        <f t="shared" ref="AB49" si="389">AA49-X49</f>
        <v>5.9999999999998721E-2</v>
      </c>
      <c r="AC49" s="268">
        <f t="shared" ref="AC49" si="390">Z49+AB49</f>
        <v>-4.5399999999999991</v>
      </c>
      <c r="AD49" s="267">
        <v>13.37</v>
      </c>
      <c r="AE49" s="263">
        <f>AD49-AA49</f>
        <v>0.58000000000000007</v>
      </c>
      <c r="AF49" s="268">
        <f>AC49+AE49</f>
        <v>-3.9599999999999991</v>
      </c>
      <c r="AG49" s="267">
        <v>14.13</v>
      </c>
      <c r="AH49" s="263">
        <f t="shared" ref="AH49" si="391">AG49-AD49</f>
        <v>0.76000000000000156</v>
      </c>
      <c r="AI49" s="268">
        <f t="shared" ref="AI49" si="392">AF49+AH49</f>
        <v>-3.1999999999999975</v>
      </c>
      <c r="AJ49" s="267">
        <v>14.69</v>
      </c>
      <c r="AK49" s="263">
        <f>AJ49-AG49</f>
        <v>0.55999999999999872</v>
      </c>
      <c r="AL49" s="268">
        <f>AI49+AK49</f>
        <v>-2.6399999999999988</v>
      </c>
      <c r="AM49" s="267">
        <v>14.97</v>
      </c>
      <c r="AN49" s="263">
        <f t="shared" ref="AN49" si="393">AM49-AJ49</f>
        <v>0.28000000000000114</v>
      </c>
      <c r="AO49" s="268">
        <f t="shared" ref="AO49" si="394">AL49+AN49</f>
        <v>-2.3599999999999977</v>
      </c>
      <c r="AP49" s="267">
        <v>15.81</v>
      </c>
      <c r="AQ49" s="263">
        <f>AP49-AM49</f>
        <v>0.83999999999999986</v>
      </c>
      <c r="AR49" s="268">
        <f>AO49+AQ49</f>
        <v>-1.5199999999999978</v>
      </c>
      <c r="AS49" s="267">
        <v>16.45</v>
      </c>
      <c r="AT49" s="263">
        <f>AS49-AP49</f>
        <v>0.63999999999999879</v>
      </c>
      <c r="AU49" s="268">
        <f>AR49+AT49</f>
        <v>-0.87999999999999901</v>
      </c>
      <c r="AV49" s="267">
        <v>16.86</v>
      </c>
      <c r="AW49" s="263">
        <f>AV49-AS49</f>
        <v>0.41000000000000014</v>
      </c>
      <c r="AX49" s="268">
        <f>AU49+AW49</f>
        <v>-0.46999999999999886</v>
      </c>
      <c r="AY49" s="267">
        <v>17.489999999999998</v>
      </c>
      <c r="AZ49" s="263">
        <f>AY49-AV49</f>
        <v>0.62999999999999901</v>
      </c>
      <c r="BA49" s="268">
        <f>AX49+AZ49</f>
        <v>0.16000000000000014</v>
      </c>
      <c r="BB49" s="267">
        <v>18.18</v>
      </c>
      <c r="BC49" s="263">
        <f>BB49-AY49</f>
        <v>0.69000000000000128</v>
      </c>
      <c r="BD49" s="268">
        <f>BA49+BC49</f>
        <v>0.85000000000000142</v>
      </c>
      <c r="BE49" s="263">
        <v>18.25</v>
      </c>
      <c r="BF49" s="263">
        <f>BE49-BB49</f>
        <v>7.0000000000000284E-2</v>
      </c>
      <c r="BG49" s="268">
        <f>BD49+BF49</f>
        <v>0.92000000000000171</v>
      </c>
      <c r="BH49" s="267">
        <v>15.94</v>
      </c>
      <c r="BI49" s="263">
        <f t="shared" ref="BI49" si="395">BH49-BE49</f>
        <v>-2.3100000000000005</v>
      </c>
      <c r="BJ49" s="268">
        <f t="shared" ref="BJ49" si="396">BG49+BI49</f>
        <v>-1.3899999999999988</v>
      </c>
      <c r="BK49" s="267"/>
      <c r="BL49" s="263"/>
      <c r="BM49" s="268"/>
      <c r="BN49" s="267"/>
      <c r="BO49" s="263"/>
      <c r="BP49" s="268"/>
      <c r="BQ49" s="267"/>
      <c r="BR49" s="263"/>
      <c r="BS49" s="268"/>
      <c r="BT49" s="266" t="s">
        <v>332</v>
      </c>
      <c r="BU49" s="269"/>
      <c r="BV49" s="269"/>
      <c r="BW49" s="269"/>
      <c r="BX49"/>
      <c r="BY49"/>
      <c r="BZ49"/>
      <c r="CA49"/>
      <c r="CB49"/>
      <c r="CC49" s="269"/>
      <c r="CD49" s="269"/>
      <c r="CE49" s="269"/>
      <c r="CF49" s="269"/>
      <c r="CG49" s="269"/>
      <c r="CH49" s="269"/>
      <c r="CI49" s="269"/>
      <c r="CJ49" s="269"/>
      <c r="CK49" s="269"/>
      <c r="CL49" s="269"/>
      <c r="CM49" s="269"/>
      <c r="CN49" s="269"/>
    </row>
    <row r="50" spans="1:92" s="60" customFormat="1" ht="12" customHeight="1">
      <c r="A50" s="9" t="s">
        <v>409</v>
      </c>
      <c r="B50" s="62" t="s">
        <v>410</v>
      </c>
      <c r="C50" s="11" t="s">
        <v>308</v>
      </c>
      <c r="D50" s="12" t="s">
        <v>22</v>
      </c>
      <c r="E50" s="10" t="s">
        <v>303</v>
      </c>
      <c r="F50" s="11" t="s">
        <v>309</v>
      </c>
      <c r="G50" s="10" t="s">
        <v>263</v>
      </c>
      <c r="H50" s="63">
        <v>20.97</v>
      </c>
      <c r="I50" s="64">
        <f>H41-H50</f>
        <v>-2.6162499999999973</v>
      </c>
      <c r="J50" s="63">
        <v>17.34</v>
      </c>
      <c r="K50" s="64">
        <f>J50-H50</f>
        <v>-3.629999999999999</v>
      </c>
      <c r="L50" s="63">
        <v>17.64</v>
      </c>
      <c r="M50" s="62">
        <f>L50-J50</f>
        <v>0.30000000000000071</v>
      </c>
      <c r="N50" s="64">
        <f>K50+M50</f>
        <v>-3.3299999999999983</v>
      </c>
      <c r="O50" s="63">
        <v>18.059999999999999</v>
      </c>
      <c r="P50" s="62">
        <f>O50-L50</f>
        <v>0.41999999999999815</v>
      </c>
      <c r="Q50" s="64">
        <f>N50+P50</f>
        <v>-2.91</v>
      </c>
      <c r="R50" s="63">
        <v>18.190000000000001</v>
      </c>
      <c r="S50" s="62">
        <f>R50-O50</f>
        <v>0.13000000000000256</v>
      </c>
      <c r="T50" s="64">
        <f>Q50+S50</f>
        <v>-2.7799999999999976</v>
      </c>
      <c r="U50" s="63">
        <v>18.23</v>
      </c>
      <c r="V50" s="62">
        <f>U50-R50</f>
        <v>3.9999999999999147E-2</v>
      </c>
      <c r="W50" s="214">
        <f>T50+V50</f>
        <v>-2.7399999999999984</v>
      </c>
      <c r="X50" s="62">
        <v>18.920000000000002</v>
      </c>
      <c r="Y50" s="62">
        <f>X50-U50</f>
        <v>0.69000000000000128</v>
      </c>
      <c r="Z50" s="64">
        <f>W50+Y50</f>
        <v>-2.0499999999999972</v>
      </c>
      <c r="AA50" s="63">
        <v>19.45</v>
      </c>
      <c r="AB50" s="62">
        <f>AA50-X50</f>
        <v>0.52999999999999758</v>
      </c>
      <c r="AC50" s="64">
        <f>Z50+AB50</f>
        <v>-1.5199999999999996</v>
      </c>
      <c r="AD50" s="63">
        <v>19.649999999999999</v>
      </c>
      <c r="AE50" s="62">
        <f>AD50-AA50</f>
        <v>0.19999999999999929</v>
      </c>
      <c r="AF50" s="64">
        <f>AC50+AE50</f>
        <v>-1.3200000000000003</v>
      </c>
      <c r="AG50" s="63">
        <v>18.98</v>
      </c>
      <c r="AH50" s="62">
        <f>AG50-AD50</f>
        <v>-0.66999999999999815</v>
      </c>
      <c r="AI50" s="64">
        <f>AF50+AH50</f>
        <v>-1.9899999999999984</v>
      </c>
      <c r="AJ50" s="63">
        <v>19.309999999999999</v>
      </c>
      <c r="AK50" s="62">
        <f>AJ50-AG50</f>
        <v>0.32999999999999829</v>
      </c>
      <c r="AL50" s="64">
        <f>AI50+AK50</f>
        <v>-1.6600000000000001</v>
      </c>
      <c r="AM50" s="63">
        <v>18.79</v>
      </c>
      <c r="AN50" s="62">
        <f>AM50-AJ50</f>
        <v>-0.51999999999999957</v>
      </c>
      <c r="AO50" s="64">
        <f>AL50+AN50</f>
        <v>-2.1799999999999997</v>
      </c>
      <c r="AP50" s="63">
        <v>19.34</v>
      </c>
      <c r="AQ50" s="62">
        <f>AP50-AM50</f>
        <v>0.55000000000000071</v>
      </c>
      <c r="AR50" s="64">
        <f>AO50+AQ50</f>
        <v>-1.629999999999999</v>
      </c>
      <c r="AS50" s="63">
        <v>19.52</v>
      </c>
      <c r="AT50" s="62">
        <f>AS50-AP50</f>
        <v>0.17999999999999972</v>
      </c>
      <c r="AU50" s="64">
        <f>AR50+AT50</f>
        <v>-1.4499999999999993</v>
      </c>
      <c r="AV50" s="63">
        <v>19.64</v>
      </c>
      <c r="AW50" s="62">
        <f>AV50-AS50</f>
        <v>0.12000000000000099</v>
      </c>
      <c r="AX50" s="64">
        <f>AU50+AW50</f>
        <v>-1.3299999999999983</v>
      </c>
      <c r="AY50" s="63">
        <v>19.87</v>
      </c>
      <c r="AZ50" s="62">
        <f>AY50-AV50</f>
        <v>0.23000000000000043</v>
      </c>
      <c r="BA50" s="64">
        <f>AX50+AZ50</f>
        <v>-1.0999999999999979</v>
      </c>
      <c r="BB50" s="63">
        <v>20.03</v>
      </c>
      <c r="BC50" s="62">
        <f>BB50-AY50</f>
        <v>0.16000000000000014</v>
      </c>
      <c r="BD50" s="64">
        <f>BA50+BC50</f>
        <v>-0.93999999999999773</v>
      </c>
      <c r="BE50" s="62">
        <v>20.02</v>
      </c>
      <c r="BF50" s="62">
        <f>BE50-BB50</f>
        <v>-1.0000000000001563E-2</v>
      </c>
      <c r="BG50" s="64">
        <f>BD50+BF50</f>
        <v>-0.94999999999999929</v>
      </c>
      <c r="BH50" s="63">
        <v>20.190000000000001</v>
      </c>
      <c r="BI50" s="62">
        <f>BH50-BE50</f>
        <v>0.17000000000000171</v>
      </c>
      <c r="BJ50" s="64">
        <f>BG50+BI50</f>
        <v>-0.77999999999999758</v>
      </c>
      <c r="BK50" s="63">
        <v>19.899999999999999</v>
      </c>
      <c r="BL50" s="62">
        <f>BK50-BH50</f>
        <v>-0.2900000000000027</v>
      </c>
      <c r="BM50" s="64">
        <f>BJ50+BL50</f>
        <v>-1.0700000000000003</v>
      </c>
      <c r="BN50" s="63">
        <v>20.23</v>
      </c>
      <c r="BO50" s="62">
        <f>BN50-BK50</f>
        <v>0.33000000000000185</v>
      </c>
      <c r="BP50" s="64">
        <f>BM50+BO50</f>
        <v>-0.73999999999999844</v>
      </c>
      <c r="BQ50" s="63">
        <v>20.77</v>
      </c>
      <c r="BR50" s="62">
        <f>BQ50-BN50</f>
        <v>0.53999999999999915</v>
      </c>
      <c r="BS50" s="64">
        <f>BP50+BR50</f>
        <v>-0.19999999999999929</v>
      </c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</row>
    <row r="51" spans="1:92" ht="12" customHeight="1">
      <c r="A51" s="62"/>
      <c r="B51" s="62"/>
      <c r="C51" s="62"/>
      <c r="E51" s="62"/>
      <c r="F51" s="62"/>
      <c r="G51" s="62"/>
      <c r="H51" s="10"/>
      <c r="I51" s="62"/>
      <c r="J51" s="10"/>
      <c r="K51" s="10"/>
      <c r="L51" s="10"/>
      <c r="M51" s="62"/>
      <c r="N51" s="10"/>
      <c r="O51" s="10"/>
      <c r="P51" s="62"/>
      <c r="Q51" s="10"/>
      <c r="R51" s="10"/>
      <c r="S51" s="62"/>
      <c r="T51" s="10"/>
      <c r="U51" s="10"/>
      <c r="V51" s="62"/>
      <c r="W51" s="10"/>
      <c r="X51" s="10"/>
      <c r="Y51" s="62"/>
      <c r="Z51" s="10"/>
      <c r="AA51" s="10"/>
      <c r="AB51" s="62"/>
      <c r="AC51" s="10"/>
      <c r="AD51" s="10"/>
      <c r="AE51" s="62"/>
      <c r="AF51" s="10"/>
      <c r="AG51" s="10"/>
      <c r="AH51" s="62"/>
      <c r="AI51" s="10"/>
      <c r="AJ51" s="10"/>
      <c r="AK51" s="62"/>
      <c r="AL51" s="10"/>
      <c r="AM51" s="10"/>
      <c r="AN51" s="62"/>
      <c r="AO51" s="10"/>
      <c r="AP51" s="10"/>
      <c r="AQ51" s="62"/>
      <c r="AR51" s="10"/>
      <c r="AS51" s="10"/>
      <c r="AT51" s="62"/>
      <c r="AU51" s="10"/>
      <c r="AV51" s="10"/>
      <c r="AW51" s="62"/>
      <c r="AX51" s="10"/>
      <c r="AY51" s="10"/>
      <c r="AZ51" s="62"/>
      <c r="BA51" s="10"/>
      <c r="BB51" s="10"/>
      <c r="BC51" s="62"/>
      <c r="BD51" s="10"/>
      <c r="BE51" s="10"/>
      <c r="BF51" s="62"/>
      <c r="BG51" s="10"/>
      <c r="BH51" s="10"/>
      <c r="BI51" s="62"/>
      <c r="BJ51" s="10"/>
      <c r="BK51" s="10"/>
      <c r="BM51" s="10"/>
      <c r="BN51" s="10"/>
      <c r="BP51" s="10"/>
      <c r="BQ51" s="10"/>
      <c r="BR51" s="62"/>
      <c r="BS51" s="10"/>
      <c r="BT51" s="136"/>
      <c r="BU51" s="136"/>
      <c r="BV51" s="136"/>
      <c r="BW51" s="136"/>
      <c r="BX51"/>
      <c r="BY51"/>
      <c r="BZ51"/>
      <c r="CA51"/>
      <c r="CB51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</row>
    <row r="52" spans="1:92" ht="12" customHeight="1">
      <c r="A52" s="62"/>
      <c r="B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Q52" s="62"/>
      <c r="BR52" s="62"/>
      <c r="BS52" s="62"/>
      <c r="BT52"/>
      <c r="BU52"/>
      <c r="BV52"/>
      <c r="BW52"/>
      <c r="CC52"/>
      <c r="CD52"/>
      <c r="CE52"/>
      <c r="CF52"/>
      <c r="CG52"/>
      <c r="CH52"/>
      <c r="CI52"/>
      <c r="CJ52"/>
      <c r="CK52"/>
      <c r="CL52"/>
      <c r="CM52"/>
      <c r="CN52"/>
    </row>
    <row r="53" spans="1:92" ht="12" customHeight="1">
      <c r="A53" s="62"/>
      <c r="B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O53" s="62"/>
      <c r="AP53" s="62"/>
      <c r="AQ53" s="62"/>
      <c r="AR53" s="62"/>
      <c r="AS53" s="62"/>
      <c r="AT53" s="62"/>
      <c r="AU53" s="240" t="s">
        <v>411</v>
      </c>
      <c r="AV53" s="241"/>
      <c r="AW53" s="24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Q53" s="62"/>
      <c r="BR53" s="62"/>
      <c r="BS53" s="62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</row>
    <row r="54" spans="1:92" ht="12" customHeight="1">
      <c r="A54" s="60"/>
      <c r="B54" s="60"/>
      <c r="G54" s="60"/>
      <c r="H54" s="60"/>
      <c r="I54" s="60"/>
      <c r="J54" s="60"/>
      <c r="K54" s="60"/>
      <c r="L54" s="60"/>
      <c r="M54" s="60"/>
      <c r="AU54" s="245" t="s">
        <v>412</v>
      </c>
      <c r="AV54" s="12" t="s">
        <v>413</v>
      </c>
      <c r="AW54" s="203" t="s">
        <v>414</v>
      </c>
      <c r="BX54"/>
      <c r="BY54"/>
      <c r="BZ54"/>
      <c r="CA54"/>
      <c r="CB54"/>
    </row>
    <row r="55" spans="1:92" ht="12" customHeight="1">
      <c r="A55" s="38"/>
      <c r="B55" s="39" t="s">
        <v>340</v>
      </c>
      <c r="C55" s="40"/>
      <c r="D55" s="40"/>
      <c r="E55" s="41"/>
      <c r="F55" s="40"/>
      <c r="G55" s="41"/>
      <c r="H55" s="39" t="s">
        <v>341</v>
      </c>
      <c r="I55" s="40"/>
      <c r="J55" s="40"/>
      <c r="K55" s="41"/>
      <c r="L55" s="40"/>
      <c r="M55" s="41"/>
      <c r="Q55" s="191"/>
      <c r="R55" s="192" t="s">
        <v>342</v>
      </c>
      <c r="S55" s="193" t="s">
        <v>343</v>
      </c>
      <c r="T55" s="192" t="s">
        <v>284</v>
      </c>
      <c r="U55" s="193" t="s">
        <v>344</v>
      </c>
      <c r="V55" s="192" t="s">
        <v>345</v>
      </c>
      <c r="W55" s="193" t="s">
        <v>346</v>
      </c>
      <c r="AU55" s="243" t="s">
        <v>301</v>
      </c>
      <c r="AV55" s="244" t="s">
        <v>264</v>
      </c>
      <c r="AW55" s="246">
        <v>5</v>
      </c>
      <c r="BX55"/>
      <c r="BY55"/>
      <c r="BZ55"/>
      <c r="CA55"/>
      <c r="CB55"/>
    </row>
    <row r="56" spans="1:92" ht="12" customHeight="1">
      <c r="A56" s="42" t="s">
        <v>347</v>
      </c>
      <c r="B56" s="43" t="s">
        <v>348</v>
      </c>
      <c r="C56" s="44" t="s">
        <v>349</v>
      </c>
      <c r="D56" s="45" t="s">
        <v>284</v>
      </c>
      <c r="E56" s="44" t="s">
        <v>344</v>
      </c>
      <c r="F56" s="45" t="s">
        <v>345</v>
      </c>
      <c r="G56" s="44" t="s">
        <v>346</v>
      </c>
      <c r="H56" s="46" t="s">
        <v>348</v>
      </c>
      <c r="I56" s="44" t="s">
        <v>349</v>
      </c>
      <c r="J56" s="46" t="s">
        <v>284</v>
      </c>
      <c r="K56" s="44" t="s">
        <v>344</v>
      </c>
      <c r="L56" s="46" t="s">
        <v>345</v>
      </c>
      <c r="M56" s="44" t="s">
        <v>346</v>
      </c>
      <c r="N56" s="60"/>
      <c r="O56" s="60"/>
      <c r="Q56" s="194" t="s">
        <v>347</v>
      </c>
      <c r="R56" s="54" t="s">
        <v>350</v>
      </c>
      <c r="S56" s="52" t="s">
        <v>350</v>
      </c>
      <c r="T56" s="195" t="s">
        <v>350</v>
      </c>
      <c r="U56" s="196" t="s">
        <v>415</v>
      </c>
      <c r="V56" s="195" t="s">
        <v>350</v>
      </c>
      <c r="W56" s="196" t="s">
        <v>415</v>
      </c>
      <c r="AU56" s="9" t="s">
        <v>304</v>
      </c>
      <c r="AV56" s="12" t="s">
        <v>264</v>
      </c>
      <c r="AW56" s="203">
        <v>3</v>
      </c>
      <c r="BX56"/>
      <c r="BY56"/>
      <c r="BZ56"/>
      <c r="CA56"/>
      <c r="CB56"/>
    </row>
    <row r="57" spans="1:92" ht="12" customHeight="1">
      <c r="A57" s="48">
        <v>0</v>
      </c>
      <c r="B57" s="49">
        <f>H16</f>
        <v>18.391111111111112</v>
      </c>
      <c r="C57" s="50">
        <f>H17</f>
        <v>0.55449287252318435</v>
      </c>
      <c r="D57" s="51">
        <f>H28</f>
        <v>18.588749999999997</v>
      </c>
      <c r="E57" s="50">
        <f>H29</f>
        <v>0.51747131563015136</v>
      </c>
      <c r="F57" s="51">
        <f>H41</f>
        <v>18.353750000000002</v>
      </c>
      <c r="G57" s="50">
        <f>H42</f>
        <v>0.34574970302641955</v>
      </c>
      <c r="H57" s="12">
        <f>I16</f>
        <v>1.1842378929335002E-15</v>
      </c>
      <c r="I57" s="50">
        <f>I17</f>
        <v>0.55449287252318435</v>
      </c>
      <c r="J57" s="62">
        <f>I28</f>
        <v>-3.1086244689504383E-15</v>
      </c>
      <c r="K57" s="64">
        <f>I29</f>
        <v>0.51747131563015136</v>
      </c>
      <c r="L57" s="62">
        <f>I41</f>
        <v>1.3322676295501878E-15</v>
      </c>
      <c r="M57" s="64">
        <f>I42</f>
        <v>0.3635879609628776</v>
      </c>
      <c r="N57" s="60"/>
      <c r="O57" s="60"/>
      <c r="P57" s="60"/>
      <c r="Q57" s="197">
        <v>0</v>
      </c>
      <c r="R57" s="198">
        <v>0</v>
      </c>
      <c r="S57" s="199">
        <v>0</v>
      </c>
      <c r="T57" s="198">
        <v>0</v>
      </c>
      <c r="U57" s="199">
        <v>0</v>
      </c>
      <c r="V57" s="198">
        <v>0</v>
      </c>
      <c r="W57" s="199">
        <v>0</v>
      </c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O57" s="60"/>
      <c r="AP57" s="60"/>
      <c r="AR57" s="60"/>
      <c r="AS57" s="60"/>
      <c r="AT57" s="60"/>
      <c r="AU57" s="133" t="s">
        <v>306</v>
      </c>
      <c r="AV57" s="12" t="s">
        <v>264</v>
      </c>
      <c r="AW57" s="247">
        <v>4</v>
      </c>
      <c r="AX57" s="60"/>
      <c r="AY57" s="60"/>
      <c r="AZ57" s="60"/>
      <c r="BA57" s="60"/>
      <c r="BB57" s="60"/>
    </row>
    <row r="58" spans="1:92" ht="12" customHeight="1">
      <c r="A58" s="48">
        <v>1</v>
      </c>
      <c r="B58" s="49">
        <f>J16</f>
        <v>18.564444444444447</v>
      </c>
      <c r="C58" s="50">
        <f>J17</f>
        <v>0.55554805550492992</v>
      </c>
      <c r="D58" s="51">
        <f>J28</f>
        <v>18.942500000000003</v>
      </c>
      <c r="E58" s="50">
        <f>J29</f>
        <v>0.68374428699624246</v>
      </c>
      <c r="F58" s="51">
        <f>J41</f>
        <v>17.092499999999998</v>
      </c>
      <c r="G58" s="50">
        <f>J42</f>
        <v>0.49174062628322174</v>
      </c>
      <c r="H58" s="62">
        <f>K16</f>
        <v>0.17333333333333437</v>
      </c>
      <c r="I58" s="64">
        <f>K17</f>
        <v>0.12840906856172163</v>
      </c>
      <c r="J58" s="62">
        <f>K28</f>
        <v>0.35374999999999845</v>
      </c>
      <c r="K58" s="64">
        <f>K29</f>
        <v>0.3296856592704201</v>
      </c>
      <c r="L58" s="62">
        <f>K41</f>
        <v>-1.26125</v>
      </c>
      <c r="M58" s="64">
        <f>K42</f>
        <v>0.30844331211053105</v>
      </c>
      <c r="Q58" s="20">
        <v>1</v>
      </c>
      <c r="R58" s="198">
        <f>K16</f>
        <v>0.17333333333333437</v>
      </c>
      <c r="S58" s="199">
        <f>K17</f>
        <v>0.12840906856172163</v>
      </c>
      <c r="T58" s="198">
        <f>K28</f>
        <v>0.35374999999999845</v>
      </c>
      <c r="U58" s="199">
        <f>K29</f>
        <v>0.3296856592704201</v>
      </c>
      <c r="V58" s="198">
        <f>K41</f>
        <v>-1.26125</v>
      </c>
      <c r="W58" s="199">
        <f>K42</f>
        <v>0.30844331211053105</v>
      </c>
      <c r="AU58" s="262" t="s">
        <v>407</v>
      </c>
      <c r="AV58" s="265" t="s">
        <v>264</v>
      </c>
      <c r="AW58" s="308">
        <v>7</v>
      </c>
    </row>
    <row r="59" spans="1:92" ht="12" customHeight="1">
      <c r="A59" s="48">
        <v>2</v>
      </c>
      <c r="B59" s="76">
        <f>L16</f>
        <v>18.854444444444443</v>
      </c>
      <c r="C59" s="64">
        <f>L17</f>
        <v>0.48228078241458011</v>
      </c>
      <c r="D59" s="63">
        <f>L28</f>
        <v>19.428750000000001</v>
      </c>
      <c r="E59" s="64">
        <f>L29</f>
        <v>0.74262189355398833</v>
      </c>
      <c r="F59" s="63">
        <f>L41</f>
        <v>17.317500000000003</v>
      </c>
      <c r="G59" s="64">
        <f>L42</f>
        <v>0.58661483469625453</v>
      </c>
      <c r="H59" s="62">
        <f>N16</f>
        <v>0.46333333333333393</v>
      </c>
      <c r="I59" s="64">
        <f>N17</f>
        <v>0.19001461932060815</v>
      </c>
      <c r="J59" s="62">
        <f>N28</f>
        <v>0.83999999999999986</v>
      </c>
      <c r="K59" s="64">
        <f>N29</f>
        <v>0.3380828300875392</v>
      </c>
      <c r="L59" s="62">
        <f>N41</f>
        <v>-1.0362500000000006</v>
      </c>
      <c r="M59" s="64">
        <f>N42</f>
        <v>0.41108713666152513</v>
      </c>
      <c r="Q59" s="20">
        <v>2</v>
      </c>
      <c r="R59" s="198">
        <f>M16</f>
        <v>0.28999999999999954</v>
      </c>
      <c r="S59" s="199">
        <f>M17</f>
        <v>0.10518502216993103</v>
      </c>
      <c r="T59" s="198">
        <f>M28</f>
        <v>0.4862500000000014</v>
      </c>
      <c r="U59" s="199">
        <f>M29</f>
        <v>0.16118908040824945</v>
      </c>
      <c r="V59" s="198">
        <f>M41</f>
        <v>0.22499999999999942</v>
      </c>
      <c r="W59" s="199">
        <f>M42</f>
        <v>0.20746772554510037</v>
      </c>
      <c r="AU59" s="9" t="s">
        <v>310</v>
      </c>
      <c r="AV59" s="12" t="s">
        <v>264</v>
      </c>
      <c r="AW59" s="203">
        <v>3</v>
      </c>
    </row>
    <row r="60" spans="1:92" ht="12" customHeight="1">
      <c r="A60" s="48">
        <v>3</v>
      </c>
      <c r="B60" s="49">
        <f>O16</f>
        <v>18.968888888888888</v>
      </c>
      <c r="C60" s="50">
        <f>O17</f>
        <v>0.47138225949636808</v>
      </c>
      <c r="D60" s="51">
        <f>O28</f>
        <v>19.999999999999996</v>
      </c>
      <c r="E60" s="50">
        <f>O29</f>
        <v>0.68261576726170448</v>
      </c>
      <c r="F60" s="51">
        <f>O41</f>
        <v>18.077500000000001</v>
      </c>
      <c r="G60" s="50">
        <f>O42</f>
        <v>0.64707515019509143</v>
      </c>
      <c r="H60" s="12">
        <f>Q16</f>
        <v>0.5777777777777785</v>
      </c>
      <c r="I60" s="50">
        <f>Q17</f>
        <v>0.20607292248792899</v>
      </c>
      <c r="J60" s="12">
        <f>Q28</f>
        <v>1.4112499999999994</v>
      </c>
      <c r="K60" s="50">
        <f>Q29</f>
        <v>0.32621989461536094</v>
      </c>
      <c r="L60" s="12">
        <f>Q41</f>
        <v>-0.27625000000000033</v>
      </c>
      <c r="M60" s="50">
        <f>Q42</f>
        <v>0.50913420031320977</v>
      </c>
      <c r="Q60" s="20">
        <v>3</v>
      </c>
      <c r="R60" s="198">
        <f>P16</f>
        <v>0.11444444444444457</v>
      </c>
      <c r="S60" s="199">
        <f>P17</f>
        <v>8.9831804425936648E-2</v>
      </c>
      <c r="T60" s="198">
        <f>P28</f>
        <v>0.57124999999999959</v>
      </c>
      <c r="U60" s="199">
        <f>P29</f>
        <v>0.14152785566301582</v>
      </c>
      <c r="V60" s="198">
        <f>P41</f>
        <v>0.76000000000000023</v>
      </c>
      <c r="W60" s="199">
        <f>P42</f>
        <v>0.28071973822403612</v>
      </c>
      <c r="AU60" s="9" t="s">
        <v>312</v>
      </c>
      <c r="AV60" s="12" t="s">
        <v>264</v>
      </c>
      <c r="AW60" s="203">
        <v>7</v>
      </c>
    </row>
    <row r="61" spans="1:92" ht="12" customHeight="1">
      <c r="A61" s="48">
        <v>4</v>
      </c>
      <c r="B61" s="49">
        <f>R16</f>
        <v>19.105555555555561</v>
      </c>
      <c r="C61" s="50">
        <f>R17</f>
        <v>0.46358539639756385</v>
      </c>
      <c r="D61" s="51">
        <f>R28</f>
        <v>20.035</v>
      </c>
      <c r="E61" s="50">
        <f>R29</f>
        <v>0.68943817706883603</v>
      </c>
      <c r="F61" s="51">
        <f>R41</f>
        <v>18.563749999999999</v>
      </c>
      <c r="G61" s="50">
        <f>R42</f>
        <v>0.73705722180458344</v>
      </c>
      <c r="H61" s="12">
        <f>T16</f>
        <v>0.71444444444444521</v>
      </c>
      <c r="I61" s="50">
        <f>T17</f>
        <v>0.24000642995501822</v>
      </c>
      <c r="J61" s="12">
        <f>T28</f>
        <v>1.4462499999999996</v>
      </c>
      <c r="K61" s="50">
        <f>T29</f>
        <v>0.33760150589965443</v>
      </c>
      <c r="L61" s="12">
        <f>T41</f>
        <v>0.2099999999999993</v>
      </c>
      <c r="M61" s="50">
        <f>T42</f>
        <v>0.64627227786967401</v>
      </c>
      <c r="Q61" s="20">
        <v>4</v>
      </c>
      <c r="R61" s="198">
        <f>S16</f>
        <v>0.13666666666666671</v>
      </c>
      <c r="S61" s="199">
        <f>S17</f>
        <v>9.3407708461347105E-2</v>
      </c>
      <c r="T61" s="198">
        <f>S28</f>
        <v>3.5000000000000142E-2</v>
      </c>
      <c r="U61" s="199">
        <f>S29</f>
        <v>9.6787691071009513E-2</v>
      </c>
      <c r="V61" s="198">
        <f>S41</f>
        <v>0.48624999999999963</v>
      </c>
      <c r="W61" s="199">
        <f>S42</f>
        <v>0.15534451919156048</v>
      </c>
      <c r="AU61" s="9" t="s">
        <v>314</v>
      </c>
      <c r="AV61" s="12" t="s">
        <v>264</v>
      </c>
      <c r="AW61" s="203">
        <v>4</v>
      </c>
    </row>
    <row r="62" spans="1:92" ht="12" customHeight="1">
      <c r="A62" s="48">
        <v>5</v>
      </c>
      <c r="B62" s="76">
        <f>U16</f>
        <v>19.391111111111112</v>
      </c>
      <c r="C62" s="64">
        <f>U17</f>
        <v>0.44495144692815286</v>
      </c>
      <c r="D62" s="63">
        <f>U28</f>
        <v>20.34</v>
      </c>
      <c r="E62" s="64">
        <f>U29</f>
        <v>0.6559970600979419</v>
      </c>
      <c r="F62" s="63">
        <f>U41</f>
        <v>19.217499999999998</v>
      </c>
      <c r="G62" s="64">
        <f>U42</f>
        <v>0.62646328703284748</v>
      </c>
      <c r="H62" s="62">
        <f>W16</f>
        <v>1.0000000000000004</v>
      </c>
      <c r="I62" s="64">
        <f>W17</f>
        <v>0.30754403478743247</v>
      </c>
      <c r="J62" s="62">
        <f>W28</f>
        <v>1.7512499999999998</v>
      </c>
      <c r="K62" s="64">
        <f>W29</f>
        <v>0.32523858001253686</v>
      </c>
      <c r="L62" s="62">
        <f>W41</f>
        <v>0.86375000000000002</v>
      </c>
      <c r="M62" s="64">
        <f>W42</f>
        <v>0.54342149354148417</v>
      </c>
      <c r="Q62" s="20">
        <v>5</v>
      </c>
      <c r="R62" s="198">
        <f>V16</f>
        <v>0.28555555555555517</v>
      </c>
      <c r="S62" s="199">
        <f>V17</f>
        <v>0.10385768990828947</v>
      </c>
      <c r="T62" s="198">
        <f>V28</f>
        <v>0.30500000000000016</v>
      </c>
      <c r="U62" s="199">
        <f>V29</f>
        <v>7.9327530800202592E-2</v>
      </c>
      <c r="V62" s="198">
        <f>V41</f>
        <v>0.65375000000000072</v>
      </c>
      <c r="W62" s="199">
        <f>V42</f>
        <v>0.18457419626960672</v>
      </c>
      <c r="AU62" s="16" t="s">
        <v>41</v>
      </c>
      <c r="AV62" s="3"/>
      <c r="AW62" s="207">
        <f>AVERAGE(AW55:AW61)</f>
        <v>4.7142857142857144</v>
      </c>
    </row>
    <row r="63" spans="1:92" ht="12" customHeight="1">
      <c r="A63" s="48">
        <v>6</v>
      </c>
      <c r="B63" s="49">
        <f>X16</f>
        <v>19.402222222222221</v>
      </c>
      <c r="C63" s="50">
        <f>X17</f>
        <v>0.44800414735734612</v>
      </c>
      <c r="D63" s="51">
        <f>X28</f>
        <v>20.395</v>
      </c>
      <c r="E63" s="50">
        <f>X29</f>
        <v>0.65559950753925544</v>
      </c>
      <c r="F63" s="51">
        <f>X41</f>
        <v>19.34375</v>
      </c>
      <c r="G63" s="50">
        <f>X42</f>
        <v>0.56552105398472985</v>
      </c>
      <c r="H63" s="12">
        <f>Z16</f>
        <v>1.0111111111111117</v>
      </c>
      <c r="I63" s="50">
        <f>Z17</f>
        <v>0.32772975166050577</v>
      </c>
      <c r="J63" s="12">
        <f>Z28</f>
        <v>1.8062499999999995</v>
      </c>
      <c r="K63" s="64">
        <f>Z29</f>
        <v>0.37805865710797548</v>
      </c>
      <c r="L63" s="12">
        <f>Z41</f>
        <v>0.98999999999999977</v>
      </c>
      <c r="M63" s="64">
        <f>Z42</f>
        <v>0.48519510067011756</v>
      </c>
      <c r="Q63" s="20">
        <v>6</v>
      </c>
      <c r="R63" s="198">
        <f>Y16</f>
        <v>1.1111111111111269E-2</v>
      </c>
      <c r="S63" s="199">
        <f>Y17</f>
        <v>0.10515127257174216</v>
      </c>
      <c r="T63" s="198">
        <f>Y28</f>
        <v>5.4999999999999716E-2</v>
      </c>
      <c r="U63" s="199">
        <f>Y29</f>
        <v>8.2440454701733695E-2</v>
      </c>
      <c r="V63" s="198">
        <f>Y41</f>
        <v>0.12624999999999975</v>
      </c>
      <c r="W63" s="199">
        <f>Y42</f>
        <v>0.1308070757697328</v>
      </c>
      <c r="AQ63" s="3"/>
      <c r="AU63" s="16" t="s">
        <v>45</v>
      </c>
      <c r="AV63" s="3"/>
      <c r="AW63" s="207">
        <f>STDEV(AW55:AW61)/(SQRT(COUNT(AW55:AW61)))</f>
        <v>0.64417853611755604</v>
      </c>
      <c r="BC63" s="3"/>
      <c r="BD63" s="3"/>
    </row>
    <row r="64" spans="1:92" ht="12" customHeight="1">
      <c r="A64" s="48">
        <v>7</v>
      </c>
      <c r="B64" s="49">
        <f>AA16</f>
        <v>19.37555555555555</v>
      </c>
      <c r="C64" s="50">
        <f>AA17</f>
        <v>0.50991042544285048</v>
      </c>
      <c r="D64" s="51">
        <f>AA28</f>
        <v>20.574999999999996</v>
      </c>
      <c r="E64" s="50">
        <f>AA29</f>
        <v>0.62170273098506323</v>
      </c>
      <c r="F64" s="51">
        <f>AA41</f>
        <v>19.556250000000002</v>
      </c>
      <c r="G64" s="50">
        <f>AA42</f>
        <v>0.5478886014901726</v>
      </c>
      <c r="H64" s="62">
        <f>AC16</f>
        <v>0.98444444444444479</v>
      </c>
      <c r="I64" s="64">
        <f>AC17</f>
        <v>0.36378454822994383</v>
      </c>
      <c r="J64" s="62">
        <f>AC28</f>
        <v>1.9862499999999996</v>
      </c>
      <c r="K64" s="64">
        <f>AC29</f>
        <v>0.35671085479498871</v>
      </c>
      <c r="L64" s="62">
        <f>AC41</f>
        <v>1.2024999999999997</v>
      </c>
      <c r="M64" s="64">
        <f>AC42</f>
        <v>0.49688583770750172</v>
      </c>
      <c r="Q64" s="20">
        <v>7</v>
      </c>
      <c r="R64" s="198">
        <f>AB16</f>
        <v>-2.6666666666666887E-2</v>
      </c>
      <c r="S64" s="199">
        <f>AB17</f>
        <v>0.10747092630102333</v>
      </c>
      <c r="T64" s="198">
        <f>AB28</f>
        <v>0.18000000000000016</v>
      </c>
      <c r="U64" s="199">
        <f>AB29</f>
        <v>7.2972597596632091E-2</v>
      </c>
      <c r="V64" s="198">
        <f>AB41</f>
        <v>0.21249999999999991</v>
      </c>
      <c r="W64" s="199">
        <f>AB42</f>
        <v>0.12064928512013637</v>
      </c>
      <c r="AQ64" s="3"/>
      <c r="AU64" s="9"/>
      <c r="AW64" s="203"/>
      <c r="BC64" s="3"/>
      <c r="BD64" s="3"/>
    </row>
    <row r="65" spans="1:56" ht="12" customHeight="1">
      <c r="A65" s="48">
        <v>8</v>
      </c>
      <c r="B65" s="49">
        <f>AD16</f>
        <v>19.675555555555555</v>
      </c>
      <c r="C65" s="50">
        <f>AD17</f>
        <v>0.48604443987238904</v>
      </c>
      <c r="D65" s="51">
        <f>AD28</f>
        <v>20.697499999999998</v>
      </c>
      <c r="E65" s="50">
        <f>AD29</f>
        <v>0.62576167873354838</v>
      </c>
      <c r="F65" s="51">
        <f>AD41</f>
        <v>19.690000000000001</v>
      </c>
      <c r="G65" s="50">
        <f>AD42</f>
        <v>0.59459169664088452</v>
      </c>
      <c r="H65" s="62">
        <f>AF16</f>
        <v>1.2844444444444452</v>
      </c>
      <c r="I65" s="64">
        <f>AF17</f>
        <v>0.41694361166546495</v>
      </c>
      <c r="J65" s="62">
        <f>AF28</f>
        <v>2.1087499999999997</v>
      </c>
      <c r="K65" s="50">
        <f>AF29</f>
        <v>0.37281476394355134</v>
      </c>
      <c r="L65" s="62">
        <f>AF41</f>
        <v>1.3362500000000002</v>
      </c>
      <c r="M65" s="50">
        <f>AF42</f>
        <v>0.61874278495071877</v>
      </c>
      <c r="Q65" s="20">
        <v>8</v>
      </c>
      <c r="R65" s="198">
        <f>AE16</f>
        <v>0.30000000000000032</v>
      </c>
      <c r="S65" s="199">
        <f>AE17</f>
        <v>0.12271240089466666</v>
      </c>
      <c r="T65" s="198">
        <f>AE28</f>
        <v>0.12250000000000005</v>
      </c>
      <c r="U65" s="199">
        <f>AE29</f>
        <v>3.6290002558752851E-2</v>
      </c>
      <c r="V65" s="198">
        <f>AE41</f>
        <v>0.13375000000000048</v>
      </c>
      <c r="W65" s="199">
        <f>AE42</f>
        <v>0.17845505136348172</v>
      </c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O65" s="60"/>
      <c r="AP65" s="60"/>
      <c r="AR65" s="60"/>
      <c r="AS65" s="60"/>
      <c r="AT65" s="60"/>
      <c r="AU65" s="9" t="s">
        <v>389</v>
      </c>
      <c r="AV65" s="12" t="s">
        <v>319</v>
      </c>
      <c r="AW65" s="203">
        <v>3</v>
      </c>
      <c r="AX65" s="60"/>
      <c r="AY65" s="60"/>
      <c r="AZ65" s="60"/>
      <c r="BA65" s="60"/>
      <c r="BB65" s="60"/>
    </row>
    <row r="66" spans="1:56" ht="12" customHeight="1">
      <c r="A66" s="48">
        <v>9</v>
      </c>
      <c r="B66" s="49">
        <f>AG16</f>
        <v>19.953333333333333</v>
      </c>
      <c r="C66" s="50">
        <f>AG17</f>
        <v>0.50518973333458261</v>
      </c>
      <c r="D66" s="51">
        <f>AG28</f>
        <v>20.93</v>
      </c>
      <c r="E66" s="50">
        <f>AG29</f>
        <v>0.57469867881227243</v>
      </c>
      <c r="F66" s="51">
        <f>AG41</f>
        <v>19.892499999999998</v>
      </c>
      <c r="G66" s="50">
        <f>AG42</f>
        <v>0.57632068825809601</v>
      </c>
      <c r="H66" s="62">
        <f>AI16</f>
        <v>1.5622222222222228</v>
      </c>
      <c r="I66" s="64">
        <f>AI17</f>
        <v>0.41612223690807809</v>
      </c>
      <c r="J66" s="62">
        <f>AI28</f>
        <v>2.3412499999999992</v>
      </c>
      <c r="K66" s="64">
        <f>AI29</f>
        <v>0.32650441639979622</v>
      </c>
      <c r="L66" s="62">
        <f>AI41</f>
        <v>1.5387499999999998</v>
      </c>
      <c r="M66" s="64">
        <f>AI42</f>
        <v>0.60284870614441888</v>
      </c>
      <c r="Q66" s="20">
        <v>9</v>
      </c>
      <c r="R66" s="198">
        <f>AH16</f>
        <v>0.27777777777777779</v>
      </c>
      <c r="S66" s="199">
        <f>AH17</f>
        <v>0.10209986638605091</v>
      </c>
      <c r="T66" s="198">
        <f>AH28</f>
        <v>0.23249999999999948</v>
      </c>
      <c r="U66" s="199">
        <f>AH29</f>
        <v>6.8210545895987337E-2</v>
      </c>
      <c r="V66" s="198">
        <f>AH41</f>
        <v>0.20249999999999968</v>
      </c>
      <c r="W66" s="199">
        <f>AH42</f>
        <v>9.18412839009312E-2</v>
      </c>
      <c r="AU66" s="9" t="s">
        <v>391</v>
      </c>
      <c r="AV66" s="12" t="s">
        <v>319</v>
      </c>
      <c r="AW66" s="247">
        <v>13</v>
      </c>
    </row>
    <row r="67" spans="1:56" ht="12" customHeight="1">
      <c r="A67" s="48">
        <v>10</v>
      </c>
      <c r="B67" s="76">
        <f>AJ16</f>
        <v>20.149999999999999</v>
      </c>
      <c r="C67" s="64">
        <f>AJ17</f>
        <v>0.52322185649216835</v>
      </c>
      <c r="D67" s="63">
        <f>AJ28</f>
        <v>21.116250000000001</v>
      </c>
      <c r="E67" s="64">
        <f>AJ29</f>
        <v>0.58464255716023339</v>
      </c>
      <c r="F67" s="63">
        <f>AJ41</f>
        <v>19.786249999999999</v>
      </c>
      <c r="G67" s="64">
        <f>AJ42</f>
        <v>0.48852890505212548</v>
      </c>
      <c r="H67" s="62">
        <f>AL16</f>
        <v>1.7588888888888892</v>
      </c>
      <c r="I67" s="64">
        <f>AL17</f>
        <v>0.48545066245604435</v>
      </c>
      <c r="J67" s="62">
        <f>AL28</f>
        <v>2.5274999999999994</v>
      </c>
      <c r="K67" s="64">
        <f>AL29</f>
        <v>0.36604912824061497</v>
      </c>
      <c r="L67" s="62">
        <f>AL41</f>
        <v>1.4324999999999997</v>
      </c>
      <c r="M67" s="64">
        <f>AL42</f>
        <v>0.50777789717271371</v>
      </c>
      <c r="Q67" s="20">
        <v>10</v>
      </c>
      <c r="R67" s="198">
        <f>AK16</f>
        <v>0.19666666666666621</v>
      </c>
      <c r="S67" s="199">
        <f>AK17</f>
        <v>9.6479704256042062E-2</v>
      </c>
      <c r="T67" s="198">
        <f>AK28</f>
        <v>0.18625000000000025</v>
      </c>
      <c r="U67" s="199">
        <f>AK29</f>
        <v>6.0176451849065095E-2</v>
      </c>
      <c r="V67" s="198">
        <f>AK41</f>
        <v>-0.10625000000000018</v>
      </c>
      <c r="W67" s="199">
        <f>AK42</f>
        <v>0.16217205920168326</v>
      </c>
      <c r="AU67" s="9" t="s">
        <v>393</v>
      </c>
      <c r="AV67" s="12" t="s">
        <v>319</v>
      </c>
      <c r="AW67" s="203">
        <v>6</v>
      </c>
    </row>
    <row r="68" spans="1:56" ht="12" customHeight="1">
      <c r="A68" s="48">
        <v>11</v>
      </c>
      <c r="B68" s="49">
        <f>AM16</f>
        <v>20.285555555555558</v>
      </c>
      <c r="C68" s="50">
        <f>AM17</f>
        <v>0.53086698247905739</v>
      </c>
      <c r="D68" s="51">
        <f>AM28</f>
        <v>21.134999999999998</v>
      </c>
      <c r="E68" s="50">
        <f>AM29</f>
        <v>0.54045615654080337</v>
      </c>
      <c r="F68" s="51">
        <f>AM41</f>
        <v>20.017499999999998</v>
      </c>
      <c r="G68" s="50">
        <f>AM42</f>
        <v>0.5052289085157341</v>
      </c>
      <c r="H68" s="12">
        <f>AO16</f>
        <v>1.8944444444444448</v>
      </c>
      <c r="I68" s="50">
        <f>AO17</f>
        <v>0.47761011269976977</v>
      </c>
      <c r="J68" s="12">
        <f>AO28</f>
        <v>2.5462500000000001</v>
      </c>
      <c r="K68" s="50">
        <f>AO29</f>
        <v>0.32705906795038031</v>
      </c>
      <c r="L68" s="12">
        <f>AO41</f>
        <v>1.6637499999999998</v>
      </c>
      <c r="M68" s="50">
        <f>AO42</f>
        <v>0.53851627346414932</v>
      </c>
      <c r="Q68" s="20">
        <v>11</v>
      </c>
      <c r="R68" s="198">
        <f>AN16</f>
        <v>0.13555555555555582</v>
      </c>
      <c r="S68" s="199">
        <f>AN17</f>
        <v>4.658060848056584E-2</v>
      </c>
      <c r="T68" s="198">
        <f>AN28</f>
        <v>1.8750000000000711E-2</v>
      </c>
      <c r="U68" s="199">
        <f>AN29</f>
        <v>7.9853381268421786E-2</v>
      </c>
      <c r="V68" s="198">
        <f>AN41</f>
        <v>0.23125000000000018</v>
      </c>
      <c r="W68" s="199">
        <f>AN42</f>
        <v>8.8144311460565367E-2</v>
      </c>
      <c r="AU68" s="9" t="s">
        <v>409</v>
      </c>
      <c r="AV68" s="12" t="s">
        <v>319</v>
      </c>
      <c r="AW68" s="203">
        <v>21</v>
      </c>
    </row>
    <row r="69" spans="1:56" ht="12" customHeight="1">
      <c r="A69" s="48">
        <v>12</v>
      </c>
      <c r="B69" s="49">
        <f>AP16</f>
        <v>20.344444444444445</v>
      </c>
      <c r="C69" s="50">
        <f>AP17</f>
        <v>0.53636925276216385</v>
      </c>
      <c r="D69" s="51">
        <f>AP28</f>
        <v>21.278750000000002</v>
      </c>
      <c r="E69" s="50">
        <f>AP29</f>
        <v>0.50227495849242909</v>
      </c>
      <c r="F69" s="51">
        <f>AP41</f>
        <v>20.193749999999998</v>
      </c>
      <c r="G69" s="50">
        <f>AP42</f>
        <v>0.46453870167849637</v>
      </c>
      <c r="H69" s="62">
        <f>AR16</f>
        <v>1.953333333333334</v>
      </c>
      <c r="I69" s="64">
        <f>AR17</f>
        <v>0.53565121321828657</v>
      </c>
      <c r="J69" s="62">
        <f>AR28</f>
        <v>2.69</v>
      </c>
      <c r="K69" s="64">
        <f>AR29</f>
        <v>0.31838880095164851</v>
      </c>
      <c r="L69" s="62">
        <f>AR41</f>
        <v>1.8399999999999994</v>
      </c>
      <c r="M69" s="64">
        <f>AR42</f>
        <v>0.50044266119392466</v>
      </c>
      <c r="Q69" s="20">
        <v>12</v>
      </c>
      <c r="R69" s="198">
        <f>AQ16</f>
        <v>5.8888888888889018E-2</v>
      </c>
      <c r="S69" s="199">
        <f>AQ17</f>
        <v>8.7296500573308511E-2</v>
      </c>
      <c r="T69" s="198">
        <f>AQ28</f>
        <v>0.14374999999999982</v>
      </c>
      <c r="U69" s="199">
        <f>AQ29</f>
        <v>5.6881377193494433E-2</v>
      </c>
      <c r="V69" s="198">
        <f>AQ41</f>
        <v>0.17624999999999957</v>
      </c>
      <c r="W69" s="199">
        <f>AQ42</f>
        <v>9.0729926941760214E-2</v>
      </c>
      <c r="AU69" s="9" t="s">
        <v>395</v>
      </c>
      <c r="AV69" s="12" t="s">
        <v>319</v>
      </c>
      <c r="AW69" s="203">
        <v>6</v>
      </c>
    </row>
    <row r="70" spans="1:56" ht="12" customHeight="1">
      <c r="A70" s="48">
        <v>13</v>
      </c>
      <c r="B70" s="49">
        <f>AS16</f>
        <v>20.518888888888892</v>
      </c>
      <c r="C70" s="50">
        <f>AS17</f>
        <v>0.56444526465382239</v>
      </c>
      <c r="D70" s="51">
        <f>AS28</f>
        <v>21.335000000000001</v>
      </c>
      <c r="E70" s="50">
        <f>AS29</f>
        <v>0.51265067471496995</v>
      </c>
      <c r="F70" s="51">
        <f>AS41</f>
        <v>20.337499999999999</v>
      </c>
      <c r="G70" s="50">
        <f>AS42</f>
        <v>0.37032683441213687</v>
      </c>
      <c r="H70" s="62">
        <f>AU16</f>
        <v>2.1277777777777782</v>
      </c>
      <c r="I70" s="64">
        <f>AU17</f>
        <v>0.60678061607914191</v>
      </c>
      <c r="J70" s="62">
        <f>AU28</f>
        <v>2.7462499999999994</v>
      </c>
      <c r="K70" s="64">
        <f>AU29</f>
        <v>0.36896543343710181</v>
      </c>
      <c r="L70" s="62">
        <f>AU41</f>
        <v>1.9837500000000006</v>
      </c>
      <c r="M70" s="64">
        <f>AU42</f>
        <v>0.42835206439496565</v>
      </c>
      <c r="Q70" s="20">
        <v>13</v>
      </c>
      <c r="R70" s="198">
        <f>AT16</f>
        <v>0.17444444444444449</v>
      </c>
      <c r="S70" s="199">
        <f>AT17</f>
        <v>0.11590358913902819</v>
      </c>
      <c r="T70" s="198">
        <f>AT28</f>
        <v>5.6249999999999467E-2</v>
      </c>
      <c r="U70" s="199">
        <f>AT29</f>
        <v>8.9181546377519974E-2</v>
      </c>
      <c r="V70" s="198">
        <f>AT41</f>
        <v>0.14375000000000115</v>
      </c>
      <c r="W70" s="199">
        <f>AT42</f>
        <v>0.20522581204266555</v>
      </c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O70" s="3"/>
      <c r="AP70" s="3"/>
      <c r="AQ70" s="3"/>
      <c r="AU70" s="262" t="s">
        <v>407</v>
      </c>
      <c r="AV70" s="265" t="s">
        <v>319</v>
      </c>
      <c r="AW70" s="308">
        <v>15</v>
      </c>
      <c r="AX70" s="3"/>
      <c r="AY70" s="3"/>
      <c r="BC70" s="3"/>
      <c r="BD70" s="3"/>
    </row>
    <row r="71" spans="1:56" ht="12" customHeight="1">
      <c r="A71" s="48">
        <v>14</v>
      </c>
      <c r="B71" s="12">
        <f>AV16</f>
        <v>20.573333333333331</v>
      </c>
      <c r="C71" s="50">
        <f>AV17</f>
        <v>0.48830773539279965</v>
      </c>
      <c r="D71" s="12">
        <f>AV28</f>
        <v>21.287499999999998</v>
      </c>
      <c r="E71" s="50">
        <f>AV29</f>
        <v>0.46602709148717952</v>
      </c>
      <c r="F71" s="12">
        <f>AV41</f>
        <v>20.542499999999997</v>
      </c>
      <c r="G71" s="50">
        <f>AV42</f>
        <v>0.33540886562948397</v>
      </c>
      <c r="H71" s="62">
        <f>AX16</f>
        <v>2.1822222222222227</v>
      </c>
      <c r="I71" s="64">
        <f>AX17</f>
        <v>0.56579289933532373</v>
      </c>
      <c r="J71" s="62">
        <f>AX28</f>
        <v>2.6987499999999995</v>
      </c>
      <c r="K71" s="64">
        <f>AX29</f>
        <v>0.32285245137236124</v>
      </c>
      <c r="L71" s="62">
        <f>AX41</f>
        <v>2.1887500000000002</v>
      </c>
      <c r="M71" s="64">
        <f>AX42</f>
        <v>0.40914299587238273</v>
      </c>
      <c r="Q71" s="20">
        <v>14</v>
      </c>
      <c r="R71" s="198">
        <f>AW16</f>
        <v>5.4444444444444268E-2</v>
      </c>
      <c r="S71" s="199">
        <f>AW17</f>
        <v>0.11170535537633429</v>
      </c>
      <c r="T71" s="198">
        <f>AW28</f>
        <v>-4.7499999999999876E-2</v>
      </c>
      <c r="U71" s="199">
        <f>AW29</f>
        <v>6.6028943869877371E-2</v>
      </c>
      <c r="V71" s="198">
        <f>AW41</f>
        <v>0.20499999999999963</v>
      </c>
      <c r="W71" s="199">
        <f>AW42</f>
        <v>0.10046321288340884</v>
      </c>
      <c r="AU71" s="9" t="s">
        <v>398</v>
      </c>
      <c r="AV71" s="12" t="s">
        <v>319</v>
      </c>
      <c r="AW71" s="203">
        <v>1</v>
      </c>
    </row>
    <row r="72" spans="1:56" ht="12" customHeight="1">
      <c r="A72" s="48">
        <v>15</v>
      </c>
      <c r="B72" s="12">
        <f>AY16</f>
        <v>20.867777777777778</v>
      </c>
      <c r="C72" s="50">
        <f>AY17</f>
        <v>0.54230930539319488</v>
      </c>
      <c r="D72" s="12">
        <f>AY28</f>
        <v>21.5975</v>
      </c>
      <c r="E72" s="50">
        <f>AY29</f>
        <v>0.49074196740387754</v>
      </c>
      <c r="F72" s="12">
        <f>AY41</f>
        <v>20.896250000000002</v>
      </c>
      <c r="G72" s="50">
        <f>AY42</f>
        <v>0.36521000563276684</v>
      </c>
      <c r="H72" s="62">
        <f>BA16</f>
        <v>2.476666666666667</v>
      </c>
      <c r="I72" s="64">
        <f>BA17</f>
        <v>0.60383266629827936</v>
      </c>
      <c r="J72" s="62">
        <f>BA28</f>
        <v>3.0087499999999996</v>
      </c>
      <c r="K72" s="64">
        <f>BA29</f>
        <v>0.36376227274337886</v>
      </c>
      <c r="L72" s="62">
        <f>BA41</f>
        <v>2.5425</v>
      </c>
      <c r="M72" s="64">
        <f>BA42</f>
        <v>0.502936910272338</v>
      </c>
      <c r="Q72" s="20">
        <v>15</v>
      </c>
      <c r="R72" s="198">
        <f>AZ16</f>
        <v>0.29444444444444429</v>
      </c>
      <c r="S72" s="199">
        <f>AZ17</f>
        <v>9.7995338765438575E-2</v>
      </c>
      <c r="T72" s="198">
        <f>AZ28</f>
        <v>0.31000000000000005</v>
      </c>
      <c r="U72" s="199">
        <f>AZ29</f>
        <v>9.1573545774499193E-2</v>
      </c>
      <c r="V72" s="198">
        <f>AZ41</f>
        <v>0.35374999999999979</v>
      </c>
      <c r="W72" s="199">
        <f>AZ42</f>
        <v>0.1191328415197566</v>
      </c>
      <c r="AU72" s="9" t="s">
        <v>400</v>
      </c>
      <c r="AV72" s="12" t="s">
        <v>319</v>
      </c>
      <c r="AW72" s="203">
        <v>3</v>
      </c>
    </row>
    <row r="73" spans="1:56" ht="12" customHeight="1">
      <c r="A73" s="48">
        <v>16</v>
      </c>
      <c r="B73" s="49">
        <f>BB16</f>
        <v>21.052222222222223</v>
      </c>
      <c r="C73" s="50">
        <f>BB17</f>
        <v>0.53756337553450306</v>
      </c>
      <c r="D73" s="12">
        <f>BB28</f>
        <v>21.811249999999998</v>
      </c>
      <c r="E73" s="50">
        <f>BB29</f>
        <v>0.5266655129206772</v>
      </c>
      <c r="F73" s="12">
        <f>BB41</f>
        <v>21.07</v>
      </c>
      <c r="G73" s="50">
        <f>BB42</f>
        <v>0.40655785039067405</v>
      </c>
      <c r="H73" s="62">
        <f>BD16</f>
        <v>2.6611111111111114</v>
      </c>
      <c r="I73" s="64">
        <f>BD17</f>
        <v>0.60072050360944906</v>
      </c>
      <c r="J73" s="62">
        <f>BD28</f>
        <v>3.2224999999999993</v>
      </c>
      <c r="K73" s="64">
        <f>BD29</f>
        <v>0.35681002348188384</v>
      </c>
      <c r="L73" s="62">
        <f>BD41</f>
        <v>2.7162500000000001</v>
      </c>
      <c r="M73" s="64">
        <f>BD42</f>
        <v>0.53432847541831197</v>
      </c>
      <c r="Q73" s="20">
        <v>16</v>
      </c>
      <c r="R73" s="198">
        <f>BC16</f>
        <v>0.18444444444444447</v>
      </c>
      <c r="S73" s="199">
        <f>BC17</f>
        <v>3.7605817779489882E-2</v>
      </c>
      <c r="T73" s="198">
        <f>BC28</f>
        <v>0.21374999999999966</v>
      </c>
      <c r="U73" s="199">
        <f>BC29</f>
        <v>7.4903211355913185E-2</v>
      </c>
      <c r="V73" s="198">
        <f>BC41</f>
        <v>0.17375000000000007</v>
      </c>
      <c r="W73" s="199">
        <f>BC42</f>
        <v>4.3627379181950907E-2</v>
      </c>
      <c r="AU73" s="16" t="s">
        <v>41</v>
      </c>
      <c r="AV73" s="3"/>
      <c r="AW73" s="207">
        <f>AVERAGE(AW65:AW72)</f>
        <v>8.5</v>
      </c>
    </row>
    <row r="74" spans="1:56" ht="12" customHeight="1">
      <c r="A74" s="48">
        <v>17</v>
      </c>
      <c r="B74" s="49">
        <f>BE16</f>
        <v>21.031111111111109</v>
      </c>
      <c r="C74" s="50">
        <f>BE17</f>
        <v>0.55483592280472249</v>
      </c>
      <c r="D74" s="12">
        <f>BE28</f>
        <v>21.837500000000002</v>
      </c>
      <c r="E74" s="50">
        <f>BE29</f>
        <v>0.54218720409625532</v>
      </c>
      <c r="F74" s="12">
        <f>BE41</f>
        <v>21.223749999999999</v>
      </c>
      <c r="G74" s="50">
        <f>BE42</f>
        <v>0.35979129615057998</v>
      </c>
      <c r="H74" s="62">
        <f>BG16</f>
        <v>2.6400000000000006</v>
      </c>
      <c r="I74" s="64">
        <f>BG17</f>
        <v>0.59130270495651305</v>
      </c>
      <c r="J74" s="12">
        <f>BG28</f>
        <v>3.2487499999999998</v>
      </c>
      <c r="K74" s="50">
        <f>BG29</f>
        <v>0.39336659337787455</v>
      </c>
      <c r="L74" s="12">
        <f>BG41</f>
        <v>2.87</v>
      </c>
      <c r="M74" s="50">
        <f>BG42</f>
        <v>0.48044250436446645</v>
      </c>
      <c r="N74" s="60"/>
      <c r="O74" s="60"/>
      <c r="P74" s="60"/>
      <c r="Q74" s="20">
        <v>17</v>
      </c>
      <c r="R74" s="51">
        <f>BF16</f>
        <v>-2.1111111111110858E-2</v>
      </c>
      <c r="S74" s="50">
        <f>BF17</f>
        <v>7.2292700654362566E-2</v>
      </c>
      <c r="T74" s="51">
        <f>BF28</f>
        <v>2.6250000000000551E-2</v>
      </c>
      <c r="U74" s="50">
        <f>BF29</f>
        <v>6.9280421373677681E-2</v>
      </c>
      <c r="V74" s="51">
        <f>BF41</f>
        <v>0.15375000000000005</v>
      </c>
      <c r="W74" s="50">
        <f>BF42</f>
        <v>0.10893867049203161</v>
      </c>
      <c r="AU74" s="16" t="s">
        <v>45</v>
      </c>
      <c r="AV74" s="3"/>
      <c r="AW74" s="207">
        <f>STDEV(AW65:AW72)/(SQRT(COUNT(AW65:AW72)))</f>
        <v>2.4928469095164498</v>
      </c>
    </row>
    <row r="75" spans="1:56" ht="12" customHeight="1">
      <c r="A75" s="48">
        <v>18</v>
      </c>
      <c r="B75" s="49">
        <f>BH16</f>
        <v>21.281111111111112</v>
      </c>
      <c r="C75" s="50">
        <f>BH17</f>
        <v>0.50371520956357785</v>
      </c>
      <c r="D75" s="12">
        <f>BH28</f>
        <v>21.9725</v>
      </c>
      <c r="E75" s="50">
        <f>BH29</f>
        <v>0.54369026765508432</v>
      </c>
      <c r="F75" s="12">
        <f>BH41</f>
        <v>21.504999999999995</v>
      </c>
      <c r="G75" s="50">
        <f>BH42</f>
        <v>0.48912823325936583</v>
      </c>
      <c r="H75" s="62">
        <f>BJ16</f>
        <v>2.8900000000000006</v>
      </c>
      <c r="I75" s="64">
        <f>BJ17</f>
        <v>0.59841689295822675</v>
      </c>
      <c r="J75" s="12">
        <f>BJ28</f>
        <v>3.3837499999999991</v>
      </c>
      <c r="K75" s="50">
        <f>BJ29</f>
        <v>0.31876960724008802</v>
      </c>
      <c r="L75" s="12">
        <f>BJ41</f>
        <v>3.1512499999999997</v>
      </c>
      <c r="M75" s="50">
        <f>BJ42</f>
        <v>0.57782670876063069</v>
      </c>
      <c r="N75" s="60"/>
      <c r="O75" s="60"/>
      <c r="P75" s="60"/>
      <c r="Q75" s="20">
        <v>18</v>
      </c>
      <c r="R75" s="51">
        <f>BI16</f>
        <v>0.25</v>
      </c>
      <c r="S75" s="50">
        <f>BI17</f>
        <v>0.12834415538785626</v>
      </c>
      <c r="T75" s="51">
        <f>BI28</f>
        <v>0.13499999999999934</v>
      </c>
      <c r="U75" s="50">
        <f>BI29</f>
        <v>0.16700085542980247</v>
      </c>
      <c r="V75" s="51">
        <f>BI41</f>
        <v>0.28124999999999956</v>
      </c>
      <c r="W75" s="50">
        <f>BI42</f>
        <v>0.23871259991282989</v>
      </c>
      <c r="AU75" s="9" t="s">
        <v>300</v>
      </c>
      <c r="AW75" s="203">
        <f>(100/AW62)*AW73</f>
        <v>180.30303030303028</v>
      </c>
    </row>
    <row r="76" spans="1:56" ht="12" customHeight="1">
      <c r="A76" s="48">
        <v>19</v>
      </c>
      <c r="B76" s="12">
        <f>BK16</f>
        <v>21.28222222222222</v>
      </c>
      <c r="C76" s="50">
        <f>BK17</f>
        <v>0.57606128574854909</v>
      </c>
      <c r="D76" s="12">
        <f>BK28</f>
        <v>21.86375</v>
      </c>
      <c r="E76" s="50">
        <f>BK29</f>
        <v>0.50367555281152987</v>
      </c>
      <c r="F76" s="12">
        <f>BK41</f>
        <v>21.548749999999998</v>
      </c>
      <c r="G76" s="50">
        <f>BK42</f>
        <v>0.34225323487983883</v>
      </c>
      <c r="H76" s="62">
        <f>BM16</f>
        <v>2.8911111111111119</v>
      </c>
      <c r="I76" s="64">
        <f>BM17</f>
        <v>0.65073130750556452</v>
      </c>
      <c r="J76" s="12">
        <f>BM28</f>
        <v>3.274999999999999</v>
      </c>
      <c r="K76" s="50">
        <f>BM29</f>
        <v>0.33459463747730811</v>
      </c>
      <c r="L76" s="12">
        <f>BM41</f>
        <v>3.1950000000000003</v>
      </c>
      <c r="M76" s="50">
        <f>BM42</f>
        <v>0.4649846387631687</v>
      </c>
      <c r="N76" s="60"/>
      <c r="O76" s="60"/>
      <c r="P76" s="60"/>
      <c r="Q76" s="20">
        <v>19</v>
      </c>
      <c r="R76" s="51">
        <f>BL16</f>
        <v>1.1111111111112848E-3</v>
      </c>
      <c r="S76" s="50">
        <f>BL17</f>
        <v>0.1030297212302842</v>
      </c>
      <c r="T76" s="51">
        <f>BL28</f>
        <v>-0.10875000000000012</v>
      </c>
      <c r="U76" s="50">
        <f>BL29</f>
        <v>9.1757395575818024E-2</v>
      </c>
      <c r="V76" s="51">
        <f>BL41</f>
        <v>4.3750000000000622E-2</v>
      </c>
      <c r="W76" s="50">
        <f>BL42</f>
        <v>0.2640544958634759</v>
      </c>
      <c r="AU76" s="248" t="s">
        <v>134</v>
      </c>
      <c r="AV76" s="249"/>
      <c r="AW76" s="250">
        <f>TTEST(AW55:AW61, AW65:AW72, 1,3)</f>
        <v>9.0012217939738709E-2</v>
      </c>
    </row>
    <row r="77" spans="1:56" ht="12" customHeight="1">
      <c r="A77" s="48">
        <v>20</v>
      </c>
      <c r="B77" s="12">
        <f>BN16</f>
        <v>21.512222222222221</v>
      </c>
      <c r="C77" s="50">
        <f>BM17</f>
        <v>0.65073130750556452</v>
      </c>
      <c r="D77" s="12">
        <f>BN28</f>
        <v>22.043749999999999</v>
      </c>
      <c r="E77" s="50">
        <f>BN29</f>
        <v>0.59528785803892503</v>
      </c>
      <c r="F77" s="12">
        <f>BN41</f>
        <v>21.754999999999999</v>
      </c>
      <c r="G77" s="50">
        <f>BN42</f>
        <v>0.37792667467191499</v>
      </c>
      <c r="H77" s="62">
        <f>BP16</f>
        <v>3.1211111111111114</v>
      </c>
      <c r="I77" s="64">
        <f>BP17</f>
        <v>0.74425474365756683</v>
      </c>
      <c r="J77" s="12">
        <f>BP28</f>
        <v>3.4549999999999996</v>
      </c>
      <c r="K77" s="50">
        <f>BP29</f>
        <v>0.3931511886575661</v>
      </c>
      <c r="L77" s="12">
        <f>BP41</f>
        <v>3.4012500000000006</v>
      </c>
      <c r="M77" s="50">
        <f>BP42</f>
        <v>0.5546216132901528</v>
      </c>
      <c r="N77" s="60"/>
      <c r="O77" s="60"/>
      <c r="P77" s="60"/>
      <c r="Q77" s="20">
        <v>20</v>
      </c>
      <c r="R77" s="51">
        <f>BO16</f>
        <v>0.22999999999999965</v>
      </c>
      <c r="S77" s="50">
        <f>BO17</f>
        <v>0.15822803516163325</v>
      </c>
      <c r="T77" s="51">
        <f>BO28</f>
        <v>0.1800000000000006</v>
      </c>
      <c r="U77" s="50">
        <f>BO29</f>
        <v>0.13693063937629157</v>
      </c>
      <c r="V77" s="51">
        <f>BO41</f>
        <v>0.20625000000000027</v>
      </c>
      <c r="W77" s="50">
        <f>BO42</f>
        <v>0.12062245556161724</v>
      </c>
    </row>
    <row r="78" spans="1:56" ht="12" customHeight="1">
      <c r="A78" s="95">
        <v>21</v>
      </c>
      <c r="B78" s="35">
        <f>BQ16</f>
        <v>21.665555555555557</v>
      </c>
      <c r="C78" s="52">
        <f>BQ17</f>
        <v>0.61143526756293143</v>
      </c>
      <c r="D78" s="112">
        <f>BQ28</f>
        <v>22.04</v>
      </c>
      <c r="E78" s="52">
        <f>BQ29</f>
        <v>0.58896398143568296</v>
      </c>
      <c r="F78" s="112">
        <f>BQ41</f>
        <v>21.955000000000002</v>
      </c>
      <c r="G78" s="52">
        <f>BQ42</f>
        <v>0.42150241483802409</v>
      </c>
      <c r="H78" s="69">
        <f>BS16</f>
        <v>3.2744444444444447</v>
      </c>
      <c r="I78" s="70">
        <f>BS17</f>
        <v>0.73626329663735746</v>
      </c>
      <c r="J78" s="35">
        <f>BS28</f>
        <v>3.4512499999999986</v>
      </c>
      <c r="K78" s="52">
        <f>BS29</f>
        <v>0.37259915986025993</v>
      </c>
      <c r="L78" s="35">
        <f>BS41</f>
        <v>3.6012499999999998</v>
      </c>
      <c r="M78" s="52">
        <f>BS42</f>
        <v>0.51301433250655171</v>
      </c>
      <c r="N78" s="60"/>
      <c r="O78" s="60"/>
      <c r="P78" s="60"/>
      <c r="Q78" s="96">
        <v>21</v>
      </c>
      <c r="R78" s="54">
        <f>BR16</f>
        <v>0.15333333333333321</v>
      </c>
      <c r="S78" s="52">
        <f>BR17</f>
        <v>8.1189079725457317E-2</v>
      </c>
      <c r="T78" s="54">
        <f>BR28</f>
        <v>-3.7500000000010303E-3</v>
      </c>
      <c r="U78" s="52">
        <f>BR29</f>
        <v>6.742555418491461E-2</v>
      </c>
      <c r="V78" s="54">
        <f>BR41</f>
        <v>0.19999999999999929</v>
      </c>
      <c r="W78" s="52">
        <f>BR42</f>
        <v>0.15671858308992706</v>
      </c>
    </row>
    <row r="79" spans="1:56" ht="12" customHeight="1">
      <c r="A79" s="3"/>
      <c r="D79" s="62"/>
      <c r="E79" s="62"/>
      <c r="F79" s="62"/>
      <c r="G79" s="62"/>
      <c r="J79" s="60"/>
      <c r="K79" s="60"/>
      <c r="L79" s="60"/>
    </row>
    <row r="80" spans="1:56" ht="12" customHeight="1">
      <c r="A80" s="3"/>
      <c r="D80" s="60"/>
      <c r="E80" s="60"/>
      <c r="F80" s="60"/>
      <c r="H80" s="60"/>
      <c r="I80" s="60"/>
      <c r="J80" s="60"/>
      <c r="K80" s="60"/>
      <c r="L80" s="60"/>
    </row>
    <row r="81" spans="1:38" ht="12" customHeight="1">
      <c r="A81" s="60"/>
      <c r="D81" s="60"/>
      <c r="E81" s="60"/>
      <c r="F81" s="60"/>
      <c r="G81" s="60"/>
      <c r="H81" s="60"/>
      <c r="I81" s="60"/>
      <c r="J81" s="60"/>
      <c r="K81" s="60"/>
      <c r="L81" s="60"/>
    </row>
    <row r="82" spans="1:38" ht="12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</row>
    <row r="83" spans="1:38" ht="12" customHeight="1">
      <c r="A83" s="3"/>
      <c r="B83" s="60"/>
      <c r="C83" s="60"/>
      <c r="D83" s="60"/>
      <c r="E83" s="60"/>
      <c r="F83" s="60"/>
      <c r="H83" s="60"/>
      <c r="I83" s="60"/>
      <c r="J83" s="60"/>
      <c r="K83" s="60"/>
    </row>
    <row r="84" spans="1:38" ht="12" customHeight="1">
      <c r="A84" s="3"/>
      <c r="B84" s="60"/>
      <c r="C84" s="60"/>
      <c r="D84" s="60"/>
      <c r="E84" s="60"/>
      <c r="F84" s="60"/>
      <c r="H84" s="60"/>
      <c r="I84" s="60"/>
      <c r="J84" s="60"/>
      <c r="K84" s="60"/>
    </row>
    <row r="85" spans="1:38" ht="12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spans="1:38" ht="12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spans="1:38" ht="12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1:38" ht="12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spans="1:38" ht="12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spans="1:38" ht="12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spans="1:38" ht="12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spans="1:38" ht="12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1:38" ht="12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spans="1:38" ht="12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spans="1:38" ht="12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spans="1:38" s="60" customFormat="1" ht="12" customHeight="1">
      <c r="AJ96" s="12"/>
      <c r="AK96" s="12"/>
      <c r="AL96" s="12"/>
    </row>
    <row r="97" spans="1:38" s="60" customFormat="1" ht="12" customHeight="1">
      <c r="B97" s="31"/>
      <c r="AJ97" s="12"/>
      <c r="AK97" s="12"/>
      <c r="AL97" s="12"/>
    </row>
    <row r="98" spans="1:38" s="60" customFormat="1" ht="12" customHeight="1">
      <c r="AJ98" s="12"/>
      <c r="AK98" s="12"/>
      <c r="AL98" s="12"/>
    </row>
    <row r="99" spans="1:38" s="60" customFormat="1" ht="12" customHeight="1"/>
    <row r="100" spans="1:38" s="60" customFormat="1" ht="12" customHeight="1"/>
    <row r="101" spans="1:38" ht="12" customHeight="1">
      <c r="A101" s="60"/>
      <c r="B101" s="60"/>
      <c r="C101" s="60"/>
      <c r="D101" s="60"/>
      <c r="E101" s="60"/>
      <c r="F101" s="60"/>
      <c r="G101" s="60"/>
      <c r="H101" s="60"/>
      <c r="I101" s="60"/>
      <c r="AJ101" s="60"/>
      <c r="AK101" s="60"/>
      <c r="AL101" s="60"/>
    </row>
    <row r="102" spans="1:38" ht="12" customHeight="1">
      <c r="A102" s="60"/>
      <c r="B102" s="60"/>
      <c r="C102" s="60"/>
      <c r="D102" s="60"/>
      <c r="E102" s="60"/>
      <c r="F102" s="60"/>
      <c r="G102" s="60"/>
      <c r="H102" s="60"/>
      <c r="I102" s="60"/>
      <c r="AJ102" s="60"/>
      <c r="AK102" s="60"/>
      <c r="AL102" s="60"/>
    </row>
    <row r="103" spans="1:38" ht="12" customHeight="1">
      <c r="A103" s="60"/>
      <c r="B103" s="60"/>
      <c r="C103" s="60"/>
      <c r="D103" s="60"/>
      <c r="E103" s="60"/>
      <c r="F103" s="60"/>
      <c r="G103" s="60"/>
      <c r="H103" s="60"/>
      <c r="I103" s="60"/>
      <c r="AJ103" s="60"/>
      <c r="AK103" s="60"/>
      <c r="AL103" s="60"/>
    </row>
    <row r="104" spans="1:38" ht="12" customHeight="1">
      <c r="A104" s="60"/>
      <c r="B104" s="60"/>
      <c r="C104" s="60"/>
      <c r="D104" s="60"/>
      <c r="E104" s="60"/>
      <c r="F104" s="60"/>
      <c r="G104" s="60"/>
      <c r="H104" s="60"/>
      <c r="I104" s="60"/>
    </row>
    <row r="105" spans="1:38" ht="12" customHeight="1">
      <c r="A105" s="60"/>
      <c r="B105" s="60"/>
      <c r="C105" s="60"/>
      <c r="D105" s="60"/>
      <c r="E105" s="60"/>
      <c r="F105" s="60"/>
      <c r="G105" s="60"/>
      <c r="H105" s="60"/>
      <c r="I105" s="60"/>
    </row>
  </sheetData>
  <mergeCells count="1">
    <mergeCell ref="A44:B44"/>
  </mergeCells>
  <phoneticPr fontId="10" type="noConversion"/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f
Effect of Meal Feeding and Grazing on food selection (Male SD Rats)
(Anish Kundu FYP)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1F4-E152-4A47-B4BE-572DB18DF92B}">
  <dimension ref="A1:ED117"/>
  <sheetViews>
    <sheetView tabSelected="1" topLeftCell="A19" zoomScaleNormal="100" workbookViewId="0">
      <pane xSplit="1" topLeftCell="B91" activePane="topRight" state="frozen"/>
      <selection pane="topRight" activeCell="J95" sqref="J95"/>
      <selection activeCell="A27" sqref="A27"/>
    </sheetView>
  </sheetViews>
  <sheetFormatPr defaultColWidth="9.5" defaultRowHeight="12.75"/>
  <cols>
    <col min="1" max="1" width="9.5" style="77" customWidth="1"/>
    <col min="2" max="2" width="13.625" style="77" customWidth="1"/>
    <col min="3" max="9" width="9.5" style="77" customWidth="1"/>
    <col min="10" max="10" width="9.5" style="166" customWidth="1"/>
    <col min="11" max="14" width="9.5" style="77" customWidth="1"/>
    <col min="15" max="16" width="9.5" style="166" customWidth="1"/>
    <col min="17" max="20" width="9.5" style="77" customWidth="1"/>
    <col min="21" max="22" width="9.5" style="166" customWidth="1"/>
    <col min="23" max="79" width="9.5" style="77" customWidth="1"/>
    <col min="80" max="80" width="9.625" style="77" bestFit="1" customWidth="1"/>
    <col min="81" max="84" width="9.5" style="77"/>
    <col min="85" max="86" width="9.625" style="77" bestFit="1" customWidth="1"/>
    <col min="87" max="90" width="9.5" style="77"/>
    <col min="91" max="92" width="9.625" style="77" bestFit="1" customWidth="1"/>
    <col min="93" max="96" width="9.5" style="77"/>
    <col min="97" max="98" width="9.625" style="77" bestFit="1" customWidth="1"/>
    <col min="99" max="102" width="9.5" style="77"/>
    <col min="103" max="103" width="9.625" style="77" bestFit="1" customWidth="1"/>
    <col min="104" max="108" width="9.5" style="77"/>
    <col min="109" max="110" width="9.625" style="77" bestFit="1" customWidth="1"/>
    <col min="111" max="115" width="9.5" style="77"/>
    <col min="116" max="116" width="9.625" style="77" bestFit="1" customWidth="1"/>
    <col min="117" max="121" width="9.5" style="77"/>
    <col min="122" max="122" width="9.625" style="77" bestFit="1" customWidth="1"/>
    <col min="123" max="16384" width="9.5" style="77"/>
  </cols>
  <sheetData>
    <row r="1" spans="1:132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3"/>
      <c r="I1" s="77" t="s">
        <v>416</v>
      </c>
      <c r="K1" s="77" t="s">
        <v>417</v>
      </c>
      <c r="M1" s="77" t="s">
        <v>418</v>
      </c>
      <c r="N1" s="77" t="s">
        <v>419</v>
      </c>
      <c r="Q1" s="77" t="s">
        <v>420</v>
      </c>
      <c r="R1" s="77">
        <v>239.00573600000001</v>
      </c>
      <c r="T1" s="77">
        <f>(15.21*R1)/1000</f>
        <v>3.6352772445600001</v>
      </c>
      <c r="W1" s="77" t="s">
        <v>421</v>
      </c>
    </row>
    <row r="2" spans="1:132">
      <c r="A2" s="3"/>
      <c r="B2" s="3"/>
      <c r="C2" s="3"/>
      <c r="D2" s="3"/>
      <c r="E2" s="3"/>
      <c r="F2" s="3"/>
      <c r="G2" s="3" t="s">
        <v>422</v>
      </c>
      <c r="R2" s="78"/>
      <c r="X2" s="78"/>
      <c r="AD2" s="78"/>
      <c r="AK2" s="385"/>
      <c r="DS2" s="385"/>
    </row>
    <row r="3" spans="1:132">
      <c r="A3" s="4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7" t="s">
        <v>195</v>
      </c>
      <c r="H3" s="5" t="s">
        <v>423</v>
      </c>
      <c r="I3" s="5" t="s">
        <v>424</v>
      </c>
      <c r="J3" s="167" t="s">
        <v>425</v>
      </c>
      <c r="K3" s="7" t="s">
        <v>426</v>
      </c>
      <c r="L3" s="5" t="s">
        <v>427</v>
      </c>
      <c r="M3" s="5" t="s">
        <v>428</v>
      </c>
      <c r="N3" s="8" t="s">
        <v>429</v>
      </c>
      <c r="O3" s="167" t="s">
        <v>430</v>
      </c>
      <c r="P3" s="167" t="s">
        <v>431</v>
      </c>
      <c r="Q3" s="7" t="s">
        <v>432</v>
      </c>
      <c r="R3" s="5" t="s">
        <v>433</v>
      </c>
      <c r="S3" s="5" t="s">
        <v>434</v>
      </c>
      <c r="T3" s="8" t="s">
        <v>435</v>
      </c>
      <c r="U3" s="167" t="s">
        <v>436</v>
      </c>
      <c r="V3" s="167" t="s">
        <v>437</v>
      </c>
      <c r="W3" s="7" t="s">
        <v>438</v>
      </c>
      <c r="X3" s="5" t="s">
        <v>439</v>
      </c>
      <c r="Y3" s="5" t="s">
        <v>440</v>
      </c>
      <c r="Z3" s="8" t="s">
        <v>441</v>
      </c>
      <c r="AA3" s="167" t="s">
        <v>442</v>
      </c>
      <c r="AB3" s="167" t="s">
        <v>443</v>
      </c>
      <c r="AC3" s="7" t="s">
        <v>444</v>
      </c>
      <c r="AD3" s="5" t="s">
        <v>445</v>
      </c>
      <c r="AE3" s="5" t="s">
        <v>446</v>
      </c>
      <c r="AF3" s="8" t="s">
        <v>447</v>
      </c>
      <c r="AG3" s="167" t="s">
        <v>448</v>
      </c>
      <c r="AH3" s="167" t="s">
        <v>449</v>
      </c>
      <c r="AI3" s="7" t="s">
        <v>450</v>
      </c>
      <c r="AJ3" s="5" t="s">
        <v>451</v>
      </c>
      <c r="AK3" s="5" t="s">
        <v>452</v>
      </c>
      <c r="AL3" s="8" t="s">
        <v>453</v>
      </c>
      <c r="AM3" s="167" t="s">
        <v>454</v>
      </c>
      <c r="AN3" s="167" t="s">
        <v>455</v>
      </c>
      <c r="AO3" s="7" t="s">
        <v>456</v>
      </c>
      <c r="AP3" s="5" t="s">
        <v>457</v>
      </c>
      <c r="AQ3" s="5" t="s">
        <v>458</v>
      </c>
      <c r="AR3" s="8" t="s">
        <v>459</v>
      </c>
      <c r="AS3" s="167" t="s">
        <v>460</v>
      </c>
      <c r="AT3" s="167" t="s">
        <v>461</v>
      </c>
      <c r="AU3" s="7" t="s">
        <v>462</v>
      </c>
      <c r="AV3" s="4" t="s">
        <v>463</v>
      </c>
      <c r="AW3" s="5" t="s">
        <v>464</v>
      </c>
      <c r="AX3" s="8" t="s">
        <v>465</v>
      </c>
      <c r="AY3" s="167" t="s">
        <v>466</v>
      </c>
      <c r="AZ3" s="167" t="s">
        <v>467</v>
      </c>
      <c r="BA3" s="7" t="s">
        <v>468</v>
      </c>
      <c r="BB3" s="5" t="s">
        <v>469</v>
      </c>
      <c r="BC3" s="5" t="s">
        <v>470</v>
      </c>
      <c r="BD3" s="8" t="s">
        <v>471</v>
      </c>
      <c r="BE3" s="167" t="s">
        <v>472</v>
      </c>
      <c r="BF3" s="167" t="s">
        <v>473</v>
      </c>
      <c r="BG3" s="7" t="s">
        <v>474</v>
      </c>
      <c r="BH3" s="5" t="s">
        <v>475</v>
      </c>
      <c r="BI3" s="5" t="s">
        <v>476</v>
      </c>
      <c r="BJ3" s="8" t="s">
        <v>477</v>
      </c>
      <c r="BK3" s="167" t="s">
        <v>478</v>
      </c>
      <c r="BL3" s="167" t="s">
        <v>479</v>
      </c>
      <c r="BM3" s="7" t="s">
        <v>480</v>
      </c>
      <c r="BN3" s="5" t="s">
        <v>481</v>
      </c>
      <c r="BO3" s="5" t="s">
        <v>482</v>
      </c>
      <c r="BP3" s="8" t="s">
        <v>483</v>
      </c>
      <c r="BQ3" s="167" t="s">
        <v>484</v>
      </c>
      <c r="BR3" s="167" t="s">
        <v>485</v>
      </c>
      <c r="BS3" s="7" t="s">
        <v>486</v>
      </c>
      <c r="BT3" s="5" t="s">
        <v>487</v>
      </c>
      <c r="BU3" s="5" t="s">
        <v>488</v>
      </c>
      <c r="BV3" s="8" t="s">
        <v>489</v>
      </c>
      <c r="BW3" s="167" t="s">
        <v>490</v>
      </c>
      <c r="BX3" s="167" t="s">
        <v>491</v>
      </c>
      <c r="BY3" s="7" t="s">
        <v>492</v>
      </c>
      <c r="BZ3" s="5" t="s">
        <v>493</v>
      </c>
      <c r="CA3" s="5" t="s">
        <v>494</v>
      </c>
      <c r="CB3" s="176" t="s">
        <v>495</v>
      </c>
      <c r="CC3" s="176" t="s">
        <v>496</v>
      </c>
      <c r="CD3" s="8" t="s">
        <v>497</v>
      </c>
      <c r="CE3" s="167" t="s">
        <v>498</v>
      </c>
      <c r="CF3" s="167" t="s">
        <v>499</v>
      </c>
      <c r="CG3" s="7" t="s">
        <v>500</v>
      </c>
      <c r="CH3" s="5" t="s">
        <v>501</v>
      </c>
      <c r="CI3" s="5" t="s">
        <v>502</v>
      </c>
      <c r="CJ3" s="8" t="s">
        <v>503</v>
      </c>
      <c r="CK3" s="167" t="s">
        <v>504</v>
      </c>
      <c r="CL3" s="167" t="s">
        <v>505</v>
      </c>
      <c r="CM3" s="7" t="s">
        <v>506</v>
      </c>
      <c r="CN3" s="4" t="s">
        <v>507</v>
      </c>
      <c r="CO3" s="5" t="s">
        <v>508</v>
      </c>
      <c r="CP3" s="8" t="s">
        <v>509</v>
      </c>
      <c r="CQ3" s="167" t="s">
        <v>510</v>
      </c>
      <c r="CR3" s="167" t="s">
        <v>511</v>
      </c>
      <c r="CS3" s="7" t="s">
        <v>512</v>
      </c>
      <c r="CT3" s="5" t="s">
        <v>513</v>
      </c>
      <c r="CU3" s="5" t="s">
        <v>514</v>
      </c>
      <c r="CV3" s="8" t="s">
        <v>515</v>
      </c>
      <c r="CW3" s="167" t="s">
        <v>516</v>
      </c>
      <c r="CX3" s="167" t="s">
        <v>517</v>
      </c>
      <c r="CY3" s="7" t="s">
        <v>518</v>
      </c>
      <c r="CZ3" s="5" t="s">
        <v>519</v>
      </c>
      <c r="DA3" s="5" t="s">
        <v>520</v>
      </c>
      <c r="DB3" s="8" t="s">
        <v>521</v>
      </c>
      <c r="DC3" s="167" t="s">
        <v>522</v>
      </c>
      <c r="DD3" s="167" t="s">
        <v>523</v>
      </c>
      <c r="DE3" s="7" t="s">
        <v>524</v>
      </c>
      <c r="DF3" s="5" t="s">
        <v>525</v>
      </c>
      <c r="DG3" s="5" t="s">
        <v>526</v>
      </c>
      <c r="DH3" s="8" t="s">
        <v>527</v>
      </c>
      <c r="DI3" s="167" t="s">
        <v>528</v>
      </c>
      <c r="DJ3" s="167" t="s">
        <v>529</v>
      </c>
      <c r="DK3" s="7" t="s">
        <v>530</v>
      </c>
      <c r="DL3" s="5" t="s">
        <v>531</v>
      </c>
      <c r="DM3" s="5" t="s">
        <v>532</v>
      </c>
      <c r="DN3" s="53" t="s">
        <v>533</v>
      </c>
      <c r="DO3" s="167" t="s">
        <v>534</v>
      </c>
      <c r="DP3" s="167" t="s">
        <v>535</v>
      </c>
      <c r="DQ3" s="7" t="s">
        <v>536</v>
      </c>
      <c r="DR3" s="5" t="s">
        <v>537</v>
      </c>
      <c r="DS3" s="5" t="s">
        <v>538</v>
      </c>
      <c r="DT3" s="53" t="s">
        <v>539</v>
      </c>
      <c r="DU3" s="167" t="s">
        <v>540</v>
      </c>
      <c r="DV3" s="167" t="s">
        <v>541</v>
      </c>
      <c r="DW3" s="7" t="s">
        <v>536</v>
      </c>
      <c r="DX3" s="5" t="s">
        <v>542</v>
      </c>
      <c r="DY3" s="5" t="s">
        <v>543</v>
      </c>
      <c r="DZ3" s="53" t="s">
        <v>544</v>
      </c>
      <c r="EA3" s="225" t="s">
        <v>545</v>
      </c>
      <c r="EB3" s="402" t="s">
        <v>546</v>
      </c>
    </row>
    <row r="4" spans="1:132" ht="12" customHeight="1">
      <c r="A4" s="131" t="s">
        <v>260</v>
      </c>
      <c r="B4" s="116" t="s">
        <v>261</v>
      </c>
      <c r="C4" s="142">
        <v>42548</v>
      </c>
      <c r="D4" s="12" t="s">
        <v>26</v>
      </c>
      <c r="E4" s="10" t="s">
        <v>262</v>
      </c>
      <c r="F4" s="11">
        <v>42587</v>
      </c>
      <c r="G4" s="15">
        <v>109.77</v>
      </c>
      <c r="H4" s="10">
        <v>105.76</v>
      </c>
      <c r="I4" s="10">
        <f>G4-H4</f>
        <v>4.0099999999999909</v>
      </c>
      <c r="J4" s="168">
        <f>I4*T$1</f>
        <v>14.577461750685567</v>
      </c>
      <c r="K4" s="15">
        <v>108.26</v>
      </c>
      <c r="L4" s="10">
        <v>104</v>
      </c>
      <c r="M4" s="10">
        <f>K4-L4</f>
        <v>4.2600000000000051</v>
      </c>
      <c r="N4" s="10">
        <f t="shared" ref="N4:N7" si="0">I4+M4</f>
        <v>8.269999999999996</v>
      </c>
      <c r="O4" s="168">
        <f>M4*T$1</f>
        <v>15.486281061825618</v>
      </c>
      <c r="P4" s="168">
        <f>J4+O4</f>
        <v>30.063742812511187</v>
      </c>
      <c r="Q4" s="15">
        <v>106.94</v>
      </c>
      <c r="R4" s="150">
        <v>103.62</v>
      </c>
      <c r="S4" s="10">
        <f>Q4-R4</f>
        <v>3.3199999999999932</v>
      </c>
      <c r="T4" s="10">
        <f>N4+S4</f>
        <v>11.589999999999989</v>
      </c>
      <c r="U4" s="168">
        <f>S4*T$1</f>
        <v>12.069120451939176</v>
      </c>
      <c r="V4" s="168">
        <f>P4+U4</f>
        <v>42.132863264450364</v>
      </c>
      <c r="W4" s="15">
        <v>105.05</v>
      </c>
      <c r="X4" s="10">
        <v>101.42</v>
      </c>
      <c r="Y4" s="10">
        <f t="shared" ref="Y4:Y8" si="1">W4-X4</f>
        <v>3.6299999999999955</v>
      </c>
      <c r="Z4" s="10">
        <f t="shared" ref="Z4:Z8" si="2">T4+Y4</f>
        <v>15.219999999999985</v>
      </c>
      <c r="AA4" s="168">
        <f>Y4*$T$1</f>
        <v>13.196056397752784</v>
      </c>
      <c r="AB4" s="168">
        <f>V4+AA4</f>
        <v>55.328919662203148</v>
      </c>
      <c r="AC4" s="15">
        <v>101.75</v>
      </c>
      <c r="AD4" s="10">
        <v>97.89</v>
      </c>
      <c r="AE4" s="10">
        <f>AC4-AD4</f>
        <v>3.8599999999999994</v>
      </c>
      <c r="AF4" s="10">
        <f>Z4+AE4</f>
        <v>19.079999999999984</v>
      </c>
      <c r="AG4" s="168">
        <f t="shared" ref="AG4:AG8" si="3">AE4*$T$1</f>
        <v>14.032170164001599</v>
      </c>
      <c r="AH4" s="168">
        <f>AB4+AG4</f>
        <v>69.361089826204747</v>
      </c>
      <c r="AI4" s="15">
        <v>104.88</v>
      </c>
      <c r="AJ4" s="10">
        <v>99.45</v>
      </c>
      <c r="AK4" s="10">
        <f>AI4-AJ4</f>
        <v>5.4299999999999926</v>
      </c>
      <c r="AL4" s="10">
        <f>AF4+AK4</f>
        <v>24.509999999999977</v>
      </c>
      <c r="AM4" s="168">
        <f t="shared" ref="AM4:AM8" si="4">AK4*$T$1</f>
        <v>19.739555437960774</v>
      </c>
      <c r="AN4" s="168">
        <f>AH4+AM4</f>
        <v>89.100645264165522</v>
      </c>
      <c r="AO4" s="15">
        <v>103.9</v>
      </c>
      <c r="AP4" s="10">
        <v>97.62</v>
      </c>
      <c r="AQ4" s="10">
        <f>AO4-AP4</f>
        <v>6.2800000000000011</v>
      </c>
      <c r="AR4" s="10">
        <f>AL4+AQ4</f>
        <v>30.789999999999978</v>
      </c>
      <c r="AS4" s="168">
        <f t="shared" ref="AS4:AS8" si="5">AQ4*$T$1</f>
        <v>22.829541095836806</v>
      </c>
      <c r="AT4" s="168">
        <f>AN4+AS4</f>
        <v>111.93018636000232</v>
      </c>
      <c r="AU4" s="15">
        <v>108.03</v>
      </c>
      <c r="AV4" s="13">
        <v>104.3</v>
      </c>
      <c r="AW4" s="10">
        <f>AU4-AV4</f>
        <v>3.730000000000004</v>
      </c>
      <c r="AX4" s="10">
        <f>AR4+AW4</f>
        <v>34.519999999999982</v>
      </c>
      <c r="AY4" s="168">
        <f t="shared" ref="AY4:AY13" si="6">AW4*$T$1</f>
        <v>13.559584122208815</v>
      </c>
      <c r="AZ4" s="168">
        <f>AT4+AY4</f>
        <v>125.48977048221114</v>
      </c>
      <c r="BA4" s="15">
        <v>107.29</v>
      </c>
      <c r="BB4" s="10">
        <v>102.68</v>
      </c>
      <c r="BC4" s="10">
        <f>BA4-BB4</f>
        <v>4.6099999999999994</v>
      </c>
      <c r="BD4" s="10">
        <f>AX4+BC4</f>
        <v>39.129999999999981</v>
      </c>
      <c r="BE4" s="168">
        <f>BC4*$T$1</f>
        <v>16.7586280974216</v>
      </c>
      <c r="BF4" s="168">
        <f>AZ4+BE4</f>
        <v>142.24839857963275</v>
      </c>
      <c r="BG4" s="15">
        <v>108.63</v>
      </c>
      <c r="BH4" s="150">
        <v>105.12</v>
      </c>
      <c r="BI4" s="10">
        <f>BG4-BH4</f>
        <v>3.5099999999999909</v>
      </c>
      <c r="BJ4" s="10">
        <f>BD4+BI4</f>
        <v>42.639999999999972</v>
      </c>
      <c r="BK4" s="168">
        <f t="shared" ref="BK4:BK8" si="7">BI4*$T$1</f>
        <v>12.759823128405568</v>
      </c>
      <c r="BL4" s="168">
        <f>BF4+BK4</f>
        <v>155.00822170803832</v>
      </c>
      <c r="BM4" s="15">
        <v>108.19</v>
      </c>
      <c r="BN4" s="10">
        <v>101.97</v>
      </c>
      <c r="BO4" s="10">
        <f>BM4-BN4</f>
        <v>6.2199999999999989</v>
      </c>
      <c r="BP4" s="10">
        <f>BJ4+BO4</f>
        <v>48.859999999999971</v>
      </c>
      <c r="BQ4" s="168">
        <f>BO4*$T$1</f>
        <v>22.611424461163196</v>
      </c>
      <c r="BR4" s="168">
        <f>BL4+BQ4</f>
        <v>177.61964616920153</v>
      </c>
      <c r="BS4" s="15">
        <v>108.51</v>
      </c>
      <c r="BT4" s="10">
        <v>103.96</v>
      </c>
      <c r="BU4" s="10">
        <f t="shared" ref="BU4:BU8" si="8">BS4-BT4</f>
        <v>4.5500000000000114</v>
      </c>
      <c r="BV4" s="10">
        <f t="shared" ref="BV4:BV8" si="9">BP4+BU4</f>
        <v>53.409999999999982</v>
      </c>
      <c r="BW4" s="168">
        <f t="shared" ref="BW4:BW8" si="10">BU4*$T$1</f>
        <v>16.540511462748043</v>
      </c>
      <c r="BX4" s="168">
        <f>BR4+BW4</f>
        <v>194.16015763194957</v>
      </c>
      <c r="BY4" s="15">
        <v>111.48</v>
      </c>
      <c r="BZ4" s="10">
        <v>108.08</v>
      </c>
      <c r="CA4" s="10">
        <f t="shared" ref="CA4:CA13" si="11">BY4-BZ4</f>
        <v>3.4000000000000057</v>
      </c>
      <c r="CB4" s="172">
        <v>1.69</v>
      </c>
      <c r="CC4" s="172">
        <f>CA4+CB4</f>
        <v>5.0900000000000052</v>
      </c>
      <c r="CD4" s="10">
        <f>BV4+CC4</f>
        <v>58.499999999999986</v>
      </c>
      <c r="CE4" s="369">
        <f>(CA4*$T$1)+7.6296</f>
        <v>19.989542631504023</v>
      </c>
      <c r="CF4" s="168">
        <f t="shared" ref="CF4:CF8" si="12">BX4+CE4</f>
        <v>214.14970026345361</v>
      </c>
      <c r="CG4" s="15">
        <v>109.73</v>
      </c>
      <c r="CH4" s="10">
        <v>105.39</v>
      </c>
      <c r="CI4" s="10">
        <f t="shared" ref="CI4:CI8" si="13">CG4-CH4</f>
        <v>4.3400000000000034</v>
      </c>
      <c r="CJ4" s="10">
        <f t="shared" ref="CJ4:CJ8" si="14">CD4+CI4</f>
        <v>62.839999999999989</v>
      </c>
      <c r="CK4" s="168">
        <f t="shared" ref="CK4:CK8" si="15">CI4*$T$1</f>
        <v>15.777103241390414</v>
      </c>
      <c r="CL4" s="168">
        <f>CF4+CK4</f>
        <v>229.92680350484403</v>
      </c>
      <c r="CM4" s="15">
        <v>107.73</v>
      </c>
      <c r="CN4" s="13">
        <v>104.3</v>
      </c>
      <c r="CO4" s="10">
        <f t="shared" ref="CO4:CO8" si="16">CM4-CN4</f>
        <v>3.4300000000000068</v>
      </c>
      <c r="CP4" s="10">
        <f>CJ4+CO4</f>
        <v>66.27</v>
      </c>
      <c r="CQ4" s="168">
        <f t="shared" ref="CQ4:CQ8" si="17">CO4*$T$1</f>
        <v>12.469000948840826</v>
      </c>
      <c r="CR4" s="168">
        <f>CL4+CQ4</f>
        <v>242.39580445368486</v>
      </c>
      <c r="CS4" s="15">
        <v>108.26</v>
      </c>
      <c r="CT4" s="150">
        <v>105.37</v>
      </c>
      <c r="CU4" s="10">
        <f t="shared" ref="CU4:CU8" si="18">CS4-CT4</f>
        <v>2.8900000000000006</v>
      </c>
      <c r="CV4" s="10">
        <f t="shared" ref="CV4:CV8" si="19">CP4+CU4</f>
        <v>69.16</v>
      </c>
      <c r="CW4" s="168">
        <f t="shared" ref="CW4:CW8" si="20">CU4*$T$1</f>
        <v>10.505951236778403</v>
      </c>
      <c r="CX4" s="168">
        <f>CR4+CW4</f>
        <v>252.90175569046326</v>
      </c>
      <c r="CY4" s="15">
        <v>108.82</v>
      </c>
      <c r="CZ4" s="10">
        <v>104.69</v>
      </c>
      <c r="DA4" s="10">
        <f>CY4-CZ4</f>
        <v>4.1299999999999955</v>
      </c>
      <c r="DB4" s="10">
        <f>CV4+DA4</f>
        <v>73.289999999999992</v>
      </c>
      <c r="DC4" s="168">
        <f t="shared" ref="DC4:DC8" si="21">DA4*$T$1</f>
        <v>15.013695020032785</v>
      </c>
      <c r="DD4" s="168">
        <f>CX4+DC4</f>
        <v>267.91545071049603</v>
      </c>
      <c r="DE4" s="15">
        <v>105.37</v>
      </c>
      <c r="DF4" s="10">
        <v>101.68</v>
      </c>
      <c r="DG4" s="10">
        <f>DE4-DF4</f>
        <v>3.6899999999999977</v>
      </c>
      <c r="DH4" s="10">
        <f>DB4+DG4</f>
        <v>76.97999999999999</v>
      </c>
      <c r="DI4" s="168">
        <f t="shared" ref="DI4:DI8" si="22">DG4*$T$1</f>
        <v>13.414173032426392</v>
      </c>
      <c r="DJ4" s="168">
        <f>DD4+DI4</f>
        <v>281.32962374292242</v>
      </c>
      <c r="DK4" s="15">
        <v>102.49</v>
      </c>
      <c r="DL4" s="150">
        <v>98.25</v>
      </c>
      <c r="DM4" s="211">
        <f>(DK4-DL4)-0.1</f>
        <v>4.1399999999999952</v>
      </c>
      <c r="DN4" s="10">
        <f>DH4+DM4</f>
        <v>81.11999999999999</v>
      </c>
      <c r="DO4" s="168">
        <f>DM4*$T$1</f>
        <v>15.050047792478383</v>
      </c>
      <c r="DP4" s="168">
        <f>DJ4+DO4</f>
        <v>296.3796715354008</v>
      </c>
      <c r="DQ4" s="15">
        <v>102.04</v>
      </c>
      <c r="DR4" s="150">
        <v>98.62</v>
      </c>
      <c r="DS4" s="211">
        <f>(DQ4-DR4)-0.29</f>
        <v>3.1300000000000017</v>
      </c>
      <c r="DT4" s="10">
        <f>DN4+DS4</f>
        <v>84.249999999999986</v>
      </c>
      <c r="DU4" s="168">
        <f>DS4*$T$1</f>
        <v>11.378417775472807</v>
      </c>
      <c r="DV4" s="168">
        <f>DP4+DU4</f>
        <v>307.75808931087363</v>
      </c>
      <c r="DW4" s="15">
        <v>102.41</v>
      </c>
      <c r="DX4" s="10">
        <v>98.4</v>
      </c>
      <c r="DY4" s="10">
        <f t="shared" ref="DY4:DY13" si="23">DW4-DX4</f>
        <v>4.0099999999999909</v>
      </c>
      <c r="DZ4" s="10">
        <f t="shared" ref="DZ4:DZ8" si="24">DT4+DY4</f>
        <v>88.259999999999977</v>
      </c>
      <c r="EA4" s="226">
        <f t="shared" ref="EA4:EA8" si="25">DY4*$T$1</f>
        <v>14.577461750685567</v>
      </c>
      <c r="EB4" s="306">
        <f>DV4+EA4</f>
        <v>322.33555106155922</v>
      </c>
    </row>
    <row r="5" spans="1:132" ht="12" customHeight="1">
      <c r="A5" s="9" t="s">
        <v>265</v>
      </c>
      <c r="B5" s="116" t="s">
        <v>266</v>
      </c>
      <c r="C5" s="142">
        <v>42549</v>
      </c>
      <c r="D5" s="12" t="s">
        <v>26</v>
      </c>
      <c r="E5" s="10" t="s">
        <v>262</v>
      </c>
      <c r="F5" s="11">
        <v>42587</v>
      </c>
      <c r="G5" s="15">
        <v>107.91</v>
      </c>
      <c r="H5" s="10">
        <v>104.59</v>
      </c>
      <c r="I5" s="10">
        <f t="shared" ref="I5:I6" si="26">G5-H5</f>
        <v>3.3199999999999932</v>
      </c>
      <c r="J5" s="168">
        <f t="shared" ref="J5:J6" si="27">I5*T$1</f>
        <v>12.069120451939176</v>
      </c>
      <c r="K5" s="15">
        <v>106.78</v>
      </c>
      <c r="L5" s="10">
        <v>102.86</v>
      </c>
      <c r="M5" s="10">
        <f t="shared" ref="M5:M8" si="28">K5-L5</f>
        <v>3.9200000000000017</v>
      </c>
      <c r="N5" s="10">
        <f t="shared" si="0"/>
        <v>7.2399999999999949</v>
      </c>
      <c r="O5" s="168">
        <f>M5*T$1</f>
        <v>14.250286798675207</v>
      </c>
      <c r="P5" s="168">
        <f t="shared" ref="P5:P6" si="29">J5+O5</f>
        <v>26.319407250614383</v>
      </c>
      <c r="Q5" s="15">
        <v>104.1</v>
      </c>
      <c r="R5" s="150">
        <v>99.2</v>
      </c>
      <c r="S5" s="10">
        <f t="shared" ref="S5:S6" si="30">Q5-R5</f>
        <v>4.8999999999999915</v>
      </c>
      <c r="T5" s="10">
        <f t="shared" ref="T5:T6" si="31">N5+S5</f>
        <v>12.139999999999986</v>
      </c>
      <c r="U5" s="168">
        <f t="shared" ref="U5:U6" si="32">S5*T$1</f>
        <v>17.812858498343971</v>
      </c>
      <c r="V5" s="168">
        <f t="shared" ref="V5" si="33">P5+U5</f>
        <v>44.132265748958353</v>
      </c>
      <c r="W5" s="15">
        <v>102.25</v>
      </c>
      <c r="X5" s="150">
        <v>97.47</v>
      </c>
      <c r="Y5" s="10">
        <f t="shared" si="1"/>
        <v>4.7800000000000011</v>
      </c>
      <c r="Z5" s="10">
        <f t="shared" si="2"/>
        <v>16.919999999999987</v>
      </c>
      <c r="AA5" s="168">
        <f t="shared" ref="AA5:AA6" si="34">Y5*$T$1</f>
        <v>17.376625228996804</v>
      </c>
      <c r="AB5" s="168">
        <f t="shared" ref="AB5:AB6" si="35">V5+AA5</f>
        <v>61.508890977955161</v>
      </c>
      <c r="AC5" s="15">
        <v>99.28</v>
      </c>
      <c r="AD5" s="10">
        <v>93.28</v>
      </c>
      <c r="AE5" s="10">
        <f t="shared" ref="AE5:AE6" si="36">AC5-AD5</f>
        <v>6</v>
      </c>
      <c r="AF5" s="10">
        <f t="shared" ref="AF5:AF6" si="37">Z5+AE5</f>
        <v>22.919999999999987</v>
      </c>
      <c r="AG5" s="168">
        <f t="shared" si="3"/>
        <v>21.811663467359999</v>
      </c>
      <c r="AH5" s="168">
        <f t="shared" ref="AH5:AH6" si="38">AB5+AG5</f>
        <v>83.320554445315167</v>
      </c>
      <c r="AI5" s="15">
        <v>101.94</v>
      </c>
      <c r="AJ5" s="10">
        <v>97</v>
      </c>
      <c r="AK5" s="10">
        <f t="shared" ref="AK5:AK6" si="39">AI5-AJ5</f>
        <v>4.9399999999999977</v>
      </c>
      <c r="AL5" s="10">
        <f t="shared" ref="AL5:AL6" si="40">AF5+AK5</f>
        <v>27.859999999999985</v>
      </c>
      <c r="AM5" s="168">
        <f t="shared" si="4"/>
        <v>17.958269588126392</v>
      </c>
      <c r="AN5" s="168">
        <f t="shared" ref="AN5:AN6" si="41">AH5+AM5</f>
        <v>101.27882403344157</v>
      </c>
      <c r="AO5" s="15">
        <v>99.06</v>
      </c>
      <c r="AP5" s="150">
        <v>93.88</v>
      </c>
      <c r="AQ5" s="10">
        <f t="shared" ref="AQ5:AQ6" si="42">AO5-AP5</f>
        <v>5.1800000000000068</v>
      </c>
      <c r="AR5" s="10">
        <f t="shared" ref="AR5:AR6" si="43">AL5+AQ5</f>
        <v>33.039999999999992</v>
      </c>
      <c r="AS5" s="168">
        <f t="shared" si="5"/>
        <v>18.830736126820824</v>
      </c>
      <c r="AT5" s="168">
        <f t="shared" ref="AT5:AT6" si="44">AN5+AS5</f>
        <v>120.10956016026239</v>
      </c>
      <c r="AU5" s="15">
        <v>108.71</v>
      </c>
      <c r="AV5" s="150">
        <v>104.48</v>
      </c>
      <c r="AW5" s="10">
        <f t="shared" ref="AW5:AW6" si="45">AU5-AV5</f>
        <v>4.2299999999999898</v>
      </c>
      <c r="AX5" s="10">
        <f t="shared" ref="AX5:AX6" si="46">AR5+AW5</f>
        <v>37.269999999999982</v>
      </c>
      <c r="AY5" s="168">
        <f t="shared" si="6"/>
        <v>15.377222744488764</v>
      </c>
      <c r="AZ5" s="168">
        <f t="shared" ref="AZ5:AZ6" si="47">AT5+AY5</f>
        <v>135.48678290475115</v>
      </c>
      <c r="BA5" s="15">
        <v>105.9</v>
      </c>
      <c r="BB5" s="150">
        <v>101.67</v>
      </c>
      <c r="BC5" s="10">
        <f>BA5-BB5</f>
        <v>4.230000000000004</v>
      </c>
      <c r="BD5" s="10">
        <f>AX5+BC5</f>
        <v>41.499999999999986</v>
      </c>
      <c r="BE5" s="168">
        <f>BC5*$T$1</f>
        <v>15.377222744488815</v>
      </c>
      <c r="BF5" s="168">
        <f t="shared" ref="BF5:BF6" si="48">AZ5+BE5</f>
        <v>150.86400564923997</v>
      </c>
      <c r="BG5" s="15">
        <v>109.39</v>
      </c>
      <c r="BH5" s="10">
        <v>104.92</v>
      </c>
      <c r="BI5" s="10">
        <f t="shared" ref="BI5:BI6" si="49">BG5-BH5</f>
        <v>4.4699999999999989</v>
      </c>
      <c r="BJ5" s="10">
        <f t="shared" ref="BJ5:BJ6" si="50">BD5+BI5</f>
        <v>45.969999999999985</v>
      </c>
      <c r="BK5" s="168">
        <f t="shared" si="7"/>
        <v>16.249689283183198</v>
      </c>
      <c r="BL5" s="168">
        <f t="shared" ref="BL5:BL6" si="51">BF5+BK5</f>
        <v>167.11369493242316</v>
      </c>
      <c r="BM5" s="15">
        <v>105.74</v>
      </c>
      <c r="BN5" s="150">
        <v>102.24</v>
      </c>
      <c r="BO5" s="10">
        <f>BM5-BN5</f>
        <v>3.5</v>
      </c>
      <c r="BP5" s="10">
        <f>BJ5+BO5</f>
        <v>49.469999999999985</v>
      </c>
      <c r="BQ5" s="168">
        <f>BO5*$T$1</f>
        <v>12.72347035596</v>
      </c>
      <c r="BR5" s="168">
        <f t="shared" ref="BR5:BR6" si="52">BL5+BQ5</f>
        <v>179.83716528838315</v>
      </c>
      <c r="BS5" s="15">
        <v>107.07</v>
      </c>
      <c r="BT5" s="10">
        <v>101.35</v>
      </c>
      <c r="BU5" s="10">
        <f t="shared" si="8"/>
        <v>5.7199999999999989</v>
      </c>
      <c r="BV5" s="10">
        <f t="shared" si="9"/>
        <v>55.189999999999984</v>
      </c>
      <c r="BW5" s="168">
        <f t="shared" si="10"/>
        <v>20.793785838883196</v>
      </c>
      <c r="BX5" s="168">
        <f t="shared" ref="BX5:BX6" si="53">BR5+BW5</f>
        <v>200.63095112726634</v>
      </c>
      <c r="BY5" s="15">
        <v>106.23</v>
      </c>
      <c r="BZ5" s="10">
        <v>102.38</v>
      </c>
      <c r="CA5" s="10">
        <f t="shared" si="11"/>
        <v>3.8500000000000085</v>
      </c>
      <c r="CB5" s="172">
        <v>1.99</v>
      </c>
      <c r="CC5" s="172">
        <f t="shared" ref="CC5:CC13" si="54">CA5+CB5</f>
        <v>5.8400000000000087</v>
      </c>
      <c r="CD5" s="10">
        <f t="shared" ref="CD5:CD8" si="55">BV5+CC5</f>
        <v>61.029999999999994</v>
      </c>
      <c r="CE5" s="369">
        <f>(CA5*$T$1)+8.5616</f>
        <v>22.557417391556029</v>
      </c>
      <c r="CF5" s="168">
        <f t="shared" si="12"/>
        <v>223.18836851882236</v>
      </c>
      <c r="CG5" s="15">
        <v>105.75</v>
      </c>
      <c r="CH5" s="10">
        <v>100.55</v>
      </c>
      <c r="CI5" s="10">
        <f t="shared" si="13"/>
        <v>5.2000000000000028</v>
      </c>
      <c r="CJ5" s="10">
        <f t="shared" si="14"/>
        <v>66.22999999999999</v>
      </c>
      <c r="CK5" s="168">
        <f t="shared" si="15"/>
        <v>18.90344167171201</v>
      </c>
      <c r="CL5" s="168">
        <f t="shared" ref="CL5:CL6" si="56">CF5+CK5</f>
        <v>242.09181019053437</v>
      </c>
      <c r="CM5" s="15">
        <v>113.02</v>
      </c>
      <c r="CN5" s="163">
        <v>108.93</v>
      </c>
      <c r="CO5" s="10">
        <f t="shared" si="16"/>
        <v>4.0899999999999892</v>
      </c>
      <c r="CP5" s="10">
        <f t="shared" ref="CP5:CP8" si="57">CJ5+CO5</f>
        <v>70.319999999999979</v>
      </c>
      <c r="CQ5" s="168">
        <f t="shared" si="17"/>
        <v>14.868283930250362</v>
      </c>
      <c r="CR5" s="168">
        <f t="shared" ref="CR5:CR6" si="58">CL5+CQ5</f>
        <v>256.96009412078473</v>
      </c>
      <c r="CS5" s="15">
        <v>108.67</v>
      </c>
      <c r="CT5" s="10">
        <v>105.55</v>
      </c>
      <c r="CU5" s="10">
        <f t="shared" si="18"/>
        <v>3.1200000000000045</v>
      </c>
      <c r="CV5" s="10">
        <f t="shared" si="19"/>
        <v>73.439999999999984</v>
      </c>
      <c r="CW5" s="168">
        <f t="shared" si="20"/>
        <v>11.342065003027217</v>
      </c>
      <c r="CX5" s="168">
        <f t="shared" ref="CX5:CX6" si="59">CR5+CW5</f>
        <v>268.30215912381198</v>
      </c>
      <c r="CY5" s="15">
        <v>106.08</v>
      </c>
      <c r="CZ5" s="10">
        <v>100.55</v>
      </c>
      <c r="DA5" s="10">
        <f t="shared" ref="DA5:DA6" si="60">CY5-CZ5</f>
        <v>5.5300000000000011</v>
      </c>
      <c r="DB5" s="10">
        <f t="shared" ref="DB5:DB6" si="61">CV5+DA5</f>
        <v>78.969999999999985</v>
      </c>
      <c r="DC5" s="168">
        <f t="shared" si="21"/>
        <v>20.103083162416805</v>
      </c>
      <c r="DD5" s="168">
        <f t="shared" ref="DD5:DD6" si="62">CX5+DC5</f>
        <v>288.40524228622877</v>
      </c>
      <c r="DE5" s="15">
        <v>107.88</v>
      </c>
      <c r="DF5" s="150">
        <v>102.26</v>
      </c>
      <c r="DG5" s="10">
        <f t="shared" ref="DG5:DG6" si="63">DE5-DF5</f>
        <v>5.6199999999999903</v>
      </c>
      <c r="DH5" s="10">
        <f t="shared" ref="DH5:DH6" si="64">DB5+DG5</f>
        <v>84.589999999999975</v>
      </c>
      <c r="DI5" s="168">
        <f t="shared" si="22"/>
        <v>20.430258114427165</v>
      </c>
      <c r="DJ5" s="168">
        <f t="shared" ref="DJ5:DJ6" si="65">DD5+DI5</f>
        <v>308.83550040065592</v>
      </c>
      <c r="DK5" s="15">
        <v>104.46</v>
      </c>
      <c r="DL5" s="150">
        <v>98.8</v>
      </c>
      <c r="DM5" s="211">
        <f>(DK5-DL5)-0.08</f>
        <v>5.5799999999999965</v>
      </c>
      <c r="DN5" s="10">
        <f>DH5+DM5</f>
        <v>90.169999999999973</v>
      </c>
      <c r="DO5" s="168">
        <f>DM5*$T$1</f>
        <v>20.284847024644787</v>
      </c>
      <c r="DP5" s="168">
        <f t="shared" ref="DP5:DP6" si="66">DJ5+DO5</f>
        <v>329.12034742530068</v>
      </c>
      <c r="DQ5" s="15">
        <v>103.35</v>
      </c>
      <c r="DR5" s="150">
        <v>97.91</v>
      </c>
      <c r="DS5" s="211">
        <f>(DQ5-DR5)-0.53</f>
        <v>4.9099999999999975</v>
      </c>
      <c r="DT5" s="10">
        <f t="shared" ref="DT5:DT6" si="67">DN5+DS5</f>
        <v>95.07999999999997</v>
      </c>
      <c r="DU5" s="168">
        <f>DS5*$T$1</f>
        <v>17.849211270789592</v>
      </c>
      <c r="DV5" s="168">
        <f t="shared" ref="DV5:DV6" si="68">DP5+DU5</f>
        <v>346.96955869609025</v>
      </c>
      <c r="DW5" s="15">
        <v>104.29</v>
      </c>
      <c r="DX5" s="10">
        <v>98.48</v>
      </c>
      <c r="DY5" s="10">
        <f t="shared" si="23"/>
        <v>5.8100000000000023</v>
      </c>
      <c r="DZ5" s="10">
        <f t="shared" si="24"/>
        <v>100.88999999999997</v>
      </c>
      <c r="EA5" s="168">
        <f t="shared" si="25"/>
        <v>21.120960790893609</v>
      </c>
      <c r="EB5" s="306">
        <f>DV5+EA5</f>
        <v>368.09051948698385</v>
      </c>
    </row>
    <row r="6" spans="1:132" ht="12" customHeight="1">
      <c r="A6" s="9" t="s">
        <v>267</v>
      </c>
      <c r="B6" s="116" t="s">
        <v>268</v>
      </c>
      <c r="C6" s="11">
        <v>42550</v>
      </c>
      <c r="D6" s="12" t="s">
        <v>26</v>
      </c>
      <c r="E6" s="10" t="s">
        <v>262</v>
      </c>
      <c r="F6" s="11">
        <v>42587</v>
      </c>
      <c r="G6" s="15">
        <v>104.65</v>
      </c>
      <c r="H6" s="10">
        <v>101.38</v>
      </c>
      <c r="I6" s="10">
        <f t="shared" si="26"/>
        <v>3.2700000000000102</v>
      </c>
      <c r="J6" s="168">
        <f t="shared" si="27"/>
        <v>11.887356589711237</v>
      </c>
      <c r="K6" s="15">
        <v>105.35</v>
      </c>
      <c r="L6" s="10">
        <v>100.63</v>
      </c>
      <c r="M6" s="10">
        <f t="shared" si="28"/>
        <v>4.7199999999999989</v>
      </c>
      <c r="N6" s="10">
        <f t="shared" si="0"/>
        <v>7.9900000000000091</v>
      </c>
      <c r="O6" s="168">
        <f t="shared" ref="O6" si="69">M6*T$1</f>
        <v>17.158508594323198</v>
      </c>
      <c r="P6" s="168">
        <f t="shared" si="29"/>
        <v>29.045865184034433</v>
      </c>
      <c r="Q6" s="15">
        <v>104.14</v>
      </c>
      <c r="R6" s="150">
        <v>99.37</v>
      </c>
      <c r="S6" s="10">
        <f t="shared" si="30"/>
        <v>4.769999999999996</v>
      </c>
      <c r="T6" s="10">
        <f t="shared" si="31"/>
        <v>12.760000000000005</v>
      </c>
      <c r="U6" s="168">
        <f t="shared" si="32"/>
        <v>17.340272456551187</v>
      </c>
      <c r="V6" s="168">
        <f t="shared" ref="V6:V13" si="70">P6+U6</f>
        <v>46.386137640585616</v>
      </c>
      <c r="W6" s="15">
        <v>103.31</v>
      </c>
      <c r="X6" s="10">
        <v>98.55</v>
      </c>
      <c r="Y6" s="10">
        <f t="shared" si="1"/>
        <v>4.7600000000000051</v>
      </c>
      <c r="Z6" s="10">
        <f t="shared" si="2"/>
        <v>17.52000000000001</v>
      </c>
      <c r="AA6" s="168">
        <f t="shared" si="34"/>
        <v>17.303919684105619</v>
      </c>
      <c r="AB6" s="168">
        <f t="shared" si="35"/>
        <v>63.690057324691239</v>
      </c>
      <c r="AC6" s="15">
        <v>103.88</v>
      </c>
      <c r="AD6" s="10">
        <v>99.37</v>
      </c>
      <c r="AE6" s="10">
        <f t="shared" si="36"/>
        <v>4.5099999999999909</v>
      </c>
      <c r="AF6" s="10">
        <f t="shared" si="37"/>
        <v>22.03</v>
      </c>
      <c r="AG6" s="168">
        <f t="shared" si="3"/>
        <v>16.395100372965569</v>
      </c>
      <c r="AH6" s="168">
        <f t="shared" si="38"/>
        <v>80.085157697656811</v>
      </c>
      <c r="AI6" s="15">
        <v>106.87</v>
      </c>
      <c r="AJ6" s="10">
        <v>103.75</v>
      </c>
      <c r="AK6" s="10">
        <f t="shared" si="39"/>
        <v>3.1200000000000045</v>
      </c>
      <c r="AL6" s="10">
        <f t="shared" si="40"/>
        <v>25.150000000000006</v>
      </c>
      <c r="AM6" s="168">
        <f t="shared" si="4"/>
        <v>11.342065003027217</v>
      </c>
      <c r="AN6" s="168">
        <f t="shared" si="41"/>
        <v>91.427222700684027</v>
      </c>
      <c r="AO6" s="15">
        <v>103.89</v>
      </c>
      <c r="AP6" s="150">
        <v>100.2</v>
      </c>
      <c r="AQ6" s="10">
        <f t="shared" si="42"/>
        <v>3.6899999999999977</v>
      </c>
      <c r="AR6" s="10">
        <f t="shared" si="43"/>
        <v>28.840000000000003</v>
      </c>
      <c r="AS6" s="168">
        <f t="shared" si="5"/>
        <v>13.414173032426392</v>
      </c>
      <c r="AT6" s="168">
        <f t="shared" si="44"/>
        <v>104.84139573311042</v>
      </c>
      <c r="AU6" s="15">
        <v>108.14</v>
      </c>
      <c r="AV6" s="13">
        <v>104.15</v>
      </c>
      <c r="AW6" s="10">
        <f t="shared" si="45"/>
        <v>3.9899999999999949</v>
      </c>
      <c r="AX6" s="10">
        <f t="shared" si="46"/>
        <v>32.83</v>
      </c>
      <c r="AY6" s="168">
        <f t="shared" si="6"/>
        <v>14.504756205794381</v>
      </c>
      <c r="AZ6" s="168">
        <f t="shared" si="47"/>
        <v>119.3461519389048</v>
      </c>
      <c r="BA6" s="15">
        <v>105.61</v>
      </c>
      <c r="BB6" s="10">
        <v>101.32</v>
      </c>
      <c r="BC6" s="10">
        <f>BA6-BB6</f>
        <v>4.2900000000000063</v>
      </c>
      <c r="BD6" s="10">
        <f>AX6+BC6</f>
        <v>37.120000000000005</v>
      </c>
      <c r="BE6" s="168">
        <f>BC6*$T$1</f>
        <v>15.595339379162423</v>
      </c>
      <c r="BF6" s="168">
        <f t="shared" si="48"/>
        <v>134.94149131806722</v>
      </c>
      <c r="BG6" s="15">
        <v>102.33</v>
      </c>
      <c r="BH6" s="150">
        <v>98.02</v>
      </c>
      <c r="BI6" s="10">
        <f t="shared" si="49"/>
        <v>4.3100000000000023</v>
      </c>
      <c r="BJ6" s="10">
        <f t="shared" si="50"/>
        <v>41.430000000000007</v>
      </c>
      <c r="BK6" s="168">
        <f t="shared" si="7"/>
        <v>15.668044924053609</v>
      </c>
      <c r="BL6" s="168">
        <f t="shared" si="51"/>
        <v>150.60953624212084</v>
      </c>
      <c r="BM6" s="15">
        <v>103.64</v>
      </c>
      <c r="BN6" s="10">
        <v>98.47</v>
      </c>
      <c r="BO6" s="10">
        <f>BM6-BN6</f>
        <v>5.1700000000000017</v>
      </c>
      <c r="BP6" s="10">
        <f>BJ6+BO6</f>
        <v>46.600000000000009</v>
      </c>
      <c r="BQ6" s="168">
        <f>BO6*$T$1</f>
        <v>18.794383354375206</v>
      </c>
      <c r="BR6" s="168">
        <f t="shared" si="52"/>
        <v>169.40391959649605</v>
      </c>
      <c r="BS6" s="15">
        <v>107.18</v>
      </c>
      <c r="BT6" s="10">
        <v>102.4</v>
      </c>
      <c r="BU6" s="10">
        <f t="shared" si="8"/>
        <v>4.7800000000000011</v>
      </c>
      <c r="BV6" s="10">
        <f t="shared" si="9"/>
        <v>51.38000000000001</v>
      </c>
      <c r="BW6" s="168">
        <f t="shared" si="10"/>
        <v>17.376625228996804</v>
      </c>
      <c r="BX6" s="168">
        <f t="shared" si="53"/>
        <v>186.78054482549285</v>
      </c>
      <c r="BY6" s="15">
        <v>105.78</v>
      </c>
      <c r="BZ6" s="10">
        <v>103</v>
      </c>
      <c r="CA6" s="10">
        <f t="shared" si="11"/>
        <v>2.7800000000000011</v>
      </c>
      <c r="CB6" s="172">
        <v>3.17</v>
      </c>
      <c r="CC6" s="172">
        <f t="shared" si="54"/>
        <v>5.9500000000000011</v>
      </c>
      <c r="CD6" s="10">
        <f t="shared" si="55"/>
        <v>57.330000000000013</v>
      </c>
      <c r="CE6" s="369">
        <f>(CA6*$T$1)+14.2284</f>
        <v>24.334470739876807</v>
      </c>
      <c r="CF6" s="168">
        <f t="shared" si="12"/>
        <v>211.11501556536967</v>
      </c>
      <c r="CG6" s="15">
        <v>109.78</v>
      </c>
      <c r="CH6" s="10">
        <v>105.01</v>
      </c>
      <c r="CI6" s="10">
        <f t="shared" si="13"/>
        <v>4.769999999999996</v>
      </c>
      <c r="CJ6" s="10">
        <f t="shared" si="14"/>
        <v>62.100000000000009</v>
      </c>
      <c r="CK6" s="168">
        <f t="shared" si="15"/>
        <v>17.340272456551187</v>
      </c>
      <c r="CL6" s="168">
        <f t="shared" si="56"/>
        <v>228.45528802192086</v>
      </c>
      <c r="CM6" s="15">
        <v>109.27</v>
      </c>
      <c r="CN6" s="163">
        <v>105.18</v>
      </c>
      <c r="CO6" s="10">
        <f t="shared" si="16"/>
        <v>4.0899999999999892</v>
      </c>
      <c r="CP6" s="10">
        <f t="shared" si="57"/>
        <v>66.19</v>
      </c>
      <c r="CQ6" s="168">
        <f t="shared" si="17"/>
        <v>14.868283930250362</v>
      </c>
      <c r="CR6" s="168">
        <f t="shared" si="58"/>
        <v>243.32357195217122</v>
      </c>
      <c r="CS6" s="15">
        <v>108.26</v>
      </c>
      <c r="CT6" s="10">
        <v>104.39</v>
      </c>
      <c r="CU6" s="10">
        <f t="shared" si="18"/>
        <v>3.8700000000000045</v>
      </c>
      <c r="CV6" s="10">
        <f t="shared" si="19"/>
        <v>70.06</v>
      </c>
      <c r="CW6" s="168">
        <f t="shared" si="20"/>
        <v>14.068522936447216</v>
      </c>
      <c r="CX6" s="168">
        <f t="shared" si="59"/>
        <v>257.39209488861843</v>
      </c>
      <c r="CY6" s="15">
        <v>110.79</v>
      </c>
      <c r="CZ6" s="10">
        <v>106.19</v>
      </c>
      <c r="DA6" s="10">
        <f t="shared" si="60"/>
        <v>4.6000000000000085</v>
      </c>
      <c r="DB6" s="10">
        <f t="shared" si="61"/>
        <v>74.660000000000011</v>
      </c>
      <c r="DC6" s="168">
        <f t="shared" si="21"/>
        <v>16.722275324976032</v>
      </c>
      <c r="DD6" s="168">
        <f t="shared" si="62"/>
        <v>274.11437021359444</v>
      </c>
      <c r="DE6" s="15">
        <v>108.67</v>
      </c>
      <c r="DF6" s="10">
        <v>102.9</v>
      </c>
      <c r="DG6" s="10">
        <f t="shared" si="63"/>
        <v>5.769999999999996</v>
      </c>
      <c r="DH6" s="10">
        <f t="shared" si="64"/>
        <v>80.430000000000007</v>
      </c>
      <c r="DI6" s="168">
        <f t="shared" si="22"/>
        <v>20.975549701111188</v>
      </c>
      <c r="DJ6" s="168">
        <f t="shared" si="65"/>
        <v>295.0899199147056</v>
      </c>
      <c r="DK6" s="15">
        <v>106.8</v>
      </c>
      <c r="DL6" s="10">
        <v>101.98</v>
      </c>
      <c r="DM6" s="211">
        <f>(DK6-DL6)-0.04</f>
        <v>4.7799999999999931</v>
      </c>
      <c r="DN6" s="10">
        <f>DH6+DM6</f>
        <v>85.21</v>
      </c>
      <c r="DO6" s="168">
        <f>DM6*$T$1</f>
        <v>17.376625228996776</v>
      </c>
      <c r="DP6" s="168">
        <f t="shared" si="66"/>
        <v>312.46654514370238</v>
      </c>
      <c r="DQ6" s="15">
        <v>107.32</v>
      </c>
      <c r="DR6" s="10">
        <v>103.28</v>
      </c>
      <c r="DS6" s="211">
        <f>(DQ6-DR6)-0.72</f>
        <v>3.3199999999999923</v>
      </c>
      <c r="DT6" s="10">
        <f t="shared" si="67"/>
        <v>88.529999999999987</v>
      </c>
      <c r="DU6" s="168">
        <f>DS6*$T$1</f>
        <v>12.069120451939172</v>
      </c>
      <c r="DV6" s="168">
        <f t="shared" si="68"/>
        <v>324.53566559564155</v>
      </c>
      <c r="DW6" s="15">
        <v>106.59</v>
      </c>
      <c r="DX6" s="150">
        <v>102.63</v>
      </c>
      <c r="DY6" s="10">
        <f t="shared" si="23"/>
        <v>3.960000000000008</v>
      </c>
      <c r="DZ6" s="10">
        <f t="shared" si="24"/>
        <v>92.49</v>
      </c>
      <c r="EA6" s="168">
        <f t="shared" si="25"/>
        <v>14.395697888457629</v>
      </c>
      <c r="EB6" s="306">
        <f t="shared" ref="EB6" si="71">DV6+EA6</f>
        <v>338.93136348409917</v>
      </c>
    </row>
    <row r="7" spans="1:132" ht="12" customHeight="1">
      <c r="A7" s="133" t="s">
        <v>269</v>
      </c>
      <c r="B7" s="60" t="s">
        <v>270</v>
      </c>
      <c r="C7" s="11">
        <v>42529</v>
      </c>
      <c r="D7" s="12" t="s">
        <v>26</v>
      </c>
      <c r="E7" s="10" t="s">
        <v>262</v>
      </c>
      <c r="F7" s="11" t="s">
        <v>271</v>
      </c>
      <c r="G7" s="15">
        <v>104.7</v>
      </c>
      <c r="H7" s="10">
        <v>100.6</v>
      </c>
      <c r="I7" s="10">
        <f t="shared" ref="I7" si="72">G7-H7</f>
        <v>4.1000000000000085</v>
      </c>
      <c r="J7" s="168">
        <f t="shared" ref="J7" si="73">I7*T$1</f>
        <v>14.904636702696031</v>
      </c>
      <c r="K7" s="15">
        <v>108.83</v>
      </c>
      <c r="L7" s="10">
        <v>104.7</v>
      </c>
      <c r="M7" s="10">
        <f t="shared" si="28"/>
        <v>4.1299999999999955</v>
      </c>
      <c r="N7" s="10">
        <f t="shared" si="0"/>
        <v>8.230000000000004</v>
      </c>
      <c r="O7" s="168">
        <f t="shared" ref="O7" si="74">M7*T$1</f>
        <v>15.013695020032785</v>
      </c>
      <c r="P7" s="168">
        <f t="shared" ref="P7" si="75">J7+O7</f>
        <v>29.918331722728816</v>
      </c>
      <c r="Q7" s="15">
        <v>106.03</v>
      </c>
      <c r="R7" s="10">
        <v>101.61</v>
      </c>
      <c r="S7" s="10">
        <f t="shared" ref="S7" si="76">Q7-R7</f>
        <v>4.4200000000000017</v>
      </c>
      <c r="T7" s="10">
        <f t="shared" ref="T7:T13" si="77">N7+S7</f>
        <v>12.650000000000006</v>
      </c>
      <c r="U7" s="168">
        <f t="shared" ref="U7" si="78">S7*T$1</f>
        <v>16.067925420955206</v>
      </c>
      <c r="V7" s="168">
        <f t="shared" si="70"/>
        <v>45.986257143684021</v>
      </c>
      <c r="W7" s="15">
        <v>108.91</v>
      </c>
      <c r="X7" s="10">
        <v>104.43</v>
      </c>
      <c r="Y7" s="10">
        <f t="shared" si="1"/>
        <v>4.4799999999999898</v>
      </c>
      <c r="Z7" s="10">
        <f t="shared" si="2"/>
        <v>17.129999999999995</v>
      </c>
      <c r="AA7" s="168">
        <f t="shared" ref="AA7:AA8" si="79">Y7*$T$1</f>
        <v>16.286042055628762</v>
      </c>
      <c r="AB7" s="168">
        <f t="shared" ref="AB7:AB8" si="80">V7+AA7</f>
        <v>62.272299199312783</v>
      </c>
      <c r="AC7" s="15">
        <v>106.5</v>
      </c>
      <c r="AD7" s="10">
        <v>102.12</v>
      </c>
      <c r="AE7" s="10">
        <f t="shared" ref="AE7" si="81">AC7-AD7</f>
        <v>4.3799999999999955</v>
      </c>
      <c r="AF7" s="10">
        <f t="shared" ref="AF7" si="82">Z7+AE7</f>
        <v>21.509999999999991</v>
      </c>
      <c r="AG7" s="168">
        <f t="shared" si="3"/>
        <v>15.922514331172785</v>
      </c>
      <c r="AH7" s="168">
        <f t="shared" ref="AH7" si="83">AB7+AG7</f>
        <v>78.194813530485561</v>
      </c>
      <c r="AI7" s="15">
        <v>106.31</v>
      </c>
      <c r="AJ7" s="10">
        <v>101.5</v>
      </c>
      <c r="AK7" s="10">
        <f t="shared" ref="AK7:AK8" si="84">AI7-AJ7</f>
        <v>4.8100000000000023</v>
      </c>
      <c r="AL7" s="10">
        <f t="shared" ref="AL7:AL8" si="85">AF7+AK7</f>
        <v>26.319999999999993</v>
      </c>
      <c r="AM7" s="168">
        <f t="shared" si="4"/>
        <v>17.485683546333608</v>
      </c>
      <c r="AN7" s="168">
        <f t="shared" ref="AN7:AN8" si="86">AH7+AM7</f>
        <v>95.680497076819165</v>
      </c>
      <c r="AO7" s="15">
        <v>106.33</v>
      </c>
      <c r="AP7" s="10">
        <v>101.78</v>
      </c>
      <c r="AQ7" s="10">
        <f t="shared" ref="AQ7" si="87">AO7-AP7</f>
        <v>4.5499999999999972</v>
      </c>
      <c r="AR7" s="10">
        <f t="shared" ref="AR7" si="88">AL7+AQ7</f>
        <v>30.86999999999999</v>
      </c>
      <c r="AS7" s="168">
        <f t="shared" si="5"/>
        <v>16.54051146274799</v>
      </c>
      <c r="AT7" s="168">
        <f t="shared" ref="AT7" si="89">AN7+AS7</f>
        <v>112.22100853956715</v>
      </c>
      <c r="AU7" s="15">
        <v>104.94</v>
      </c>
      <c r="AV7" s="13">
        <v>100.59</v>
      </c>
      <c r="AW7" s="10">
        <f t="shared" ref="AW7" si="90">AU7-AV7</f>
        <v>4.3499999999999943</v>
      </c>
      <c r="AX7" s="10">
        <f t="shared" ref="AX7" si="91">AR7+AW7</f>
        <v>35.219999999999985</v>
      </c>
      <c r="AY7" s="168">
        <f t="shared" si="6"/>
        <v>15.81345601383598</v>
      </c>
      <c r="AZ7" s="168">
        <f t="shared" ref="AZ7" si="92">AT7+AY7</f>
        <v>128.03446455340313</v>
      </c>
      <c r="BA7" s="15">
        <v>107.61</v>
      </c>
      <c r="BB7" s="10">
        <v>103.11</v>
      </c>
      <c r="BC7" s="10">
        <f>BA7-BB7</f>
        <v>4.5</v>
      </c>
      <c r="BD7" s="10">
        <f>AX7+BC7</f>
        <v>39.719999999999985</v>
      </c>
      <c r="BE7" s="168">
        <f>BC7*$T$1</f>
        <v>16.358747600520001</v>
      </c>
      <c r="BF7" s="168">
        <f t="shared" ref="BF7" si="93">AZ7+BE7</f>
        <v>144.39321215392312</v>
      </c>
      <c r="BG7" s="15">
        <v>107.41</v>
      </c>
      <c r="BH7" s="10">
        <v>102.4</v>
      </c>
      <c r="BI7" s="10">
        <f t="shared" ref="BI7" si="94">BG7-BH7</f>
        <v>5.0099999999999909</v>
      </c>
      <c r="BJ7" s="10">
        <f t="shared" ref="BJ7" si="95">BD7+BI7</f>
        <v>44.729999999999976</v>
      </c>
      <c r="BK7" s="168">
        <f t="shared" si="7"/>
        <v>18.212738995245566</v>
      </c>
      <c r="BL7" s="168">
        <f t="shared" ref="BL7" si="96">BF7+BK7</f>
        <v>162.60595114916867</v>
      </c>
      <c r="BM7" s="15">
        <v>106.24</v>
      </c>
      <c r="BN7" s="10">
        <v>101.27</v>
      </c>
      <c r="BO7" s="10">
        <f>BM7-BN7</f>
        <v>4.9699999999999989</v>
      </c>
      <c r="BP7" s="10">
        <f>BJ7+BO7</f>
        <v>49.699999999999974</v>
      </c>
      <c r="BQ7" s="168">
        <f>BO7*$T$1</f>
        <v>18.067327905463195</v>
      </c>
      <c r="BR7" s="168">
        <f t="shared" ref="BR7" si="97">BL7+BQ7</f>
        <v>180.67327905463188</v>
      </c>
      <c r="BS7" s="15">
        <v>104.88</v>
      </c>
      <c r="BT7" s="150">
        <v>100.49</v>
      </c>
      <c r="BU7" s="10">
        <f t="shared" si="8"/>
        <v>4.3900000000000006</v>
      </c>
      <c r="BV7" s="10">
        <f t="shared" si="9"/>
        <v>54.089999999999975</v>
      </c>
      <c r="BW7" s="168">
        <f t="shared" si="10"/>
        <v>15.958867103618402</v>
      </c>
      <c r="BX7" s="168">
        <f t="shared" ref="BX7" si="98">BR7+BW7</f>
        <v>196.63214615825029</v>
      </c>
      <c r="BY7" s="15">
        <v>104.01</v>
      </c>
      <c r="BZ7" s="10">
        <v>99.91</v>
      </c>
      <c r="CA7" s="10">
        <f t="shared" si="11"/>
        <v>4.1000000000000085</v>
      </c>
      <c r="CB7" s="172">
        <v>0.01</v>
      </c>
      <c r="CC7" s="172">
        <f t="shared" si="54"/>
        <v>4.1100000000000083</v>
      </c>
      <c r="CD7" s="10">
        <f t="shared" si="55"/>
        <v>58.199999999999982</v>
      </c>
      <c r="CE7" s="369">
        <f>(CA7*$T$1)+0.0454</f>
        <v>14.950036702696032</v>
      </c>
      <c r="CF7" s="168">
        <f t="shared" si="12"/>
        <v>211.58218286094632</v>
      </c>
      <c r="CG7" s="15">
        <v>104.78</v>
      </c>
      <c r="CH7" s="10">
        <v>100.77</v>
      </c>
      <c r="CI7" s="10">
        <f t="shared" si="13"/>
        <v>4.0100000000000051</v>
      </c>
      <c r="CJ7" s="10">
        <f t="shared" si="14"/>
        <v>62.209999999999987</v>
      </c>
      <c r="CK7" s="168">
        <f t="shared" si="15"/>
        <v>14.57746175068562</v>
      </c>
      <c r="CL7" s="168">
        <f t="shared" ref="CL7" si="99">CF7+CK7</f>
        <v>226.15964461163193</v>
      </c>
      <c r="CM7" s="15">
        <v>109</v>
      </c>
      <c r="CN7" s="13">
        <v>105.67</v>
      </c>
      <c r="CO7" s="10">
        <f t="shared" si="16"/>
        <v>3.3299999999999983</v>
      </c>
      <c r="CP7" s="10">
        <f t="shared" si="57"/>
        <v>65.539999999999992</v>
      </c>
      <c r="CQ7" s="168">
        <f t="shared" si="17"/>
        <v>12.105473224384793</v>
      </c>
      <c r="CR7" s="168">
        <f t="shared" ref="CR7" si="100">CL7+CQ7</f>
        <v>238.26511783601671</v>
      </c>
      <c r="CS7" s="15">
        <v>107.59</v>
      </c>
      <c r="CT7" s="10">
        <v>103.86</v>
      </c>
      <c r="CU7" s="10">
        <f t="shared" si="18"/>
        <v>3.730000000000004</v>
      </c>
      <c r="CV7" s="10">
        <f t="shared" si="19"/>
        <v>69.27</v>
      </c>
      <c r="CW7" s="168">
        <f t="shared" si="20"/>
        <v>13.559584122208815</v>
      </c>
      <c r="CX7" s="168">
        <f t="shared" ref="CX7" si="101">CR7+CW7</f>
        <v>251.82470195822552</v>
      </c>
      <c r="CY7" s="15">
        <v>108.33</v>
      </c>
      <c r="CZ7" s="10">
        <v>104.53</v>
      </c>
      <c r="DA7" s="10">
        <f t="shared" ref="DA7" si="102">CY7-CZ7</f>
        <v>3.7999999999999972</v>
      </c>
      <c r="DB7" s="10">
        <f t="shared" ref="DB7" si="103">CV7+DA7</f>
        <v>73.069999999999993</v>
      </c>
      <c r="DC7" s="168">
        <f t="shared" si="21"/>
        <v>13.814053529327991</v>
      </c>
      <c r="DD7" s="168">
        <f t="shared" ref="DD7" si="104">CX7+DC7</f>
        <v>265.63875548755351</v>
      </c>
      <c r="DE7" s="15">
        <v>108.01</v>
      </c>
      <c r="DF7" s="10">
        <v>103.73</v>
      </c>
      <c r="DG7" s="10">
        <f t="shared" ref="DG7" si="105">DE7-DF7</f>
        <v>4.2800000000000011</v>
      </c>
      <c r="DH7" s="10">
        <f t="shared" ref="DH7" si="106">DB7+DG7</f>
        <v>77.349999999999994</v>
      </c>
      <c r="DI7" s="168">
        <f t="shared" si="22"/>
        <v>15.558986606716804</v>
      </c>
      <c r="DJ7" s="168">
        <f t="shared" ref="DJ7" si="107">DD7+DI7</f>
        <v>281.19774209427032</v>
      </c>
      <c r="DK7" s="15">
        <v>108.02</v>
      </c>
      <c r="DL7" s="10">
        <v>103.58</v>
      </c>
      <c r="DM7" s="10">
        <f>(DK7-DL7)-0.04</f>
        <v>4.3999999999999977</v>
      </c>
      <c r="DN7" s="10">
        <f>DH7+DM7</f>
        <v>81.749999999999986</v>
      </c>
      <c r="DO7" s="168">
        <f>DM7*$T$1</f>
        <v>15.995219876063992</v>
      </c>
      <c r="DP7" s="168">
        <f t="shared" ref="DP7" si="108">DJ7+DO7</f>
        <v>297.1929619703343</v>
      </c>
      <c r="DQ7" s="15">
        <v>107.38</v>
      </c>
      <c r="DR7" s="10">
        <v>103.51</v>
      </c>
      <c r="DS7" s="10">
        <f t="shared" ref="DS7" si="109">(DQ7-DR7)-0.1</f>
        <v>3.7699999999999902</v>
      </c>
      <c r="DT7" s="10">
        <f t="shared" ref="DT7" si="110">DN7+DS7</f>
        <v>85.519999999999982</v>
      </c>
      <c r="DU7" s="168">
        <f>DS7*$T$1</f>
        <v>13.704995211991164</v>
      </c>
      <c r="DV7" s="168">
        <f t="shared" ref="DV7" si="111">DP7+DU7</f>
        <v>310.89795718232546</v>
      </c>
      <c r="DW7" s="15">
        <v>108.22</v>
      </c>
      <c r="DX7" s="10">
        <v>103.95</v>
      </c>
      <c r="DY7" s="10">
        <f t="shared" si="23"/>
        <v>4.269999999999996</v>
      </c>
      <c r="DZ7" s="10">
        <f t="shared" si="24"/>
        <v>89.789999999999978</v>
      </c>
      <c r="EA7" s="168">
        <f t="shared" si="25"/>
        <v>15.522633834271186</v>
      </c>
      <c r="EB7" s="306">
        <f t="shared" ref="EB7" si="112">DV7+EA7</f>
        <v>326.42059101659663</v>
      </c>
    </row>
    <row r="8" spans="1:132" ht="12" customHeight="1">
      <c r="A8" s="133" t="s">
        <v>272</v>
      </c>
      <c r="B8" s="62" t="s">
        <v>273</v>
      </c>
      <c r="C8" s="11"/>
      <c r="D8" s="12" t="s">
        <v>26</v>
      </c>
      <c r="E8" s="10" t="s">
        <v>262</v>
      </c>
      <c r="F8" s="217">
        <v>42411</v>
      </c>
      <c r="G8" s="216">
        <v>111.5</v>
      </c>
      <c r="H8" s="150">
        <v>108.53</v>
      </c>
      <c r="I8" s="10">
        <f t="shared" ref="I8:I13" si="113">G8-H8</f>
        <v>2.9699999999999989</v>
      </c>
      <c r="J8" s="168">
        <f t="shared" ref="J8:J13" si="114">I8*T$1</f>
        <v>10.796773416343196</v>
      </c>
      <c r="K8" s="15">
        <v>109.13</v>
      </c>
      <c r="L8" s="10">
        <v>105.51</v>
      </c>
      <c r="M8" s="10">
        <f t="shared" si="28"/>
        <v>3.6199999999999903</v>
      </c>
      <c r="N8" s="10">
        <f>I8+M8</f>
        <v>6.5899999999999892</v>
      </c>
      <c r="O8" s="168">
        <f t="shared" ref="O8" si="115">M8*T$1</f>
        <v>13.159703625307165</v>
      </c>
      <c r="P8" s="168">
        <f t="shared" ref="P8" si="116">J8+O8</f>
        <v>23.956477041650359</v>
      </c>
      <c r="Q8" s="15">
        <v>106.2</v>
      </c>
      <c r="R8" s="10">
        <v>102.52</v>
      </c>
      <c r="S8" s="10">
        <f t="shared" ref="S8:S13" si="117">Q8-R8</f>
        <v>3.6800000000000068</v>
      </c>
      <c r="T8" s="10">
        <f t="shared" si="77"/>
        <v>10.269999999999996</v>
      </c>
      <c r="U8" s="168">
        <f t="shared" ref="U8:U13" si="118">S8*T$1</f>
        <v>13.377820259980826</v>
      </c>
      <c r="V8" s="168">
        <f t="shared" si="70"/>
        <v>37.334297301631182</v>
      </c>
      <c r="W8" s="15">
        <v>104.77</v>
      </c>
      <c r="X8" s="150">
        <v>100.2</v>
      </c>
      <c r="Y8" s="10">
        <f t="shared" si="1"/>
        <v>4.5699999999999932</v>
      </c>
      <c r="Z8" s="10">
        <f t="shared" si="2"/>
        <v>14.839999999999989</v>
      </c>
      <c r="AA8" s="168">
        <f t="shared" si="79"/>
        <v>16.613217007639175</v>
      </c>
      <c r="AB8" s="168">
        <f t="shared" si="80"/>
        <v>53.94751430927036</v>
      </c>
      <c r="AC8" s="15">
        <v>107.37</v>
      </c>
      <c r="AD8" s="150">
        <v>102.29</v>
      </c>
      <c r="AE8" s="10">
        <f t="shared" ref="AE8" si="119">AC8-AD8</f>
        <v>5.0799999999999983</v>
      </c>
      <c r="AF8" s="10">
        <f t="shared" ref="AF8" si="120">Z8+AE8</f>
        <v>19.919999999999987</v>
      </c>
      <c r="AG8" s="168">
        <f t="shared" si="3"/>
        <v>18.467208402364793</v>
      </c>
      <c r="AH8" s="168">
        <f t="shared" ref="AH8" si="121">AB8+AG8</f>
        <v>72.41472271163515</v>
      </c>
      <c r="AI8" s="15">
        <v>106.74</v>
      </c>
      <c r="AJ8" s="150">
        <v>102.28</v>
      </c>
      <c r="AK8" s="10">
        <f t="shared" si="84"/>
        <v>4.4599999999999937</v>
      </c>
      <c r="AL8" s="10">
        <f t="shared" si="85"/>
        <v>24.379999999999981</v>
      </c>
      <c r="AM8" s="168">
        <f t="shared" si="4"/>
        <v>16.213336510737577</v>
      </c>
      <c r="AN8" s="168">
        <f t="shared" si="86"/>
        <v>88.628059222372727</v>
      </c>
      <c r="AO8" s="15">
        <v>105.54</v>
      </c>
      <c r="AP8" s="10">
        <v>100.59</v>
      </c>
      <c r="AQ8" s="10">
        <f t="shared" ref="AQ8" si="122">AO8-AP8</f>
        <v>4.9500000000000028</v>
      </c>
      <c r="AR8" s="10">
        <f t="shared" ref="AR8" si="123">AL8+AQ8</f>
        <v>29.329999999999984</v>
      </c>
      <c r="AS8" s="168">
        <f t="shared" si="5"/>
        <v>17.994622360572009</v>
      </c>
      <c r="AT8" s="168">
        <f t="shared" ref="AT8" si="124">AN8+AS8</f>
        <v>106.62268158294474</v>
      </c>
      <c r="AU8" s="15">
        <v>105.11</v>
      </c>
      <c r="AV8" s="13">
        <v>101.43</v>
      </c>
      <c r="AW8" s="10">
        <f t="shared" ref="AW8" si="125">AU8-AV8</f>
        <v>3.6799999999999926</v>
      </c>
      <c r="AX8" s="10">
        <f t="shared" ref="AX8" si="126">AR8+AW8</f>
        <v>33.009999999999977</v>
      </c>
      <c r="AY8" s="168">
        <f t="shared" si="6"/>
        <v>13.377820259980773</v>
      </c>
      <c r="AZ8" s="168">
        <f t="shared" ref="AZ8:AZ13" si="127">AT8+AY8</f>
        <v>120.0005018429255</v>
      </c>
      <c r="BA8" s="15">
        <v>107.23</v>
      </c>
      <c r="BB8" s="150">
        <v>103.07</v>
      </c>
      <c r="BC8" s="10">
        <f t="shared" ref="BC8" si="128">BA8-BB8</f>
        <v>4.1600000000000108</v>
      </c>
      <c r="BD8" s="10">
        <f t="shared" ref="BD8" si="129">AX8+BC8</f>
        <v>37.169999999999987</v>
      </c>
      <c r="BE8" s="168">
        <f t="shared" ref="BE8" si="130">BC8*$T$1</f>
        <v>15.122753337369639</v>
      </c>
      <c r="BF8" s="168">
        <f t="shared" ref="BF8" si="131">AZ8+BE8</f>
        <v>135.12325518029513</v>
      </c>
      <c r="BG8" s="15">
        <v>106.19</v>
      </c>
      <c r="BH8" s="10">
        <v>101.77</v>
      </c>
      <c r="BI8" s="10">
        <f t="shared" ref="BI8" si="132">BG8-BH8</f>
        <v>4.4200000000000017</v>
      </c>
      <c r="BJ8" s="10">
        <f t="shared" ref="BJ8" si="133">BD8+BI8</f>
        <v>41.589999999999989</v>
      </c>
      <c r="BK8" s="168">
        <f t="shared" si="7"/>
        <v>16.067925420955206</v>
      </c>
      <c r="BL8" s="168">
        <f t="shared" ref="BL8" si="134">BF8+BK8</f>
        <v>151.19118060125032</v>
      </c>
      <c r="BM8" s="15">
        <v>104.82</v>
      </c>
      <c r="BN8" s="150">
        <v>99.58</v>
      </c>
      <c r="BO8" s="10">
        <f t="shared" ref="BO8" si="135">BM8-BN8</f>
        <v>5.2399999999999949</v>
      </c>
      <c r="BP8" s="10">
        <f t="shared" ref="BP8" si="136">BJ8+BO8</f>
        <v>46.829999999999984</v>
      </c>
      <c r="BQ8" s="168">
        <f t="shared" ref="BQ8" si="137">BO8*$T$1</f>
        <v>19.048852761494381</v>
      </c>
      <c r="BR8" s="168">
        <f t="shared" ref="BR8" si="138">BL8+BQ8</f>
        <v>170.2400333627447</v>
      </c>
      <c r="BS8" s="15">
        <v>105.8</v>
      </c>
      <c r="BT8" s="10">
        <v>101.54</v>
      </c>
      <c r="BU8" s="10">
        <f t="shared" si="8"/>
        <v>4.2599999999999909</v>
      </c>
      <c r="BV8" s="10">
        <f t="shared" si="9"/>
        <v>51.089999999999975</v>
      </c>
      <c r="BW8" s="168">
        <f t="shared" si="10"/>
        <v>15.486281061825567</v>
      </c>
      <c r="BX8" s="168">
        <f t="shared" ref="BX8" si="139">BR8+BW8</f>
        <v>185.72631442457026</v>
      </c>
      <c r="BY8" s="15">
        <v>105.8</v>
      </c>
      <c r="BZ8" s="150">
        <v>102.15</v>
      </c>
      <c r="CA8" s="10">
        <f t="shared" si="11"/>
        <v>3.6499999999999915</v>
      </c>
      <c r="CB8" s="172">
        <v>1.48</v>
      </c>
      <c r="CC8" s="172">
        <f t="shared" si="54"/>
        <v>5.1299999999999919</v>
      </c>
      <c r="CD8" s="10">
        <f t="shared" si="55"/>
        <v>56.21999999999997</v>
      </c>
      <c r="CE8" s="369">
        <f>(CA8*$T$1)+6.7192</f>
        <v>19.98796194264397</v>
      </c>
      <c r="CF8" s="168">
        <f t="shared" si="12"/>
        <v>205.71427636721424</v>
      </c>
      <c r="CG8" s="15">
        <v>106.11</v>
      </c>
      <c r="CH8" s="10">
        <v>102.59</v>
      </c>
      <c r="CI8" s="10">
        <f t="shared" si="13"/>
        <v>3.519999999999996</v>
      </c>
      <c r="CJ8" s="10">
        <f t="shared" si="14"/>
        <v>59.739999999999966</v>
      </c>
      <c r="CK8" s="168">
        <f t="shared" si="15"/>
        <v>12.796175900851186</v>
      </c>
      <c r="CL8" s="168">
        <f t="shared" ref="CL8" si="140">CF8+CK8</f>
        <v>218.51045226806542</v>
      </c>
      <c r="CM8" s="15">
        <v>107.75</v>
      </c>
      <c r="CN8" s="13">
        <v>103.68</v>
      </c>
      <c r="CO8" s="10">
        <f t="shared" si="16"/>
        <v>4.0699999999999932</v>
      </c>
      <c r="CP8" s="10">
        <f t="shared" si="57"/>
        <v>63.80999999999996</v>
      </c>
      <c r="CQ8" s="168">
        <f t="shared" si="17"/>
        <v>14.795578385359176</v>
      </c>
      <c r="CR8" s="168">
        <f t="shared" ref="CR8" si="141">CL8+CQ8</f>
        <v>233.30603065342459</v>
      </c>
      <c r="CS8" s="15">
        <v>105.47</v>
      </c>
      <c r="CT8" s="10">
        <v>102.69</v>
      </c>
      <c r="CU8" s="10">
        <f t="shared" si="18"/>
        <v>2.7800000000000011</v>
      </c>
      <c r="CV8" s="10">
        <f t="shared" si="19"/>
        <v>66.589999999999961</v>
      </c>
      <c r="CW8" s="168">
        <f t="shared" si="20"/>
        <v>10.106070739876804</v>
      </c>
      <c r="CX8" s="168">
        <f t="shared" ref="CX8" si="142">CR8+CW8</f>
        <v>243.41210139330138</v>
      </c>
      <c r="CY8" s="15">
        <v>105.02</v>
      </c>
      <c r="CZ8" s="10">
        <v>101.17</v>
      </c>
      <c r="DA8" s="10">
        <f t="shared" ref="DA8:DA13" si="143">CY8-CZ8</f>
        <v>3.8499999999999943</v>
      </c>
      <c r="DB8" s="10">
        <f t="shared" ref="DB8:DB13" si="144">CV8+DA8</f>
        <v>70.439999999999955</v>
      </c>
      <c r="DC8" s="168">
        <f t="shared" si="21"/>
        <v>13.995817391555979</v>
      </c>
      <c r="DD8" s="168">
        <f t="shared" ref="DD8" si="145">CX8+DC8</f>
        <v>257.40791878485737</v>
      </c>
      <c r="DE8" s="15">
        <v>109.07</v>
      </c>
      <c r="DF8" s="10">
        <v>105.46</v>
      </c>
      <c r="DG8" s="10">
        <f t="shared" ref="DG8" si="146">DE8-DF8</f>
        <v>3.6099999999999994</v>
      </c>
      <c r="DH8" s="10">
        <f t="shared" ref="DH8" si="147">DB8+DG8</f>
        <v>74.049999999999955</v>
      </c>
      <c r="DI8" s="168">
        <f t="shared" si="22"/>
        <v>13.123350852861599</v>
      </c>
      <c r="DJ8" s="168">
        <f t="shared" ref="DJ8" si="148">DD8+DI8</f>
        <v>270.53126963771899</v>
      </c>
      <c r="DK8" s="15">
        <v>107.89</v>
      </c>
      <c r="DL8" s="150">
        <v>103.01</v>
      </c>
      <c r="DM8" s="10">
        <f>(DK8-DL8)</f>
        <v>4.8799999999999955</v>
      </c>
      <c r="DN8" s="10">
        <f>DH8+DM8</f>
        <v>78.92999999999995</v>
      </c>
      <c r="DO8" s="168">
        <f>DM8*$T$1</f>
        <v>17.740152953452785</v>
      </c>
      <c r="DP8" s="168">
        <f t="shared" ref="DP8" si="149">DJ8+DO8</f>
        <v>288.27142259117176</v>
      </c>
      <c r="DQ8" s="15">
        <v>105.06</v>
      </c>
      <c r="DR8" s="150">
        <v>101.9</v>
      </c>
      <c r="DS8" s="10">
        <f>(DQ8-DR8)</f>
        <v>3.1599999999999966</v>
      </c>
      <c r="DT8" s="10">
        <f t="shared" ref="DT8" si="150">DN8+DS8</f>
        <v>82.089999999999947</v>
      </c>
      <c r="DU8" s="168">
        <f>DS8*$T$1</f>
        <v>11.487476092809588</v>
      </c>
      <c r="DV8" s="168">
        <f t="shared" ref="DV8" si="151">DP8+DU8</f>
        <v>299.75889868398133</v>
      </c>
      <c r="DW8" s="15">
        <v>105.58</v>
      </c>
      <c r="DX8" s="10">
        <v>102.35</v>
      </c>
      <c r="DY8" s="10">
        <f t="shared" si="23"/>
        <v>3.230000000000004</v>
      </c>
      <c r="DZ8" s="10">
        <f t="shared" si="24"/>
        <v>85.319999999999951</v>
      </c>
      <c r="EA8" s="168">
        <f t="shared" si="25"/>
        <v>11.741945499928814</v>
      </c>
      <c r="EB8" s="306">
        <f t="shared" ref="EB8" si="152">DV8+EA8</f>
        <v>311.50084418391015</v>
      </c>
    </row>
    <row r="9" spans="1:132" ht="12" customHeight="1">
      <c r="A9" s="313"/>
      <c r="B9" s="10"/>
      <c r="C9" s="122"/>
      <c r="D9" s="10"/>
      <c r="E9" s="10"/>
      <c r="F9" s="377"/>
      <c r="G9" s="14"/>
      <c r="H9" s="10"/>
      <c r="I9" s="10"/>
      <c r="J9" s="168"/>
      <c r="K9" s="15"/>
      <c r="L9" s="10"/>
      <c r="M9" s="10"/>
      <c r="N9" s="10"/>
      <c r="O9" s="168"/>
      <c r="P9" s="168"/>
      <c r="Q9" s="15"/>
      <c r="R9" s="10"/>
      <c r="S9" s="10"/>
      <c r="T9" s="10"/>
      <c r="U9" s="168"/>
      <c r="V9" s="168"/>
      <c r="W9" s="15"/>
      <c r="X9" s="10"/>
      <c r="Y9" s="10"/>
      <c r="Z9" s="10"/>
      <c r="AA9" s="168"/>
      <c r="AB9" s="168"/>
      <c r="AC9" s="15"/>
      <c r="AD9" s="10"/>
      <c r="AE9" s="10"/>
      <c r="AF9" s="10"/>
      <c r="AG9" s="168"/>
      <c r="AH9" s="168"/>
      <c r="AI9" s="15"/>
      <c r="AJ9" s="10"/>
      <c r="AK9" s="10"/>
      <c r="AL9" s="10"/>
      <c r="AM9" s="168"/>
      <c r="AN9" s="168"/>
      <c r="AO9" s="15"/>
      <c r="AP9" s="10"/>
      <c r="AQ9" s="10"/>
      <c r="AR9" s="10"/>
      <c r="AS9" s="168"/>
      <c r="AT9" s="168"/>
      <c r="AU9" s="15"/>
      <c r="AV9" s="13"/>
      <c r="AW9" s="10"/>
      <c r="AX9" s="10"/>
      <c r="AY9" s="168"/>
      <c r="AZ9" s="168"/>
      <c r="BA9" s="15"/>
      <c r="BB9" s="10"/>
      <c r="BC9" s="10"/>
      <c r="BD9" s="10"/>
      <c r="BE9" s="168"/>
      <c r="BF9" s="168"/>
      <c r="BG9" s="15"/>
      <c r="BH9" s="10"/>
      <c r="BI9" s="10"/>
      <c r="BJ9" s="10"/>
      <c r="BK9" s="168"/>
      <c r="BL9" s="168"/>
      <c r="BM9" s="15"/>
      <c r="BN9" s="10"/>
      <c r="BO9" s="10"/>
      <c r="BP9" s="10"/>
      <c r="BQ9" s="168"/>
      <c r="BR9" s="168"/>
      <c r="BS9" s="15"/>
      <c r="BT9" s="10"/>
      <c r="BU9" s="10"/>
      <c r="BV9" s="10"/>
      <c r="BW9" s="168"/>
      <c r="BX9" s="168"/>
      <c r="BY9" s="15"/>
      <c r="BZ9" s="10"/>
      <c r="CA9" s="10"/>
      <c r="CB9" s="172"/>
      <c r="CC9" s="172"/>
      <c r="CD9" s="10"/>
      <c r="CE9" s="369"/>
      <c r="CF9" s="168"/>
      <c r="CG9" s="15"/>
      <c r="CH9" s="10"/>
      <c r="CI9" s="10"/>
      <c r="CJ9" s="10"/>
      <c r="CK9" s="168"/>
      <c r="CL9" s="168"/>
      <c r="CM9" s="15"/>
      <c r="CN9" s="13"/>
      <c r="CO9" s="10"/>
      <c r="CP9" s="10"/>
      <c r="CQ9" s="168"/>
      <c r="CR9" s="168"/>
      <c r="CS9" s="15"/>
      <c r="CT9" s="10"/>
      <c r="CU9" s="10"/>
      <c r="CV9" s="10"/>
      <c r="CW9" s="168"/>
      <c r="CX9" s="168"/>
      <c r="CY9" s="15"/>
      <c r="CZ9" s="10"/>
      <c r="DA9" s="10"/>
      <c r="DB9" s="10"/>
      <c r="DC9" s="168"/>
      <c r="DD9" s="168"/>
      <c r="DE9" s="15"/>
      <c r="DF9" s="10"/>
      <c r="DG9" s="10"/>
      <c r="DH9" s="10"/>
      <c r="DI9" s="168"/>
      <c r="DJ9" s="168"/>
      <c r="DK9" s="15"/>
      <c r="DL9" s="10"/>
      <c r="DM9" s="10"/>
      <c r="DN9" s="10"/>
      <c r="DO9" s="168"/>
      <c r="DP9" s="168"/>
      <c r="DQ9" s="15"/>
      <c r="DR9" s="10"/>
      <c r="DS9" s="10"/>
      <c r="DT9" s="10"/>
      <c r="DU9" s="168"/>
      <c r="DV9" s="168"/>
      <c r="DW9" s="15"/>
      <c r="DX9" s="10"/>
      <c r="DY9" s="10"/>
      <c r="DZ9" s="10"/>
      <c r="EA9" s="168"/>
      <c r="EB9" s="306"/>
    </row>
    <row r="10" spans="1:132" ht="12" customHeight="1">
      <c r="A10" s="313"/>
      <c r="B10" s="10"/>
      <c r="C10" s="89"/>
      <c r="D10" s="10"/>
      <c r="E10" s="10"/>
      <c r="F10" s="377"/>
      <c r="G10" s="14"/>
      <c r="H10" s="10"/>
      <c r="I10" s="10"/>
      <c r="J10" s="168"/>
      <c r="K10" s="15"/>
      <c r="L10" s="10"/>
      <c r="M10" s="10"/>
      <c r="N10" s="10"/>
      <c r="O10" s="168"/>
      <c r="P10" s="168"/>
      <c r="Q10" s="15"/>
      <c r="R10" s="10"/>
      <c r="S10" s="10"/>
      <c r="T10" s="10"/>
      <c r="U10" s="168"/>
      <c r="V10" s="168"/>
      <c r="W10" s="15"/>
      <c r="X10" s="10"/>
      <c r="Y10" s="10"/>
      <c r="Z10" s="10"/>
      <c r="AA10" s="168"/>
      <c r="AB10" s="168"/>
      <c r="AC10" s="15"/>
      <c r="AD10" s="378"/>
      <c r="AE10" s="10"/>
      <c r="AF10" s="10"/>
      <c r="AG10" s="168"/>
      <c r="AH10" s="168"/>
      <c r="AI10" s="15"/>
      <c r="AJ10" s="10"/>
      <c r="AK10" s="10"/>
      <c r="AL10" s="10"/>
      <c r="AM10" s="168"/>
      <c r="AN10" s="168"/>
      <c r="AO10" s="15"/>
      <c r="AP10" s="10"/>
      <c r="AQ10" s="10"/>
      <c r="AR10" s="10"/>
      <c r="AS10" s="168"/>
      <c r="AT10" s="168"/>
      <c r="AU10" s="15"/>
      <c r="AV10" s="13"/>
      <c r="AW10" s="10"/>
      <c r="AX10" s="10"/>
      <c r="AY10" s="168"/>
      <c r="AZ10" s="168"/>
      <c r="BA10" s="15"/>
      <c r="BB10" s="10"/>
      <c r="BC10" s="10"/>
      <c r="BD10" s="10"/>
      <c r="BE10" s="168"/>
      <c r="BF10" s="168"/>
      <c r="BG10" s="15"/>
      <c r="BH10" s="10"/>
      <c r="BI10" s="10"/>
      <c r="BJ10" s="10"/>
      <c r="BK10" s="168"/>
      <c r="BL10" s="168"/>
      <c r="BM10" s="15"/>
      <c r="BN10" s="10"/>
      <c r="BO10" s="10"/>
      <c r="BP10" s="10"/>
      <c r="BQ10" s="168"/>
      <c r="BR10" s="168"/>
      <c r="BS10" s="15"/>
      <c r="BT10" s="10"/>
      <c r="BU10" s="10"/>
      <c r="BV10" s="10"/>
      <c r="BW10" s="168"/>
      <c r="BX10" s="168"/>
      <c r="BY10" s="15"/>
      <c r="BZ10" s="10"/>
      <c r="CA10" s="10"/>
      <c r="CB10" s="172"/>
      <c r="CC10" s="172"/>
      <c r="CD10" s="10"/>
      <c r="CE10" s="369"/>
      <c r="CF10" s="168"/>
      <c r="CG10" s="15"/>
      <c r="CH10" s="10"/>
      <c r="CI10" s="10"/>
      <c r="CJ10" s="10"/>
      <c r="CK10" s="168"/>
      <c r="CL10" s="168"/>
      <c r="CM10" s="15"/>
      <c r="CN10" s="13"/>
      <c r="CO10" s="10"/>
      <c r="CP10" s="10"/>
      <c r="CQ10" s="168"/>
      <c r="CR10" s="168"/>
      <c r="CS10" s="15"/>
      <c r="CT10" s="10"/>
      <c r="CU10" s="10"/>
      <c r="CV10" s="10"/>
      <c r="CW10" s="168"/>
      <c r="CX10" s="168"/>
      <c r="CY10" s="15"/>
      <c r="CZ10" s="10"/>
      <c r="DA10" s="10"/>
      <c r="DB10" s="10"/>
      <c r="DC10" s="168"/>
      <c r="DD10" s="168"/>
      <c r="DE10" s="15"/>
      <c r="DF10" s="10"/>
      <c r="DG10" s="10"/>
      <c r="DH10" s="10"/>
      <c r="DI10" s="168"/>
      <c r="DJ10" s="168"/>
      <c r="DK10" s="15"/>
      <c r="DL10" s="10"/>
      <c r="DM10" s="10"/>
      <c r="DN10" s="10"/>
      <c r="DO10" s="168"/>
      <c r="DP10" s="168"/>
      <c r="DQ10" s="15"/>
      <c r="DR10" s="10"/>
      <c r="DS10" s="10"/>
      <c r="DT10" s="10"/>
      <c r="DU10" s="168"/>
      <c r="DV10" s="168"/>
      <c r="DW10" s="15"/>
      <c r="DX10" s="10"/>
      <c r="DY10" s="10"/>
      <c r="DZ10" s="10"/>
      <c r="EA10" s="168"/>
      <c r="EB10" s="306"/>
    </row>
    <row r="11" spans="1:132" ht="12" customHeight="1">
      <c r="A11" s="313" t="s">
        <v>274</v>
      </c>
      <c r="B11" s="10" t="s">
        <v>275</v>
      </c>
      <c r="C11" s="89"/>
      <c r="D11" s="10" t="s">
        <v>26</v>
      </c>
      <c r="E11" s="10" t="s">
        <v>262</v>
      </c>
      <c r="F11" s="89">
        <v>43742</v>
      </c>
      <c r="G11" s="13">
        <v>104.97</v>
      </c>
      <c r="H11" s="163">
        <v>101.46</v>
      </c>
      <c r="I11" s="10">
        <f t="shared" si="113"/>
        <v>3.5100000000000051</v>
      </c>
      <c r="J11" s="168">
        <f t="shared" si="114"/>
        <v>12.759823128405619</v>
      </c>
      <c r="K11" s="15">
        <v>105.84</v>
      </c>
      <c r="L11" s="10">
        <v>102.39</v>
      </c>
      <c r="M11" s="10">
        <f t="shared" ref="M11:M13" si="153">K11-L11</f>
        <v>3.4500000000000028</v>
      </c>
      <c r="N11" s="10">
        <f t="shared" ref="N11:N13" si="154">I11+M11</f>
        <v>6.960000000000008</v>
      </c>
      <c r="O11" s="168">
        <f t="shared" ref="O11:O13" si="155">M11*T$1</f>
        <v>12.541706493732011</v>
      </c>
      <c r="P11" s="168">
        <f t="shared" ref="P11:P13" si="156">J11+O11</f>
        <v>25.301529622137629</v>
      </c>
      <c r="Q11" s="15">
        <v>105.12</v>
      </c>
      <c r="R11" s="163">
        <v>101.81</v>
      </c>
      <c r="S11" s="10">
        <f t="shared" si="117"/>
        <v>3.3100000000000023</v>
      </c>
      <c r="T11" s="10">
        <f t="shared" si="77"/>
        <v>10.27000000000001</v>
      </c>
      <c r="U11" s="168">
        <f t="shared" si="118"/>
        <v>12.032767679493608</v>
      </c>
      <c r="V11" s="168">
        <f t="shared" si="70"/>
        <v>37.334297301631238</v>
      </c>
      <c r="W11" s="15">
        <v>105.82</v>
      </c>
      <c r="X11" s="398">
        <v>102.94</v>
      </c>
      <c r="Y11" s="10">
        <f t="shared" ref="Y11:Y13" si="157">W11-X11</f>
        <v>2.8799999999999955</v>
      </c>
      <c r="Z11" s="10">
        <f t="shared" ref="Z11:Z13" si="158">T11+Y11</f>
        <v>13.150000000000006</v>
      </c>
      <c r="AA11" s="168">
        <f t="shared" ref="AA11:AA13" si="159">Y11*$T$1</f>
        <v>10.469598464332783</v>
      </c>
      <c r="AB11" s="168">
        <f t="shared" ref="AB11:AB13" si="160">V11+AA11</f>
        <v>47.803895765964022</v>
      </c>
      <c r="AC11" s="15">
        <v>104.55</v>
      </c>
      <c r="AD11" s="398">
        <v>100.78</v>
      </c>
      <c r="AE11" s="10">
        <f t="shared" ref="AE11:AE13" si="161">AC11-AD11</f>
        <v>3.769999999999996</v>
      </c>
      <c r="AF11" s="10">
        <f t="shared" ref="AF11:AF13" si="162">Z11+AE11</f>
        <v>16.920000000000002</v>
      </c>
      <c r="AG11" s="168">
        <f t="shared" ref="AG11:AG13" si="163">AE11*$T$1</f>
        <v>13.704995211991186</v>
      </c>
      <c r="AH11" s="168">
        <f t="shared" ref="AH11:AH13" si="164">AB11+AG11</f>
        <v>61.508890977955204</v>
      </c>
      <c r="AI11" s="15">
        <v>103.78</v>
      </c>
      <c r="AJ11" s="398">
        <v>100.15</v>
      </c>
      <c r="AK11" s="10">
        <f t="shared" ref="AK11:AK13" si="165">AI11-AJ11</f>
        <v>3.6299999999999955</v>
      </c>
      <c r="AL11" s="10">
        <f t="shared" ref="AL11:AL13" si="166">AF11+AK11</f>
        <v>20.549999999999997</v>
      </c>
      <c r="AM11" s="168">
        <f t="shared" ref="AM11:AM13" si="167">AK11*$T$1</f>
        <v>13.196056397752784</v>
      </c>
      <c r="AN11" s="168">
        <f t="shared" ref="AN11:AN13" si="168">AH11+AM11</f>
        <v>74.704947375707988</v>
      </c>
      <c r="AO11" s="399">
        <v>246.74</v>
      </c>
      <c r="AP11" s="10">
        <v>242.44</v>
      </c>
      <c r="AQ11" s="10">
        <f t="shared" ref="AQ11:AQ13" si="169">AO11-AP11</f>
        <v>4.3000000000000114</v>
      </c>
      <c r="AR11" s="10">
        <f t="shared" ref="AR11:AR13" si="170">AL11+AQ11</f>
        <v>24.850000000000009</v>
      </c>
      <c r="AS11" s="168">
        <f t="shared" ref="AS11:AS13" si="171">AQ11*$T$1</f>
        <v>15.631692151608043</v>
      </c>
      <c r="AT11" s="168">
        <f t="shared" ref="AT11:AT13" si="172">AN11+AS11</f>
        <v>90.336639527316038</v>
      </c>
      <c r="AU11" s="15">
        <v>250.65</v>
      </c>
      <c r="AV11" s="13">
        <v>246.58</v>
      </c>
      <c r="AW11" s="10">
        <f t="shared" ref="AW11:AW13" si="173">AU11-AV11</f>
        <v>4.0699999999999932</v>
      </c>
      <c r="AX11" s="10">
        <f t="shared" ref="AX11:AX13" si="174">AR11+AW11</f>
        <v>28.92</v>
      </c>
      <c r="AY11" s="168">
        <f t="shared" si="6"/>
        <v>14.795578385359176</v>
      </c>
      <c r="AZ11" s="168">
        <f t="shared" si="127"/>
        <v>105.13221791267522</v>
      </c>
      <c r="BA11" s="15">
        <v>249.86</v>
      </c>
      <c r="BB11" s="10">
        <v>245.18</v>
      </c>
      <c r="BC11" s="10">
        <f t="shared" ref="BC11:BC13" si="175">BA11-BB11</f>
        <v>4.6800000000000068</v>
      </c>
      <c r="BD11" s="10">
        <f t="shared" ref="BD11:BD13" si="176">AX11+BC11</f>
        <v>33.600000000000009</v>
      </c>
      <c r="BE11" s="168">
        <f t="shared" ref="BE11:BE13" si="177">BC11*$T$1</f>
        <v>17.013097504540827</v>
      </c>
      <c r="BF11" s="168">
        <f t="shared" ref="BF11:BF13" si="178">AZ11+BE11</f>
        <v>122.14531541721604</v>
      </c>
      <c r="BG11" s="15">
        <v>250.48</v>
      </c>
      <c r="BH11" s="10">
        <v>245.97</v>
      </c>
      <c r="BI11" s="10">
        <f t="shared" ref="BI11:BI13" si="179">BG11-BH11</f>
        <v>4.5099999999999909</v>
      </c>
      <c r="BJ11" s="10">
        <f t="shared" ref="BJ11:BJ13" si="180">BD11+BI11</f>
        <v>38.11</v>
      </c>
      <c r="BK11" s="168">
        <f t="shared" ref="BK11:BK13" si="181">BI11*$T$1</f>
        <v>16.395100372965569</v>
      </c>
      <c r="BL11" s="168">
        <f t="shared" ref="BL11:BL13" si="182">BF11+BK11</f>
        <v>138.54041579018161</v>
      </c>
      <c r="BM11" s="15">
        <v>244.56</v>
      </c>
      <c r="BN11" s="10">
        <v>240.27</v>
      </c>
      <c r="BO11" s="10">
        <f t="shared" ref="BO11:BO13" si="183">BM11-BN11</f>
        <v>4.289999999999992</v>
      </c>
      <c r="BP11" s="10">
        <f t="shared" ref="BP11:BP13" si="184">BJ11+BO11</f>
        <v>42.399999999999991</v>
      </c>
      <c r="BQ11" s="168">
        <f t="shared" ref="BQ11:BQ13" si="185">BO11*$T$1</f>
        <v>15.595339379162372</v>
      </c>
      <c r="BR11" s="168">
        <f t="shared" ref="BR11:BR13" si="186">BL11+BQ11</f>
        <v>154.13575516934398</v>
      </c>
      <c r="BS11" s="15">
        <v>253.77</v>
      </c>
      <c r="BT11" s="10">
        <v>249.64</v>
      </c>
      <c r="BU11" s="10">
        <f t="shared" ref="BU11:BU13" si="187">BS11-BT11</f>
        <v>4.1300000000000239</v>
      </c>
      <c r="BV11" s="10">
        <f t="shared" ref="BV11:BV13" si="188">BP11+BU11</f>
        <v>46.530000000000015</v>
      </c>
      <c r="BW11" s="168">
        <f t="shared" ref="BW11:BW13" si="189">BU11*$T$1</f>
        <v>15.013695020032888</v>
      </c>
      <c r="BX11" s="168">
        <f t="shared" ref="BX11:BX13" si="190">BR11+BW11</f>
        <v>169.14945018937686</v>
      </c>
      <c r="BY11" s="15">
        <v>251.94</v>
      </c>
      <c r="BZ11" s="10">
        <v>250.19</v>
      </c>
      <c r="CA11" s="10">
        <f t="shared" si="11"/>
        <v>1.75</v>
      </c>
      <c r="CB11" s="172">
        <v>4.99</v>
      </c>
      <c r="CC11" s="172">
        <f t="shared" si="54"/>
        <v>6.74</v>
      </c>
      <c r="CD11" s="10">
        <f t="shared" ref="CD11:CD13" si="191">BV11+CC11</f>
        <v>53.270000000000017</v>
      </c>
      <c r="CE11" s="369">
        <f>(CA11*$T$1)+21.85</f>
        <v>28.211735177980003</v>
      </c>
      <c r="CF11" s="168">
        <f t="shared" ref="CF11:CF13" si="192">BX11+CE11</f>
        <v>197.36118536735688</v>
      </c>
      <c r="CG11" s="15">
        <v>253.13</v>
      </c>
      <c r="CH11" s="10">
        <v>250.21</v>
      </c>
      <c r="CI11" s="10">
        <f t="shared" ref="CI11:CI13" si="193">CG11-CH11</f>
        <v>2.9199999999999875</v>
      </c>
      <c r="CJ11" s="10">
        <f t="shared" ref="CJ11:CJ13" si="194">CD11+CI11</f>
        <v>56.190000000000005</v>
      </c>
      <c r="CK11" s="168">
        <f t="shared" ref="CK11:CK13" si="195">CI11*$T$1</f>
        <v>10.615009554115154</v>
      </c>
      <c r="CL11" s="168">
        <f t="shared" ref="CL11:CL13" si="196">CF11+CK11</f>
        <v>207.97619492147203</v>
      </c>
      <c r="CM11" s="15">
        <v>255.97</v>
      </c>
      <c r="CN11" s="13">
        <v>251.38</v>
      </c>
      <c r="CO11" s="10">
        <f t="shared" ref="CO11:CO13" si="197">CM11-CN11</f>
        <v>4.5900000000000034</v>
      </c>
      <c r="CP11" s="10">
        <f t="shared" ref="CP11:CP13" si="198">CJ11+CO11</f>
        <v>60.780000000000008</v>
      </c>
      <c r="CQ11" s="168">
        <f t="shared" ref="CQ11:CQ13" si="199">CO11*$T$1</f>
        <v>16.685922552530414</v>
      </c>
      <c r="CR11" s="168">
        <f t="shared" ref="CR11:CR13" si="200">CL11+CQ11</f>
        <v>224.66211747400246</v>
      </c>
      <c r="CS11" s="15">
        <v>257.81</v>
      </c>
      <c r="CT11" s="10">
        <v>254.09</v>
      </c>
      <c r="CU11" s="10">
        <f t="shared" ref="CU11:CU13" si="201">CS11-CT11</f>
        <v>3.7199999999999989</v>
      </c>
      <c r="CV11" s="10">
        <f t="shared" ref="CV11:CV13" si="202">CP11+CU11</f>
        <v>64.5</v>
      </c>
      <c r="CW11" s="168">
        <f t="shared" ref="CW11:CW13" si="203">CU11*$T$1</f>
        <v>13.523231349763197</v>
      </c>
      <c r="CX11" s="168">
        <f t="shared" ref="CX11:CX13" si="204">CR11+CW11</f>
        <v>238.18534882376565</v>
      </c>
      <c r="CY11" s="15">
        <v>256.56</v>
      </c>
      <c r="CZ11" s="10">
        <v>253.03</v>
      </c>
      <c r="DA11" s="10">
        <f t="shared" si="143"/>
        <v>3.5300000000000011</v>
      </c>
      <c r="DB11" s="10">
        <f t="shared" si="144"/>
        <v>68.03</v>
      </c>
      <c r="DC11" s="168">
        <f t="shared" ref="DC11:DC13" si="205">DA11*$T$1</f>
        <v>12.832528673296805</v>
      </c>
      <c r="DD11" s="168">
        <f t="shared" ref="DD11:DD13" si="206">CX11+DC11</f>
        <v>251.01787749706244</v>
      </c>
      <c r="DE11" s="15">
        <v>252.3</v>
      </c>
      <c r="DF11" s="10">
        <v>249.03</v>
      </c>
      <c r="DG11" s="10">
        <f t="shared" ref="DG11:DG13" si="207">DE11-DF11</f>
        <v>3.2700000000000102</v>
      </c>
      <c r="DH11" s="10">
        <f t="shared" ref="DH11:DH13" si="208">DB11+DG11</f>
        <v>71.300000000000011</v>
      </c>
      <c r="DI11" s="168">
        <f t="shared" ref="DI11:DI13" si="209">DG11*$T$1</f>
        <v>11.887356589711237</v>
      </c>
      <c r="DJ11" s="168">
        <f t="shared" ref="DJ11:DJ13" si="210">DD11+DI11</f>
        <v>262.9052340867737</v>
      </c>
      <c r="DK11" s="15">
        <v>254.58</v>
      </c>
      <c r="DL11" s="10">
        <v>250.29</v>
      </c>
      <c r="DM11" s="10">
        <f t="shared" ref="DM11:DM13" si="211">(DK11-DL11)</f>
        <v>4.2900000000000205</v>
      </c>
      <c r="DN11" s="10">
        <f t="shared" ref="DN11:DN13" si="212">DH11+DM11</f>
        <v>75.590000000000032</v>
      </c>
      <c r="DO11" s="168">
        <f t="shared" ref="DO11:DO13" si="213">DM11*$T$1</f>
        <v>15.595339379162475</v>
      </c>
      <c r="DP11" s="168">
        <f t="shared" ref="DP11:DP13" si="214">DJ11+DO11</f>
        <v>278.50057346593616</v>
      </c>
      <c r="DQ11" s="15">
        <v>255.36</v>
      </c>
      <c r="DR11" s="10">
        <v>251.73</v>
      </c>
      <c r="DS11" s="10">
        <f t="shared" ref="DS11:DS13" si="215">(DQ11-DR11)</f>
        <v>3.6300000000000239</v>
      </c>
      <c r="DT11" s="10">
        <f t="shared" ref="DT11:DT13" si="216">DN11+DS11</f>
        <v>79.220000000000056</v>
      </c>
      <c r="DU11" s="168">
        <f t="shared" ref="DU11:DU13" si="217">DS11*$T$1</f>
        <v>13.196056397752887</v>
      </c>
      <c r="DV11" s="168">
        <f t="shared" ref="DV11:DV13" si="218">DP11+DU11</f>
        <v>291.69662986368905</v>
      </c>
      <c r="DW11" s="15">
        <v>251.19</v>
      </c>
      <c r="DX11" s="10">
        <v>247.96</v>
      </c>
      <c r="DY11" s="10">
        <f t="shared" si="23"/>
        <v>3.2299999999999898</v>
      </c>
      <c r="DZ11" s="10">
        <f t="shared" ref="DZ11:DZ13" si="219">DT11+DY11</f>
        <v>82.450000000000045</v>
      </c>
      <c r="EA11" s="168">
        <f t="shared" ref="EA11:EA13" si="220">DY11*$T$1</f>
        <v>11.741945499928763</v>
      </c>
      <c r="EB11" s="306">
        <f t="shared" ref="EB11:EB13" si="221">DV11+EA11</f>
        <v>303.43857536361782</v>
      </c>
    </row>
    <row r="12" spans="1:132" ht="12" customHeight="1">
      <c r="A12" s="313" t="s">
        <v>277</v>
      </c>
      <c r="B12" s="10" t="s">
        <v>278</v>
      </c>
      <c r="C12" s="89"/>
      <c r="D12" s="10" t="s">
        <v>26</v>
      </c>
      <c r="E12" s="10" t="s">
        <v>262</v>
      </c>
      <c r="F12" s="89">
        <v>43742</v>
      </c>
      <c r="G12" s="13">
        <v>105.51</v>
      </c>
      <c r="H12" s="163">
        <v>102.17</v>
      </c>
      <c r="I12" s="10">
        <f t="shared" si="113"/>
        <v>3.3400000000000034</v>
      </c>
      <c r="J12" s="168">
        <f t="shared" si="114"/>
        <v>12.141825996830413</v>
      </c>
      <c r="K12" s="15">
        <v>105.95</v>
      </c>
      <c r="L12" s="10">
        <v>102.77</v>
      </c>
      <c r="M12" s="10">
        <f t="shared" si="153"/>
        <v>3.1800000000000068</v>
      </c>
      <c r="N12" s="10">
        <f t="shared" si="154"/>
        <v>6.5200000000000102</v>
      </c>
      <c r="O12" s="168">
        <f t="shared" si="155"/>
        <v>11.560181637700826</v>
      </c>
      <c r="P12" s="168">
        <f t="shared" si="156"/>
        <v>23.702007634531238</v>
      </c>
      <c r="Q12" s="15">
        <v>103.57</v>
      </c>
      <c r="R12" s="163">
        <v>100.34</v>
      </c>
      <c r="S12" s="10">
        <f t="shared" si="117"/>
        <v>3.2299999999999898</v>
      </c>
      <c r="T12" s="10">
        <f t="shared" si="77"/>
        <v>9.75</v>
      </c>
      <c r="U12" s="168">
        <f t="shared" si="118"/>
        <v>11.741945499928763</v>
      </c>
      <c r="V12" s="168">
        <f t="shared" si="70"/>
        <v>35.443953134460003</v>
      </c>
      <c r="W12" s="15">
        <v>105.96</v>
      </c>
      <c r="X12" s="398">
        <v>103.56</v>
      </c>
      <c r="Y12" s="10">
        <f t="shared" si="157"/>
        <v>2.3999999999999915</v>
      </c>
      <c r="Z12" s="10">
        <f t="shared" si="158"/>
        <v>12.149999999999991</v>
      </c>
      <c r="AA12" s="168">
        <f t="shared" si="159"/>
        <v>8.7246653869439701</v>
      </c>
      <c r="AB12" s="168">
        <f t="shared" si="160"/>
        <v>44.168618521403971</v>
      </c>
      <c r="AC12" s="15">
        <v>105.46</v>
      </c>
      <c r="AD12" s="398">
        <v>103.64</v>
      </c>
      <c r="AE12" s="10">
        <f t="shared" si="161"/>
        <v>1.8199999999999932</v>
      </c>
      <c r="AF12" s="10">
        <f t="shared" si="162"/>
        <v>13.969999999999985</v>
      </c>
      <c r="AG12" s="168">
        <f t="shared" si="163"/>
        <v>6.6162045850991751</v>
      </c>
      <c r="AH12" s="168">
        <f t="shared" si="164"/>
        <v>50.784823106503147</v>
      </c>
      <c r="AI12" s="399">
        <v>240.48</v>
      </c>
      <c r="AJ12" s="10">
        <v>236.38</v>
      </c>
      <c r="AK12" s="10">
        <f t="shared" si="165"/>
        <v>4.0999999999999943</v>
      </c>
      <c r="AL12" s="10">
        <f t="shared" si="166"/>
        <v>18.069999999999979</v>
      </c>
      <c r="AM12" s="168">
        <f t="shared" si="167"/>
        <v>14.90463670269598</v>
      </c>
      <c r="AN12" s="168">
        <f t="shared" si="168"/>
        <v>65.689459809199121</v>
      </c>
      <c r="AO12" s="15">
        <v>249.46</v>
      </c>
      <c r="AP12" s="10">
        <v>245.06</v>
      </c>
      <c r="AQ12" s="10">
        <f t="shared" si="169"/>
        <v>4.4000000000000057</v>
      </c>
      <c r="AR12" s="10">
        <f t="shared" si="170"/>
        <v>22.469999999999985</v>
      </c>
      <c r="AS12" s="168">
        <f t="shared" si="171"/>
        <v>15.995219876064022</v>
      </c>
      <c r="AT12" s="168">
        <f t="shared" si="172"/>
        <v>81.684679685263148</v>
      </c>
      <c r="AU12" s="15">
        <v>248.22</v>
      </c>
      <c r="AV12" s="13">
        <v>244.21</v>
      </c>
      <c r="AW12" s="10">
        <f>AU12-AV12</f>
        <v>4.0099999999999909</v>
      </c>
      <c r="AX12" s="10">
        <f t="shared" si="174"/>
        <v>26.479999999999976</v>
      </c>
      <c r="AY12" s="168">
        <f t="shared" si="6"/>
        <v>14.577461750685567</v>
      </c>
      <c r="AZ12" s="168">
        <f t="shared" si="127"/>
        <v>96.26214143594872</v>
      </c>
      <c r="BA12" s="15">
        <v>252.2</v>
      </c>
      <c r="BB12" s="10">
        <v>247.73</v>
      </c>
      <c r="BC12" s="10">
        <f t="shared" si="175"/>
        <v>4.4699999999999989</v>
      </c>
      <c r="BD12" s="10">
        <f t="shared" si="176"/>
        <v>30.949999999999974</v>
      </c>
      <c r="BE12" s="168">
        <f t="shared" si="177"/>
        <v>16.249689283183198</v>
      </c>
      <c r="BF12" s="168">
        <f t="shared" si="178"/>
        <v>112.51183071913192</v>
      </c>
      <c r="BG12" s="15">
        <v>255.62</v>
      </c>
      <c r="BH12" s="10">
        <v>251.41</v>
      </c>
      <c r="BI12" s="10">
        <f t="shared" si="179"/>
        <v>4.210000000000008</v>
      </c>
      <c r="BJ12" s="10">
        <f t="shared" si="180"/>
        <v>35.159999999999982</v>
      </c>
      <c r="BK12" s="168">
        <f t="shared" si="181"/>
        <v>15.30451719959763</v>
      </c>
      <c r="BL12" s="168">
        <f t="shared" si="182"/>
        <v>127.81634791872955</v>
      </c>
      <c r="BM12" s="15">
        <v>250.73</v>
      </c>
      <c r="BN12" s="10">
        <v>245.99</v>
      </c>
      <c r="BO12" s="10">
        <f t="shared" si="183"/>
        <v>4.7399999999999807</v>
      </c>
      <c r="BP12" s="10">
        <f t="shared" si="184"/>
        <v>39.899999999999963</v>
      </c>
      <c r="BQ12" s="168">
        <f t="shared" si="185"/>
        <v>17.23121413921433</v>
      </c>
      <c r="BR12" s="168">
        <f t="shared" si="186"/>
        <v>145.04756205794388</v>
      </c>
      <c r="BS12" s="15">
        <v>251.39</v>
      </c>
      <c r="BT12" s="10">
        <v>247.81</v>
      </c>
      <c r="BU12" s="10">
        <f t="shared" si="187"/>
        <v>3.5799999999999841</v>
      </c>
      <c r="BV12" s="10">
        <f t="shared" si="188"/>
        <v>43.479999999999947</v>
      </c>
      <c r="BW12" s="168">
        <f t="shared" si="189"/>
        <v>13.014292535524742</v>
      </c>
      <c r="BX12" s="168">
        <f t="shared" si="190"/>
        <v>158.06185459346861</v>
      </c>
      <c r="BY12" s="15">
        <v>252.85</v>
      </c>
      <c r="BZ12" s="10">
        <v>251.31</v>
      </c>
      <c r="CA12" s="10">
        <f t="shared" si="11"/>
        <v>1.539999999999992</v>
      </c>
      <c r="CB12" s="172">
        <v>1.81</v>
      </c>
      <c r="CC12" s="172">
        <f t="shared" si="54"/>
        <v>3.3499999999999921</v>
      </c>
      <c r="CD12" s="10">
        <f t="shared" si="191"/>
        <v>46.829999999999941</v>
      </c>
      <c r="CE12" s="369">
        <f>(CA12*$T$1)+7.57</f>
        <v>13.168326956622373</v>
      </c>
      <c r="CF12" s="168">
        <f t="shared" si="192"/>
        <v>171.23018155009098</v>
      </c>
      <c r="CG12" s="15">
        <v>253.46</v>
      </c>
      <c r="CH12" s="10">
        <v>250.79</v>
      </c>
      <c r="CI12" s="10">
        <f t="shared" si="193"/>
        <v>2.6700000000000159</v>
      </c>
      <c r="CJ12" s="10">
        <f t="shared" si="194"/>
        <v>49.499999999999957</v>
      </c>
      <c r="CK12" s="168">
        <f t="shared" si="195"/>
        <v>9.7061902429752589</v>
      </c>
      <c r="CL12" s="168">
        <f t="shared" si="196"/>
        <v>180.93637179306623</v>
      </c>
      <c r="CM12" s="15">
        <v>255.98</v>
      </c>
      <c r="CN12" s="13">
        <v>252.78</v>
      </c>
      <c r="CO12" s="10">
        <f t="shared" si="197"/>
        <v>3.1999999999999886</v>
      </c>
      <c r="CP12" s="10">
        <f t="shared" si="198"/>
        <v>52.699999999999946</v>
      </c>
      <c r="CQ12" s="168">
        <f t="shared" si="199"/>
        <v>11.63288718259196</v>
      </c>
      <c r="CR12" s="168">
        <f t="shared" si="200"/>
        <v>192.56925897565819</v>
      </c>
      <c r="CS12" s="15">
        <v>257.69</v>
      </c>
      <c r="CT12" s="10">
        <v>253.74</v>
      </c>
      <c r="CU12" s="10">
        <f t="shared" si="201"/>
        <v>3.9499999999999886</v>
      </c>
      <c r="CV12" s="10">
        <f t="shared" si="202"/>
        <v>56.649999999999935</v>
      </c>
      <c r="CW12" s="168">
        <f t="shared" si="203"/>
        <v>14.359345116011959</v>
      </c>
      <c r="CX12" s="168">
        <f t="shared" si="204"/>
        <v>206.92860409167014</v>
      </c>
      <c r="CY12" s="15">
        <v>255.85</v>
      </c>
      <c r="CZ12" s="10">
        <v>252.23</v>
      </c>
      <c r="DA12" s="10">
        <f t="shared" si="143"/>
        <v>3.6200000000000045</v>
      </c>
      <c r="DB12" s="10">
        <f t="shared" si="144"/>
        <v>60.269999999999939</v>
      </c>
      <c r="DC12" s="168">
        <f t="shared" si="205"/>
        <v>13.159703625307216</v>
      </c>
      <c r="DD12" s="168">
        <f t="shared" si="206"/>
        <v>220.08830771697734</v>
      </c>
      <c r="DE12" s="15">
        <v>251.44</v>
      </c>
      <c r="DF12" s="10">
        <v>248.19</v>
      </c>
      <c r="DG12" s="10">
        <f t="shared" si="207"/>
        <v>3.25</v>
      </c>
      <c r="DH12" s="10">
        <f t="shared" si="208"/>
        <v>63.519999999999939</v>
      </c>
      <c r="DI12" s="168">
        <f t="shared" si="209"/>
        <v>11.81465104482</v>
      </c>
      <c r="DJ12" s="168">
        <f t="shared" si="210"/>
        <v>231.90295876179735</v>
      </c>
      <c r="DK12" s="15">
        <v>254.34</v>
      </c>
      <c r="DL12" s="10">
        <v>250.64</v>
      </c>
      <c r="DM12" s="10">
        <f t="shared" si="211"/>
        <v>3.7000000000000171</v>
      </c>
      <c r="DN12" s="10">
        <f t="shared" si="212"/>
        <v>67.219999999999956</v>
      </c>
      <c r="DO12" s="168">
        <f t="shared" si="213"/>
        <v>13.450525804872063</v>
      </c>
      <c r="DP12" s="168">
        <f t="shared" si="214"/>
        <v>245.35348456666941</v>
      </c>
      <c r="DQ12" s="15">
        <v>256.74</v>
      </c>
      <c r="DR12" s="10">
        <v>253.25</v>
      </c>
      <c r="DS12" s="10">
        <f t="shared" si="215"/>
        <v>3.4900000000000091</v>
      </c>
      <c r="DT12" s="10">
        <f t="shared" si="216"/>
        <v>70.709999999999965</v>
      </c>
      <c r="DU12" s="168">
        <f t="shared" si="217"/>
        <v>12.687117583514434</v>
      </c>
      <c r="DV12" s="168">
        <f t="shared" si="218"/>
        <v>258.04060215018382</v>
      </c>
      <c r="DW12" s="15">
        <v>252.47</v>
      </c>
      <c r="DX12" s="10">
        <v>249.03</v>
      </c>
      <c r="DY12" s="10">
        <f t="shared" si="23"/>
        <v>3.4399999999999977</v>
      </c>
      <c r="DZ12" s="10">
        <f t="shared" si="219"/>
        <v>74.149999999999963</v>
      </c>
      <c r="EA12" s="168">
        <f t="shared" si="220"/>
        <v>12.505353721286392</v>
      </c>
      <c r="EB12" s="306">
        <f t="shared" si="221"/>
        <v>270.5459558714702</v>
      </c>
    </row>
    <row r="13" spans="1:132" ht="12" customHeight="1">
      <c r="A13" s="313" t="s">
        <v>279</v>
      </c>
      <c r="B13" s="10" t="s">
        <v>280</v>
      </c>
      <c r="C13" s="89"/>
      <c r="D13" s="10" t="s">
        <v>26</v>
      </c>
      <c r="E13" s="10" t="s">
        <v>262</v>
      </c>
      <c r="F13" s="89">
        <v>43742</v>
      </c>
      <c r="G13" s="13">
        <v>106.93</v>
      </c>
      <c r="H13" s="163">
        <v>102.67</v>
      </c>
      <c r="I13" s="10">
        <f t="shared" si="113"/>
        <v>4.2600000000000051</v>
      </c>
      <c r="J13" s="168">
        <f t="shared" si="114"/>
        <v>15.486281061825618</v>
      </c>
      <c r="K13" s="15">
        <v>107</v>
      </c>
      <c r="L13" s="10">
        <v>102.54</v>
      </c>
      <c r="M13" s="10">
        <f t="shared" si="153"/>
        <v>4.4599999999999937</v>
      </c>
      <c r="N13" s="10">
        <f t="shared" si="154"/>
        <v>8.7199999999999989</v>
      </c>
      <c r="O13" s="168">
        <f t="shared" si="155"/>
        <v>16.213336510737577</v>
      </c>
      <c r="P13" s="168">
        <f t="shared" si="156"/>
        <v>31.699617572563195</v>
      </c>
      <c r="Q13" s="15">
        <v>103.58</v>
      </c>
      <c r="R13" s="163">
        <v>99.86</v>
      </c>
      <c r="S13" s="10">
        <f t="shared" si="117"/>
        <v>3.7199999999999989</v>
      </c>
      <c r="T13" s="10">
        <f t="shared" si="77"/>
        <v>12.439999999999998</v>
      </c>
      <c r="U13" s="168">
        <f t="shared" si="118"/>
        <v>13.523231349763197</v>
      </c>
      <c r="V13" s="168">
        <f t="shared" si="70"/>
        <v>45.222848922326392</v>
      </c>
      <c r="W13" s="15">
        <v>105.62</v>
      </c>
      <c r="X13" s="398">
        <v>101.11</v>
      </c>
      <c r="Y13" s="10">
        <f t="shared" si="157"/>
        <v>4.5100000000000051</v>
      </c>
      <c r="Z13" s="10">
        <f t="shared" si="158"/>
        <v>16.950000000000003</v>
      </c>
      <c r="AA13" s="168">
        <f t="shared" si="159"/>
        <v>16.395100372965619</v>
      </c>
      <c r="AB13" s="168">
        <f t="shared" si="160"/>
        <v>61.617949295292007</v>
      </c>
      <c r="AC13" s="15">
        <v>105.11</v>
      </c>
      <c r="AD13" s="398">
        <v>102.46</v>
      </c>
      <c r="AE13" s="10">
        <f t="shared" si="161"/>
        <v>2.6500000000000057</v>
      </c>
      <c r="AF13" s="10">
        <f t="shared" si="162"/>
        <v>19.600000000000009</v>
      </c>
      <c r="AG13" s="168">
        <f t="shared" si="163"/>
        <v>9.6334846980840219</v>
      </c>
      <c r="AH13" s="168">
        <f t="shared" si="164"/>
        <v>71.251433993376025</v>
      </c>
      <c r="AI13" s="399">
        <v>248.42</v>
      </c>
      <c r="AJ13" s="10">
        <v>243.41</v>
      </c>
      <c r="AK13" s="10">
        <f t="shared" si="165"/>
        <v>5.0099999999999909</v>
      </c>
      <c r="AL13" s="10">
        <f t="shared" si="166"/>
        <v>24.61</v>
      </c>
      <c r="AM13" s="168">
        <f t="shared" si="167"/>
        <v>18.212738995245566</v>
      </c>
      <c r="AN13" s="168">
        <f t="shared" si="168"/>
        <v>89.464172988621584</v>
      </c>
      <c r="AO13" s="15">
        <v>249.91</v>
      </c>
      <c r="AP13" s="10">
        <v>244.34</v>
      </c>
      <c r="AQ13" s="10">
        <f t="shared" si="169"/>
        <v>5.5699999999999932</v>
      </c>
      <c r="AR13" s="10">
        <f t="shared" si="170"/>
        <v>30.179999999999993</v>
      </c>
      <c r="AS13" s="168">
        <f t="shared" si="171"/>
        <v>20.248494252199176</v>
      </c>
      <c r="AT13" s="168">
        <f t="shared" si="172"/>
        <v>109.71266724082076</v>
      </c>
      <c r="AU13" s="15">
        <v>253.17</v>
      </c>
      <c r="AV13" s="13">
        <v>247.98</v>
      </c>
      <c r="AW13" s="10">
        <f t="shared" si="173"/>
        <v>5.1899999999999977</v>
      </c>
      <c r="AX13" s="10">
        <f t="shared" si="174"/>
        <v>35.36999999999999</v>
      </c>
      <c r="AY13" s="168">
        <f t="shared" si="6"/>
        <v>18.867088899266392</v>
      </c>
      <c r="AZ13" s="168">
        <f t="shared" si="127"/>
        <v>128.57975614008717</v>
      </c>
      <c r="BA13" s="15">
        <v>246.8</v>
      </c>
      <c r="BB13" s="10">
        <v>241.3</v>
      </c>
      <c r="BC13" s="10">
        <f t="shared" si="175"/>
        <v>5.5</v>
      </c>
      <c r="BD13" s="10">
        <f t="shared" si="176"/>
        <v>40.86999999999999</v>
      </c>
      <c r="BE13" s="168">
        <f t="shared" si="177"/>
        <v>19.994024845080002</v>
      </c>
      <c r="BF13" s="168">
        <f t="shared" si="178"/>
        <v>148.57378098516716</v>
      </c>
      <c r="BG13" s="15">
        <v>253.5</v>
      </c>
      <c r="BH13" s="10">
        <v>249.01</v>
      </c>
      <c r="BI13" s="10">
        <f t="shared" si="179"/>
        <v>4.4900000000000091</v>
      </c>
      <c r="BJ13" s="10">
        <f t="shared" si="180"/>
        <v>45.36</v>
      </c>
      <c r="BK13" s="168">
        <f t="shared" si="181"/>
        <v>16.322394828074433</v>
      </c>
      <c r="BL13" s="168">
        <f t="shared" si="182"/>
        <v>164.8961758132416</v>
      </c>
      <c r="BM13" s="15">
        <v>247.32</v>
      </c>
      <c r="BN13" s="10">
        <v>242.53</v>
      </c>
      <c r="BO13" s="10">
        <f t="shared" si="183"/>
        <v>4.789999999999992</v>
      </c>
      <c r="BP13" s="10">
        <f t="shared" si="184"/>
        <v>50.149999999999991</v>
      </c>
      <c r="BQ13" s="168">
        <f t="shared" si="185"/>
        <v>17.412978001442372</v>
      </c>
      <c r="BR13" s="168">
        <f t="shared" si="186"/>
        <v>182.30915381468398</v>
      </c>
      <c r="BS13" s="15">
        <v>256.83999999999997</v>
      </c>
      <c r="BT13" s="10">
        <v>252.16</v>
      </c>
      <c r="BU13" s="10">
        <f t="shared" si="187"/>
        <v>4.6799999999999784</v>
      </c>
      <c r="BV13" s="10">
        <f t="shared" si="188"/>
        <v>54.82999999999997</v>
      </c>
      <c r="BW13" s="168">
        <f t="shared" si="189"/>
        <v>17.01309750454072</v>
      </c>
      <c r="BX13" s="168">
        <f t="shared" si="190"/>
        <v>199.3222513192247</v>
      </c>
      <c r="BY13" s="15">
        <v>257.49</v>
      </c>
      <c r="BZ13" s="10">
        <v>255.1</v>
      </c>
      <c r="CA13" s="10">
        <f t="shared" si="11"/>
        <v>2.3900000000000148</v>
      </c>
      <c r="CB13" s="172">
        <v>2.4</v>
      </c>
      <c r="CC13" s="172">
        <f t="shared" si="54"/>
        <v>4.7900000000000151</v>
      </c>
      <c r="CD13" s="10">
        <f t="shared" si="191"/>
        <v>59.619999999999983</v>
      </c>
      <c r="CE13" s="369">
        <f>(CA13*$T$1)+10.44</f>
        <v>19.128312614498455</v>
      </c>
      <c r="CF13" s="168">
        <f t="shared" si="192"/>
        <v>218.45056393372317</v>
      </c>
      <c r="CG13" s="15">
        <v>255.02</v>
      </c>
      <c r="CH13" s="10">
        <v>251.72</v>
      </c>
      <c r="CI13" s="10">
        <f t="shared" si="193"/>
        <v>3.3000000000000114</v>
      </c>
      <c r="CJ13" s="10">
        <f t="shared" si="194"/>
        <v>62.919999999999995</v>
      </c>
      <c r="CK13" s="168">
        <f t="shared" si="195"/>
        <v>11.996414907048042</v>
      </c>
      <c r="CL13" s="168">
        <f t="shared" si="196"/>
        <v>230.44697884077121</v>
      </c>
      <c r="CM13" s="15">
        <v>253.62</v>
      </c>
      <c r="CN13" s="13">
        <v>249.24</v>
      </c>
      <c r="CO13" s="10">
        <f t="shared" si="197"/>
        <v>4.3799999999999955</v>
      </c>
      <c r="CP13" s="10">
        <f t="shared" si="198"/>
        <v>67.299999999999983</v>
      </c>
      <c r="CQ13" s="168">
        <f t="shared" si="199"/>
        <v>15.922514331172785</v>
      </c>
      <c r="CR13" s="168">
        <f t="shared" si="200"/>
        <v>246.36949317194399</v>
      </c>
      <c r="CS13" s="15">
        <v>255.5</v>
      </c>
      <c r="CT13" s="10">
        <v>251.43</v>
      </c>
      <c r="CU13" s="10">
        <f t="shared" si="201"/>
        <v>4.0699999999999932</v>
      </c>
      <c r="CV13" s="10">
        <f t="shared" si="202"/>
        <v>71.369999999999976</v>
      </c>
      <c r="CW13" s="168">
        <f t="shared" si="203"/>
        <v>14.795578385359176</v>
      </c>
      <c r="CX13" s="168">
        <f t="shared" si="204"/>
        <v>261.16507155730318</v>
      </c>
      <c r="CY13" s="15">
        <v>255.98</v>
      </c>
      <c r="CZ13" s="10">
        <v>252.61</v>
      </c>
      <c r="DA13" s="10">
        <f t="shared" si="143"/>
        <v>3.3699999999999761</v>
      </c>
      <c r="DB13" s="10">
        <f t="shared" si="144"/>
        <v>74.739999999999952</v>
      </c>
      <c r="DC13" s="168">
        <f t="shared" si="205"/>
        <v>12.250884314167113</v>
      </c>
      <c r="DD13" s="168">
        <f t="shared" si="206"/>
        <v>273.41595587147032</v>
      </c>
      <c r="DE13" s="15">
        <v>251.08</v>
      </c>
      <c r="DF13" s="10">
        <v>246.41</v>
      </c>
      <c r="DG13" s="10">
        <f t="shared" si="207"/>
        <v>4.6700000000000159</v>
      </c>
      <c r="DH13" s="10">
        <f t="shared" si="208"/>
        <v>79.409999999999968</v>
      </c>
      <c r="DI13" s="168">
        <f t="shared" si="209"/>
        <v>16.976744732095259</v>
      </c>
      <c r="DJ13" s="168">
        <f t="shared" si="210"/>
        <v>290.39270060356557</v>
      </c>
      <c r="DK13" s="15">
        <v>254.14</v>
      </c>
      <c r="DL13" s="10">
        <v>249.62</v>
      </c>
      <c r="DM13" s="10">
        <f t="shared" si="211"/>
        <v>4.5199999999999818</v>
      </c>
      <c r="DN13" s="10">
        <f t="shared" si="212"/>
        <v>83.92999999999995</v>
      </c>
      <c r="DO13" s="168">
        <f t="shared" si="213"/>
        <v>16.431453145411133</v>
      </c>
      <c r="DP13" s="168">
        <f t="shared" si="214"/>
        <v>306.8241537489767</v>
      </c>
      <c r="DQ13" s="15">
        <v>255.16</v>
      </c>
      <c r="DR13" s="10">
        <v>250.4</v>
      </c>
      <c r="DS13" s="10">
        <f t="shared" si="215"/>
        <v>4.7599999999999909</v>
      </c>
      <c r="DT13" s="10">
        <f t="shared" si="216"/>
        <v>88.689999999999941</v>
      </c>
      <c r="DU13" s="168">
        <f t="shared" si="217"/>
        <v>17.303919684105569</v>
      </c>
      <c r="DV13" s="168">
        <f t="shared" si="218"/>
        <v>324.12807343308225</v>
      </c>
      <c r="DW13" s="15">
        <v>249.84</v>
      </c>
      <c r="DX13" s="10">
        <v>246.22</v>
      </c>
      <c r="DY13" s="10">
        <f t="shared" si="23"/>
        <v>3.6200000000000045</v>
      </c>
      <c r="DZ13" s="10">
        <f t="shared" si="219"/>
        <v>92.309999999999945</v>
      </c>
      <c r="EA13" s="168">
        <f t="shared" si="220"/>
        <v>13.159703625307216</v>
      </c>
      <c r="EB13" s="306">
        <f t="shared" si="221"/>
        <v>337.28777705838945</v>
      </c>
    </row>
    <row r="14" spans="1:132" ht="12" customHeight="1">
      <c r="A14" s="9"/>
      <c r="B14" s="62"/>
      <c r="C14" s="11"/>
      <c r="D14" s="12"/>
      <c r="E14" s="10"/>
      <c r="F14" s="11"/>
      <c r="G14" s="15"/>
      <c r="H14" s="10"/>
      <c r="I14" s="10"/>
      <c r="J14" s="168"/>
      <c r="K14" s="15"/>
      <c r="L14" s="10"/>
      <c r="M14" s="10"/>
      <c r="N14" s="10"/>
      <c r="O14" s="168"/>
      <c r="P14" s="168"/>
      <c r="Q14" s="15"/>
      <c r="R14" s="10"/>
      <c r="S14" s="10"/>
      <c r="T14" s="10"/>
      <c r="U14" s="168"/>
      <c r="V14" s="168"/>
      <c r="W14" s="15"/>
      <c r="X14" s="10"/>
      <c r="Y14" s="10"/>
      <c r="Z14" s="10"/>
      <c r="AA14" s="10"/>
      <c r="AB14" s="10"/>
      <c r="AC14" s="15"/>
      <c r="AD14" s="10"/>
      <c r="AE14" s="10"/>
      <c r="AF14" s="10"/>
      <c r="AG14" s="10"/>
      <c r="AH14" s="10"/>
      <c r="AI14" s="15"/>
      <c r="AJ14" s="10"/>
      <c r="AK14" s="10"/>
      <c r="AL14" s="10"/>
      <c r="AM14" s="10"/>
      <c r="AN14" s="10"/>
      <c r="AO14" s="15"/>
      <c r="AP14" s="10"/>
      <c r="AQ14" s="10"/>
      <c r="AR14" s="10"/>
      <c r="AS14" s="10"/>
      <c r="AT14" s="10"/>
      <c r="AU14" s="15"/>
      <c r="AV14" s="13"/>
      <c r="AW14" s="10"/>
      <c r="AX14" s="10"/>
      <c r="AY14" s="10"/>
      <c r="AZ14" s="10"/>
      <c r="BA14" s="15"/>
      <c r="BB14" s="10"/>
      <c r="BC14" s="10"/>
      <c r="BD14" s="10"/>
      <c r="BE14" s="10"/>
      <c r="BF14" s="10"/>
      <c r="BG14" s="15"/>
      <c r="BH14" s="10"/>
      <c r="BI14" s="10"/>
      <c r="BJ14" s="10"/>
      <c r="BK14" s="10"/>
      <c r="BL14" s="10"/>
      <c r="BM14" s="15"/>
      <c r="BN14" s="10"/>
      <c r="BO14" s="10"/>
      <c r="BP14" s="10"/>
      <c r="BQ14" s="10"/>
      <c r="BR14" s="10"/>
      <c r="BS14" s="15"/>
      <c r="BT14" s="10"/>
      <c r="BU14" s="10"/>
      <c r="BV14" s="10"/>
      <c r="BW14" s="10"/>
      <c r="BX14" s="10"/>
      <c r="BY14" s="15"/>
      <c r="BZ14" s="10"/>
      <c r="CA14" s="10"/>
      <c r="CB14" s="172"/>
      <c r="CC14" s="172"/>
      <c r="CD14" s="10"/>
      <c r="CE14" s="172"/>
      <c r="CF14" s="10"/>
      <c r="CG14" s="15"/>
      <c r="CH14" s="10"/>
      <c r="CI14" s="10"/>
      <c r="CJ14" s="10"/>
      <c r="CK14" s="10"/>
      <c r="CL14" s="10"/>
      <c r="CM14" s="15"/>
      <c r="CN14" s="13"/>
      <c r="CO14" s="10"/>
      <c r="CP14" s="10"/>
      <c r="CQ14" s="10"/>
      <c r="CR14" s="10"/>
      <c r="CS14" s="15"/>
      <c r="CT14" s="10"/>
      <c r="CU14" s="10"/>
      <c r="CV14" s="10"/>
      <c r="CW14" s="10"/>
      <c r="CX14" s="10"/>
      <c r="CY14" s="15"/>
      <c r="CZ14" s="10"/>
      <c r="DA14" s="10"/>
      <c r="DB14" s="10"/>
      <c r="DC14" s="10"/>
      <c r="DD14" s="10"/>
      <c r="DE14" s="15"/>
      <c r="DF14" s="10"/>
      <c r="DG14" s="10"/>
      <c r="DH14" s="10"/>
      <c r="DI14" s="10"/>
      <c r="DJ14" s="10"/>
      <c r="DK14" s="15"/>
      <c r="DL14" s="10"/>
      <c r="DM14" s="10"/>
      <c r="DN14" s="10"/>
      <c r="DO14" s="10"/>
      <c r="DP14" s="10"/>
      <c r="DQ14" s="15"/>
      <c r="DR14" s="10"/>
      <c r="DS14" s="10"/>
      <c r="DT14" s="10"/>
      <c r="DU14" s="10"/>
      <c r="DV14" s="10"/>
      <c r="DW14" s="15"/>
      <c r="DX14" s="10"/>
      <c r="DY14" s="10"/>
      <c r="DZ14" s="10"/>
      <c r="EA14" s="10"/>
      <c r="EB14" s="216"/>
    </row>
    <row r="15" spans="1:132">
      <c r="A15" s="16"/>
      <c r="B15" s="60"/>
      <c r="C15" s="11"/>
      <c r="D15" s="3"/>
      <c r="E15" s="3"/>
      <c r="F15" s="17"/>
      <c r="G15" s="20"/>
      <c r="H15" s="18"/>
      <c r="I15" s="3">
        <f>AVERAGE(I4:I14)</f>
        <v>3.5975000000000019</v>
      </c>
      <c r="J15" s="19">
        <f>AVERAGE(J4:J14)</f>
        <v>13.077909887304607</v>
      </c>
      <c r="K15" s="20"/>
      <c r="L15" s="18"/>
      <c r="M15" s="3">
        <f>AVERAGE(M4:M14)</f>
        <v>3.9674999999999994</v>
      </c>
      <c r="N15" s="3">
        <f>AVERAGE(N4:N14)</f>
        <v>7.5650000000000013</v>
      </c>
      <c r="O15" s="141">
        <f>AVERAGE(O4:O14)</f>
        <v>14.422962467791796</v>
      </c>
      <c r="P15" s="141">
        <f>AVERAGE(P4:P14)</f>
        <v>27.500872355096405</v>
      </c>
      <c r="Q15" s="20"/>
      <c r="R15" s="18"/>
      <c r="S15" s="3">
        <f>AVERAGE(S4:S14)</f>
        <v>3.9187499999999975</v>
      </c>
      <c r="T15" s="3">
        <f>AVERAGE(T4:T14)</f>
        <v>11.483749999999999</v>
      </c>
      <c r="U15" s="141">
        <f>AVERAGE(U4:U14)</f>
        <v>14.24574270211949</v>
      </c>
      <c r="V15" s="3">
        <f>AVERAGE(V4:V14)</f>
        <v>41.746615057215891</v>
      </c>
      <c r="W15" s="20"/>
      <c r="X15" s="18"/>
      <c r="Y15" s="3">
        <f>AVERAGE(Y4:Y14)</f>
        <v>4.0012499999999971</v>
      </c>
      <c r="Z15" s="3">
        <f>AVERAGE(Z4:Z14)</f>
        <v>15.484999999999996</v>
      </c>
      <c r="AA15" s="3">
        <f>AVERAGE(AA4:AA14)</f>
        <v>14.545653074795689</v>
      </c>
      <c r="AB15" s="3">
        <f>AVERAGE(AB4:AB14)</f>
        <v>56.292268132011586</v>
      </c>
      <c r="AC15" s="20"/>
      <c r="AD15" s="18"/>
      <c r="AE15" s="3">
        <f>AVERAGE(AE4:AE14)</f>
        <v>4.0087499999999974</v>
      </c>
      <c r="AF15" s="3">
        <f>AVERAGE(AF4:AF14)</f>
        <v>19.493749999999991</v>
      </c>
      <c r="AG15" s="3">
        <f>AVERAGE(AG4:AG14)</f>
        <v>14.57291765412989</v>
      </c>
      <c r="AH15" s="3">
        <f>AVERAGE(AH4:AH14)</f>
        <v>70.865185786141481</v>
      </c>
      <c r="AI15" s="20"/>
      <c r="AJ15" s="18"/>
      <c r="AK15" s="3">
        <f>AVERAGE(AK4:AK14)</f>
        <v>4.4374999999999964</v>
      </c>
      <c r="AL15" s="3">
        <f>AVERAGE(AL4:AL14)</f>
        <v>23.931249999999991</v>
      </c>
      <c r="AM15" s="3">
        <f>AVERAGE(AM4:AM14)</f>
        <v>16.131542772734988</v>
      </c>
      <c r="AN15" s="3">
        <f>AVERAGE(AN4:AN14)</f>
        <v>86.996728558876455</v>
      </c>
      <c r="AO15" s="20"/>
      <c r="AP15" s="3"/>
      <c r="AQ15" s="3">
        <f>AVERAGE(AQ4:AQ14)</f>
        <v>4.865000000000002</v>
      </c>
      <c r="AR15" s="3">
        <f>AVERAGE(AR4:AR14)</f>
        <v>28.796249999999993</v>
      </c>
      <c r="AS15" s="3">
        <f>AVERAGE(AS4:AS14)</f>
        <v>17.685623794784409</v>
      </c>
      <c r="AT15" s="3">
        <f>AVERAGE(AT4:AT14)</f>
        <v>104.68235235366087</v>
      </c>
      <c r="AU15" s="20"/>
      <c r="AV15" s="3"/>
      <c r="AW15" s="3">
        <f>AVERAGE(AW4:AW14)</f>
        <v>4.1562499999999947</v>
      </c>
      <c r="AX15" s="3">
        <f>AVERAGE(AX4:AX14)</f>
        <v>32.952499999999986</v>
      </c>
      <c r="AY15" s="3">
        <f>AVERAGE(AY4:AY14)</f>
        <v>15.109121047702482</v>
      </c>
      <c r="AZ15" s="3">
        <f>AVERAGE(AZ4:AZ14)</f>
        <v>119.79147340136335</v>
      </c>
      <c r="BA15" s="20"/>
      <c r="BB15" s="3"/>
      <c r="BC15" s="3">
        <f>AVERAGE(BC4:BC14)</f>
        <v>4.5550000000000033</v>
      </c>
      <c r="BD15" s="3">
        <f>AVERAGE(BD4:BD14)</f>
        <v>37.507499999999993</v>
      </c>
      <c r="BE15" s="3">
        <f>AVERAGE(BE4:BE14)</f>
        <v>16.558687848970813</v>
      </c>
      <c r="BF15" s="3">
        <f>AVERAGE(BF4:BF14)</f>
        <v>136.35016125033417</v>
      </c>
      <c r="BG15" s="20"/>
      <c r="BH15" s="3"/>
      <c r="BI15" s="3">
        <f>AVERAGE(BI4:BI14)</f>
        <v>4.3662499999999991</v>
      </c>
      <c r="BJ15" s="3">
        <f>AVERAGE(BJ4:BJ14)</f>
        <v>41.873749999999987</v>
      </c>
      <c r="BK15" s="3">
        <f>AVERAGE(BK4:BK14)</f>
        <v>15.872529269060099</v>
      </c>
      <c r="BL15" s="3">
        <f>AVERAGE(BL4:BL14)</f>
        <v>152.22269051939426</v>
      </c>
      <c r="BM15" s="20"/>
      <c r="BN15" s="3"/>
      <c r="BO15" s="3">
        <f>AVERAGE(BO4:BO14)</f>
        <v>4.8649999999999949</v>
      </c>
      <c r="BP15" s="3">
        <f>AVERAGE(BP4:BP14)</f>
        <v>46.738749999999982</v>
      </c>
      <c r="BQ15" s="3">
        <f>AVERAGE(BQ4:BQ14)</f>
        <v>17.685623794784384</v>
      </c>
      <c r="BR15" s="3">
        <f>AVERAGE(BR4:BR14)</f>
        <v>169.90831431417863</v>
      </c>
      <c r="BS15" s="20"/>
      <c r="BT15" s="3"/>
      <c r="BU15" s="3">
        <f>AVERAGE(BU4:BU14)</f>
        <v>4.5112499999999986</v>
      </c>
      <c r="BV15" s="3">
        <f>AVERAGE(BV4:BV14)</f>
        <v>51.249999999999986</v>
      </c>
      <c r="BW15" s="3">
        <f>AVERAGE(BW4:BW14)</f>
        <v>16.399644469521295</v>
      </c>
      <c r="BX15" s="3">
        <f>AVERAGE(BX4:BX14)</f>
        <v>186.30795878369995</v>
      </c>
      <c r="BY15" s="20"/>
      <c r="BZ15" s="3"/>
      <c r="CA15" s="3">
        <f t="shared" ref="CA15:CF15" si="222">AVERAGE(CA4:CA14)</f>
        <v>2.9325000000000028</v>
      </c>
      <c r="CB15" s="173">
        <f t="shared" si="222"/>
        <v>2.1924999999999999</v>
      </c>
      <c r="CC15" s="173">
        <f t="shared" si="222"/>
        <v>5.1250000000000027</v>
      </c>
      <c r="CD15" s="3">
        <f t="shared" si="222"/>
        <v>56.374999999999993</v>
      </c>
      <c r="CE15" s="173">
        <f t="shared" si="222"/>
        <v>20.290975519672209</v>
      </c>
      <c r="CF15" s="3">
        <f t="shared" si="222"/>
        <v>206.59893430337218</v>
      </c>
      <c r="CG15" s="20"/>
      <c r="CH15" s="3"/>
      <c r="CI15" s="3">
        <f>AVERAGE(CI4:CI14)</f>
        <v>3.8412500000000023</v>
      </c>
      <c r="CJ15" s="3">
        <f>AVERAGE(CJ4:CJ14)</f>
        <v>60.216249999999988</v>
      </c>
      <c r="CK15" s="3">
        <f>AVERAGE(CK4:CK14)</f>
        <v>13.964008715666107</v>
      </c>
      <c r="CL15" s="3">
        <f>AVERAGE(CL4:CL14)</f>
        <v>220.56294301903824</v>
      </c>
      <c r="CM15" s="20"/>
      <c r="CN15" s="3"/>
      <c r="CO15" s="3">
        <f>AVERAGE(CO4:CO10)</f>
        <v>3.8019999999999952</v>
      </c>
      <c r="CP15" s="3">
        <f>AVERAGE(CP4:CP14)</f>
        <v>64.113749999999982</v>
      </c>
      <c r="CQ15" s="3">
        <f>AVERAGE(CQ4:CQ14)</f>
        <v>14.168493060672585</v>
      </c>
      <c r="CR15" s="3">
        <f>AVERAGE(CR4:CR14)</f>
        <v>234.73143607971085</v>
      </c>
      <c r="CS15" s="20"/>
      <c r="CT15" s="3"/>
      <c r="CU15" s="3">
        <f>AVERAGE(CU4:CU14)</f>
        <v>3.5162499999999994</v>
      </c>
      <c r="CV15" s="3">
        <f>AVERAGE(CV4:CV14)</f>
        <v>67.629999999999981</v>
      </c>
      <c r="CW15" s="3">
        <f>AVERAGE(CW4:CW14)</f>
        <v>12.782543611184101</v>
      </c>
      <c r="CX15" s="3">
        <f>AVERAGE(CX4:CX14)</f>
        <v>247.51397969089496</v>
      </c>
      <c r="CY15" s="20"/>
      <c r="CZ15" s="3"/>
      <c r="DA15" s="3">
        <f>AVERAGE(DA4:DA14)</f>
        <v>4.0537499999999973</v>
      </c>
      <c r="DB15" s="3">
        <f>AVERAGE(DB4:DB14)</f>
        <v>71.683749999999975</v>
      </c>
      <c r="DC15" s="3">
        <f>AVERAGE(DC4:DC14)</f>
        <v>14.73650513013509</v>
      </c>
      <c r="DD15" s="3">
        <f>AVERAGE(DD4:DD14)</f>
        <v>262.25048482103006</v>
      </c>
      <c r="DE15" s="20"/>
      <c r="DF15" s="3"/>
      <c r="DG15" s="3">
        <f>AVERAGE(DG4:DG14)</f>
        <v>4.2700000000000014</v>
      </c>
      <c r="DH15" s="3">
        <f>AVERAGE(DH4:DH14)</f>
        <v>75.953749999999985</v>
      </c>
      <c r="DI15" s="3">
        <f>AVERAGE(DI4:DI14)</f>
        <v>15.522633834271202</v>
      </c>
      <c r="DJ15" s="3">
        <f>AVERAGE(DJ4:DJ14)</f>
        <v>277.77311865530129</v>
      </c>
      <c r="DK15" s="20"/>
      <c r="DL15" s="3"/>
      <c r="DM15" s="3">
        <f>AVERAGE(DM4:DM14)</f>
        <v>4.5362499999999999</v>
      </c>
      <c r="DN15" s="3">
        <f>AVERAGE(DN4:DN14)</f>
        <v>80.489999999999981</v>
      </c>
      <c r="DO15" s="3">
        <f>AVERAGE(DO4:DO14)</f>
        <v>16.4905264006353</v>
      </c>
      <c r="DP15" s="3">
        <f>AVERAGE(DP4:DP14)</f>
        <v>294.26364505593654</v>
      </c>
      <c r="DQ15" s="20"/>
      <c r="DR15" s="3"/>
      <c r="DS15" s="3">
        <f>AVERAGE(DS4:DS14)</f>
        <v>3.7712500000000002</v>
      </c>
      <c r="DT15" s="3">
        <f>AVERAGE(DT4:DT14)</f>
        <v>84.261249999999976</v>
      </c>
      <c r="DU15" s="3">
        <f>AVERAGE(DU4:DU14)</f>
        <v>13.709539308546901</v>
      </c>
      <c r="DV15" s="3">
        <f>AVERAGE(DV4:DV14)</f>
        <v>307.97318436448342</v>
      </c>
      <c r="DW15" s="20"/>
      <c r="DX15" s="3"/>
      <c r="DY15" s="3">
        <f>AVERAGE(DY4:DY14)</f>
        <v>3.9462499999999991</v>
      </c>
      <c r="DZ15" s="3">
        <f>AVERAGE(DZ4:DZ14)</f>
        <v>88.207499999999968</v>
      </c>
      <c r="EA15" s="3">
        <f>AVERAGE(EA4:EA14)</f>
        <v>14.345712826344899</v>
      </c>
      <c r="EB15" s="207">
        <f>AVERAGE(EB4:EB14)</f>
        <v>322.3188971908283</v>
      </c>
    </row>
    <row r="16" spans="1:132">
      <c r="A16" s="16"/>
      <c r="B16" s="62"/>
      <c r="C16" s="17"/>
      <c r="D16" s="3"/>
      <c r="E16" s="3"/>
      <c r="F16" s="17"/>
      <c r="G16" s="20"/>
      <c r="H16" s="18"/>
      <c r="I16" s="3">
        <f>STDEV(I4:I14)/SQRT(COUNT(I4:I14))</f>
        <v>0.16440096888835079</v>
      </c>
      <c r="J16" s="19">
        <f>STDEV(J4:J14)/SQRT(COUNT(J4:J14))</f>
        <v>0.59764310118343889</v>
      </c>
      <c r="K16" s="20"/>
      <c r="L16" s="18"/>
      <c r="M16" s="3">
        <f>STDEV(M4:M14)/SQRT(COUNT(M4:M14))</f>
        <v>0.18572973836810597</v>
      </c>
      <c r="N16" s="3">
        <f>STDEV(N4:N14)/SQRT(COUNT(N4:N14))</f>
        <v>0.29785542993683456</v>
      </c>
      <c r="O16" s="3">
        <f>STDEV(O4:O14)/SQRT(COUNT(O4:O14))</f>
        <v>0.6751790915276672</v>
      </c>
      <c r="P16" s="3">
        <f>STDEV(P4:P14)/SQRT(COUNT(P4:P14))</f>
        <v>1.0827870666180173</v>
      </c>
      <c r="Q16" s="20"/>
      <c r="R16" s="18"/>
      <c r="S16" s="3">
        <f>STDEV(S4:S14)/SQRT(COUNT(S4:S14))</f>
        <v>0.24048639328898175</v>
      </c>
      <c r="T16" s="3">
        <f>STDEV(T4:T14)/SQRT(COUNT(T4:T14))</f>
        <v>0.42881871585954395</v>
      </c>
      <c r="U16" s="3">
        <f>STDEV(U4:U14)/SQRT(COUNT(U4:U14))</f>
        <v>0.87423471314974877</v>
      </c>
      <c r="V16" s="3">
        <f>STDEV(V4:V14)/SQRT(COUNT(V4:V14))</f>
        <v>1.5588749198056406</v>
      </c>
      <c r="W16" s="20"/>
      <c r="X16" s="18"/>
      <c r="Y16" s="3">
        <f>STDEV(Y4:Y14)/SQRT(COUNT(Y4:Y14))</f>
        <v>0.32603372689252408</v>
      </c>
      <c r="Z16" s="3">
        <f>STDEV(Z4:Z14)/SQRT(COUNT(Z4:Z14))</f>
        <v>0.70853722555699161</v>
      </c>
      <c r="AA16" s="3">
        <f>STDEV(AA4:AA14)/SQRT(COUNT(AA4:AA14))</f>
        <v>1.1852229883314847</v>
      </c>
      <c r="AB16" s="3">
        <f>STDEV(AB4:AB14)/SQRT(COUNT(AB4:AB14))</f>
        <v>2.5757292529910192</v>
      </c>
      <c r="AC16" s="20"/>
      <c r="AD16" s="18"/>
      <c r="AE16" s="3">
        <f>STDEV(AE4:AE14)/SQRT(COUNT(AE4:AE14))</f>
        <v>0.46708991754417983</v>
      </c>
      <c r="AF16" s="3">
        <f>STDEV(AF4:AF14)/SQRT(COUNT(AF4:AF14))</f>
        <v>1.0328288779228796</v>
      </c>
      <c r="AG16" s="3">
        <f>STDEV(AG4:AG14)/SQRT(COUNT(AG4:AG14))</f>
        <v>1.6980013484117651</v>
      </c>
      <c r="AH16" s="3">
        <f>STDEV(AH4:AH14)/SQRT(COUNT(AH4:AH14))</f>
        <v>3.7546193174374758</v>
      </c>
      <c r="AI16" s="20"/>
      <c r="AJ16" s="18"/>
      <c r="AK16" s="3">
        <f>STDEV(AK4:AK14)/SQRT(COUNT(AK4:AK14))</f>
        <v>0.27406822664647229</v>
      </c>
      <c r="AL16" s="3">
        <f>STDEV(AL4:AL14)/SQRT(COUNT(AL4:AL14))</f>
        <v>1.1133178173818992</v>
      </c>
      <c r="AM16" s="3">
        <f>STDEV(AM4:AM14)/SQRT(COUNT(AM4:AM14))</f>
        <v>0.99631398778483626</v>
      </c>
      <c r="AN16" s="3">
        <f>STDEV(AN4:AN14)/SQRT(COUNT(AN4:AN14))</f>
        <v>4.0472189274916479</v>
      </c>
      <c r="AO16" s="20"/>
      <c r="AP16" s="3"/>
      <c r="AQ16" s="3">
        <f>STDEV(AQ4:AQ14)/SQRT(COUNT(AQ4:AQ14))</f>
        <v>0.28725921594068443</v>
      </c>
      <c r="AR16" s="3">
        <f>STDEV(AR4:AR14)/SQRT(COUNT(AR4:AR14))</f>
        <v>1.2253336826875183</v>
      </c>
      <c r="AS16" s="3">
        <f>STDEV(AS4:AS14)/SQRT(COUNT(AS4:AS14))</f>
        <v>1.0442668909993165</v>
      </c>
      <c r="AT16" s="3">
        <f>STDEV(AT4:AT14)/SQRT(COUNT(AT4:AT14))</f>
        <v>4.4544276536668512</v>
      </c>
      <c r="AU16" s="20"/>
      <c r="AV16" s="3"/>
      <c r="AW16" s="3">
        <f>STDEV(AW4:AW14)/SQRT(COUNT(AW4:AW14))</f>
        <v>0.16778959507158214</v>
      </c>
      <c r="AX16" s="3">
        <f>STDEV(AX4:AX14)/SQRT(COUNT(AX4:AX14))</f>
        <v>1.2695355590586186</v>
      </c>
      <c r="AY16" s="3">
        <f>STDEV(AY4:AY14)/SQRT(COUNT(AY4:AY14))</f>
        <v>0.60996169683765533</v>
      </c>
      <c r="AZ16" s="3">
        <f>STDEV(AZ4:AZ14)/SQRT(COUNT(AZ4:AZ14))</f>
        <v>4.6151137290055857</v>
      </c>
      <c r="BA16" s="20"/>
      <c r="BB16" s="3"/>
      <c r="BC16" s="3">
        <f>STDEV(BC4:BC14)/SQRT(COUNT(BC4:BC14))</f>
        <v>0.14963049727340175</v>
      </c>
      <c r="BD16" s="3">
        <f>STDEV(BD4:BD14)/SQRT(COUNT(BD4:BD14))</f>
        <v>1.2908161178107436</v>
      </c>
      <c r="BE16" s="3">
        <f>STDEV(BE4:BE14)/SQRT(COUNT(BE4:BE14))</f>
        <v>0.54394834183019469</v>
      </c>
      <c r="BF16" s="3">
        <f>STDEV(BF4:BF14)/SQRT(COUNT(BF4:BF14))</f>
        <v>4.6924744599886754</v>
      </c>
      <c r="BG16" s="20"/>
      <c r="BH16" s="3"/>
      <c r="BI16" s="3">
        <f>STDEV(BI4:BI14)/SQRT(COUNT(BI4:BI14))</f>
        <v>0.14788916578689212</v>
      </c>
      <c r="BJ16" s="3">
        <f>STDEV(BJ4:BJ14)/SQRT(COUNT(BJ4:BJ14))</f>
        <v>1.3174392605950156</v>
      </c>
      <c r="BK16" s="3">
        <f>STDEV(BK4:BK14)/SQRT(COUNT(BK4:BK14))</f>
        <v>0.53761811910205015</v>
      </c>
      <c r="BL16" s="3">
        <f>STDEV(BL4:BL14)/SQRT(COUNT(BL4:BL14))</f>
        <v>4.7892569651310097</v>
      </c>
      <c r="BM16" s="20"/>
      <c r="BN16" s="3"/>
      <c r="BO16" s="3">
        <f>STDEV(BO4:BO14)/SQRT(COUNT(BO4:BO14))</f>
        <v>0.27696699132877739</v>
      </c>
      <c r="BP16" s="3">
        <f>STDEV(BP4:BP14)/SQRT(COUNT(BP4:BP14))</f>
        <v>1.3227804016810316</v>
      </c>
      <c r="BQ16" s="3">
        <f>STDEV(BQ4:BQ14)/SQRT(COUNT(BQ4:BQ14))</f>
        <v>1.0068518010717369</v>
      </c>
      <c r="BR16" s="3">
        <f>STDEV(BR4:BR14)/SQRT(COUNT(BR4:BR14))</f>
        <v>4.8086734937809892</v>
      </c>
      <c r="BS16" s="20"/>
      <c r="BT16" s="3"/>
      <c r="BU16" s="3">
        <f>STDEV(BU4:BU14)/SQRT(COUNT(BU4:BU14))</f>
        <v>0.21768618878035098</v>
      </c>
      <c r="BV16" s="3">
        <f>STDEV(BV4:BV14)/SQRT(COUNT(BV4:BV14))</f>
        <v>1.4866369044639944</v>
      </c>
      <c r="BW16" s="3">
        <f>STDEV(BW4:BW14)/SQRT(COUNT(BW4:BW14))</f>
        <v>0.79134964852819656</v>
      </c>
      <c r="BX16" s="3">
        <f>STDEV(BX4:BX14)/SQRT(COUNT(BX4:BX14))</f>
        <v>5.404337309721079</v>
      </c>
      <c r="BY16" s="20"/>
      <c r="BZ16" s="3"/>
      <c r="CA16" s="3">
        <f t="shared" ref="CA16:CF16" si="223">STDEV(CA4:CA14)/SQRT(COUNT(CA4:CA14))</f>
        <v>0.34312508131667024</v>
      </c>
      <c r="CB16" s="173">
        <f t="shared" si="223"/>
        <v>0.50947013791641549</v>
      </c>
      <c r="CC16" s="173">
        <f t="shared" si="223"/>
        <v>0.3801879234574097</v>
      </c>
      <c r="CD16" s="3">
        <f t="shared" si="223"/>
        <v>1.5908746471225055</v>
      </c>
      <c r="CE16" s="173">
        <f t="shared" si="223"/>
        <v>1.7166061822861054</v>
      </c>
      <c r="CF16" s="3">
        <f t="shared" si="223"/>
        <v>5.7554005253618907</v>
      </c>
      <c r="CG16" s="20"/>
      <c r="CH16" s="3"/>
      <c r="CI16" s="3">
        <f>STDEV(CI4:CI14)/SQRT(COUNT(CI4:CI14))</f>
        <v>0.31630363746158269</v>
      </c>
      <c r="CJ16" s="3">
        <f>STDEV(CJ4:CJ14)/SQRT(COUNT(CJ4:CJ14))</f>
        <v>1.8378878963753118</v>
      </c>
      <c r="CK16" s="3">
        <f>STDEV(CK4:CK14)/SQRT(COUNT(CK4:CK14))</f>
        <v>1.1498514156356483</v>
      </c>
      <c r="CL16" s="3">
        <f>STDEV(CL4:CL14)/SQRT(COUNT(CL4:CL14))</f>
        <v>6.6485557514038005</v>
      </c>
      <c r="CM16" s="20"/>
      <c r="CN16" s="3"/>
      <c r="CO16" s="3">
        <f>STDEV(CO4:CO10)/SQRT(COUNT(CO4:CO10))</f>
        <v>0.17304334717058331</v>
      </c>
      <c r="CP16" s="3">
        <f>STDEV(CP4:CP14)/SQRT(COUNT(CP4:CP14))</f>
        <v>1.8952194911521121</v>
      </c>
      <c r="CQ16" s="3">
        <f>STDEV(CQ4:CQ14)/SQRT(COUNT(CQ4:CQ14))</f>
        <v>0.65954954653347975</v>
      </c>
      <c r="CR16" s="3">
        <f>STDEV(CR4:CR14)/SQRT(COUNT(CR4:CR14))</f>
        <v>6.8864307509830676</v>
      </c>
      <c r="CS16" s="20"/>
      <c r="CT16" s="3"/>
      <c r="CU16" s="3">
        <f>STDEV(CU4:CU14)/SQRT(COUNT(CU4:CU14))</f>
        <v>0.17920396898506338</v>
      </c>
      <c r="CV16" s="3">
        <f>STDEV(CV4:CV14)/SQRT(COUNT(CV4:CV14))</f>
        <v>1.8425428857191644</v>
      </c>
      <c r="CW16" s="3">
        <f>STDEV(CW4:CW14)/SQRT(COUNT(CW4:CW14))</f>
        <v>0.65145611058622821</v>
      </c>
      <c r="CX16" s="3">
        <f>STDEV(CX4:CX14)/SQRT(COUNT(CX4:CX14))</f>
        <v>6.7011590172640636</v>
      </c>
      <c r="CY16" s="20"/>
      <c r="CZ16" s="3"/>
      <c r="DA16" s="3">
        <f>STDEV(DA4:DA14)/SQRT(COUNT(DA4:DA14))</f>
        <v>0.25069145449564739</v>
      </c>
      <c r="DB16" s="3">
        <f>STDEV(DB4:DB14)/SQRT(COUNT(DB4:DB14))</f>
        <v>1.9863839521495232</v>
      </c>
      <c r="DC16" s="3">
        <f>STDEV(DC4:DC14)/SQRT(COUNT(DC4:DC14))</f>
        <v>0.91133293993367925</v>
      </c>
      <c r="DD16" s="3">
        <f>STDEV(DD4:DD14)/SQRT(COUNT(DD4:DD14))</f>
        <v>7.221414293552022</v>
      </c>
      <c r="DE16" s="20"/>
      <c r="DF16" s="3"/>
      <c r="DG16" s="3">
        <f>STDEV(DG4:DG14)/SQRT(COUNT(DG4:DG14))</f>
        <v>0.35468799166108045</v>
      </c>
      <c r="DH16" s="3">
        <f>STDEV(DH4:DH14)/SQRT(COUNT(DH4:DH14))</f>
        <v>2.2734876743358776</v>
      </c>
      <c r="DI16" s="3">
        <f>STDEV(DI4:DI14)/SQRT(COUNT(DI4:DI14))</f>
        <v>1.2893891850042172</v>
      </c>
      <c r="DJ16" s="3">
        <f>STDEV(DJ4:DJ14)/SQRT(COUNT(DJ4:DJ14))</f>
        <v>8.265616956523175</v>
      </c>
      <c r="DK16" s="20"/>
      <c r="DL16" s="3"/>
      <c r="DM16" s="3">
        <f>STDEV(DM4:DM14)/SQRT(COUNT(DM4:DM14))</f>
        <v>0.19833177020192214</v>
      </c>
      <c r="DN16" s="3">
        <f>STDEV(DN4:DN14)/SQRT(COUNT(DN4:DN14))</f>
        <v>2.4360953828382241</v>
      </c>
      <c r="DO16" s="3">
        <f>STDEV(DO4:DO14)/SQRT(COUNT(DO4:DO14))</f>
        <v>0.72099097108834487</v>
      </c>
      <c r="DP16" s="3">
        <f>STDEV(DP4:DP14)/SQRT(COUNT(DP4:DP14))</f>
        <v>8.8577499068117351</v>
      </c>
      <c r="DQ16" s="20"/>
      <c r="DR16" s="3"/>
      <c r="DS16" s="3">
        <f>STDEV(DS4:DS14)/SQRT(COUNT(DS4:DS14))</f>
        <v>0.24501776539088499</v>
      </c>
      <c r="DT16" s="3">
        <f>STDEV(DT4:DT14)/SQRT(COUNT(DT4:DT14))</f>
        <v>2.5712381935974489</v>
      </c>
      <c r="DU16" s="3">
        <f>STDEV(DU4:DU14)/SQRT(COUNT(DU4:DU14))</f>
        <v>0.89070750703842494</v>
      </c>
      <c r="DV16" s="3">
        <f>STDEV(DV4:DV14)/SQRT(COUNT(DV4:DV14))</f>
        <v>9.3448586709924708</v>
      </c>
      <c r="DW16" s="20"/>
      <c r="DX16" s="3"/>
      <c r="DY16" s="3">
        <f>STDEV(DY4:DY14)/SQRT(COUNT(DY4:DY14))</f>
        <v>0.29795096372677521</v>
      </c>
      <c r="DZ16" s="3">
        <f>STDEV(DZ4:DZ14)/SQRT(COUNT(DZ4:DZ14))</f>
        <v>2.7954776936534973</v>
      </c>
      <c r="EA16" s="3">
        <f>STDEV(EA4:EA14)/SQRT(COUNT(EA4:EA14))</f>
        <v>1.0831343584306676</v>
      </c>
      <c r="EB16" s="207">
        <f>STDEV(EB4:EB14)/SQRT(COUNT(EB4:EB14))</f>
        <v>10.146992212742376</v>
      </c>
    </row>
    <row r="17" spans="1:132">
      <c r="A17" s="21"/>
      <c r="B17" s="65"/>
      <c r="C17" s="23"/>
      <c r="D17" s="24"/>
      <c r="E17" s="24"/>
      <c r="F17" s="25"/>
      <c r="G17" s="29"/>
      <c r="H17" s="26"/>
      <c r="I17" s="22"/>
      <c r="J17" s="170"/>
      <c r="K17" s="29"/>
      <c r="L17" s="24"/>
      <c r="M17" s="22"/>
      <c r="N17" s="22"/>
      <c r="O17" s="170"/>
      <c r="P17" s="170"/>
      <c r="Q17" s="29"/>
      <c r="R17" s="24"/>
      <c r="S17" s="22"/>
      <c r="T17" s="22"/>
      <c r="U17" s="170"/>
      <c r="V17" s="170"/>
      <c r="W17" s="29"/>
      <c r="X17" s="24"/>
      <c r="Y17" s="22"/>
      <c r="Z17" s="22"/>
      <c r="AA17" s="22"/>
      <c r="AB17" s="22"/>
      <c r="AC17" s="29"/>
      <c r="AD17" s="24"/>
      <c r="AE17" s="22"/>
      <c r="AF17" s="22"/>
      <c r="AG17" s="22"/>
      <c r="AH17" s="22"/>
      <c r="AI17" s="29"/>
      <c r="AJ17" s="24"/>
      <c r="AK17" s="22"/>
      <c r="AL17" s="22"/>
      <c r="AM17" s="22"/>
      <c r="AN17" s="22"/>
      <c r="AO17" s="29"/>
      <c r="AP17" s="24"/>
      <c r="AQ17" s="22"/>
      <c r="AR17" s="22"/>
      <c r="AS17" s="22"/>
      <c r="AT17" s="22"/>
      <c r="AU17" s="29"/>
      <c r="AV17" s="26"/>
      <c r="AW17" s="22"/>
      <c r="AX17" s="22"/>
      <c r="AY17" s="22"/>
      <c r="AZ17" s="22"/>
      <c r="BA17" s="29"/>
      <c r="BB17" s="24"/>
      <c r="BC17" s="22"/>
      <c r="BD17" s="22"/>
      <c r="BE17" s="22"/>
      <c r="BF17" s="22"/>
      <c r="BG17" s="29"/>
      <c r="BH17" s="24"/>
      <c r="BI17" s="22"/>
      <c r="BJ17" s="22"/>
      <c r="BK17" s="22"/>
      <c r="BL17" s="22"/>
      <c r="BM17" s="29"/>
      <c r="BN17" s="24"/>
      <c r="BO17" s="22"/>
      <c r="BP17" s="22"/>
      <c r="BQ17" s="22"/>
      <c r="BR17" s="22"/>
      <c r="BS17" s="29"/>
      <c r="BT17" s="24"/>
      <c r="BU17" s="22"/>
      <c r="BV17" s="22"/>
      <c r="BW17" s="22"/>
      <c r="BX17" s="22"/>
      <c r="BY17" s="29"/>
      <c r="BZ17" s="24"/>
      <c r="CA17" s="22"/>
      <c r="CB17" s="177"/>
      <c r="CC17" s="177"/>
      <c r="CD17" s="22"/>
      <c r="CE17" s="22"/>
      <c r="CF17" s="22"/>
      <c r="CG17" s="29"/>
      <c r="CH17" s="24"/>
      <c r="CI17" s="22"/>
      <c r="CJ17" s="22"/>
      <c r="CK17" s="22"/>
      <c r="CL17" s="22"/>
      <c r="CM17" s="29"/>
      <c r="CN17" s="26"/>
      <c r="CO17" s="22"/>
      <c r="CP17" s="22"/>
      <c r="CQ17" s="22"/>
      <c r="CR17" s="22"/>
      <c r="CS17" s="29"/>
      <c r="CT17" s="24"/>
      <c r="CU17" s="22"/>
      <c r="CV17" s="22"/>
      <c r="CW17" s="22"/>
      <c r="CX17" s="22"/>
      <c r="CY17" s="29"/>
      <c r="CZ17" s="24"/>
      <c r="DA17" s="22"/>
      <c r="DB17" s="22"/>
      <c r="DC17" s="22"/>
      <c r="DD17" s="22"/>
      <c r="DE17" s="29"/>
      <c r="DF17" s="24"/>
      <c r="DG17" s="22"/>
      <c r="DH17" s="22"/>
      <c r="DI17" s="22"/>
      <c r="DJ17" s="22"/>
      <c r="DK17" s="29"/>
      <c r="DL17" s="24"/>
      <c r="DM17" s="22"/>
      <c r="DN17" s="22"/>
      <c r="DO17" s="22"/>
      <c r="DP17" s="22"/>
      <c r="DQ17" s="29"/>
      <c r="DR17" s="24"/>
      <c r="DS17" s="22"/>
      <c r="DT17" s="22"/>
      <c r="DU17" s="22"/>
      <c r="DV17" s="22"/>
      <c r="DW17" s="29"/>
      <c r="DX17" s="24"/>
      <c r="DY17" s="22"/>
      <c r="DZ17" s="22"/>
      <c r="EA17" s="22"/>
      <c r="EB17" s="403"/>
    </row>
    <row r="18" spans="1:132">
      <c r="A18" s="9" t="s">
        <v>282</v>
      </c>
      <c r="B18" s="116" t="s">
        <v>283</v>
      </c>
      <c r="C18" s="138">
        <v>42548</v>
      </c>
      <c r="D18" s="12" t="s">
        <v>26</v>
      </c>
      <c r="E18" s="10" t="s">
        <v>284</v>
      </c>
      <c r="F18" s="11">
        <v>42587</v>
      </c>
      <c r="G18" s="15">
        <v>264.77999999999997</v>
      </c>
      <c r="H18" s="13">
        <v>260.55</v>
      </c>
      <c r="I18" s="10">
        <f t="shared" ref="I18:I26" si="224">G18-H18</f>
        <v>4.2299999999999613</v>
      </c>
      <c r="J18" s="168">
        <f t="shared" ref="J18:J26" si="225">I18*T$1</f>
        <v>15.377222744488661</v>
      </c>
      <c r="K18" s="15">
        <v>268.66000000000003</v>
      </c>
      <c r="L18" s="10">
        <v>264.32</v>
      </c>
      <c r="M18" s="10">
        <f t="shared" ref="M18:M23" si="226">K18-L18</f>
        <v>4.3400000000000318</v>
      </c>
      <c r="N18" s="10">
        <f t="shared" ref="N18:N23" si="227">I18+M18</f>
        <v>8.5699999999999932</v>
      </c>
      <c r="O18" s="168">
        <f t="shared" ref="O18:O23" si="228">M18*T$1</f>
        <v>15.777103241390517</v>
      </c>
      <c r="P18" s="168">
        <f t="shared" ref="P18:P23" si="229">J18+O18</f>
        <v>31.154325985879176</v>
      </c>
      <c r="Q18" s="15">
        <v>272.92</v>
      </c>
      <c r="R18" s="10">
        <v>266.08999999999997</v>
      </c>
      <c r="S18" s="152">
        <f>Q18-R18-0.75</f>
        <v>6.0800000000000409</v>
      </c>
      <c r="T18" s="10">
        <f t="shared" ref="T18:T23" si="230">N18+S18</f>
        <v>14.650000000000034</v>
      </c>
      <c r="U18" s="168">
        <f>S18*T$1</f>
        <v>22.102485646924951</v>
      </c>
      <c r="V18" s="168">
        <f t="shared" ref="V18:V23" si="231">P18+U18</f>
        <v>53.25681163280413</v>
      </c>
      <c r="W18" s="15">
        <v>276.01</v>
      </c>
      <c r="X18" s="155">
        <v>269.02999999999997</v>
      </c>
      <c r="Y18" s="152">
        <f>W18-X18-0.75</f>
        <v>6.2300000000000182</v>
      </c>
      <c r="Z18" s="10">
        <f t="shared" ref="Z18:Z23" si="232">T18+Y18</f>
        <v>20.880000000000052</v>
      </c>
      <c r="AA18" s="168">
        <f>Y18*T$1</f>
        <v>22.647777233608867</v>
      </c>
      <c r="AB18" s="168">
        <f t="shared" ref="AB18:AB23" si="233">V18+AA18</f>
        <v>75.904588866412993</v>
      </c>
      <c r="AC18" s="15">
        <v>271.57</v>
      </c>
      <c r="AD18" s="10">
        <v>264.05</v>
      </c>
      <c r="AE18" s="152">
        <f>AC18-AD18-0.75</f>
        <v>6.7699999999999818</v>
      </c>
      <c r="AF18" s="10">
        <f t="shared" ref="AF18:AF23" si="234">Z18+AE18</f>
        <v>27.650000000000034</v>
      </c>
      <c r="AG18" s="168">
        <f t="shared" ref="AG18:AG23" si="235">AE18*$T$1</f>
        <v>24.610826945671135</v>
      </c>
      <c r="AH18" s="168">
        <f t="shared" ref="AH18:AH23" si="236">AB18+AG18</f>
        <v>100.51541581208413</v>
      </c>
      <c r="AI18" s="15">
        <v>278.95</v>
      </c>
      <c r="AJ18" s="10">
        <v>270.73</v>
      </c>
      <c r="AK18" s="152">
        <f>AI18-AJ18-0.75</f>
        <v>7.4699999999999704</v>
      </c>
      <c r="AL18" s="10">
        <f t="shared" ref="AL18" si="237">AF18+AK18</f>
        <v>35.120000000000005</v>
      </c>
      <c r="AM18" s="168">
        <f t="shared" ref="AM18:AM23" si="238">AK18*$T$1</f>
        <v>27.155521016863094</v>
      </c>
      <c r="AN18" s="168">
        <f>AH18+AM18</f>
        <v>127.67093682894722</v>
      </c>
      <c r="AO18" s="15">
        <v>269.7</v>
      </c>
      <c r="AP18" s="152">
        <v>262.87</v>
      </c>
      <c r="AQ18" s="10">
        <f>AO18-AP18-0.75</f>
        <v>6.0799999999999841</v>
      </c>
      <c r="AR18" s="10">
        <f>AL18+AQ18</f>
        <v>41.199999999999989</v>
      </c>
      <c r="AS18" s="168">
        <f>AQ18*$T$1</f>
        <v>22.102485646924745</v>
      </c>
      <c r="AT18" s="168">
        <f>AN18+AS18</f>
        <v>149.77342247587197</v>
      </c>
      <c r="AU18" s="15">
        <v>283.70999999999998</v>
      </c>
      <c r="AV18" s="13">
        <v>279.77999999999997</v>
      </c>
      <c r="AW18" s="10">
        <f t="shared" ref="AW18:AW23" si="239">AU18-AV18</f>
        <v>3.9300000000000068</v>
      </c>
      <c r="AX18" s="10">
        <f t="shared" ref="AX18" si="240">AR18+AW18</f>
        <v>45.129999999999995</v>
      </c>
      <c r="AY18" s="168">
        <f t="shared" ref="AY18:AY23" si="241">AW18*$T$1</f>
        <v>14.286639571120824</v>
      </c>
      <c r="AZ18" s="168">
        <f t="shared" ref="AZ18:AZ23" si="242">AT18+AY18</f>
        <v>164.06006204699278</v>
      </c>
      <c r="BA18" s="15">
        <v>278.87</v>
      </c>
      <c r="BB18" s="10">
        <v>273.48</v>
      </c>
      <c r="BC18" s="201">
        <v>4.03</v>
      </c>
      <c r="BD18" s="10">
        <f t="shared" ref="BD18:BD23" si="243">AX18+BC18</f>
        <v>49.16</v>
      </c>
      <c r="BE18" s="168">
        <f t="shared" ref="BE18:BE23" si="244">BC18*$T$1</f>
        <v>14.650167295576802</v>
      </c>
      <c r="BF18" s="168">
        <f t="shared" ref="BF18:BF19" si="245">AZ18+BE18</f>
        <v>178.71022934256959</v>
      </c>
      <c r="BG18" s="15">
        <v>286.67</v>
      </c>
      <c r="BH18" s="10">
        <v>280.95999999999998</v>
      </c>
      <c r="BI18" s="201">
        <v>4.3499999999999996</v>
      </c>
      <c r="BJ18" s="10">
        <f>BD18+BI18</f>
        <v>53.51</v>
      </c>
      <c r="BK18" s="168">
        <f t="shared" ref="BK18:BK26" si="246">BI18*$T$1</f>
        <v>15.813456013835999</v>
      </c>
      <c r="BL18" s="168">
        <f t="shared" ref="BL18" si="247">BF18+BK18</f>
        <v>194.52368535640559</v>
      </c>
      <c r="BM18" s="15">
        <v>281.77999999999997</v>
      </c>
      <c r="BN18" s="10">
        <v>277.12</v>
      </c>
      <c r="BO18" s="201">
        <v>3.3</v>
      </c>
      <c r="BP18" s="10">
        <f t="shared" ref="BP18:BP23" si="248">BJ18+BO18</f>
        <v>56.809999999999995</v>
      </c>
      <c r="BQ18" s="168">
        <f t="shared" ref="BQ18:BQ23" si="249">BO18*$T$1</f>
        <v>11.996414907047999</v>
      </c>
      <c r="BR18" s="168">
        <f t="shared" ref="BR18" si="250">BL18+BQ18</f>
        <v>206.5201002634536</v>
      </c>
      <c r="BS18" s="15">
        <v>291.2</v>
      </c>
      <c r="BT18" s="10">
        <v>285.41000000000003</v>
      </c>
      <c r="BU18" s="201">
        <v>4.43</v>
      </c>
      <c r="BV18" s="10">
        <f t="shared" ref="BV18:BV23" si="251">BP18+BU18</f>
        <v>61.239999999999995</v>
      </c>
      <c r="BW18" s="168">
        <f t="shared" ref="BW18:BW23" si="252">BU18*$T$1</f>
        <v>16.104278193400798</v>
      </c>
      <c r="BX18" s="168">
        <f>BR18+BW18</f>
        <v>222.6243784568544</v>
      </c>
      <c r="BY18" s="15">
        <v>295.14999999999998</v>
      </c>
      <c r="BZ18" s="10">
        <v>290.94</v>
      </c>
      <c r="CA18" s="152">
        <v>2.85</v>
      </c>
      <c r="CB18" s="172">
        <v>2.23</v>
      </c>
      <c r="CC18" s="172">
        <f t="shared" ref="CC18:CC26" si="253">CA18+CB18</f>
        <v>5.08</v>
      </c>
      <c r="CD18" s="10">
        <f t="shared" ref="CD18:CD26" si="254">BV18+CC18</f>
        <v>66.319999999999993</v>
      </c>
      <c r="CE18" s="369">
        <f>(CA18*$T$1)+9.8318</f>
        <v>20.192340146996003</v>
      </c>
      <c r="CF18" s="168">
        <f t="shared" ref="CF18:CF23" si="255">BX18+CE18</f>
        <v>242.8167186038504</v>
      </c>
      <c r="CG18" s="15">
        <v>287.76</v>
      </c>
      <c r="CH18" s="152">
        <v>280.83999999999997</v>
      </c>
      <c r="CI18" s="152">
        <v>5.56</v>
      </c>
      <c r="CJ18" s="152">
        <f t="shared" ref="CJ18:CJ23" si="256">CD18+CI18</f>
        <v>71.88</v>
      </c>
      <c r="CK18" s="168">
        <f t="shared" ref="CK18:CK23" si="257">CI18*$T$1</f>
        <v>20.212141479753598</v>
      </c>
      <c r="CL18" s="168">
        <f>CF18+CK18</f>
        <v>263.028860083604</v>
      </c>
      <c r="CM18" s="15">
        <v>294.62</v>
      </c>
      <c r="CN18" s="13">
        <v>289.39999999999998</v>
      </c>
      <c r="CO18" s="10">
        <f t="shared" ref="CO18:CO23" si="258">CM18-CN18</f>
        <v>5.2200000000000273</v>
      </c>
      <c r="CP18" s="10">
        <f t="shared" ref="CP18:CP23" si="259">CJ18+CO18</f>
        <v>77.100000000000023</v>
      </c>
      <c r="CQ18" s="168">
        <f t="shared" ref="CQ18:CQ23" si="260">CO18*$T$1</f>
        <v>18.976147216603298</v>
      </c>
      <c r="CR18" s="168">
        <f t="shared" ref="CR18:CR23" si="261">CL18+CQ18</f>
        <v>282.0050073002073</v>
      </c>
      <c r="CS18" s="15">
        <v>295.77</v>
      </c>
      <c r="CT18" s="10">
        <v>289.14999999999998</v>
      </c>
      <c r="CU18" s="152">
        <v>5.4</v>
      </c>
      <c r="CV18" s="10">
        <f t="shared" ref="CV18:CV23" si="262">CP18+CU18</f>
        <v>82.500000000000028</v>
      </c>
      <c r="CW18" s="168">
        <f t="shared" ref="CW18:CW23" si="263">CU18*$T$1</f>
        <v>19.630497120624003</v>
      </c>
      <c r="CX18" s="168">
        <f>CR18+CW18</f>
        <v>301.6355044208313</v>
      </c>
      <c r="CY18" s="15">
        <v>297.64</v>
      </c>
      <c r="CZ18" s="10">
        <v>291.32</v>
      </c>
      <c r="DA18" s="152">
        <v>5.0999999999999996</v>
      </c>
      <c r="DB18" s="10">
        <f>CV18+DA18</f>
        <v>87.600000000000023</v>
      </c>
      <c r="DC18" s="168">
        <f t="shared" ref="DC18:DC26" si="264">DA18*$T$1</f>
        <v>18.539913947256</v>
      </c>
      <c r="DD18" s="168">
        <f>CX18+DC18</f>
        <v>320.17541836808732</v>
      </c>
      <c r="DE18" s="15">
        <v>291.82</v>
      </c>
      <c r="DF18" s="10">
        <v>285.95999999999998</v>
      </c>
      <c r="DG18" s="152">
        <v>4.6399999999999997</v>
      </c>
      <c r="DH18" s="10">
        <f t="shared" ref="DH18:DH23" si="265">DB18+DG18</f>
        <v>92.240000000000023</v>
      </c>
      <c r="DI18" s="168">
        <f t="shared" ref="DI18:DI23" si="266">DG18*$T$1</f>
        <v>16.867686414758399</v>
      </c>
      <c r="DJ18" s="168">
        <f t="shared" ref="DJ18:DJ23" si="267">DD18+DI18</f>
        <v>337.04310478284572</v>
      </c>
      <c r="DK18" s="15">
        <v>283.36</v>
      </c>
      <c r="DL18" s="10">
        <v>278.04000000000002</v>
      </c>
      <c r="DM18" s="152">
        <v>4.0999999999999996</v>
      </c>
      <c r="DN18" s="10">
        <f t="shared" ref="DN18:DN23" si="268">DH18+DM18</f>
        <v>96.340000000000018</v>
      </c>
      <c r="DO18" s="168">
        <f t="shared" ref="DO18:DO23" si="269">DM18*$T$1</f>
        <v>14.904636702695999</v>
      </c>
      <c r="DP18" s="168">
        <f>DJ18+DO18</f>
        <v>351.94774148554171</v>
      </c>
      <c r="DQ18" s="15">
        <v>282.91000000000003</v>
      </c>
      <c r="DR18" s="10">
        <v>278.41000000000003</v>
      </c>
      <c r="DS18" s="152">
        <v>3.28</v>
      </c>
      <c r="DT18" s="10">
        <f>DN18+DS18</f>
        <v>99.620000000000019</v>
      </c>
      <c r="DU18" s="168">
        <f t="shared" ref="DU18:DU23" si="270">DS18*$T$1</f>
        <v>11.923709362156799</v>
      </c>
      <c r="DV18" s="168">
        <f>DP18+DU18</f>
        <v>363.8714508476985</v>
      </c>
      <c r="DW18" s="15">
        <v>284.81</v>
      </c>
      <c r="DX18" s="10">
        <v>280.45999999999998</v>
      </c>
      <c r="DY18" s="152">
        <f t="shared" ref="DY18:DY26" si="271">DW18-DX18</f>
        <v>4.3500000000000227</v>
      </c>
      <c r="DZ18" s="10">
        <f t="shared" ref="DZ18:DZ26" si="272">DT18+DY18</f>
        <v>103.97000000000004</v>
      </c>
      <c r="EA18" s="168">
        <f t="shared" ref="EA18:EA26" si="273">DY18*$T$1</f>
        <v>15.813456013836083</v>
      </c>
      <c r="EB18" s="306">
        <f>DV18+EA18</f>
        <v>379.68490686153456</v>
      </c>
    </row>
    <row r="19" spans="1:132">
      <c r="A19" s="9" t="s">
        <v>285</v>
      </c>
      <c r="B19" s="62" t="s">
        <v>286</v>
      </c>
      <c r="C19" s="11">
        <v>42621</v>
      </c>
      <c r="D19" s="12" t="s">
        <v>26</v>
      </c>
      <c r="E19" s="10" t="s">
        <v>284</v>
      </c>
      <c r="F19" s="11" t="s">
        <v>271</v>
      </c>
      <c r="G19" s="15">
        <v>259.37</v>
      </c>
      <c r="H19" s="13">
        <v>254.59</v>
      </c>
      <c r="I19" s="10">
        <f t="shared" si="224"/>
        <v>4.7800000000000011</v>
      </c>
      <c r="J19" s="168">
        <f t="shared" si="225"/>
        <v>17.376625228996804</v>
      </c>
      <c r="K19" s="15">
        <v>266.5</v>
      </c>
      <c r="L19" s="10">
        <v>262.19</v>
      </c>
      <c r="M19" s="10">
        <f t="shared" si="226"/>
        <v>4.3100000000000023</v>
      </c>
      <c r="N19" s="10">
        <f t="shared" si="227"/>
        <v>9.0900000000000034</v>
      </c>
      <c r="O19" s="168">
        <f t="shared" si="228"/>
        <v>15.668044924053609</v>
      </c>
      <c r="P19" s="168">
        <f t="shared" si="229"/>
        <v>33.044670153050411</v>
      </c>
      <c r="Q19" s="15">
        <v>269.14</v>
      </c>
      <c r="R19" s="10">
        <v>265.17</v>
      </c>
      <c r="S19" s="190">
        <f>Q19-R19-0.75</f>
        <v>3.2199999999999704</v>
      </c>
      <c r="T19" s="10">
        <f t="shared" si="230"/>
        <v>12.309999999999974</v>
      </c>
      <c r="U19" s="168">
        <f>S19*T$1</f>
        <v>11.705592727483094</v>
      </c>
      <c r="V19" s="168">
        <f t="shared" si="231"/>
        <v>44.750262880533505</v>
      </c>
      <c r="W19" s="15">
        <v>272.38</v>
      </c>
      <c r="X19" s="10">
        <v>267.95999999999998</v>
      </c>
      <c r="Y19" s="190">
        <f>W19-X19-0.75</f>
        <v>3.6700000000000159</v>
      </c>
      <c r="Z19" s="10">
        <f t="shared" si="232"/>
        <v>15.97999999999999</v>
      </c>
      <c r="AA19" s="168">
        <f>Y19*T$1</f>
        <v>13.341467487535258</v>
      </c>
      <c r="AB19" s="168">
        <f t="shared" si="233"/>
        <v>58.091730368068767</v>
      </c>
      <c r="AC19" s="15">
        <v>281.89999999999998</v>
      </c>
      <c r="AD19" s="10">
        <v>277.11</v>
      </c>
      <c r="AE19" s="10">
        <f>AC19-AD19-0.75</f>
        <v>4.0399999999999636</v>
      </c>
      <c r="AF19" s="10">
        <f t="shared" si="234"/>
        <v>20.019999999999953</v>
      </c>
      <c r="AG19" s="168">
        <f t="shared" si="235"/>
        <v>14.686520068022269</v>
      </c>
      <c r="AH19" s="168">
        <f t="shared" si="236"/>
        <v>72.778250436091042</v>
      </c>
      <c r="AI19" s="15">
        <v>281.06</v>
      </c>
      <c r="AJ19" s="10">
        <v>276.36</v>
      </c>
      <c r="AK19" s="10">
        <f>AI19-AJ19-0.75</f>
        <v>3.9499999999999886</v>
      </c>
      <c r="AL19" s="10">
        <f t="shared" ref="AL19:AL20" si="274">AF19+AK19</f>
        <v>23.969999999999942</v>
      </c>
      <c r="AM19" s="168">
        <f t="shared" si="238"/>
        <v>14.359345116011959</v>
      </c>
      <c r="AN19" s="168">
        <f>AH19+AM19</f>
        <v>87.137595552102994</v>
      </c>
      <c r="AO19" s="15">
        <v>280.42</v>
      </c>
      <c r="AP19" s="10">
        <v>275.86</v>
      </c>
      <c r="AQ19" s="10">
        <f>AO19-AP19-0.75</f>
        <v>3.8100000000000023</v>
      </c>
      <c r="AR19" s="10">
        <f>AL19+AQ19</f>
        <v>27.779999999999944</v>
      </c>
      <c r="AS19" s="168">
        <f>AQ19*$T$1</f>
        <v>13.850406301773608</v>
      </c>
      <c r="AT19" s="168">
        <f>AN19+AS19</f>
        <v>100.9880018538766</v>
      </c>
      <c r="AU19" s="15">
        <v>279.56</v>
      </c>
      <c r="AV19" s="13">
        <v>275.91000000000003</v>
      </c>
      <c r="AW19" s="10">
        <f t="shared" si="239"/>
        <v>3.6499999999999773</v>
      </c>
      <c r="AX19" s="10">
        <f t="shared" ref="AX19" si="275">AR19+AW19</f>
        <v>31.429999999999922</v>
      </c>
      <c r="AY19" s="168">
        <f t="shared" si="241"/>
        <v>13.268761942643918</v>
      </c>
      <c r="AZ19" s="168">
        <f t="shared" si="242"/>
        <v>114.25676379652052</v>
      </c>
      <c r="BA19" s="15">
        <v>280.08</v>
      </c>
      <c r="BB19" s="10">
        <v>276.16000000000003</v>
      </c>
      <c r="BC19" s="10">
        <f>BA19-BB19</f>
        <v>3.9199999999999591</v>
      </c>
      <c r="BD19" s="10">
        <f t="shared" si="243"/>
        <v>35.349999999999881</v>
      </c>
      <c r="BE19" s="168">
        <f t="shared" si="244"/>
        <v>14.250286798675052</v>
      </c>
      <c r="BF19" s="168">
        <f t="shared" si="245"/>
        <v>128.50705059519558</v>
      </c>
      <c r="BG19" s="15">
        <v>281.12</v>
      </c>
      <c r="BH19" s="10">
        <v>276.39999999999998</v>
      </c>
      <c r="BI19" s="10">
        <f t="shared" ref="BI19" si="276">BG19-BH19</f>
        <v>4.7200000000000273</v>
      </c>
      <c r="BJ19" s="10">
        <f t="shared" ref="BJ19" si="277">BD19+BI19</f>
        <v>40.069999999999908</v>
      </c>
      <c r="BK19" s="168">
        <f t="shared" si="246"/>
        <v>17.158508594323301</v>
      </c>
      <c r="BL19" s="168">
        <f t="shared" ref="BL19" si="278">BF19+BK19</f>
        <v>145.66555918951889</v>
      </c>
      <c r="BM19" s="15">
        <v>280.39</v>
      </c>
      <c r="BN19" s="10">
        <v>276.44</v>
      </c>
      <c r="BO19" s="10">
        <f>BM19-BN19</f>
        <v>3.9499999999999886</v>
      </c>
      <c r="BP19" s="10">
        <f t="shared" si="248"/>
        <v>44.019999999999897</v>
      </c>
      <c r="BQ19" s="168">
        <f t="shared" si="249"/>
        <v>14.359345116011959</v>
      </c>
      <c r="BR19" s="168">
        <f t="shared" ref="BR19" si="279">BL19+BQ19</f>
        <v>160.02490430553084</v>
      </c>
      <c r="BS19" s="15">
        <v>279.08999999999997</v>
      </c>
      <c r="BT19" s="10">
        <v>275.08</v>
      </c>
      <c r="BU19" s="10">
        <f>BS19-BT19</f>
        <v>4.0099999999999909</v>
      </c>
      <c r="BV19" s="10">
        <f t="shared" si="251"/>
        <v>48.029999999999887</v>
      </c>
      <c r="BW19" s="168">
        <f t="shared" si="252"/>
        <v>14.577461750685567</v>
      </c>
      <c r="BX19" s="168">
        <f t="shared" ref="BX19" si="280">BR19+BW19</f>
        <v>174.6023660562164</v>
      </c>
      <c r="BY19" s="15">
        <v>278.14999999999998</v>
      </c>
      <c r="BZ19" s="10">
        <v>275.2</v>
      </c>
      <c r="CA19" s="10">
        <f>BY19-BZ19</f>
        <v>2.9499999999999886</v>
      </c>
      <c r="CB19" s="172">
        <v>1.57</v>
      </c>
      <c r="CC19" s="172">
        <f t="shared" si="253"/>
        <v>4.5199999999999889</v>
      </c>
      <c r="CD19" s="10">
        <f t="shared" si="254"/>
        <v>52.549999999999876</v>
      </c>
      <c r="CE19" s="369">
        <f>(CA19*$T$1)+6.2678</f>
        <v>16.991867871451959</v>
      </c>
      <c r="CF19" s="168">
        <f t="shared" si="255"/>
        <v>191.59423392766837</v>
      </c>
      <c r="CG19" s="15">
        <v>277.87</v>
      </c>
      <c r="CH19" s="10">
        <v>273.87</v>
      </c>
      <c r="CI19" s="10">
        <f>CG19-CH19</f>
        <v>4</v>
      </c>
      <c r="CJ19" s="10">
        <f t="shared" si="256"/>
        <v>56.549999999999876</v>
      </c>
      <c r="CK19" s="168">
        <f t="shared" si="257"/>
        <v>14.54110897824</v>
      </c>
      <c r="CL19" s="168">
        <f t="shared" ref="CL19:CL20" si="281">CF19+CK19</f>
        <v>206.13534290590837</v>
      </c>
      <c r="CM19" s="15">
        <v>275.85000000000002</v>
      </c>
      <c r="CN19" s="13">
        <v>272.08999999999997</v>
      </c>
      <c r="CO19" s="10">
        <f t="shared" si="258"/>
        <v>3.7600000000000477</v>
      </c>
      <c r="CP19" s="10">
        <f t="shared" si="259"/>
        <v>60.309999999999924</v>
      </c>
      <c r="CQ19" s="168">
        <f t="shared" si="260"/>
        <v>13.668642439545774</v>
      </c>
      <c r="CR19" s="168">
        <f t="shared" si="261"/>
        <v>219.80398534545415</v>
      </c>
      <c r="CS19" s="15">
        <v>275.2</v>
      </c>
      <c r="CT19" s="10">
        <v>271.02999999999997</v>
      </c>
      <c r="CU19" s="10">
        <f t="shared" ref="CU19:CU23" si="282">CS19-CT19</f>
        <v>4.1700000000000159</v>
      </c>
      <c r="CV19" s="10">
        <f t="shared" si="262"/>
        <v>64.479999999999933</v>
      </c>
      <c r="CW19" s="168">
        <f t="shared" si="263"/>
        <v>15.159106109815259</v>
      </c>
      <c r="CX19" s="168">
        <f t="shared" ref="CX19" si="283">CR19+CW19</f>
        <v>234.96309145526942</v>
      </c>
      <c r="CY19" s="15">
        <v>275.32</v>
      </c>
      <c r="CZ19" s="10">
        <v>270.43</v>
      </c>
      <c r="DA19" s="10">
        <f t="shared" ref="DA19" si="284">CY19-CZ19</f>
        <v>4.8899999999999864</v>
      </c>
      <c r="DB19" s="10">
        <f t="shared" ref="DB19" si="285">CV19+DA19</f>
        <v>69.369999999999919</v>
      </c>
      <c r="DC19" s="168">
        <f t="shared" si="264"/>
        <v>17.77650572589835</v>
      </c>
      <c r="DD19" s="168">
        <f t="shared" ref="DD19" si="286">CX19+DC19</f>
        <v>252.73959718116777</v>
      </c>
      <c r="DE19" s="15">
        <v>273.99</v>
      </c>
      <c r="DF19" s="10">
        <v>269.61</v>
      </c>
      <c r="DG19" s="10">
        <f t="shared" ref="DG19" si="287">DE19-DF19</f>
        <v>4.3799999999999955</v>
      </c>
      <c r="DH19" s="10">
        <f t="shared" si="265"/>
        <v>73.749999999999915</v>
      </c>
      <c r="DI19" s="168">
        <f t="shared" si="266"/>
        <v>15.922514331172785</v>
      </c>
      <c r="DJ19" s="168">
        <f t="shared" si="267"/>
        <v>268.66211151234057</v>
      </c>
      <c r="DK19" s="15">
        <v>275.2</v>
      </c>
      <c r="DL19" s="10">
        <v>271.02</v>
      </c>
      <c r="DM19" s="10">
        <f>(DK19-DL19)-0.04</f>
        <v>4.1400000000000068</v>
      </c>
      <c r="DN19" s="10">
        <f t="shared" si="268"/>
        <v>77.889999999999915</v>
      </c>
      <c r="DO19" s="168">
        <f t="shared" si="269"/>
        <v>15.050047792478425</v>
      </c>
      <c r="DP19" s="168">
        <f t="shared" ref="DP19" si="288">DJ19+DO19</f>
        <v>283.71215930481901</v>
      </c>
      <c r="DQ19" s="15">
        <v>274.26</v>
      </c>
      <c r="DR19" s="10">
        <v>270.27</v>
      </c>
      <c r="DS19" s="10">
        <f t="shared" ref="DS19" si="289">(DQ19-DR19)-0.1</f>
        <v>3.890000000000009</v>
      </c>
      <c r="DT19" s="10">
        <f t="shared" ref="DT19" si="290">DN19+DS19</f>
        <v>81.77999999999993</v>
      </c>
      <c r="DU19" s="168">
        <f t="shared" si="270"/>
        <v>14.141228481338434</v>
      </c>
      <c r="DV19" s="168">
        <f t="shared" ref="DV19" si="291">DP19+DU19</f>
        <v>297.85338778615744</v>
      </c>
      <c r="DW19" s="15">
        <v>275.95</v>
      </c>
      <c r="DX19" s="10">
        <v>272.16000000000003</v>
      </c>
      <c r="DY19" s="10">
        <f t="shared" si="271"/>
        <v>3.7899999999999636</v>
      </c>
      <c r="DZ19" s="10">
        <f t="shared" si="272"/>
        <v>85.569999999999894</v>
      </c>
      <c r="EA19" s="168">
        <f t="shared" si="273"/>
        <v>13.777700756882268</v>
      </c>
      <c r="EB19" s="306">
        <f t="shared" ref="EB19" si="292">DV19+EA19</f>
        <v>311.63108854303971</v>
      </c>
    </row>
    <row r="20" spans="1:132">
      <c r="A20" s="133" t="s">
        <v>287</v>
      </c>
      <c r="B20" s="62" t="s">
        <v>288</v>
      </c>
      <c r="C20" s="114"/>
      <c r="D20" s="12" t="s">
        <v>26</v>
      </c>
      <c r="E20" s="10" t="s">
        <v>284</v>
      </c>
      <c r="F20" s="217">
        <v>42411</v>
      </c>
      <c r="G20" s="14">
        <v>264.54000000000002</v>
      </c>
      <c r="H20" s="13">
        <v>260.04000000000002</v>
      </c>
      <c r="I20" s="10">
        <f t="shared" si="224"/>
        <v>4.5</v>
      </c>
      <c r="J20" s="168">
        <f t="shared" si="225"/>
        <v>16.358747600520001</v>
      </c>
      <c r="K20" s="15">
        <v>267.8</v>
      </c>
      <c r="L20" s="10">
        <v>263.24</v>
      </c>
      <c r="M20" s="10">
        <f t="shared" si="226"/>
        <v>4.5600000000000023</v>
      </c>
      <c r="N20" s="10">
        <f t="shared" si="227"/>
        <v>9.0600000000000023</v>
      </c>
      <c r="O20" s="168">
        <f t="shared" si="228"/>
        <v>16.576864235193607</v>
      </c>
      <c r="P20" s="168">
        <f t="shared" si="229"/>
        <v>32.935611835713608</v>
      </c>
      <c r="Q20" s="15">
        <v>266.32</v>
      </c>
      <c r="R20" s="10">
        <v>261.73</v>
      </c>
      <c r="S20" s="190">
        <f t="shared" ref="S20:S26" si="293">Q20-R20</f>
        <v>4.589999999999975</v>
      </c>
      <c r="T20" s="10">
        <f t="shared" si="230"/>
        <v>13.649999999999977</v>
      </c>
      <c r="U20" s="168">
        <f>S20*T$1</f>
        <v>16.685922552530311</v>
      </c>
      <c r="V20" s="168">
        <f t="shared" si="231"/>
        <v>49.621534388243916</v>
      </c>
      <c r="W20" s="15">
        <v>268.74</v>
      </c>
      <c r="X20" s="10">
        <v>264.14999999999998</v>
      </c>
      <c r="Y20" s="10">
        <f>W20-X20</f>
        <v>4.5900000000000318</v>
      </c>
      <c r="Z20" s="10">
        <f t="shared" si="232"/>
        <v>18.240000000000009</v>
      </c>
      <c r="AA20" s="168">
        <f>Y20*$T$1</f>
        <v>16.685922552530517</v>
      </c>
      <c r="AB20" s="168">
        <f t="shared" si="233"/>
        <v>66.307456940774429</v>
      </c>
      <c r="AC20" s="15">
        <v>271.27999999999997</v>
      </c>
      <c r="AD20" s="10">
        <v>266.33999999999997</v>
      </c>
      <c r="AE20" s="155">
        <v>3.94</v>
      </c>
      <c r="AF20" s="10">
        <f t="shared" si="234"/>
        <v>22.18000000000001</v>
      </c>
      <c r="AG20" s="168">
        <f t="shared" si="235"/>
        <v>14.322992343566399</v>
      </c>
      <c r="AH20" s="168">
        <f t="shared" si="236"/>
        <v>80.630449284340827</v>
      </c>
      <c r="AI20" s="15">
        <v>270.88</v>
      </c>
      <c r="AJ20" s="10">
        <v>265.99</v>
      </c>
      <c r="AK20" s="155">
        <v>3.89</v>
      </c>
      <c r="AL20" s="10">
        <f t="shared" si="274"/>
        <v>26.070000000000011</v>
      </c>
      <c r="AM20" s="168">
        <f t="shared" si="238"/>
        <v>14.1412284813384</v>
      </c>
      <c r="AN20" s="168">
        <f t="shared" ref="AN20" si="294">AH20+AM20</f>
        <v>94.771677765679229</v>
      </c>
      <c r="AO20" s="15">
        <v>272.08</v>
      </c>
      <c r="AP20" s="155">
        <v>264.64</v>
      </c>
      <c r="AQ20" s="10">
        <v>4.25</v>
      </c>
      <c r="AR20" s="10">
        <f>AL20+AQ20</f>
        <v>30.320000000000011</v>
      </c>
      <c r="AS20" s="168">
        <f>AQ20*$T$1</f>
        <v>15.449928289380001</v>
      </c>
      <c r="AT20" s="168">
        <f>AN20+AS20</f>
        <v>110.22160605505923</v>
      </c>
      <c r="AU20" s="15">
        <v>269.45</v>
      </c>
      <c r="AV20" s="219">
        <v>264.29000000000002</v>
      </c>
      <c r="AW20" s="10">
        <f t="shared" si="239"/>
        <v>5.1599999999999682</v>
      </c>
      <c r="AX20" s="10">
        <f t="shared" ref="AX20" si="295">AR20+AW20</f>
        <v>35.479999999999976</v>
      </c>
      <c r="AY20" s="168">
        <f t="shared" si="241"/>
        <v>18.758030581929486</v>
      </c>
      <c r="AZ20" s="168">
        <f t="shared" si="242"/>
        <v>128.97963663698872</v>
      </c>
      <c r="BA20" s="15">
        <v>265.17</v>
      </c>
      <c r="BB20" s="155">
        <v>260.95</v>
      </c>
      <c r="BC20" s="10">
        <f>BA20-BB20</f>
        <v>4.2200000000000273</v>
      </c>
      <c r="BD20" s="10">
        <f t="shared" si="243"/>
        <v>39.700000000000003</v>
      </c>
      <c r="BE20" s="168">
        <f t="shared" si="244"/>
        <v>15.340869972043299</v>
      </c>
      <c r="BF20" s="168">
        <f t="shared" ref="BF20" si="296">AZ20+BE20</f>
        <v>144.32050660903201</v>
      </c>
      <c r="BG20" s="15">
        <v>264.45</v>
      </c>
      <c r="BH20" s="155">
        <v>259.36</v>
      </c>
      <c r="BI20" s="10">
        <f t="shared" ref="BI20" si="297">BG20-BH20</f>
        <v>5.089999999999975</v>
      </c>
      <c r="BJ20" s="10">
        <f t="shared" ref="BJ20" si="298">BD20+BI20</f>
        <v>44.789999999999978</v>
      </c>
      <c r="BK20" s="168">
        <f t="shared" si="246"/>
        <v>18.503561174810308</v>
      </c>
      <c r="BL20" s="168">
        <f t="shared" ref="BL20" si="299">BF20+BK20</f>
        <v>162.82406778384231</v>
      </c>
      <c r="BM20" s="15">
        <v>267.23</v>
      </c>
      <c r="BN20" s="10">
        <v>264.43</v>
      </c>
      <c r="BO20" s="221">
        <f>BM20-BN20</f>
        <v>2.8000000000000114</v>
      </c>
      <c r="BP20" s="10">
        <f t="shared" si="248"/>
        <v>47.589999999999989</v>
      </c>
      <c r="BQ20" s="168">
        <f t="shared" si="249"/>
        <v>10.178776284768041</v>
      </c>
      <c r="BR20" s="168">
        <f t="shared" ref="BR20" si="300">BL20+BQ20</f>
        <v>173.00284406861036</v>
      </c>
      <c r="BS20" s="15">
        <v>268.29000000000002</v>
      </c>
      <c r="BT20" s="10">
        <v>262.16000000000003</v>
      </c>
      <c r="BU20" s="221">
        <f>(BS20-BT20)-1.99</f>
        <v>4.1399999999999952</v>
      </c>
      <c r="BV20" s="10">
        <f t="shared" si="251"/>
        <v>51.729999999999983</v>
      </c>
      <c r="BW20" s="168">
        <f t="shared" si="252"/>
        <v>15.050047792478383</v>
      </c>
      <c r="BX20" s="168">
        <f t="shared" ref="BX20" si="301">BR20+BW20</f>
        <v>188.05289186108874</v>
      </c>
      <c r="BY20" s="15">
        <v>268.68</v>
      </c>
      <c r="BZ20" s="165">
        <v>265.14999999999998</v>
      </c>
      <c r="CA20" s="114">
        <f>(BY20-BZ20)-1.54</f>
        <v>1.9900000000000295</v>
      </c>
      <c r="CB20" s="172">
        <v>1.42</v>
      </c>
      <c r="CC20" s="172">
        <f t="shared" si="253"/>
        <v>3.4100000000000295</v>
      </c>
      <c r="CD20" s="10">
        <f t="shared" si="254"/>
        <v>55.140000000000015</v>
      </c>
      <c r="CE20" s="369">
        <f>(CA20*$T$1)+6.3436</f>
        <v>13.577801716674507</v>
      </c>
      <c r="CF20" s="168">
        <f t="shared" si="255"/>
        <v>201.63069357776325</v>
      </c>
      <c r="CG20" s="15">
        <v>269.74</v>
      </c>
      <c r="CH20" s="10">
        <v>266.81</v>
      </c>
      <c r="CI20" s="10">
        <f>CG20-CH20</f>
        <v>2.9300000000000068</v>
      </c>
      <c r="CJ20" s="10">
        <f t="shared" si="256"/>
        <v>58.070000000000022</v>
      </c>
      <c r="CK20" s="168">
        <f t="shared" si="257"/>
        <v>10.651362326560825</v>
      </c>
      <c r="CL20" s="168">
        <f t="shared" si="281"/>
        <v>212.28205590432407</v>
      </c>
      <c r="CM20" s="15">
        <v>270.04000000000002</v>
      </c>
      <c r="CN20" s="13">
        <v>265.62</v>
      </c>
      <c r="CO20" s="10">
        <f t="shared" si="258"/>
        <v>4.4200000000000159</v>
      </c>
      <c r="CP20" s="10">
        <f t="shared" si="259"/>
        <v>62.490000000000038</v>
      </c>
      <c r="CQ20" s="168">
        <f t="shared" si="260"/>
        <v>16.067925420955259</v>
      </c>
      <c r="CR20" s="168">
        <f t="shared" si="261"/>
        <v>228.34998132527932</v>
      </c>
      <c r="CS20" s="15">
        <v>267.44</v>
      </c>
      <c r="CT20" s="10">
        <v>262.58999999999997</v>
      </c>
      <c r="CU20" s="10">
        <f t="shared" si="282"/>
        <v>4.8500000000000227</v>
      </c>
      <c r="CV20" s="10">
        <f t="shared" si="262"/>
        <v>67.34000000000006</v>
      </c>
      <c r="CW20" s="168">
        <f t="shared" si="263"/>
        <v>17.631094636116082</v>
      </c>
      <c r="CX20" s="168">
        <f t="shared" ref="CX20" si="302">CR20+CW20</f>
        <v>245.98107596139539</v>
      </c>
      <c r="CY20" s="15">
        <v>266.95</v>
      </c>
      <c r="CZ20" s="10">
        <v>262.64999999999998</v>
      </c>
      <c r="DA20" s="10">
        <f t="shared" ref="DA20" si="303">CY20-CZ20</f>
        <v>4.3000000000000114</v>
      </c>
      <c r="DB20" s="10">
        <f t="shared" ref="DB20" si="304">CV20+DA20</f>
        <v>71.640000000000072</v>
      </c>
      <c r="DC20" s="168">
        <f t="shared" si="264"/>
        <v>15.631692151608043</v>
      </c>
      <c r="DD20" s="168">
        <f t="shared" ref="DD20" si="305">CX20+DC20</f>
        <v>261.61276811300343</v>
      </c>
      <c r="DE20" s="15">
        <v>268.01</v>
      </c>
      <c r="DF20" s="10">
        <v>265.77999999999997</v>
      </c>
      <c r="DG20" s="10">
        <f t="shared" ref="DG20" si="306">DE20-DF20</f>
        <v>2.2300000000000182</v>
      </c>
      <c r="DH20" s="10">
        <f t="shared" si="265"/>
        <v>73.87000000000009</v>
      </c>
      <c r="DI20" s="168">
        <f t="shared" si="266"/>
        <v>8.1066682553688665</v>
      </c>
      <c r="DJ20" s="168">
        <f t="shared" si="267"/>
        <v>269.71943636837227</v>
      </c>
      <c r="DK20" s="15">
        <v>272.02</v>
      </c>
      <c r="DL20" s="10">
        <v>263.70999999999998</v>
      </c>
      <c r="DM20" s="222">
        <f>(DK20-DL20)-3.83</f>
        <v>4.4800000000000022</v>
      </c>
      <c r="DN20" s="10">
        <f t="shared" si="268"/>
        <v>78.350000000000094</v>
      </c>
      <c r="DO20" s="168">
        <f t="shared" si="269"/>
        <v>16.286042055628808</v>
      </c>
      <c r="DP20" s="168">
        <f t="shared" ref="DP20" si="307">DJ20+DO20</f>
        <v>286.00547842400107</v>
      </c>
      <c r="DQ20" s="15">
        <v>273.26</v>
      </c>
      <c r="DR20" s="10">
        <v>266.64</v>
      </c>
      <c r="DS20" s="222">
        <f>(DQ20-DR20)-3.27</f>
        <v>3.3500000000000045</v>
      </c>
      <c r="DT20" s="10">
        <f t="shared" ref="DT20" si="308">DN20+DS20</f>
        <v>81.700000000000102</v>
      </c>
      <c r="DU20" s="168">
        <f t="shared" si="270"/>
        <v>12.178178769276016</v>
      </c>
      <c r="DV20" s="168">
        <f t="shared" ref="DV20:DV21" si="309">DP20+DU20</f>
        <v>298.1836571932771</v>
      </c>
      <c r="DW20" s="15">
        <v>273.45999999999998</v>
      </c>
      <c r="DX20" s="10">
        <v>268.97000000000003</v>
      </c>
      <c r="DY20" s="10">
        <f t="shared" si="271"/>
        <v>4.4899999999999523</v>
      </c>
      <c r="DZ20" s="10">
        <f t="shared" si="272"/>
        <v>86.190000000000055</v>
      </c>
      <c r="EA20" s="168">
        <f t="shared" si="273"/>
        <v>16.322394828074227</v>
      </c>
      <c r="EB20" s="306">
        <f t="shared" ref="EB20" si="310">DV20+EA20</f>
        <v>314.50605202135131</v>
      </c>
    </row>
    <row r="21" spans="1:132" ht="12" customHeight="1">
      <c r="A21" s="119" t="s">
        <v>289</v>
      </c>
      <c r="B21" s="12" t="s">
        <v>290</v>
      </c>
      <c r="C21" s="305">
        <v>42927</v>
      </c>
      <c r="D21" s="12" t="s">
        <v>26</v>
      </c>
      <c r="E21" s="10" t="s">
        <v>284</v>
      </c>
      <c r="F21" s="11" t="s">
        <v>291</v>
      </c>
      <c r="G21" s="15">
        <v>251.2</v>
      </c>
      <c r="H21" s="13">
        <v>248.4</v>
      </c>
      <c r="I21" s="10">
        <f t="shared" si="224"/>
        <v>2.7999999999999829</v>
      </c>
      <c r="J21" s="168">
        <f t="shared" si="225"/>
        <v>10.178776284767938</v>
      </c>
      <c r="K21" s="15">
        <v>249.03</v>
      </c>
      <c r="L21" s="10">
        <v>244</v>
      </c>
      <c r="M21" s="10">
        <f t="shared" si="226"/>
        <v>5.0300000000000011</v>
      </c>
      <c r="N21" s="10">
        <f t="shared" si="227"/>
        <v>7.8299999999999841</v>
      </c>
      <c r="O21" s="168">
        <f t="shared" si="228"/>
        <v>18.285444540136805</v>
      </c>
      <c r="P21" s="168">
        <f t="shared" si="229"/>
        <v>28.464220824904743</v>
      </c>
      <c r="Q21" s="15">
        <v>272.14</v>
      </c>
      <c r="R21" s="10">
        <v>266.97000000000003</v>
      </c>
      <c r="S21" s="10">
        <f t="shared" si="293"/>
        <v>5.1699999999999591</v>
      </c>
      <c r="T21" s="10">
        <f t="shared" si="230"/>
        <v>12.999999999999943</v>
      </c>
      <c r="U21" s="168">
        <f t="shared" ref="U21" si="311">S21*T$1</f>
        <v>18.794383354375054</v>
      </c>
      <c r="V21" s="168">
        <f t="shared" si="231"/>
        <v>47.2586041792798</v>
      </c>
      <c r="W21" s="15">
        <v>274.76</v>
      </c>
      <c r="X21" s="10">
        <v>269.60000000000002</v>
      </c>
      <c r="Y21" s="10">
        <f>W21-X21</f>
        <v>5.1599999999999682</v>
      </c>
      <c r="Z21" s="10">
        <f t="shared" si="232"/>
        <v>18.159999999999911</v>
      </c>
      <c r="AA21" s="168">
        <f>Y21*$T$1</f>
        <v>18.758030581929486</v>
      </c>
      <c r="AB21" s="168">
        <f t="shared" si="233"/>
        <v>66.016634761209289</v>
      </c>
      <c r="AC21" s="15">
        <v>272.67</v>
      </c>
      <c r="AD21" s="10">
        <v>267.57</v>
      </c>
      <c r="AE21" s="10">
        <f>AC21-AD21</f>
        <v>5.1000000000000227</v>
      </c>
      <c r="AF21" s="10">
        <f t="shared" si="234"/>
        <v>23.259999999999934</v>
      </c>
      <c r="AG21" s="168">
        <f t="shared" si="235"/>
        <v>18.539913947256082</v>
      </c>
      <c r="AH21" s="168">
        <f t="shared" si="236"/>
        <v>84.556548708465371</v>
      </c>
      <c r="AI21" s="15">
        <v>274.36</v>
      </c>
      <c r="AJ21" s="10">
        <v>266.76</v>
      </c>
      <c r="AK21" s="222">
        <f>(AI21-AJ21)-2.5</f>
        <v>5.1000000000000227</v>
      </c>
      <c r="AL21" s="10">
        <f t="shared" ref="AL21" si="312">AF21+AK21</f>
        <v>28.359999999999957</v>
      </c>
      <c r="AM21" s="168">
        <f t="shared" si="238"/>
        <v>18.539913947256082</v>
      </c>
      <c r="AN21" s="168">
        <f t="shared" ref="AN21" si="313">AH21+AM21</f>
        <v>103.09646265572145</v>
      </c>
      <c r="AO21" s="15">
        <v>274.35000000000002</v>
      </c>
      <c r="AP21" s="10">
        <v>267.08</v>
      </c>
      <c r="AQ21" s="222">
        <f>AO21-AP21-2.04</f>
        <v>5.2300000000000386</v>
      </c>
      <c r="AR21" s="10">
        <f>AL21+AQ21</f>
        <v>33.589999999999996</v>
      </c>
      <c r="AS21" s="168">
        <f>AQ21*$T$1</f>
        <v>19.012499989048941</v>
      </c>
      <c r="AT21" s="168">
        <f>AN21+AS21</f>
        <v>122.1089626447704</v>
      </c>
      <c r="AU21" s="15">
        <v>276.36</v>
      </c>
      <c r="AV21" s="13">
        <v>273.01</v>
      </c>
      <c r="AW21" s="10">
        <f t="shared" si="239"/>
        <v>3.3500000000000227</v>
      </c>
      <c r="AX21" s="10">
        <f t="shared" ref="AX21:AX23" si="314">AR21+AW21</f>
        <v>36.940000000000019</v>
      </c>
      <c r="AY21" s="168">
        <f t="shared" si="241"/>
        <v>12.178178769276084</v>
      </c>
      <c r="AZ21" s="168">
        <f t="shared" si="242"/>
        <v>134.28714141404649</v>
      </c>
      <c r="BA21" s="15">
        <v>275.58</v>
      </c>
      <c r="BB21" s="155">
        <v>270.49</v>
      </c>
      <c r="BC21" s="10">
        <f>BA21-BB21</f>
        <v>5.089999999999975</v>
      </c>
      <c r="BD21" s="10">
        <f t="shared" si="243"/>
        <v>42.029999999999994</v>
      </c>
      <c r="BE21" s="168">
        <f t="shared" si="244"/>
        <v>18.503561174810308</v>
      </c>
      <c r="BF21" s="168">
        <f t="shared" ref="BF21" si="315">AZ21+BE21</f>
        <v>152.79070258885679</v>
      </c>
      <c r="BG21" s="15">
        <v>275.81</v>
      </c>
      <c r="BH21" s="10">
        <v>271.86</v>
      </c>
      <c r="BI21" s="10">
        <f>BG21-BH21</f>
        <v>3.9499999999999886</v>
      </c>
      <c r="BJ21" s="10">
        <f t="shared" ref="BJ21" si="316">BD21+BI21</f>
        <v>45.979999999999983</v>
      </c>
      <c r="BK21" s="168">
        <f t="shared" si="246"/>
        <v>14.359345116011959</v>
      </c>
      <c r="BL21" s="168">
        <f t="shared" ref="BL21" si="317">BF21+BK21</f>
        <v>167.15004770486874</v>
      </c>
      <c r="BM21" s="15">
        <v>277.29000000000002</v>
      </c>
      <c r="BN21" s="165">
        <v>271.83999999999997</v>
      </c>
      <c r="BO21" s="114">
        <f>BM21-BN21</f>
        <v>5.4500000000000455</v>
      </c>
      <c r="BP21" s="10">
        <f t="shared" si="248"/>
        <v>51.430000000000028</v>
      </c>
      <c r="BQ21" s="168">
        <f t="shared" si="249"/>
        <v>19.812260982852166</v>
      </c>
      <c r="BR21" s="168">
        <f t="shared" ref="BR21" si="318">BL21+BQ21</f>
        <v>186.96230868772091</v>
      </c>
      <c r="BS21" s="15">
        <v>273.02999999999997</v>
      </c>
      <c r="BT21" s="316">
        <v>267.79000000000002</v>
      </c>
      <c r="BU21" s="114">
        <f>(BS21-BT21)</f>
        <v>5.2399999999999523</v>
      </c>
      <c r="BV21" s="10">
        <f t="shared" si="251"/>
        <v>56.66999999999998</v>
      </c>
      <c r="BW21" s="168">
        <f t="shared" si="252"/>
        <v>19.048852761494228</v>
      </c>
      <c r="BX21" s="168">
        <f t="shared" ref="BX21" si="319">BR21+BW21</f>
        <v>206.01116144921514</v>
      </c>
      <c r="BY21" s="15">
        <v>274.58</v>
      </c>
      <c r="BZ21" s="165">
        <v>272.12</v>
      </c>
      <c r="CA21" s="114">
        <f>(BY21-BZ21)</f>
        <v>2.4599999999999795</v>
      </c>
      <c r="CB21" s="172">
        <v>2.11</v>
      </c>
      <c r="CC21" s="172">
        <f t="shared" si="253"/>
        <v>4.569999999999979</v>
      </c>
      <c r="CD21" s="10">
        <f t="shared" si="254"/>
        <v>61.239999999999959</v>
      </c>
      <c r="CE21" s="369">
        <f>(CA21*$T$1)+9.502</f>
        <v>18.444782021617527</v>
      </c>
      <c r="CF21" s="168">
        <f t="shared" si="255"/>
        <v>224.45594347083266</v>
      </c>
      <c r="CG21" s="15">
        <v>252.81</v>
      </c>
      <c r="CH21" s="316">
        <v>250.05</v>
      </c>
      <c r="CI21" s="10">
        <f>CG21-CH21</f>
        <v>2.7599999999999909</v>
      </c>
      <c r="CJ21" s="10">
        <f t="shared" si="256"/>
        <v>63.99999999999995</v>
      </c>
      <c r="CK21" s="168">
        <f t="shared" si="257"/>
        <v>10.033365194985567</v>
      </c>
      <c r="CL21" s="168">
        <f t="shared" ref="CL21" si="320">CF21+CK21</f>
        <v>234.48930866581824</v>
      </c>
      <c r="CM21" s="15">
        <v>258.29000000000002</v>
      </c>
      <c r="CN21" s="13">
        <v>254.43</v>
      </c>
      <c r="CO21" s="10">
        <f t="shared" si="258"/>
        <v>3.8600000000000136</v>
      </c>
      <c r="CP21" s="10">
        <f t="shared" si="259"/>
        <v>67.859999999999957</v>
      </c>
      <c r="CQ21" s="168">
        <f t="shared" si="260"/>
        <v>14.03217016400165</v>
      </c>
      <c r="CR21" s="168">
        <f t="shared" si="261"/>
        <v>248.5214788298199</v>
      </c>
      <c r="CS21" s="15">
        <v>271.45</v>
      </c>
      <c r="CT21" s="165">
        <v>266.91000000000003</v>
      </c>
      <c r="CU21" s="10">
        <f t="shared" si="282"/>
        <v>4.5399999999999636</v>
      </c>
      <c r="CV21" s="10">
        <f t="shared" si="262"/>
        <v>72.39999999999992</v>
      </c>
      <c r="CW21" s="168">
        <f t="shared" si="263"/>
        <v>16.504158690302269</v>
      </c>
      <c r="CX21" s="168">
        <f t="shared" ref="CX21" si="321">CR21+CW21</f>
        <v>265.02563752012219</v>
      </c>
      <c r="CY21" s="15">
        <v>260.97000000000003</v>
      </c>
      <c r="CZ21" s="165">
        <v>257.39</v>
      </c>
      <c r="DA21" s="10">
        <f>CY21-CZ21</f>
        <v>3.5800000000000409</v>
      </c>
      <c r="DB21" s="10">
        <f t="shared" ref="DB21" si="322">CV21+DA21</f>
        <v>75.979999999999961</v>
      </c>
      <c r="DC21" s="168">
        <f t="shared" si="264"/>
        <v>13.01429253552495</v>
      </c>
      <c r="DD21" s="168">
        <f t="shared" ref="DD21" si="323">CX21+DC21</f>
        <v>278.03993005564712</v>
      </c>
      <c r="DE21" s="15">
        <v>260.81</v>
      </c>
      <c r="DF21" s="10">
        <v>255.64</v>
      </c>
      <c r="DG21" s="10">
        <f>DE21-DF21</f>
        <v>5.1700000000000159</v>
      </c>
      <c r="DH21" s="10">
        <f t="shared" si="265"/>
        <v>81.149999999999977</v>
      </c>
      <c r="DI21" s="168">
        <f t="shared" si="266"/>
        <v>18.79438335437526</v>
      </c>
      <c r="DJ21" s="168">
        <f t="shared" si="267"/>
        <v>296.83431341002239</v>
      </c>
      <c r="DK21" s="15">
        <v>259.14999999999998</v>
      </c>
      <c r="DL21" s="165">
        <v>256.5</v>
      </c>
      <c r="DM21" s="10">
        <f>(DK21-DL21)</f>
        <v>2.6499999999999773</v>
      </c>
      <c r="DN21" s="10">
        <f t="shared" si="268"/>
        <v>83.799999999999955</v>
      </c>
      <c r="DO21" s="168">
        <f t="shared" si="269"/>
        <v>9.6334846980839171</v>
      </c>
      <c r="DP21" s="168">
        <f t="shared" ref="DP21" si="324">DJ21+DO21</f>
        <v>306.46779810810631</v>
      </c>
      <c r="DQ21" s="15">
        <v>269.92</v>
      </c>
      <c r="DR21" s="10">
        <f>264.72+0.98</f>
        <v>265.70000000000005</v>
      </c>
      <c r="DS21" s="10">
        <f>(DQ21-DR21)</f>
        <v>4.2199999999999704</v>
      </c>
      <c r="DT21" s="10">
        <f>DN21+DS21</f>
        <v>88.019999999999925</v>
      </c>
      <c r="DU21" s="168">
        <f t="shared" si="270"/>
        <v>15.340869972043093</v>
      </c>
      <c r="DV21" s="168">
        <f t="shared" si="309"/>
        <v>321.8086680801494</v>
      </c>
      <c r="DW21" s="15">
        <v>268.81</v>
      </c>
      <c r="DX21" s="165">
        <v>266.39</v>
      </c>
      <c r="DY21" s="10">
        <f t="shared" si="271"/>
        <v>2.4200000000000159</v>
      </c>
      <c r="DZ21" s="10">
        <f t="shared" si="272"/>
        <v>90.439999999999941</v>
      </c>
      <c r="EA21" s="168">
        <f t="shared" si="273"/>
        <v>8.7973709318352586</v>
      </c>
      <c r="EB21" s="306">
        <f t="shared" ref="EB21" si="325">DV21+EA21</f>
        <v>330.60603901198465</v>
      </c>
    </row>
    <row r="22" spans="1:132" ht="12" customHeight="1">
      <c r="A22" s="9" t="s">
        <v>292</v>
      </c>
      <c r="B22" s="62" t="s">
        <v>293</v>
      </c>
      <c r="C22" s="11">
        <v>43165</v>
      </c>
      <c r="D22" s="12" t="s">
        <v>26</v>
      </c>
      <c r="E22" s="10" t="s">
        <v>284</v>
      </c>
      <c r="F22" s="11">
        <v>43203</v>
      </c>
      <c r="G22" s="15">
        <v>249.06</v>
      </c>
      <c r="H22" s="13">
        <v>245.38</v>
      </c>
      <c r="I22" s="10">
        <f t="shared" si="224"/>
        <v>3.6800000000000068</v>
      </c>
      <c r="J22" s="168">
        <f t="shared" si="225"/>
        <v>13.377820259980826</v>
      </c>
      <c r="K22" s="15">
        <v>253.05</v>
      </c>
      <c r="L22" s="10">
        <v>247.78</v>
      </c>
      <c r="M22" s="10">
        <f t="shared" si="226"/>
        <v>5.2700000000000102</v>
      </c>
      <c r="N22" s="10">
        <f t="shared" si="227"/>
        <v>8.9500000000000171</v>
      </c>
      <c r="O22" s="168">
        <f t="shared" si="228"/>
        <v>19.157911078831237</v>
      </c>
      <c r="P22" s="168">
        <f t="shared" si="229"/>
        <v>32.535731338812063</v>
      </c>
      <c r="Q22" s="15">
        <v>254.63</v>
      </c>
      <c r="R22" s="77">
        <v>248.2</v>
      </c>
      <c r="S22" s="10">
        <f t="shared" si="293"/>
        <v>6.4300000000000068</v>
      </c>
      <c r="T22" s="10">
        <f t="shared" si="230"/>
        <v>15.380000000000024</v>
      </c>
      <c r="U22" s="168">
        <f t="shared" ref="U22" si="326">S22*T$1</f>
        <v>23.374832682520825</v>
      </c>
      <c r="V22" s="168">
        <f t="shared" si="231"/>
        <v>55.910564021332888</v>
      </c>
      <c r="W22" s="15">
        <v>254.4</v>
      </c>
      <c r="X22" s="10">
        <v>249.2</v>
      </c>
      <c r="Y22" s="10">
        <f>W22-X22</f>
        <v>5.2000000000000171</v>
      </c>
      <c r="Z22" s="10">
        <f t="shared" si="232"/>
        <v>20.580000000000041</v>
      </c>
      <c r="AA22" s="168">
        <f>Y22*$T$1</f>
        <v>18.903441671712063</v>
      </c>
      <c r="AB22" s="168">
        <f t="shared" si="233"/>
        <v>74.814005693044948</v>
      </c>
      <c r="AC22" s="15">
        <v>253.63</v>
      </c>
      <c r="AD22" s="10">
        <v>248.59</v>
      </c>
      <c r="AE22" s="10">
        <f>AC22-AD22</f>
        <v>5.039999999999992</v>
      </c>
      <c r="AF22" s="10">
        <f t="shared" si="234"/>
        <v>25.620000000000033</v>
      </c>
      <c r="AG22" s="168">
        <f t="shared" si="235"/>
        <v>18.321797312582373</v>
      </c>
      <c r="AH22" s="168">
        <f t="shared" si="236"/>
        <v>93.135803005627324</v>
      </c>
      <c r="AI22" s="15">
        <v>256.33</v>
      </c>
      <c r="AJ22" s="10">
        <v>250.86</v>
      </c>
      <c r="AK22" s="10">
        <f>AI22-AJ22</f>
        <v>5.4699999999999704</v>
      </c>
      <c r="AL22" s="10">
        <f>AF22+AK22</f>
        <v>31.090000000000003</v>
      </c>
      <c r="AM22" s="168">
        <f t="shared" si="238"/>
        <v>19.884966527743092</v>
      </c>
      <c r="AN22" s="168">
        <f>AH22+AM22</f>
        <v>113.02076953337041</v>
      </c>
      <c r="AO22" s="15">
        <v>256.19</v>
      </c>
      <c r="AP22" s="10">
        <v>250.93</v>
      </c>
      <c r="AQ22" s="10">
        <f t="shared" ref="AQ22" si="327">AO22-AP22</f>
        <v>5.2599999999999909</v>
      </c>
      <c r="AR22" s="10">
        <f t="shared" ref="AR22" si="328">AL22+AQ22</f>
        <v>36.349999999999994</v>
      </c>
      <c r="AS22" s="168">
        <f t="shared" ref="AS22" si="329">AQ22*$T$1</f>
        <v>19.121558306385566</v>
      </c>
      <c r="AT22" s="168">
        <f t="shared" ref="AT22" si="330">AN22+AS22</f>
        <v>132.14232783975598</v>
      </c>
      <c r="AU22" s="15">
        <v>255.15</v>
      </c>
      <c r="AV22" s="13">
        <v>250.26</v>
      </c>
      <c r="AW22" s="10">
        <f t="shared" si="239"/>
        <v>4.8900000000000148</v>
      </c>
      <c r="AX22" s="10">
        <f t="shared" si="314"/>
        <v>41.240000000000009</v>
      </c>
      <c r="AY22" s="168">
        <f t="shared" si="241"/>
        <v>17.776505725898453</v>
      </c>
      <c r="AZ22" s="168">
        <f t="shared" si="242"/>
        <v>149.91883356565444</v>
      </c>
      <c r="BA22" s="15">
        <v>257.14999999999998</v>
      </c>
      <c r="BB22" s="10">
        <v>252.22</v>
      </c>
      <c r="BC22" s="345">
        <f>(BA22-BB22)-0.9525</f>
        <v>3.9774999999999783</v>
      </c>
      <c r="BD22" s="10">
        <f t="shared" si="243"/>
        <v>45.217499999999987</v>
      </c>
      <c r="BE22" s="168">
        <f t="shared" si="244"/>
        <v>14.459315240237322</v>
      </c>
      <c r="BF22" s="168">
        <f t="shared" ref="BF22:BF23" si="331">AZ22+BE22</f>
        <v>164.37814880589175</v>
      </c>
      <c r="BG22" s="15">
        <v>262.05</v>
      </c>
      <c r="BH22" s="10">
        <v>256.06</v>
      </c>
      <c r="BI22" s="345">
        <f>(BG22-BH22)-0.9525</f>
        <v>5.0375000000000094</v>
      </c>
      <c r="BJ22" s="10">
        <f t="shared" ref="BJ22:BJ26" si="332">BD22+BI22</f>
        <v>50.254999999999995</v>
      </c>
      <c r="BK22" s="168">
        <f t="shared" si="246"/>
        <v>18.312709119471034</v>
      </c>
      <c r="BL22" s="168">
        <f t="shared" ref="BL22:BL26" si="333">BF22+BK22</f>
        <v>182.69085792536279</v>
      </c>
      <c r="BM22" s="15">
        <v>265.41000000000003</v>
      </c>
      <c r="BN22" s="10">
        <v>260.7</v>
      </c>
      <c r="BO22" s="343">
        <f>(BM22-BN22)-0.9525</f>
        <v>3.7575000000000363</v>
      </c>
      <c r="BP22" s="10">
        <f t="shared" si="248"/>
        <v>54.012500000000031</v>
      </c>
      <c r="BQ22" s="168">
        <f t="shared" si="249"/>
        <v>13.659554246434332</v>
      </c>
      <c r="BR22" s="168">
        <f t="shared" ref="BR22:BR23" si="334">BL22+BQ22</f>
        <v>196.35041217179713</v>
      </c>
      <c r="BS22" s="15">
        <v>265.49</v>
      </c>
      <c r="BT22" s="10">
        <v>259.68</v>
      </c>
      <c r="BU22" s="343">
        <f>(BS22-BT22)-0.9525</f>
        <v>4.8575000000000026</v>
      </c>
      <c r="BV22" s="10">
        <f t="shared" si="251"/>
        <v>58.870000000000033</v>
      </c>
      <c r="BW22" s="168">
        <f t="shared" si="252"/>
        <v>17.658359215450211</v>
      </c>
      <c r="BX22" s="168">
        <f t="shared" ref="BX22:BX23" si="335">BR22+BW22</f>
        <v>214.00877138724735</v>
      </c>
      <c r="BY22" s="15">
        <v>264.49</v>
      </c>
      <c r="BZ22" s="10">
        <v>261.02</v>
      </c>
      <c r="CA22" s="388">
        <f>(BY22-BZ22)-1.22</f>
        <v>2.2500000000000275</v>
      </c>
      <c r="CB22" s="172">
        <v>1.82</v>
      </c>
      <c r="CC22" s="172">
        <f t="shared" si="253"/>
        <v>4.0700000000000278</v>
      </c>
      <c r="CD22" s="10">
        <f t="shared" si="254"/>
        <v>62.940000000000062</v>
      </c>
      <c r="CE22" s="369">
        <f>(CA22*$T$1)+8.0048</f>
        <v>16.184173800260098</v>
      </c>
      <c r="CF22" s="168">
        <f t="shared" si="255"/>
        <v>230.19294518750746</v>
      </c>
      <c r="CG22" s="15">
        <v>261.85000000000002</v>
      </c>
      <c r="CH22" s="10">
        <v>256.04000000000002</v>
      </c>
      <c r="CI22" s="389">
        <f>(CG22-CH22)-1.22</f>
        <v>4.5900000000000025</v>
      </c>
      <c r="CJ22" s="10">
        <f t="shared" si="256"/>
        <v>67.530000000000058</v>
      </c>
      <c r="CK22" s="168">
        <f t="shared" si="257"/>
        <v>16.68592255253041</v>
      </c>
      <c r="CL22" s="168">
        <f>CF22+CK22</f>
        <v>246.87886774003786</v>
      </c>
      <c r="CM22" s="15">
        <v>262.25</v>
      </c>
      <c r="CN22" s="13">
        <v>257.26</v>
      </c>
      <c r="CO22" s="10">
        <f t="shared" si="258"/>
        <v>4.9900000000000091</v>
      </c>
      <c r="CP22" s="10">
        <f t="shared" si="259"/>
        <v>72.520000000000067</v>
      </c>
      <c r="CQ22" s="168">
        <f t="shared" si="260"/>
        <v>18.140033450354434</v>
      </c>
      <c r="CR22" s="168">
        <f t="shared" si="261"/>
        <v>265.01890119039228</v>
      </c>
      <c r="CS22" s="15">
        <v>258.87</v>
      </c>
      <c r="CT22" s="10">
        <v>252.62</v>
      </c>
      <c r="CU22" s="10">
        <f t="shared" si="282"/>
        <v>6.25</v>
      </c>
      <c r="CV22" s="10">
        <f t="shared" si="262"/>
        <v>78.770000000000067</v>
      </c>
      <c r="CW22" s="168">
        <f t="shared" si="263"/>
        <v>22.720482778499999</v>
      </c>
      <c r="CX22" s="168">
        <f>CR22+CW22</f>
        <v>287.7393839688923</v>
      </c>
      <c r="CY22" s="15">
        <v>265.66000000000003</v>
      </c>
      <c r="CZ22" s="10">
        <v>262.69</v>
      </c>
      <c r="DA22" s="310">
        <f>(CY22-CZ22)-1.77</f>
        <v>1.2000000000000273</v>
      </c>
      <c r="DB22" s="10">
        <f t="shared" ref="DB22:DB26" si="336">CV22+DA22</f>
        <v>79.970000000000098</v>
      </c>
      <c r="DC22" s="168">
        <f t="shared" si="264"/>
        <v>4.3623326934720996</v>
      </c>
      <c r="DD22" s="168">
        <f t="shared" ref="DD22:DD26" si="337">CX22+DC22</f>
        <v>292.10171666236442</v>
      </c>
      <c r="DE22" s="15">
        <v>266.58</v>
      </c>
      <c r="DF22" s="10">
        <v>261.70999999999998</v>
      </c>
      <c r="DG22" s="310">
        <f>(DE22-DF22)-1.77</f>
        <v>3.1000000000000045</v>
      </c>
      <c r="DH22" s="10">
        <f t="shared" si="265"/>
        <v>83.070000000000107</v>
      </c>
      <c r="DI22" s="168">
        <f t="shared" si="266"/>
        <v>11.269359458136018</v>
      </c>
      <c r="DJ22" s="168">
        <f t="shared" si="267"/>
        <v>303.37107612050045</v>
      </c>
      <c r="DK22" s="15">
        <v>266.89</v>
      </c>
      <c r="DL22" s="10">
        <v>261.54000000000002</v>
      </c>
      <c r="DM22" s="310">
        <f>(DK22-DL22)-1.77</f>
        <v>3.5799999999999659</v>
      </c>
      <c r="DN22" s="10">
        <f t="shared" si="268"/>
        <v>86.650000000000077</v>
      </c>
      <c r="DO22" s="168">
        <f t="shared" si="269"/>
        <v>13.014292535524676</v>
      </c>
      <c r="DP22" s="168">
        <f t="shared" ref="DP22:DP23" si="338">DJ22+DO22</f>
        <v>316.38536865602515</v>
      </c>
      <c r="DQ22" s="15">
        <v>265.19</v>
      </c>
      <c r="DR22" s="10">
        <v>259.77999999999997</v>
      </c>
      <c r="DS22" s="310">
        <f>(DQ22-DR22)-1.77</f>
        <v>3.640000000000025</v>
      </c>
      <c r="DT22" s="10">
        <f>DN22+DS22</f>
        <v>90.290000000000106</v>
      </c>
      <c r="DU22" s="168">
        <f t="shared" si="270"/>
        <v>13.232409170198491</v>
      </c>
      <c r="DV22" s="168">
        <f t="shared" ref="DV22:DV23" si="339">DP22+DU22</f>
        <v>329.61777782622363</v>
      </c>
      <c r="DW22" s="15">
        <v>261.82</v>
      </c>
      <c r="DX22" s="10">
        <v>257.49</v>
      </c>
      <c r="DY22" s="10">
        <f t="shared" si="271"/>
        <v>4.3299999999999841</v>
      </c>
      <c r="DZ22" s="10">
        <f t="shared" si="272"/>
        <v>94.62000000000009</v>
      </c>
      <c r="EA22" s="168">
        <f t="shared" si="273"/>
        <v>15.740750468944743</v>
      </c>
      <c r="EB22" s="306">
        <f t="shared" ref="EB22" si="340">DV22+EA22</f>
        <v>345.35852829516836</v>
      </c>
    </row>
    <row r="23" spans="1:132" ht="12" customHeight="1">
      <c r="A23" s="119" t="s">
        <v>294</v>
      </c>
      <c r="B23" s="12" t="s">
        <v>295</v>
      </c>
      <c r="C23" s="305">
        <v>43253</v>
      </c>
      <c r="D23" s="12" t="s">
        <v>26</v>
      </c>
      <c r="E23" s="10" t="s">
        <v>284</v>
      </c>
      <c r="F23" s="358">
        <v>43287</v>
      </c>
      <c r="G23" s="216">
        <v>250.03</v>
      </c>
      <c r="H23" s="13">
        <v>246.1</v>
      </c>
      <c r="I23" s="10">
        <f t="shared" si="224"/>
        <v>3.9300000000000068</v>
      </c>
      <c r="J23" s="168">
        <f t="shared" si="225"/>
        <v>14.286639571120824</v>
      </c>
      <c r="K23" s="15">
        <v>251.54</v>
      </c>
      <c r="L23" s="10">
        <v>247.09</v>
      </c>
      <c r="M23" s="10">
        <f t="shared" si="226"/>
        <v>4.4499999999999886</v>
      </c>
      <c r="N23" s="10">
        <f t="shared" si="227"/>
        <v>8.3799999999999955</v>
      </c>
      <c r="O23" s="168">
        <f t="shared" si="228"/>
        <v>16.176983738291959</v>
      </c>
      <c r="P23" s="168">
        <f t="shared" si="229"/>
        <v>30.463623309412782</v>
      </c>
      <c r="Q23" s="15">
        <v>253.92</v>
      </c>
      <c r="R23" s="77">
        <f>248.73+0.13</f>
        <v>248.85999999999999</v>
      </c>
      <c r="S23" s="10">
        <f t="shared" si="293"/>
        <v>5.0600000000000023</v>
      </c>
      <c r="T23" s="10">
        <f t="shared" si="230"/>
        <v>13.439999999999998</v>
      </c>
      <c r="U23" s="168">
        <f t="shared" ref="U23" si="341">S23*T$1</f>
        <v>18.394502857473608</v>
      </c>
      <c r="V23" s="168">
        <f t="shared" si="231"/>
        <v>48.858126166886393</v>
      </c>
      <c r="W23" s="15">
        <v>252.14</v>
      </c>
      <c r="X23" s="10">
        <f>247.14+0.39</f>
        <v>247.52999999999997</v>
      </c>
      <c r="Y23" s="10">
        <f>W23-X23</f>
        <v>4.6100000000000136</v>
      </c>
      <c r="Z23" s="10">
        <f t="shared" si="232"/>
        <v>18.050000000000011</v>
      </c>
      <c r="AA23" s="168">
        <f>Y23*$T$1</f>
        <v>16.758628097421649</v>
      </c>
      <c r="AB23" s="168">
        <f t="shared" si="233"/>
        <v>65.616754264308042</v>
      </c>
      <c r="AC23" s="15">
        <v>251.8</v>
      </c>
      <c r="AD23" s="10">
        <v>247.81</v>
      </c>
      <c r="AE23" s="10">
        <f>AC23-AD23</f>
        <v>3.9900000000000091</v>
      </c>
      <c r="AF23" s="10">
        <f t="shared" si="234"/>
        <v>22.04000000000002</v>
      </c>
      <c r="AG23" s="168">
        <f t="shared" si="235"/>
        <v>14.504756205794434</v>
      </c>
      <c r="AH23" s="168">
        <f t="shared" si="236"/>
        <v>80.121510470102479</v>
      </c>
      <c r="AI23" s="15">
        <v>255.19</v>
      </c>
      <c r="AJ23" s="10">
        <f>251.11+0.47</f>
        <v>251.58</v>
      </c>
      <c r="AK23" s="10">
        <f>AI23-AJ23</f>
        <v>3.6099999999999852</v>
      </c>
      <c r="AL23" s="10">
        <f>AF23+AK23</f>
        <v>25.650000000000006</v>
      </c>
      <c r="AM23" s="168">
        <f t="shared" si="238"/>
        <v>13.123350852861547</v>
      </c>
      <c r="AN23" s="168">
        <f>AH23+AM23</f>
        <v>93.244861322964027</v>
      </c>
      <c r="AO23" s="15">
        <v>256.92</v>
      </c>
      <c r="AP23" s="10">
        <v>252.6</v>
      </c>
      <c r="AQ23" s="10">
        <f t="shared" ref="AQ23" si="342">AO23-AP23</f>
        <v>4.3200000000000216</v>
      </c>
      <c r="AR23" s="10">
        <f t="shared" ref="AR23" si="343">AL23+AQ23</f>
        <v>29.970000000000027</v>
      </c>
      <c r="AS23" s="168">
        <f t="shared" ref="AS23" si="344">AQ23*$T$1</f>
        <v>15.70439769649928</v>
      </c>
      <c r="AT23" s="168">
        <f t="shared" ref="AT23" si="345">AN23+AS23</f>
        <v>108.94925901946331</v>
      </c>
      <c r="AU23" s="15">
        <v>260.7</v>
      </c>
      <c r="AV23" s="13">
        <v>256.64999999999998</v>
      </c>
      <c r="AW23" s="10">
        <f t="shared" si="239"/>
        <v>4.0500000000000114</v>
      </c>
      <c r="AX23" s="10">
        <f t="shared" si="314"/>
        <v>34.020000000000039</v>
      </c>
      <c r="AY23" s="168">
        <f t="shared" si="241"/>
        <v>14.722872840468042</v>
      </c>
      <c r="AZ23" s="168">
        <f t="shared" si="242"/>
        <v>123.67213185993135</v>
      </c>
      <c r="BA23" s="15">
        <v>260.39999999999998</v>
      </c>
      <c r="BB23" s="10">
        <v>256.64</v>
      </c>
      <c r="BC23" s="10">
        <f>BA23-BB23</f>
        <v>3.7599999999999909</v>
      </c>
      <c r="BD23" s="10">
        <f t="shared" si="243"/>
        <v>37.78000000000003</v>
      </c>
      <c r="BE23" s="168">
        <f t="shared" si="244"/>
        <v>13.668642439545568</v>
      </c>
      <c r="BF23" s="168">
        <f t="shared" si="331"/>
        <v>137.34077429947692</v>
      </c>
      <c r="BG23" s="15">
        <v>259.16000000000003</v>
      </c>
      <c r="BH23" s="10">
        <v>255.33</v>
      </c>
      <c r="BI23" s="10">
        <f>BG23-BH23</f>
        <v>3.8300000000000125</v>
      </c>
      <c r="BJ23" s="10">
        <f t="shared" si="332"/>
        <v>41.610000000000042</v>
      </c>
      <c r="BK23" s="168">
        <f t="shared" si="246"/>
        <v>13.923111846664845</v>
      </c>
      <c r="BL23" s="168">
        <f t="shared" si="333"/>
        <v>151.26388614614177</v>
      </c>
      <c r="BM23" s="15">
        <v>258.37</v>
      </c>
      <c r="BN23" s="10">
        <v>255.35</v>
      </c>
      <c r="BO23" s="114">
        <f>BM23-BN23</f>
        <v>3.0200000000000102</v>
      </c>
      <c r="BP23" s="10">
        <f t="shared" si="248"/>
        <v>44.630000000000052</v>
      </c>
      <c r="BQ23" s="168">
        <f t="shared" si="249"/>
        <v>10.978537278571238</v>
      </c>
      <c r="BR23" s="168">
        <f t="shared" si="334"/>
        <v>162.24242342471302</v>
      </c>
      <c r="BS23" s="15">
        <v>258.89</v>
      </c>
      <c r="BT23" s="10">
        <v>256</v>
      </c>
      <c r="BU23" s="114">
        <f>(BS23-BT23)</f>
        <v>2.8899999999999864</v>
      </c>
      <c r="BV23" s="10">
        <f t="shared" si="251"/>
        <v>47.520000000000039</v>
      </c>
      <c r="BW23" s="168">
        <f t="shared" si="252"/>
        <v>10.505951236778351</v>
      </c>
      <c r="BX23" s="168">
        <f t="shared" si="335"/>
        <v>172.74837466149137</v>
      </c>
      <c r="BY23" s="15">
        <v>256.58</v>
      </c>
      <c r="BZ23" s="10">
        <v>254.9</v>
      </c>
      <c r="CA23" s="365">
        <f>(BY23-BZ23)-0.96</f>
        <v>0.71999999999997844</v>
      </c>
      <c r="CB23" s="172">
        <v>1.17</v>
      </c>
      <c r="CC23" s="172">
        <f t="shared" si="253"/>
        <v>1.8899999999999784</v>
      </c>
      <c r="CD23" s="10">
        <f t="shared" si="254"/>
        <v>49.410000000000018</v>
      </c>
      <c r="CE23" s="369">
        <f>(CA23*$T$1)+5.2172</f>
        <v>7.8345996160831213</v>
      </c>
      <c r="CF23" s="168">
        <f t="shared" si="255"/>
        <v>180.58297427757449</v>
      </c>
      <c r="CG23" s="15">
        <v>262.81</v>
      </c>
      <c r="CH23" s="10">
        <v>260.08</v>
      </c>
      <c r="CI23" s="366">
        <f>CG23-CH23-2</f>
        <v>0.73000000000001819</v>
      </c>
      <c r="CJ23" s="10">
        <f t="shared" si="256"/>
        <v>50.140000000000036</v>
      </c>
      <c r="CK23" s="168">
        <f t="shared" si="257"/>
        <v>2.6537523885288663</v>
      </c>
      <c r="CL23" s="168">
        <f t="shared" ref="CL23" si="346">CF23+CK23</f>
        <v>183.23672666610335</v>
      </c>
      <c r="CM23" s="15">
        <v>262.66000000000003</v>
      </c>
      <c r="CN23" s="13">
        <v>259.57</v>
      </c>
      <c r="CO23" s="10">
        <f t="shared" si="258"/>
        <v>3.0900000000000318</v>
      </c>
      <c r="CP23" s="10">
        <f t="shared" si="259"/>
        <v>53.230000000000068</v>
      </c>
      <c r="CQ23" s="168">
        <f t="shared" si="260"/>
        <v>11.233006685690516</v>
      </c>
      <c r="CR23" s="168">
        <f t="shared" si="261"/>
        <v>194.46973335179388</v>
      </c>
      <c r="CS23" s="15">
        <v>262.7</v>
      </c>
      <c r="CT23" s="10">
        <v>258.79000000000002</v>
      </c>
      <c r="CU23" s="10">
        <f t="shared" si="282"/>
        <v>3.9099999999999682</v>
      </c>
      <c r="CV23" s="10">
        <f t="shared" si="262"/>
        <v>57.140000000000036</v>
      </c>
      <c r="CW23" s="168">
        <f t="shared" si="263"/>
        <v>14.213934026229484</v>
      </c>
      <c r="CX23" s="168">
        <f>CR23+CW23</f>
        <v>208.68366737802336</v>
      </c>
      <c r="CY23" s="15">
        <v>260.20999999999998</v>
      </c>
      <c r="CZ23" s="10">
        <v>256.42</v>
      </c>
      <c r="DA23" s="10">
        <f>CY23-CZ23</f>
        <v>3.7899999999999636</v>
      </c>
      <c r="DB23" s="10">
        <f t="shared" si="336"/>
        <v>60.93</v>
      </c>
      <c r="DC23" s="168">
        <f t="shared" si="264"/>
        <v>13.777700756882268</v>
      </c>
      <c r="DD23" s="168">
        <f t="shared" si="337"/>
        <v>222.46136813490563</v>
      </c>
      <c r="DE23" s="15">
        <v>259.38</v>
      </c>
      <c r="DF23" s="10">
        <v>256.08</v>
      </c>
      <c r="DG23" s="10">
        <f>DE23-DF23</f>
        <v>3.3000000000000114</v>
      </c>
      <c r="DH23" s="10">
        <f t="shared" si="265"/>
        <v>64.230000000000018</v>
      </c>
      <c r="DI23" s="168">
        <f t="shared" si="266"/>
        <v>11.996414907048042</v>
      </c>
      <c r="DJ23" s="168">
        <f t="shared" si="267"/>
        <v>234.45778304195366</v>
      </c>
      <c r="DK23" s="15">
        <v>258.79000000000002</v>
      </c>
      <c r="DL23" s="366">
        <f>254.25+0.535</f>
        <v>254.785</v>
      </c>
      <c r="DM23" s="10">
        <f>(DK23-DL23)</f>
        <v>4.0050000000000239</v>
      </c>
      <c r="DN23" s="10">
        <f t="shared" si="268"/>
        <v>68.235000000000042</v>
      </c>
      <c r="DO23" s="168">
        <f t="shared" si="269"/>
        <v>14.559285364462887</v>
      </c>
      <c r="DP23" s="168">
        <f t="shared" si="338"/>
        <v>249.01706840641654</v>
      </c>
      <c r="DQ23" s="15">
        <v>260.14999999999998</v>
      </c>
      <c r="DR23" s="366">
        <f>256.67+0.535</f>
        <v>257.20500000000004</v>
      </c>
      <c r="DS23" s="10">
        <f>(DQ23-DR23)</f>
        <v>2.9449999999999363</v>
      </c>
      <c r="DT23" s="10">
        <f>DN23+DS23</f>
        <v>71.179999999999978</v>
      </c>
      <c r="DU23" s="168">
        <f t="shared" si="270"/>
        <v>10.705891485228969</v>
      </c>
      <c r="DV23" s="168">
        <f t="shared" si="339"/>
        <v>259.72295989164553</v>
      </c>
      <c r="DW23" s="15">
        <v>260.04000000000002</v>
      </c>
      <c r="DX23" s="10">
        <v>256.33999999999997</v>
      </c>
      <c r="DY23" s="10">
        <f t="shared" si="271"/>
        <v>3.7000000000000455</v>
      </c>
      <c r="DZ23" s="10">
        <f t="shared" si="272"/>
        <v>74.880000000000024</v>
      </c>
      <c r="EA23" s="168">
        <f t="shared" si="273"/>
        <v>13.450525804872166</v>
      </c>
      <c r="EB23" s="306">
        <f t="shared" ref="EB23:EB26" si="347">DV23+EA23</f>
        <v>273.17348569651767</v>
      </c>
    </row>
    <row r="24" spans="1:132" ht="12" customHeight="1">
      <c r="A24" s="313"/>
      <c r="B24" s="10"/>
      <c r="C24" s="89"/>
      <c r="D24" s="10"/>
      <c r="E24" s="10"/>
      <c r="F24" s="377"/>
      <c r="G24" s="10"/>
      <c r="H24" s="13"/>
      <c r="I24" s="10"/>
      <c r="J24" s="168"/>
      <c r="K24" s="15"/>
      <c r="L24" s="10"/>
      <c r="M24" s="10"/>
      <c r="N24" s="10"/>
      <c r="O24" s="168"/>
      <c r="P24" s="168"/>
      <c r="Q24" s="15"/>
      <c r="S24" s="10"/>
      <c r="T24" s="10"/>
      <c r="U24" s="168"/>
      <c r="V24" s="168"/>
      <c r="W24" s="15"/>
      <c r="X24" s="10"/>
      <c r="Y24" s="10"/>
      <c r="Z24" s="10"/>
      <c r="AA24" s="168"/>
      <c r="AB24" s="168"/>
      <c r="AC24" s="15"/>
      <c r="AD24" s="10"/>
      <c r="AE24" s="10"/>
      <c r="AF24" s="10"/>
      <c r="AG24" s="168"/>
      <c r="AH24" s="168"/>
      <c r="AI24" s="15"/>
      <c r="AJ24" s="10"/>
      <c r="AK24" s="10"/>
      <c r="AL24" s="10"/>
      <c r="AM24" s="168"/>
      <c r="AN24" s="168"/>
      <c r="AO24" s="15"/>
      <c r="AP24" s="10"/>
      <c r="AQ24" s="10"/>
      <c r="AR24" s="10"/>
      <c r="AS24" s="168"/>
      <c r="AT24" s="168"/>
      <c r="AU24" s="15"/>
      <c r="AV24" s="13"/>
      <c r="AW24" s="10"/>
      <c r="AX24" s="10"/>
      <c r="AY24" s="168"/>
      <c r="AZ24" s="168"/>
      <c r="BA24" s="15"/>
      <c r="BB24" s="10"/>
      <c r="BC24" s="10"/>
      <c r="BD24" s="10"/>
      <c r="BE24" s="168"/>
      <c r="BF24" s="168"/>
      <c r="BG24" s="15"/>
      <c r="BH24" s="10"/>
      <c r="BI24" s="10"/>
      <c r="BJ24" s="10"/>
      <c r="BK24" s="168"/>
      <c r="BL24" s="168"/>
      <c r="BM24" s="15"/>
      <c r="BN24" s="10"/>
      <c r="BO24" s="114"/>
      <c r="BP24" s="10"/>
      <c r="BQ24" s="168"/>
      <c r="BR24" s="168"/>
      <c r="BS24" s="15"/>
      <c r="BT24" s="10"/>
      <c r="BU24" s="114"/>
      <c r="BV24" s="10"/>
      <c r="BW24" s="168"/>
      <c r="BX24" s="168"/>
      <c r="BY24" s="15"/>
      <c r="BZ24" s="10"/>
      <c r="CA24" s="114"/>
      <c r="CB24" s="172"/>
      <c r="CC24" s="172"/>
      <c r="CD24" s="10"/>
      <c r="CE24" s="369"/>
      <c r="CF24" s="168"/>
      <c r="CG24" s="15"/>
      <c r="CH24" s="10"/>
      <c r="CI24" s="10"/>
      <c r="CJ24" s="10"/>
      <c r="CK24" s="168"/>
      <c r="CL24" s="168"/>
      <c r="CM24" s="15"/>
      <c r="CN24" s="13"/>
      <c r="CO24" s="10"/>
      <c r="CP24" s="10"/>
      <c r="CQ24" s="168"/>
      <c r="CR24" s="168"/>
      <c r="CS24" s="15"/>
      <c r="CT24" s="10"/>
      <c r="CU24" s="10"/>
      <c r="CV24" s="10"/>
      <c r="CW24" s="168"/>
      <c r="CX24" s="168"/>
      <c r="CY24" s="15"/>
      <c r="CZ24" s="10"/>
      <c r="DA24" s="10"/>
      <c r="DB24" s="10"/>
      <c r="DC24" s="168"/>
      <c r="DD24" s="168"/>
      <c r="DE24" s="15"/>
      <c r="DF24" s="10"/>
      <c r="DG24" s="10"/>
      <c r="DH24" s="10"/>
      <c r="DI24" s="168"/>
      <c r="DJ24" s="168"/>
      <c r="DK24" s="15"/>
      <c r="DL24" s="10"/>
      <c r="DM24" s="10"/>
      <c r="DN24" s="10"/>
      <c r="DO24" s="168"/>
      <c r="DP24" s="168"/>
      <c r="DQ24" s="15"/>
      <c r="DR24" s="10"/>
      <c r="DS24" s="10"/>
      <c r="DT24" s="10"/>
      <c r="DU24" s="168"/>
      <c r="DV24" s="168"/>
      <c r="DW24" s="15"/>
      <c r="DX24" s="10"/>
      <c r="DY24" s="10"/>
      <c r="DZ24" s="10"/>
      <c r="EA24" s="168"/>
      <c r="EB24" s="404"/>
    </row>
    <row r="25" spans="1:132" ht="12" customHeight="1">
      <c r="A25" s="313" t="s">
        <v>296</v>
      </c>
      <c r="B25" s="10" t="s">
        <v>297</v>
      </c>
      <c r="C25" s="89"/>
      <c r="D25" s="10" t="s">
        <v>26</v>
      </c>
      <c r="E25" s="10" t="s">
        <v>284</v>
      </c>
      <c r="F25" s="89">
        <v>43742</v>
      </c>
      <c r="G25" s="15">
        <v>256.19</v>
      </c>
      <c r="H25" s="13">
        <v>251.85</v>
      </c>
      <c r="I25" s="10">
        <f t="shared" si="224"/>
        <v>4.3400000000000034</v>
      </c>
      <c r="J25" s="168">
        <f t="shared" si="225"/>
        <v>15.777103241390414</v>
      </c>
      <c r="K25" s="15">
        <v>262.05</v>
      </c>
      <c r="L25" s="10">
        <v>257.39999999999998</v>
      </c>
      <c r="M25" s="10">
        <f t="shared" ref="M25:M26" si="348">K25-L25</f>
        <v>4.6500000000000341</v>
      </c>
      <c r="N25" s="10">
        <f t="shared" ref="N25:N26" si="349">I25+M25</f>
        <v>8.9900000000000375</v>
      </c>
      <c r="O25" s="168">
        <f t="shared" ref="O25:O26" si="350">M25*T$1</f>
        <v>16.904039187204123</v>
      </c>
      <c r="P25" s="168">
        <f t="shared" ref="P25:P26" si="351">J25+O25</f>
        <v>32.681142428594541</v>
      </c>
      <c r="Q25" s="15">
        <v>265.83999999999997</v>
      </c>
      <c r="R25" s="77">
        <v>261.57</v>
      </c>
      <c r="S25" s="10">
        <f t="shared" si="293"/>
        <v>4.2699999999999818</v>
      </c>
      <c r="T25" s="10">
        <f t="shared" ref="T25:T26" si="352">N25+S25</f>
        <v>13.260000000000019</v>
      </c>
      <c r="U25" s="168">
        <f t="shared" ref="U25:U26" si="353">S25*T$1</f>
        <v>15.522633834271135</v>
      </c>
      <c r="V25" s="168">
        <f t="shared" ref="V25:V26" si="354">P25+U25</f>
        <v>48.203776262865674</v>
      </c>
      <c r="W25" s="15">
        <v>268.45999999999998</v>
      </c>
      <c r="X25" s="10">
        <v>264.04000000000002</v>
      </c>
      <c r="Y25" s="10">
        <f t="shared" ref="Y25:Y26" si="355">W25-X25</f>
        <v>4.4199999999999591</v>
      </c>
      <c r="Z25" s="10">
        <f t="shared" ref="Z25:Z26" si="356">T25+Y25</f>
        <v>17.679999999999978</v>
      </c>
      <c r="AA25" s="168">
        <f t="shared" ref="AA25:AA26" si="357">Y25*$T$1</f>
        <v>16.067925420955053</v>
      </c>
      <c r="AB25" s="168">
        <f t="shared" ref="AB25:AB26" si="358">V25+AA25</f>
        <v>64.271701683820723</v>
      </c>
      <c r="AC25" s="15">
        <v>262.8</v>
      </c>
      <c r="AD25" s="10">
        <v>258.02999999999997</v>
      </c>
      <c r="AE25" s="10">
        <f t="shared" ref="AE25:AE26" si="359">AC25-AD25</f>
        <v>4.7700000000000387</v>
      </c>
      <c r="AF25" s="10">
        <f t="shared" ref="AF25:AF26" si="360">Z25+AE25</f>
        <v>22.450000000000017</v>
      </c>
      <c r="AG25" s="168">
        <f t="shared" ref="AG25:AG26" si="361">AE25*$T$1</f>
        <v>17.34027245655134</v>
      </c>
      <c r="AH25" s="168">
        <f t="shared" ref="AH25:AH26" si="362">AB25+AG25</f>
        <v>81.61197414037207</v>
      </c>
      <c r="AI25" s="15">
        <v>261.20999999999998</v>
      </c>
      <c r="AJ25" s="10">
        <v>256.12</v>
      </c>
      <c r="AK25" s="10">
        <f t="shared" ref="AK25:AK26" si="363">AI25-AJ25</f>
        <v>5.089999999999975</v>
      </c>
      <c r="AL25" s="10">
        <f t="shared" ref="AL25:AL26" si="364">AF25+AK25</f>
        <v>27.539999999999992</v>
      </c>
      <c r="AM25" s="168">
        <f t="shared" ref="AM25:AM26" si="365">AK25*$T$1</f>
        <v>18.503561174810308</v>
      </c>
      <c r="AN25" s="168">
        <f t="shared" ref="AN25:AN26" si="366">AH25+AM25</f>
        <v>100.11553531518237</v>
      </c>
      <c r="AO25" s="15">
        <v>263.57</v>
      </c>
      <c r="AP25" s="10">
        <v>260.22000000000003</v>
      </c>
      <c r="AQ25" s="10">
        <f t="shared" ref="AQ25:AQ26" si="367">AO25-AP25</f>
        <v>3.3499999999999659</v>
      </c>
      <c r="AR25" s="10">
        <f t="shared" ref="AR25:AR26" si="368">AL25+AQ25</f>
        <v>30.889999999999958</v>
      </c>
      <c r="AS25" s="168">
        <f t="shared" ref="AS25:AS26" si="369">AQ25*$T$1</f>
        <v>12.178178769275876</v>
      </c>
      <c r="AT25" s="168">
        <f t="shared" ref="AT25:AT26" si="370">AN25+AS25</f>
        <v>112.29371408445824</v>
      </c>
      <c r="AU25" s="15">
        <v>264.44</v>
      </c>
      <c r="AV25" s="13">
        <v>260.2</v>
      </c>
      <c r="AW25" s="10">
        <f>AU25-AV25</f>
        <v>4.2400000000000091</v>
      </c>
      <c r="AX25" s="10">
        <f t="shared" ref="AX25:AX26" si="371">AR25+AW25</f>
        <v>35.129999999999967</v>
      </c>
      <c r="AY25" s="168">
        <f t="shared" ref="AY25:AY26" si="372">AW25*$T$1</f>
        <v>15.413575516934433</v>
      </c>
      <c r="AZ25" s="168">
        <f t="shared" ref="AZ25:AZ26" si="373">AT25+AY25</f>
        <v>127.70728960139267</v>
      </c>
      <c r="BA25" s="15">
        <v>266.12</v>
      </c>
      <c r="BB25" s="10">
        <v>261.77999999999997</v>
      </c>
      <c r="BC25" s="10">
        <f t="shared" ref="BC25:BC26" si="374">BA25-BB25</f>
        <v>4.3400000000000318</v>
      </c>
      <c r="BD25" s="10">
        <f t="shared" ref="BD25:BD26" si="375">AX25+BC25</f>
        <v>39.47</v>
      </c>
      <c r="BE25" s="168">
        <f t="shared" ref="BE25:BE26" si="376">BC25*$T$1</f>
        <v>15.777103241390517</v>
      </c>
      <c r="BF25" s="168">
        <f t="shared" ref="BF25:BF26" si="377">AZ25+BE25</f>
        <v>143.48439284278319</v>
      </c>
      <c r="BG25" s="15">
        <v>266.95</v>
      </c>
      <c r="BH25" s="10">
        <v>262.92</v>
      </c>
      <c r="BI25" s="10">
        <f>BG25-BH25</f>
        <v>4.0299999999999727</v>
      </c>
      <c r="BJ25" s="10">
        <f t="shared" si="332"/>
        <v>43.499999999999972</v>
      </c>
      <c r="BK25" s="168">
        <f t="shared" si="246"/>
        <v>14.650167295576701</v>
      </c>
      <c r="BL25" s="168">
        <f t="shared" si="333"/>
        <v>158.13456013835989</v>
      </c>
      <c r="BM25" s="15">
        <v>269.14</v>
      </c>
      <c r="BN25" s="10">
        <v>264.58</v>
      </c>
      <c r="BO25" s="114">
        <f t="shared" ref="BO25:BO26" si="378">BM25-BN25</f>
        <v>4.5600000000000023</v>
      </c>
      <c r="BP25" s="10">
        <f t="shared" ref="BP25:BP26" si="379">BJ25+BO25</f>
        <v>48.059999999999974</v>
      </c>
      <c r="BQ25" s="168">
        <f t="shared" ref="BQ25:BQ26" si="380">BO25*$T$1</f>
        <v>16.576864235193607</v>
      </c>
      <c r="BR25" s="168">
        <f t="shared" ref="BR25:BR26" si="381">BL25+BQ25</f>
        <v>174.71142437355348</v>
      </c>
      <c r="BS25" s="15">
        <v>265.74</v>
      </c>
      <c r="BT25" s="10">
        <v>261.61</v>
      </c>
      <c r="BU25" s="114">
        <f t="shared" ref="BU25:BU26" si="382">(BS25-BT25)</f>
        <v>4.1299999999999955</v>
      </c>
      <c r="BV25" s="10">
        <f t="shared" ref="BV25:BV26" si="383">BP25+BU25</f>
        <v>52.189999999999969</v>
      </c>
      <c r="BW25" s="168">
        <f t="shared" ref="BW25:BW26" si="384">BU25*$T$1</f>
        <v>15.013695020032785</v>
      </c>
      <c r="BX25" s="168">
        <f t="shared" ref="BX25:BX26" si="385">BR25+BW25</f>
        <v>189.72511939358628</v>
      </c>
      <c r="BY25" s="15">
        <v>267.24</v>
      </c>
      <c r="BZ25" s="10">
        <v>264.45</v>
      </c>
      <c r="CA25" s="114">
        <f t="shared" ref="CA25:CA26" si="386">(BY25-BZ25)</f>
        <v>2.7900000000000205</v>
      </c>
      <c r="CB25" s="172">
        <v>1.8</v>
      </c>
      <c r="CC25" s="172">
        <f t="shared" si="253"/>
        <v>4.5900000000000203</v>
      </c>
      <c r="CD25" s="10">
        <f t="shared" si="254"/>
        <v>56.779999999999987</v>
      </c>
      <c r="CE25" s="369">
        <f>(CA25*$T$1)+7.54</f>
        <v>17.682423512322476</v>
      </c>
      <c r="CF25" s="168">
        <f t="shared" ref="CF25:CF26" si="387">BX25+CE25</f>
        <v>207.40754290590877</v>
      </c>
      <c r="CG25" s="15">
        <v>266.62</v>
      </c>
      <c r="CH25" s="10">
        <v>263.48</v>
      </c>
      <c r="CI25" s="10">
        <f t="shared" ref="CI25:CI26" si="388">CG25-CH25</f>
        <v>3.1399999999999864</v>
      </c>
      <c r="CJ25" s="10">
        <f t="shared" ref="CJ25:CJ26" si="389">CD25+CI25</f>
        <v>59.919999999999973</v>
      </c>
      <c r="CK25" s="168">
        <f t="shared" ref="CK25:CK26" si="390">CI25*$T$1</f>
        <v>11.414770547918351</v>
      </c>
      <c r="CL25" s="168">
        <f t="shared" ref="CL25:CL26" si="391">CF25+CK25</f>
        <v>218.82231345382712</v>
      </c>
      <c r="CM25" s="15">
        <v>266.75</v>
      </c>
      <c r="CN25" s="13">
        <v>262.7</v>
      </c>
      <c r="CO25" s="10">
        <f t="shared" ref="CO25:CO26" si="392">CM25-CN25</f>
        <v>4.0500000000000114</v>
      </c>
      <c r="CP25" s="10">
        <f t="shared" ref="CP25:CP26" si="393">CJ25+CO25</f>
        <v>63.969999999999985</v>
      </c>
      <c r="CQ25" s="168">
        <f t="shared" ref="CQ25:CQ26" si="394">CO25*$T$1</f>
        <v>14.722872840468042</v>
      </c>
      <c r="CR25" s="168">
        <f t="shared" ref="CR25:CR26" si="395">CL25+CQ25</f>
        <v>233.54518629429515</v>
      </c>
      <c r="CS25" s="15">
        <v>267.17</v>
      </c>
      <c r="CT25" s="10">
        <v>263.16000000000003</v>
      </c>
      <c r="CU25" s="10">
        <f t="shared" ref="CU25:CU26" si="396">CS25-CT25</f>
        <v>4.0099999999999909</v>
      </c>
      <c r="CV25" s="10">
        <f t="shared" ref="CV25:CV26" si="397">CP25+CU25</f>
        <v>67.979999999999976</v>
      </c>
      <c r="CW25" s="168">
        <f t="shared" ref="CW25:CW26" si="398">CU25*$T$1</f>
        <v>14.577461750685567</v>
      </c>
      <c r="CX25" s="168">
        <f t="shared" ref="CX25:CX26" si="399">CR25+CW25</f>
        <v>248.12264804498071</v>
      </c>
      <c r="CY25" s="15">
        <v>265.61</v>
      </c>
      <c r="CZ25" s="10">
        <v>261.44</v>
      </c>
      <c r="DA25" s="10">
        <f>CY25-CZ25</f>
        <v>4.1700000000000159</v>
      </c>
      <c r="DB25" s="10">
        <f t="shared" si="336"/>
        <v>72.149999999999991</v>
      </c>
      <c r="DC25" s="168">
        <f t="shared" si="264"/>
        <v>15.159106109815259</v>
      </c>
      <c r="DD25" s="168">
        <f t="shared" si="337"/>
        <v>263.28175415479598</v>
      </c>
      <c r="DE25" s="15">
        <v>266.73</v>
      </c>
      <c r="DF25" s="10">
        <v>262.7</v>
      </c>
      <c r="DG25" s="10">
        <f t="shared" ref="DG25:DG26" si="400">DE25-DF25</f>
        <v>4.0300000000000296</v>
      </c>
      <c r="DH25" s="10">
        <f t="shared" ref="DH25:DH26" si="401">DB25+DG25</f>
        <v>76.180000000000021</v>
      </c>
      <c r="DI25" s="168">
        <f t="shared" ref="DI25:DI26" si="402">DG25*$T$1</f>
        <v>14.650167295576908</v>
      </c>
      <c r="DJ25" s="168">
        <f t="shared" ref="DJ25:DJ26" si="403">DD25+DI25</f>
        <v>277.9319214503729</v>
      </c>
      <c r="DK25" s="15">
        <v>265.52999999999997</v>
      </c>
      <c r="DL25" s="10">
        <v>261.66000000000003</v>
      </c>
      <c r="DM25" s="10">
        <f t="shared" ref="DM25:DM26" si="404">(DK25-DL25)</f>
        <v>3.8699999999999477</v>
      </c>
      <c r="DN25" s="10">
        <f t="shared" ref="DN25:DN26" si="405">DH25+DM25</f>
        <v>80.049999999999969</v>
      </c>
      <c r="DO25" s="168">
        <f t="shared" ref="DO25:DO26" si="406">DM25*$T$1</f>
        <v>14.06852293644701</v>
      </c>
      <c r="DP25" s="168">
        <f t="shared" ref="DP25:DP26" si="407">DJ25+DO25</f>
        <v>292.00044438681994</v>
      </c>
      <c r="DQ25" s="15">
        <v>266.19</v>
      </c>
      <c r="DR25" s="10">
        <v>262.33999999999997</v>
      </c>
      <c r="DS25" s="10">
        <f t="shared" ref="DS25:DS26" si="408">(DQ25-DR25)</f>
        <v>3.8500000000000227</v>
      </c>
      <c r="DT25" s="10">
        <f t="shared" ref="DT25:DT26" si="409">DN25+DS25</f>
        <v>83.899999999999991</v>
      </c>
      <c r="DU25" s="168">
        <f t="shared" ref="DU25:DU26" si="410">DS25*$T$1</f>
        <v>13.995817391556082</v>
      </c>
      <c r="DV25" s="168">
        <f t="shared" ref="DV25:DV26" si="411">DP25+DU25</f>
        <v>305.99626177837604</v>
      </c>
      <c r="DW25" s="15">
        <v>261.08999999999997</v>
      </c>
      <c r="DX25" s="10">
        <v>256.81</v>
      </c>
      <c r="DY25" s="10">
        <f t="shared" si="271"/>
        <v>4.2799999999999727</v>
      </c>
      <c r="DZ25" s="10">
        <f t="shared" si="272"/>
        <v>88.179999999999964</v>
      </c>
      <c r="EA25" s="168">
        <f t="shared" si="273"/>
        <v>15.558986606716701</v>
      </c>
      <c r="EB25" s="306">
        <f t="shared" si="347"/>
        <v>321.55524838509274</v>
      </c>
    </row>
    <row r="26" spans="1:132" ht="12" customHeight="1">
      <c r="A26" s="313" t="s">
        <v>298</v>
      </c>
      <c r="B26" s="10" t="s">
        <v>299</v>
      </c>
      <c r="C26" s="89"/>
      <c r="D26" s="10" t="s">
        <v>26</v>
      </c>
      <c r="E26" s="10" t="s">
        <v>284</v>
      </c>
      <c r="F26" s="89">
        <v>43742</v>
      </c>
      <c r="G26" s="15">
        <v>251.69</v>
      </c>
      <c r="H26" s="13">
        <v>247.59</v>
      </c>
      <c r="I26" s="10">
        <f t="shared" si="224"/>
        <v>4.0999999999999943</v>
      </c>
      <c r="J26" s="168">
        <f t="shared" si="225"/>
        <v>14.90463670269598</v>
      </c>
      <c r="K26" s="15">
        <v>254.93</v>
      </c>
      <c r="L26" s="10">
        <v>250.5</v>
      </c>
      <c r="M26" s="10">
        <f t="shared" si="348"/>
        <v>4.4300000000000068</v>
      </c>
      <c r="N26" s="10">
        <f t="shared" si="349"/>
        <v>8.5300000000000011</v>
      </c>
      <c r="O26" s="168">
        <f t="shared" si="350"/>
        <v>16.104278193400827</v>
      </c>
      <c r="P26" s="168">
        <f t="shared" si="351"/>
        <v>31.008914896096805</v>
      </c>
      <c r="Q26" s="15">
        <v>258.92</v>
      </c>
      <c r="R26" s="77">
        <v>254.3</v>
      </c>
      <c r="S26" s="10">
        <f t="shared" si="293"/>
        <v>4.6200000000000045</v>
      </c>
      <c r="T26" s="10">
        <f t="shared" si="352"/>
        <v>13.150000000000006</v>
      </c>
      <c r="U26" s="168">
        <f t="shared" si="353"/>
        <v>16.794980869867217</v>
      </c>
      <c r="V26" s="168">
        <f t="shared" si="354"/>
        <v>47.803895765964022</v>
      </c>
      <c r="W26" s="15">
        <v>259.82</v>
      </c>
      <c r="X26" s="10">
        <v>255.58</v>
      </c>
      <c r="Y26" s="10">
        <f t="shared" si="355"/>
        <v>4.2399999999999807</v>
      </c>
      <c r="Z26" s="10">
        <f t="shared" si="356"/>
        <v>17.389999999999986</v>
      </c>
      <c r="AA26" s="168">
        <f t="shared" si="357"/>
        <v>15.41357551693433</v>
      </c>
      <c r="AB26" s="168">
        <f t="shared" si="358"/>
        <v>63.217471282898352</v>
      </c>
      <c r="AC26" s="15">
        <v>265.33999999999997</v>
      </c>
      <c r="AD26" s="10">
        <v>261.16000000000003</v>
      </c>
      <c r="AE26" s="10">
        <f t="shared" si="359"/>
        <v>4.17999999999995</v>
      </c>
      <c r="AF26" s="10">
        <f t="shared" si="360"/>
        <v>21.569999999999936</v>
      </c>
      <c r="AG26" s="168">
        <f t="shared" si="361"/>
        <v>15.195458882260619</v>
      </c>
      <c r="AH26" s="168">
        <f t="shared" si="362"/>
        <v>78.412930165158969</v>
      </c>
      <c r="AI26" s="15">
        <v>265.82</v>
      </c>
      <c r="AJ26" s="10">
        <v>262.17</v>
      </c>
      <c r="AK26" s="10">
        <f t="shared" si="363"/>
        <v>3.6499999999999773</v>
      </c>
      <c r="AL26" s="10">
        <f t="shared" si="364"/>
        <v>25.219999999999914</v>
      </c>
      <c r="AM26" s="168">
        <f t="shared" si="365"/>
        <v>13.268761942643918</v>
      </c>
      <c r="AN26" s="168">
        <f t="shared" si="366"/>
        <v>91.681692107802888</v>
      </c>
      <c r="AO26" s="15">
        <v>267.88</v>
      </c>
      <c r="AP26" s="10">
        <v>266.02</v>
      </c>
      <c r="AQ26" s="10">
        <f t="shared" si="367"/>
        <v>1.8600000000000136</v>
      </c>
      <c r="AR26" s="10">
        <f t="shared" si="368"/>
        <v>27.079999999999927</v>
      </c>
      <c r="AS26" s="168">
        <f t="shared" si="369"/>
        <v>6.7616156748816501</v>
      </c>
      <c r="AT26" s="168">
        <f t="shared" si="370"/>
        <v>98.443307782684542</v>
      </c>
      <c r="AU26" s="15">
        <v>269.12</v>
      </c>
      <c r="AV26" s="13">
        <v>265.04000000000002</v>
      </c>
      <c r="AW26" s="10">
        <f t="shared" ref="AW26" si="412">AU26-AV26</f>
        <v>4.0799999999999841</v>
      </c>
      <c r="AX26" s="10">
        <f t="shared" si="371"/>
        <v>31.159999999999911</v>
      </c>
      <c r="AY26" s="168">
        <f t="shared" si="372"/>
        <v>14.831931157804743</v>
      </c>
      <c r="AZ26" s="168">
        <f t="shared" si="373"/>
        <v>113.27523894048929</v>
      </c>
      <c r="BA26" s="15">
        <v>268.87</v>
      </c>
      <c r="BB26" s="10">
        <v>264.73</v>
      </c>
      <c r="BC26" s="10">
        <f t="shared" si="374"/>
        <v>4.1399999999999864</v>
      </c>
      <c r="BD26" s="10">
        <f t="shared" si="375"/>
        <v>35.299999999999898</v>
      </c>
      <c r="BE26" s="168">
        <f t="shared" si="376"/>
        <v>15.050047792478351</v>
      </c>
      <c r="BF26" s="168">
        <f t="shared" si="377"/>
        <v>128.32528673296764</v>
      </c>
      <c r="BG26" s="15">
        <v>270.06</v>
      </c>
      <c r="BH26" s="10">
        <v>266.08999999999997</v>
      </c>
      <c r="BI26" s="10">
        <f>BG26-BH26</f>
        <v>3.9700000000000273</v>
      </c>
      <c r="BJ26" s="10">
        <f t="shared" si="332"/>
        <v>39.269999999999925</v>
      </c>
      <c r="BK26" s="168">
        <f t="shared" si="246"/>
        <v>14.4320506609033</v>
      </c>
      <c r="BL26" s="168">
        <f t="shared" si="333"/>
        <v>142.75733739387096</v>
      </c>
      <c r="BM26" s="15">
        <v>270.16000000000003</v>
      </c>
      <c r="BN26" s="10">
        <v>266.69</v>
      </c>
      <c r="BO26" s="114">
        <f t="shared" si="378"/>
        <v>3.4700000000000273</v>
      </c>
      <c r="BP26" s="10">
        <f t="shared" si="379"/>
        <v>42.739999999999952</v>
      </c>
      <c r="BQ26" s="168">
        <f t="shared" si="380"/>
        <v>12.6144120386233</v>
      </c>
      <c r="BR26" s="168">
        <f t="shared" si="381"/>
        <v>155.37174943249425</v>
      </c>
      <c r="BS26" s="15">
        <v>267.41000000000003</v>
      </c>
      <c r="BT26" s="10">
        <v>267.33</v>
      </c>
      <c r="BU26" s="114">
        <f t="shared" si="382"/>
        <v>8.0000000000040927E-2</v>
      </c>
      <c r="BV26" s="10">
        <f t="shared" si="383"/>
        <v>42.819999999999993</v>
      </c>
      <c r="BW26" s="168">
        <f t="shared" si="384"/>
        <v>0.29082217956494877</v>
      </c>
      <c r="BX26" s="168">
        <f t="shared" si="385"/>
        <v>155.6625716120592</v>
      </c>
      <c r="BY26" s="15">
        <v>267.43</v>
      </c>
      <c r="BZ26" s="10">
        <v>265.73</v>
      </c>
      <c r="CA26" s="114">
        <f t="shared" si="386"/>
        <v>1.6999999999999886</v>
      </c>
      <c r="CB26" s="172">
        <v>2.0099999999999998</v>
      </c>
      <c r="CC26" s="172">
        <f t="shared" si="253"/>
        <v>3.7099999999999884</v>
      </c>
      <c r="CD26" s="10">
        <f t="shared" si="254"/>
        <v>46.52999999999998</v>
      </c>
      <c r="CE26" s="369">
        <f>(CA26*$T$1)+8.86</f>
        <v>15.039971315751959</v>
      </c>
      <c r="CF26" s="168">
        <f t="shared" si="387"/>
        <v>170.70254292781115</v>
      </c>
      <c r="CG26" s="15">
        <v>267.39</v>
      </c>
      <c r="CH26" s="10">
        <v>264.75</v>
      </c>
      <c r="CI26" s="10">
        <f t="shared" si="388"/>
        <v>2.6399999999999864</v>
      </c>
      <c r="CJ26" s="10">
        <f t="shared" si="389"/>
        <v>49.169999999999966</v>
      </c>
      <c r="CK26" s="168">
        <f t="shared" si="390"/>
        <v>9.5971319256383509</v>
      </c>
      <c r="CL26" s="168">
        <f t="shared" si="391"/>
        <v>180.29967485344952</v>
      </c>
      <c r="CM26" s="15">
        <v>268.18</v>
      </c>
      <c r="CN26" s="13">
        <v>264.79000000000002</v>
      </c>
      <c r="CO26" s="10">
        <f t="shared" si="392"/>
        <v>3.3899999999999864</v>
      </c>
      <c r="CP26" s="10">
        <f t="shared" si="393"/>
        <v>52.559999999999953</v>
      </c>
      <c r="CQ26" s="168">
        <f t="shared" si="394"/>
        <v>12.323589859058352</v>
      </c>
      <c r="CR26" s="168">
        <f t="shared" si="395"/>
        <v>192.62326471250788</v>
      </c>
      <c r="CS26" s="15">
        <v>267.72000000000003</v>
      </c>
      <c r="CT26" s="10">
        <v>264.52</v>
      </c>
      <c r="CU26" s="10">
        <f t="shared" si="396"/>
        <v>3.2000000000000455</v>
      </c>
      <c r="CV26" s="10">
        <f t="shared" si="397"/>
        <v>55.76</v>
      </c>
      <c r="CW26" s="168">
        <f t="shared" si="398"/>
        <v>11.632887182592166</v>
      </c>
      <c r="CX26" s="168">
        <f t="shared" si="399"/>
        <v>204.25615189510003</v>
      </c>
      <c r="CY26" s="15">
        <v>258.88</v>
      </c>
      <c r="CZ26" s="10">
        <v>256.14999999999998</v>
      </c>
      <c r="DA26" s="10">
        <f>CY26-CZ26</f>
        <v>2.7300000000000182</v>
      </c>
      <c r="DB26" s="10">
        <f t="shared" si="336"/>
        <v>58.490000000000016</v>
      </c>
      <c r="DC26" s="168">
        <f t="shared" si="264"/>
        <v>9.924306877648867</v>
      </c>
      <c r="DD26" s="168">
        <f t="shared" si="337"/>
        <v>214.18045877274889</v>
      </c>
      <c r="DE26" s="15">
        <v>260.97000000000003</v>
      </c>
      <c r="DF26" s="10">
        <v>257.55</v>
      </c>
      <c r="DG26" s="10">
        <f t="shared" si="400"/>
        <v>3.4200000000000159</v>
      </c>
      <c r="DH26" s="10">
        <f t="shared" si="401"/>
        <v>61.910000000000032</v>
      </c>
      <c r="DI26" s="168">
        <f t="shared" si="402"/>
        <v>12.432648176395258</v>
      </c>
      <c r="DJ26" s="168">
        <f t="shared" si="403"/>
        <v>226.61310694914414</v>
      </c>
      <c r="DK26" s="15">
        <v>263.2</v>
      </c>
      <c r="DL26" s="10">
        <v>259.49</v>
      </c>
      <c r="DM26" s="10">
        <f t="shared" si="404"/>
        <v>3.7099999999999795</v>
      </c>
      <c r="DN26" s="10">
        <f t="shared" si="405"/>
        <v>65.62</v>
      </c>
      <c r="DO26" s="168">
        <f t="shared" si="406"/>
        <v>13.486878577317526</v>
      </c>
      <c r="DP26" s="168">
        <f t="shared" si="407"/>
        <v>240.09998552646167</v>
      </c>
      <c r="DQ26" s="15">
        <v>262.22000000000003</v>
      </c>
      <c r="DR26" s="10">
        <v>258.68</v>
      </c>
      <c r="DS26" s="10">
        <f t="shared" si="408"/>
        <v>3.5400000000000205</v>
      </c>
      <c r="DT26" s="10">
        <f t="shared" si="409"/>
        <v>69.160000000000025</v>
      </c>
      <c r="DU26" s="168">
        <f t="shared" si="410"/>
        <v>12.868881445742474</v>
      </c>
      <c r="DV26" s="168">
        <f t="shared" si="411"/>
        <v>252.96886697220413</v>
      </c>
      <c r="DW26" s="15">
        <v>257</v>
      </c>
      <c r="DX26" s="10">
        <v>252.94</v>
      </c>
      <c r="DY26" s="10">
        <f t="shared" si="271"/>
        <v>4.0600000000000023</v>
      </c>
      <c r="DZ26" s="10">
        <f t="shared" si="272"/>
        <v>73.220000000000027</v>
      </c>
      <c r="EA26" s="168">
        <f t="shared" si="273"/>
        <v>14.759225612913609</v>
      </c>
      <c r="EB26" s="306">
        <f t="shared" si="347"/>
        <v>267.72809258511774</v>
      </c>
    </row>
    <row r="27" spans="1:132" ht="12" customHeight="1">
      <c r="G27" s="15"/>
      <c r="H27" s="13"/>
      <c r="I27" s="10"/>
      <c r="J27" s="168"/>
      <c r="K27" s="15"/>
      <c r="L27" s="10"/>
      <c r="M27" s="10"/>
      <c r="N27" s="10"/>
      <c r="O27" s="168"/>
      <c r="P27" s="168"/>
      <c r="Q27" s="15"/>
      <c r="S27" s="10"/>
      <c r="T27" s="10"/>
      <c r="U27" s="168"/>
      <c r="V27" s="168"/>
      <c r="W27" s="15"/>
      <c r="X27" s="10"/>
      <c r="Y27" s="10"/>
      <c r="Z27" s="10"/>
      <c r="AA27" s="168"/>
      <c r="AB27" s="168"/>
      <c r="AC27" s="15"/>
      <c r="AD27" s="10"/>
      <c r="AE27" s="10"/>
      <c r="AF27" s="10"/>
      <c r="AG27" s="168"/>
      <c r="AH27" s="168"/>
      <c r="AI27" s="15"/>
      <c r="AJ27" s="10"/>
      <c r="AK27" s="10"/>
      <c r="AL27" s="10"/>
      <c r="AM27" s="168"/>
      <c r="AN27" s="168"/>
      <c r="AO27" s="15"/>
      <c r="AP27" s="10"/>
      <c r="AQ27" s="10"/>
      <c r="AR27" s="10"/>
      <c r="AS27" s="168"/>
      <c r="AT27" s="168"/>
      <c r="AU27" s="15"/>
      <c r="AV27" s="13"/>
      <c r="AW27" s="10"/>
      <c r="AX27" s="10"/>
      <c r="AY27" s="10"/>
      <c r="AZ27" s="10"/>
      <c r="BA27" s="15"/>
      <c r="BB27" s="10"/>
      <c r="BC27" s="10"/>
      <c r="BD27" s="10"/>
      <c r="BE27" s="10"/>
      <c r="BF27" s="10"/>
      <c r="BG27" s="15"/>
      <c r="BH27" s="10"/>
      <c r="BI27" s="10"/>
      <c r="BJ27" s="10"/>
      <c r="BK27" s="10"/>
      <c r="BL27" s="10"/>
      <c r="BM27" s="15"/>
      <c r="BN27" s="10"/>
      <c r="BO27" s="114"/>
      <c r="BP27" s="10"/>
      <c r="BQ27" s="168"/>
      <c r="BR27" s="168"/>
      <c r="BS27" s="15"/>
      <c r="BT27" s="10"/>
      <c r="BU27" s="114"/>
      <c r="BV27" s="10"/>
      <c r="BW27" s="168"/>
      <c r="BX27" s="168"/>
      <c r="BY27" s="15"/>
      <c r="BZ27" s="10"/>
      <c r="CA27" s="114"/>
      <c r="CB27" s="172"/>
      <c r="CC27" s="172"/>
      <c r="CD27" s="10"/>
      <c r="CE27" s="172"/>
      <c r="CF27" s="10"/>
      <c r="CG27" s="15"/>
      <c r="CH27" s="10"/>
      <c r="CI27" s="10"/>
      <c r="CJ27" s="10"/>
      <c r="CK27" s="10"/>
      <c r="CL27" s="10"/>
      <c r="CM27" s="15"/>
      <c r="CN27" s="13"/>
      <c r="CO27" s="10"/>
      <c r="CP27" s="10"/>
      <c r="CQ27" s="10"/>
      <c r="CR27" s="10"/>
      <c r="CS27" s="15"/>
      <c r="CT27" s="10"/>
      <c r="CU27" s="10"/>
      <c r="CV27" s="10"/>
      <c r="CW27" s="10"/>
      <c r="CX27" s="10"/>
      <c r="CY27" s="15"/>
      <c r="CZ27" s="10"/>
      <c r="DA27" s="10"/>
      <c r="DB27" s="10"/>
      <c r="DC27" s="10"/>
      <c r="DD27" s="10"/>
      <c r="DE27" s="15"/>
      <c r="DF27" s="10"/>
      <c r="DG27" s="10"/>
      <c r="DH27" s="10"/>
      <c r="DI27" s="10"/>
      <c r="DJ27" s="10"/>
      <c r="DK27" s="15"/>
      <c r="DL27" s="10"/>
      <c r="DM27" s="10"/>
      <c r="DN27" s="10"/>
      <c r="DO27" s="10"/>
      <c r="DP27" s="10"/>
      <c r="DQ27" s="15"/>
      <c r="DR27" s="10"/>
      <c r="DS27" s="10"/>
      <c r="DT27" s="10"/>
      <c r="DU27" s="10"/>
      <c r="DV27" s="10"/>
      <c r="DW27" s="15"/>
      <c r="DX27" s="10"/>
      <c r="DY27" s="10"/>
      <c r="DZ27" s="10"/>
      <c r="EA27" s="10"/>
      <c r="EB27" s="216"/>
    </row>
    <row r="28" spans="1:132">
      <c r="A28" s="9"/>
      <c r="B28" s="11"/>
      <c r="C28" s="3"/>
      <c r="D28" s="12"/>
      <c r="E28" s="12"/>
      <c r="F28" s="31"/>
      <c r="G28" s="20"/>
      <c r="H28" s="18"/>
      <c r="I28" s="3">
        <f>AVERAGE(I18:I27)</f>
        <v>4.0449999999999946</v>
      </c>
      <c r="J28" s="19">
        <f>AVERAGE(J18:J27)</f>
        <v>14.704696454245182</v>
      </c>
      <c r="K28" s="20"/>
      <c r="M28" s="3">
        <f>AVERAGE(M18:M27)</f>
        <v>4.6300000000000097</v>
      </c>
      <c r="N28" s="3">
        <f>AVERAGE(N18:N27)</f>
        <v>8.6750000000000043</v>
      </c>
      <c r="O28" s="3">
        <f>AVERAGE(O18:O27)</f>
        <v>16.831333642312835</v>
      </c>
      <c r="P28" s="19">
        <f>AVERAGE(P18:P27)</f>
        <v>31.536030096558015</v>
      </c>
      <c r="Q28" s="20"/>
      <c r="R28" s="18"/>
      <c r="S28" s="3">
        <f>AVERAGE(S18:S27)</f>
        <v>4.9299999999999926</v>
      </c>
      <c r="T28" s="3">
        <f>AVERAGE(T18:T27)</f>
        <v>13.604999999999997</v>
      </c>
      <c r="U28" s="3">
        <f>AVERAGE(U18:U27)</f>
        <v>17.921916815680774</v>
      </c>
      <c r="V28" s="19">
        <f>AVERAGE(V18:V27)</f>
        <v>49.457946912238796</v>
      </c>
      <c r="W28" s="20"/>
      <c r="X28" s="18"/>
      <c r="Y28" s="3">
        <f>AVERAGE(Y18:Y27)</f>
        <v>4.7650000000000006</v>
      </c>
      <c r="Z28" s="3">
        <f>AVERAGE(Z18:Z27)</f>
        <v>18.369999999999997</v>
      </c>
      <c r="AA28" s="3">
        <f>AVERAGE(AA18:AA27)</f>
        <v>17.322096070328403</v>
      </c>
      <c r="AB28" s="19">
        <f>AVERAGE(AB18:AB27)</f>
        <v>66.780042982567181</v>
      </c>
      <c r="AC28" s="20"/>
      <c r="AD28" s="18"/>
      <c r="AE28" s="3">
        <f>AVERAGE(AE18:AE27)</f>
        <v>4.7287499999999945</v>
      </c>
      <c r="AF28" s="3">
        <f>AVERAGE(AF18:AF27)</f>
        <v>23.098749999999992</v>
      </c>
      <c r="AG28" s="3">
        <f>AVERAGE(AG18:AG27)</f>
        <v>17.190317270213082</v>
      </c>
      <c r="AH28" s="19">
        <f>AVERAGE(AH18:AH27)</f>
        <v>83.970360252780267</v>
      </c>
      <c r="AI28" s="20"/>
      <c r="AJ28" s="18"/>
      <c r="AK28" s="3">
        <f>AVERAGE(AK18:AK27)</f>
        <v>4.7787499999999863</v>
      </c>
      <c r="AL28" s="3">
        <f>AVERAGE(AL18:AL27)</f>
        <v>27.877499999999976</v>
      </c>
      <c r="AM28" s="3">
        <f>AVERAGE(AM18:AM27)</f>
        <v>17.37208113244105</v>
      </c>
      <c r="AN28" s="19">
        <f>AVERAGE(AN18:AN27)</f>
        <v>101.34244138522131</v>
      </c>
      <c r="AO28" s="20"/>
      <c r="AP28" s="18"/>
      <c r="AQ28" s="3">
        <f>AVERAGE(AQ18:AQ27)</f>
        <v>4.2700000000000022</v>
      </c>
      <c r="AR28" s="3">
        <f>AVERAGE(AR18:AR27)</f>
        <v>32.14749999999998</v>
      </c>
      <c r="AS28" s="3">
        <f>AVERAGE(AS18:AS27)</f>
        <v>15.522633834271209</v>
      </c>
      <c r="AT28" s="19">
        <f>AVERAGE(AT18:AT27)</f>
        <v>116.86507521949252</v>
      </c>
      <c r="AU28" s="20"/>
      <c r="AV28" s="18"/>
      <c r="AW28" s="3">
        <f>AVERAGE(AW18:AW27)</f>
        <v>4.1687499999999993</v>
      </c>
      <c r="AX28" s="3">
        <f>AVERAGE(AX18:AX27)</f>
        <v>36.316249999999975</v>
      </c>
      <c r="AY28" s="3">
        <f>AVERAGE(AY18:AY27)</f>
        <v>15.154562013259499</v>
      </c>
      <c r="AZ28" s="19">
        <f>AVERAGE(AZ18:AZ27)</f>
        <v>132.01963723275202</v>
      </c>
      <c r="BA28" s="20"/>
      <c r="BB28" s="18"/>
      <c r="BC28" s="3">
        <f>AVERAGE(BC18:BC27)</f>
        <v>4.1846874999999937</v>
      </c>
      <c r="BD28" s="3">
        <f>AVERAGE(BD18:BD27)</f>
        <v>40.500937499999971</v>
      </c>
      <c r="BE28" s="3">
        <f>AVERAGE(BE18:BE27)</f>
        <v>15.212499244344652</v>
      </c>
      <c r="BF28" s="19">
        <f>AVERAGE(BF18:BF27)</f>
        <v>147.2321364770967</v>
      </c>
      <c r="BG28" s="20"/>
      <c r="BH28" s="18"/>
      <c r="BI28" s="3">
        <f>AVERAGE(BI18:BI27)</f>
        <v>4.3721875000000017</v>
      </c>
      <c r="BJ28" s="3">
        <f>AVERAGE(BJ18:BJ27)</f>
        <v>44.87312499999998</v>
      </c>
      <c r="BK28" s="3">
        <f>AVERAGE(BK18:BK27)</f>
        <v>15.894113727699681</v>
      </c>
      <c r="BL28" s="19">
        <f>AVERAGE(BL18:BL27)</f>
        <v>163.12625020479638</v>
      </c>
      <c r="BM28" s="20"/>
      <c r="BN28" s="18"/>
      <c r="BO28" s="3">
        <f>AVERAGE(BO18:BO27)</f>
        <v>3.7884375000000152</v>
      </c>
      <c r="BP28" s="3">
        <f>AVERAGE(BP18:BP27)</f>
        <v>48.661562499999995</v>
      </c>
      <c r="BQ28" s="3">
        <f>AVERAGE(BQ18:BQ27)</f>
        <v>13.772020636187831</v>
      </c>
      <c r="BR28" s="19">
        <f>AVERAGE(BR18:BR27)</f>
        <v>176.8982708409842</v>
      </c>
      <c r="BS28" s="20"/>
      <c r="BT28" s="18"/>
      <c r="BU28" s="3">
        <f>AVERAGE(BU18:BU27)</f>
        <v>3.7221874999999951</v>
      </c>
      <c r="BV28" s="3">
        <f>AVERAGE(BV18:BV27)</f>
        <v>52.383749999999985</v>
      </c>
      <c r="BW28" s="3">
        <f>AVERAGE(BW18:BW27)</f>
        <v>13.531183518735659</v>
      </c>
      <c r="BX28" s="19">
        <f>AVERAGE(BX18:BX27)</f>
        <v>190.42945435971984</v>
      </c>
      <c r="BY28" s="20"/>
      <c r="BZ28" s="18"/>
      <c r="CA28" s="3">
        <f t="shared" ref="CA28:CF28" si="413">AVERAGE(CA18:CA27)</f>
        <v>2.2137500000000014</v>
      </c>
      <c r="CB28" s="174">
        <f t="shared" si="413"/>
        <v>1.7662500000000001</v>
      </c>
      <c r="CC28" s="174">
        <f t="shared" si="413"/>
        <v>3.9800000000000022</v>
      </c>
      <c r="CD28" s="3">
        <f t="shared" si="413"/>
        <v>56.363749999999982</v>
      </c>
      <c r="CE28" s="370">
        <f t="shared" si="413"/>
        <v>15.743495000144705</v>
      </c>
      <c r="CF28" s="19">
        <f t="shared" si="413"/>
        <v>206.17294935986456</v>
      </c>
      <c r="CG28" s="20"/>
      <c r="CH28" s="18"/>
      <c r="CI28" s="3">
        <f>AVERAGE(CI18:CI27)</f>
        <v>3.2937499999999988</v>
      </c>
      <c r="CJ28" s="3">
        <f>AVERAGE(CJ18:CJ27)</f>
        <v>59.657499999999978</v>
      </c>
      <c r="CK28" s="3">
        <f>AVERAGE(CK18:CK27)</f>
        <v>11.973694424269498</v>
      </c>
      <c r="CL28" s="19">
        <f>AVERAGE(CL18:CL27)</f>
        <v>218.14664378413406</v>
      </c>
      <c r="CM28" s="20"/>
      <c r="CN28" s="18"/>
      <c r="CO28" s="3">
        <f>AVERAGE(CO18:CO22)</f>
        <v>4.4500000000000224</v>
      </c>
      <c r="CP28" s="3">
        <f>AVERAGE(CP18:CP27)</f>
        <v>63.754999999999995</v>
      </c>
      <c r="CQ28" s="3">
        <f>AVERAGE(CQ18:CQ27)</f>
        <v>14.895548509584664</v>
      </c>
      <c r="CR28" s="19">
        <f>AVERAGE(CR18:CR27)</f>
        <v>233.0421922937187</v>
      </c>
      <c r="CS28" s="20"/>
      <c r="CT28" s="18"/>
      <c r="CU28" s="3">
        <f>AVERAGE(CU18:CU27)</f>
        <v>4.5412500000000007</v>
      </c>
      <c r="CV28" s="3">
        <f>AVERAGE(CV18:CV27)</f>
        <v>68.296250000000001</v>
      </c>
      <c r="CW28" s="3">
        <f>AVERAGE(CW18:CW27)</f>
        <v>16.508702786858102</v>
      </c>
      <c r="CX28" s="19">
        <f>AVERAGE(CX18:CX27)</f>
        <v>249.55089508057682</v>
      </c>
      <c r="CY28" s="20"/>
      <c r="CZ28" s="18"/>
      <c r="DA28" s="3">
        <f>AVERAGE(DA18:DA27)</f>
        <v>3.7200000000000082</v>
      </c>
      <c r="DB28" s="3">
        <f>AVERAGE(DB18:DB27)</f>
        <v>72.016250000000014</v>
      </c>
      <c r="DC28" s="3">
        <f>AVERAGE(DC18:DC27)</f>
        <v>13.523231349763229</v>
      </c>
      <c r="DD28" s="19">
        <f>AVERAGE(DD18:DD27)</f>
        <v>263.07412643034002</v>
      </c>
      <c r="DE28" s="20"/>
      <c r="DF28" s="18"/>
      <c r="DG28" s="3">
        <f>AVERAGE(DG18:DG27)</f>
        <v>3.7837500000000115</v>
      </c>
      <c r="DH28" s="3">
        <f>AVERAGE(DH18:DH27)</f>
        <v>75.800000000000026</v>
      </c>
      <c r="DI28" s="3">
        <f>AVERAGE(DI18:DI27)</f>
        <v>13.754980274103943</v>
      </c>
      <c r="DJ28" s="19">
        <f>AVERAGE(DJ18:DJ27)</f>
        <v>276.82910670444403</v>
      </c>
      <c r="DK28" s="20"/>
      <c r="DL28" s="18"/>
      <c r="DM28" s="3">
        <f>AVERAGE(DM18:DM27)</f>
        <v>3.8168749999999876</v>
      </c>
      <c r="DN28" s="3">
        <f>AVERAGE(DN18:DN27)</f>
        <v>79.616875000000007</v>
      </c>
      <c r="DO28" s="3">
        <f>AVERAGE(DO18:DO27)</f>
        <v>13.875398832829905</v>
      </c>
      <c r="DP28" s="19">
        <f>AVERAGE(DP18:DP27)</f>
        <v>290.70450553727392</v>
      </c>
      <c r="DQ28" s="20"/>
      <c r="DR28" s="18"/>
      <c r="DS28" s="3">
        <f>AVERAGE(DS18:DS27)</f>
        <v>3.5893749999999986</v>
      </c>
      <c r="DT28" s="3">
        <f>AVERAGE(DT18:DT27)</f>
        <v>83.206250000000011</v>
      </c>
      <c r="DU28" s="3">
        <f>AVERAGE(DU18:DU27)</f>
        <v>13.048373259692546</v>
      </c>
      <c r="DV28" s="19">
        <f>AVERAGE(DV18:DV27)</f>
        <v>303.75287879696646</v>
      </c>
      <c r="DW28" s="20"/>
      <c r="DX28" s="18"/>
      <c r="DY28" s="3">
        <f>AVERAGE(DY18:DY27)</f>
        <v>3.9274999999999949</v>
      </c>
      <c r="DZ28" s="3">
        <f>AVERAGE(DZ18:DZ27)</f>
        <v>87.133750000000006</v>
      </c>
      <c r="EA28" s="3">
        <f>AVERAGE(EA18:EA27)</f>
        <v>14.277551378009383</v>
      </c>
      <c r="EB28" s="207">
        <f>AVERAGE(EB18:EB27)</f>
        <v>318.03043017497583</v>
      </c>
    </row>
    <row r="29" spans="1:132">
      <c r="A29" s="9"/>
      <c r="B29" s="31"/>
      <c r="C29" s="3"/>
      <c r="D29" s="12"/>
      <c r="E29" s="12"/>
      <c r="F29" s="31"/>
      <c r="G29" s="20"/>
      <c r="H29" s="18"/>
      <c r="I29" s="3">
        <f>STDEV(I18:I27)/SQRT(COUNT(I18:I27))</f>
        <v>0.21414280949203751</v>
      </c>
      <c r="J29" s="19">
        <f>STDEV(J18:J27)/SQRT(COUNT(J18:J27))</f>
        <v>0.77846848243255007</v>
      </c>
      <c r="K29" s="20"/>
      <c r="M29" s="3">
        <f>STDEV(M18:M27)/SQRT(COUNT(M18:M27))</f>
        <v>0.12202166084054769</v>
      </c>
      <c r="N29" s="3">
        <f>STDEV(N18:N27)/SQRT(COUNT(N18:N27))</f>
        <v>0.15401762422343032</v>
      </c>
      <c r="O29" s="3">
        <f>STDEV(O18:O27)/SQRT(COUNT(O18:O27))</f>
        <v>0.44358256699706089</v>
      </c>
      <c r="P29" s="19">
        <f>STDEV(P18:P27)/SQRT(COUNT(P18:P27))</f>
        <v>0.55989676460062932</v>
      </c>
      <c r="Q29" s="20"/>
      <c r="R29" s="18"/>
      <c r="S29" s="3">
        <f>STDEV(S18:S27)/SQRT(COUNT(S18:S27))</f>
        <v>0.35902646142032979</v>
      </c>
      <c r="T29" s="3">
        <f>STDEV(T18:T27)/SQRT(COUNT(T18:T27))</f>
        <v>0.34436795105568485</v>
      </c>
      <c r="U29" s="3">
        <f>STDEV(U18:U27)/SQRT(COUNT(U18:U27))</f>
        <v>1.3051607253962265</v>
      </c>
      <c r="V29" s="19">
        <f>STDEV(V18:V27)/SQRT(COUNT(V18:V27))</f>
        <v>1.251872976228483</v>
      </c>
      <c r="W29" s="20"/>
      <c r="X29" s="18"/>
      <c r="Y29" s="3">
        <f>STDEV(Y18:Y27)/SQRT(COUNT(Y18:Y27))</f>
        <v>0.27189152248645254</v>
      </c>
      <c r="Z29" s="3">
        <f>STDEV(Z18:Z27)/SQRT(COUNT(Z18:Z27))</f>
        <v>0.57470800039176062</v>
      </c>
      <c r="AA29" s="3">
        <f>STDEV(AA18:AA27)/SQRT(COUNT(AA18:AA27))</f>
        <v>0.98840106468377331</v>
      </c>
      <c r="AB29" s="19">
        <f>STDEV(AB18:AB27)/SQRT(COUNT(AB18:AB27))</f>
        <v>2.0892229160907467</v>
      </c>
      <c r="AC29" s="20"/>
      <c r="AD29" s="18"/>
      <c r="AE29" s="3">
        <f>STDEV(AE18:AE27)/SQRT(COUNT(AE18:AE27))</f>
        <v>0.33664541275438886</v>
      </c>
      <c r="AF29" s="3">
        <f>STDEV(AF18:AF27)/SQRT(COUNT(AF18:AF27))</f>
        <v>0.85876039710903795</v>
      </c>
      <c r="AG29" s="3">
        <f>STDEV(AG18:AG27)/SQRT(COUNT(AG18:AG27))</f>
        <v>1.2237994084715331</v>
      </c>
      <c r="AH29" s="19">
        <f>STDEV(AH18:AH27)/SQRT(COUNT(AH18:AH27))</f>
        <v>3.121832130139794</v>
      </c>
      <c r="AI29" s="20"/>
      <c r="AJ29" s="18"/>
      <c r="AK29" s="3">
        <f>STDEV(AK18:AK27)/SQRT(COUNT(AK18:AK27))</f>
        <v>0.46363254192147724</v>
      </c>
      <c r="AL29" s="3">
        <f>STDEV(AL18:AL27)/SQRT(COUNT(AL18:AL27))</f>
        <v>1.2933922038025376</v>
      </c>
      <c r="AM29" s="3">
        <f>STDEV(AM18:AM27)/SQRT(COUNT(AM18:AM27))</f>
        <v>1.6854328294846566</v>
      </c>
      <c r="AN29" s="19">
        <f>STDEV(AN18:AN27)/SQRT(COUNT(AN18:AN27))</f>
        <v>4.7018392467747141</v>
      </c>
      <c r="AO29" s="20"/>
      <c r="AP29" s="18"/>
      <c r="AQ29" s="3">
        <f>STDEV(AQ18:AQ27)/SQRT(COUNT(AQ18:AQ27))</f>
        <v>0.46381184608785958</v>
      </c>
      <c r="AR29" s="3">
        <f>STDEV(AR18:AR27)/SQRT(COUNT(AR18:AR27))</f>
        <v>1.6696168829148501</v>
      </c>
      <c r="AS29" s="3">
        <f>STDEV(AS18:AS27)/SQRT(COUNT(AS18:AS27))</f>
        <v>1.6860846498405602</v>
      </c>
      <c r="AT29" s="19">
        <f>STDEV(AT18:AT27)/SQRT(COUNT(AT18:AT27))</f>
        <v>6.0695202615935786</v>
      </c>
      <c r="AU29" s="20"/>
      <c r="AV29" s="18"/>
      <c r="AW29" s="3">
        <f>STDEV(AW18:AW27)/SQRT(COUNT(AW18:AW27))</f>
        <v>0.21239650841224575</v>
      </c>
      <c r="AX29" s="3">
        <f>STDEV(AX18:AX27)/SQRT(COUNT(AX18:AX27))</f>
        <v>1.6911333240294513</v>
      </c>
      <c r="AY29" s="3">
        <f>STDEV(AY18:AY27)/SQRT(COUNT(AY18:AY27))</f>
        <v>0.77212019385503117</v>
      </c>
      <c r="AZ29" s="19">
        <f>STDEV(AZ18:AZ27)/SQRT(COUNT(AZ18:AZ27))</f>
        <v>6.1477384903614052</v>
      </c>
      <c r="BA29" s="20"/>
      <c r="BB29" s="18"/>
      <c r="BC29" s="3">
        <f>STDEV(BC18:BC27)/SQRT(COUNT(BC18:BC27))</f>
        <v>0.14418678787984443</v>
      </c>
      <c r="BD29" s="3">
        <f>STDEV(BD18:BD27)/SQRT(COUNT(BD18:BD27))</f>
        <v>1.7021682560086355</v>
      </c>
      <c r="BE29" s="3">
        <f>STDEV(BE18:BE27)/SQRT(COUNT(BE18:BE27))</f>
        <v>0.52415894894579773</v>
      </c>
      <c r="BF29" s="19">
        <f>STDEV(BF18:BF27)/SQRT(COUNT(BF18:BF27))</f>
        <v>6.1878535274804198</v>
      </c>
      <c r="BG29" s="20"/>
      <c r="BH29" s="18"/>
      <c r="BI29" s="3">
        <f>STDEV(BI18:BI27)/SQRT(COUNT(BI18:BI27))</f>
        <v>0.18079279619567107</v>
      </c>
      <c r="BJ29" s="3">
        <f>STDEV(BJ18:BJ27)/SQRT(COUNT(BJ18:BJ27))</f>
        <v>1.7514827742464696</v>
      </c>
      <c r="BK29" s="3">
        <f>STDEV(BK18:BK27)/SQRT(COUNT(BK18:BK27))</f>
        <v>0.65723193799049962</v>
      </c>
      <c r="BL29" s="19">
        <f>STDEV(BL18:BL27)/SQRT(COUNT(BL18:BL27))</f>
        <v>6.367125473457083</v>
      </c>
      <c r="BM29" s="20"/>
      <c r="BN29" s="18"/>
      <c r="BO29" s="3">
        <f>STDEV(BO18:BO27)/SQRT(COUNT(BO18:BO27))</f>
        <v>0.30736892440838209</v>
      </c>
      <c r="BP29" s="3">
        <f>STDEV(BP18:BP27)/SQRT(COUNT(BP18:BP27))</f>
        <v>1.7781734042809185</v>
      </c>
      <c r="BQ29" s="3">
        <f>STDEV(BQ18:BQ27)/SQRT(COUNT(BQ18:BQ27))</f>
        <v>1.1173712565866745</v>
      </c>
      <c r="BR29" s="19">
        <f>STDEV(BR18:BR27)/SQRT(COUNT(BR18:BR27))</f>
        <v>6.4641533134642115</v>
      </c>
      <c r="BS29" s="20"/>
      <c r="BT29" s="18"/>
      <c r="BU29" s="3">
        <f>STDEV(BU18:BU27)/SQRT(COUNT(BU18:BU27))</f>
        <v>0.57438582056883047</v>
      </c>
      <c r="BV29" s="3">
        <f>STDEV(BV18:BV27)/SQRT(COUNT(BV18:BV27))</f>
        <v>2.2096298473952634</v>
      </c>
      <c r="BW29" s="3">
        <f>STDEV(BW18:BW27)/SQRT(COUNT(BW18:BW27))</f>
        <v>2.0880517031117907</v>
      </c>
      <c r="BX29" s="19">
        <f>STDEV(BX18:BX27)/SQRT(COUNT(BX18:BX27))</f>
        <v>8.0326171031367011</v>
      </c>
      <c r="BY29" s="20"/>
      <c r="BZ29" s="18"/>
      <c r="CA29" s="3">
        <f>STDEV(CA18:CA27)/SQRT(COUNT(CA18:CA27))</f>
        <v>0.263431595214287</v>
      </c>
      <c r="CB29" s="174">
        <f>(STDEV(CB18:CB27)/(SQRT(COUNT(CB18:CB27))))</f>
        <v>0.12751663056804949</v>
      </c>
      <c r="CC29" s="174">
        <f>(STDEV(CC18:CC27)/(SQRT(COUNT(CC18:CC27))))</f>
        <v>0.35344730866141921</v>
      </c>
      <c r="CD29" s="3">
        <f>STDEV(CD18:CD27)/SQRT(COUNT(CD18:CD27))</f>
        <v>2.4180297007953939</v>
      </c>
      <c r="CE29" s="173">
        <f>STDEV(CE18:CE27)/SQRT(COUNT(CE18:CE27))</f>
        <v>1.3385563271118364</v>
      </c>
      <c r="CF29" s="19">
        <f>STDEV(CF18:CF27)/SQRT(COUNT(CF18:CF27))</f>
        <v>8.8657504187084477</v>
      </c>
      <c r="CG29" s="20"/>
      <c r="CH29" s="18"/>
      <c r="CI29" s="3">
        <f>STDEV(CI18:CI27)/SQRT(COUNT(CI18:CI27))</f>
        <v>0.51332229328728074</v>
      </c>
      <c r="CJ29" s="3">
        <f>STDEV(CJ18:CJ27)/SQRT(COUNT(CJ18:CJ27))</f>
        <v>2.8127234831844414</v>
      </c>
      <c r="CK29" s="3">
        <f>STDEV(CK18:CK27)/SQRT(COUNT(CK18:CK27))</f>
        <v>1.8660688519126043</v>
      </c>
      <c r="CL29" s="19">
        <f>STDEV(CL18:CL27)/SQRT(COUNT(CL18:CL27))</f>
        <v>10.296717029295539</v>
      </c>
      <c r="CM29" s="20"/>
      <c r="CN29" s="18"/>
      <c r="CO29" s="3">
        <f>STDEV(CO18:CO22)/SQRT(COUNT(CO18:CO22))</f>
        <v>0.29236962906567143</v>
      </c>
      <c r="CP29" s="3">
        <f>STDEV(CP18:CP27)/SQRT(COUNT(CP18:CP27))</f>
        <v>3.0512977332838074</v>
      </c>
      <c r="CQ29" s="3">
        <f>STDEV(CQ18:CQ27)/SQRT(COUNT(CQ18:CQ27))</f>
        <v>0.95302298570442456</v>
      </c>
      <c r="CR29" s="19">
        <f>STDEV(CR18:CR27)/SQRT(COUNT(CR18:CR27))</f>
        <v>11.163172666080527</v>
      </c>
      <c r="CS29" s="20"/>
      <c r="CT29" s="18"/>
      <c r="CU29" s="3">
        <f>STDEV(CU18:CU27)/SQRT(COUNT(CU18:CU27))</f>
        <v>0.33727075547695973</v>
      </c>
      <c r="CV29" s="3">
        <f>STDEV(CV18:CV27)/SQRT(COUNT(CV18:CV27))</f>
        <v>3.3420598532192702</v>
      </c>
      <c r="CW29" s="3">
        <f>STDEV(CW18:CW27)/SQRT(COUNT(CW18:CW27))</f>
        <v>1.2260727026409557</v>
      </c>
      <c r="CX29" s="19">
        <f>STDEV(CX18:CX27)/SQRT(COUNT(CX18:CX27))</f>
        <v>12.218228799881171</v>
      </c>
      <c r="CY29" s="20"/>
      <c r="CZ29" s="18"/>
      <c r="DA29" s="3">
        <f>STDEV(DA18:DA27)/SQRT(COUNT(DA18:DA27))</f>
        <v>0.44655826687486377</v>
      </c>
      <c r="DB29" s="3">
        <f>STDEV(DB18:DB27)/SQRT(COUNT(DB18:DB27))</f>
        <v>3.3669962967755023</v>
      </c>
      <c r="DC29" s="3">
        <f>STDEV(DC18:DC27)/SQRT(COUNT(DC18:DC27))</f>
        <v>1.6233631059403451</v>
      </c>
      <c r="DD29" s="19">
        <f>STDEV(DD18:DD27)/SQRT(COUNT(DD18:DD27))</f>
        <v>12.302803004781403</v>
      </c>
      <c r="DE29" s="20"/>
      <c r="DF29" s="18"/>
      <c r="DG29" s="3">
        <f>STDEV(DG18:DG27)/SQRT(COUNT(DG18:DG27))</f>
        <v>0.33591526089178964</v>
      </c>
      <c r="DH29" s="3">
        <f>STDEV(DH18:DH27)/SQRT(COUNT(DH18:DH27))</f>
        <v>3.5015756657335197</v>
      </c>
      <c r="DI29" s="3">
        <f>STDEV(DI18:DI27)/SQRT(COUNT(DI18:DI27))</f>
        <v>1.2211451040203598</v>
      </c>
      <c r="DJ29" s="19">
        <f>STDEV(DJ18:DJ27)/SQRT(COUNT(DJ18:DJ27))</f>
        <v>12.793587347250321</v>
      </c>
      <c r="DK29" s="20"/>
      <c r="DL29" s="18"/>
      <c r="DM29" s="3">
        <f>STDEV(DM18:DM27)/SQRT(COUNT(DM18:DM27))</f>
        <v>0.19326364648731373</v>
      </c>
      <c r="DN29" s="3">
        <f>STDEV(DN18:DN27)/SQRT(COUNT(DN18:DN27))</f>
        <v>3.476606891771147</v>
      </c>
      <c r="DO29" s="3">
        <f>STDEV(DO18:DO27)/SQRT(COUNT(DO18:DO27))</f>
        <v>0.70256693627602029</v>
      </c>
      <c r="DP29" s="19">
        <f>STDEV(DP18:DP27)/SQRT(COUNT(DP18:DP27))</f>
        <v>12.698449815278604</v>
      </c>
      <c r="DQ29" s="20"/>
      <c r="DR29" s="18"/>
      <c r="DS29" s="3">
        <f>STDEV(DS18:DS27)/SQRT(COUNT(DS18:DS27))</f>
        <v>0.14200238145639216</v>
      </c>
      <c r="DT29" s="3">
        <f>STDEV(DT18:DT27)/SQRT(COUNT(DT18:DT27))</f>
        <v>3.5088535660831228</v>
      </c>
      <c r="DU29" s="3">
        <f>STDEV(DU18:DU27)/SQRT(COUNT(DU18:DU27))</f>
        <v>0.51621802598174416</v>
      </c>
      <c r="DV29" s="19">
        <f>STDEV(DV18:DV27)/SQRT(COUNT(DV18:DV27))</f>
        <v>12.815831337184575</v>
      </c>
      <c r="DW29" s="20"/>
      <c r="DX29" s="18"/>
      <c r="DY29" s="3">
        <f>STDEV(DY18:DY27)/SQRT(COUNT(DY18:DY27))</f>
        <v>0.23686757903942418</v>
      </c>
      <c r="DZ29" s="3">
        <f>STDEV(DZ18:DZ27)/SQRT(COUNT(DZ18:DZ27))</f>
        <v>3.5320269056874234</v>
      </c>
      <c r="EA29" s="3">
        <f>STDEV(EA18:EA27)/SQRT(COUNT(EA18:EA27))</f>
        <v>0.86107932005603449</v>
      </c>
      <c r="EB29" s="207">
        <f>STDEV(EB18:EB27)/SQRT(COUNT(EB18:EB27))</f>
        <v>12.896921817846122</v>
      </c>
    </row>
    <row r="30" spans="1:132">
      <c r="A30" s="9"/>
      <c r="B30" s="31"/>
      <c r="C30" s="3"/>
      <c r="D30" s="12"/>
      <c r="E30" s="12"/>
      <c r="F30" s="31"/>
      <c r="G30" s="15"/>
      <c r="H30" s="10"/>
      <c r="I30" s="10">
        <f>(100/I15)*I28</f>
        <v>112.43919388464191</v>
      </c>
      <c r="J30" s="10">
        <f>(100/J15)*J28</f>
        <v>112.43919388464192</v>
      </c>
      <c r="K30" s="15"/>
      <c r="L30" s="10"/>
      <c r="M30" s="10">
        <f>(100/M15)*M28</f>
        <v>116.69817265280429</v>
      </c>
      <c r="N30" s="10">
        <f>(100/N15)*N28</f>
        <v>114.67283542630538</v>
      </c>
      <c r="O30" s="10">
        <f>(100/O15)*O28</f>
        <v>116.6981726528043</v>
      </c>
      <c r="P30" s="10">
        <f>(100/P15)*P28</f>
        <v>114.6728354263054</v>
      </c>
      <c r="Q30" s="15"/>
      <c r="R30" s="10"/>
      <c r="S30" s="10">
        <f>(100/S15)*S28</f>
        <v>125.80542264752779</v>
      </c>
      <c r="T30" s="10">
        <f>(100/T15)*T28</f>
        <v>118.47175356481983</v>
      </c>
      <c r="U30" s="10">
        <f>(100/U15)*U28</f>
        <v>125.80542264752781</v>
      </c>
      <c r="V30" s="10">
        <f>(100/V15)*V28</f>
        <v>118.47175356481986</v>
      </c>
      <c r="W30" s="15"/>
      <c r="X30" s="10"/>
      <c r="Y30" s="10">
        <f>(100/Y15)*Y28</f>
        <v>119.08778506716661</v>
      </c>
      <c r="Z30" s="10">
        <f>(100/Z15)*Z28</f>
        <v>118.63093316112369</v>
      </c>
      <c r="AA30" s="10">
        <f>(100/AA15)*AA28</f>
        <v>119.08778506716662</v>
      </c>
      <c r="AB30" s="10">
        <f>(100/AB15)*AB28</f>
        <v>118.63093316112366</v>
      </c>
      <c r="AC30" s="15"/>
      <c r="AD30" s="10"/>
      <c r="AE30" s="10">
        <f>(100/AE15)*AE28</f>
        <v>117.96071094480817</v>
      </c>
      <c r="AF30" s="10">
        <f>(100/AF15)*AF28</f>
        <v>118.4931067649888</v>
      </c>
      <c r="AG30" s="10">
        <f>(100/AG15)*AG28</f>
        <v>117.9607109448082</v>
      </c>
      <c r="AH30" s="10">
        <f>(100/AH15)*AH28</f>
        <v>118.49310676498877</v>
      </c>
      <c r="AI30" s="15"/>
      <c r="AJ30" s="10"/>
      <c r="AK30" s="10">
        <f>(100/AK15)*AK28</f>
        <v>107.6901408450702</v>
      </c>
      <c r="AL30" s="10">
        <f>(100/AL15)*AL28</f>
        <v>116.489945155393</v>
      </c>
      <c r="AM30" s="10">
        <f>(100/AM15)*AM28</f>
        <v>107.69014084507019</v>
      </c>
      <c r="AN30" s="10">
        <f>(100/AN15)*AN28</f>
        <v>116.489945155393</v>
      </c>
      <c r="AO30" s="15"/>
      <c r="AP30" s="10"/>
      <c r="AQ30" s="10">
        <f>(100/AQ15)*AQ28</f>
        <v>87.769784172661872</v>
      </c>
      <c r="AR30" s="10">
        <f>(100/AR15)*AR28</f>
        <v>111.63780006077175</v>
      </c>
      <c r="AS30" s="10">
        <f>(100/AS15)*AS28</f>
        <v>87.769784172661872</v>
      </c>
      <c r="AT30" s="10">
        <f>(100/AT15)*AT28</f>
        <v>111.63780006077175</v>
      </c>
      <c r="AU30" s="15"/>
      <c r="AV30" s="13"/>
      <c r="AW30" s="10">
        <f>(100/AW15)*AW28</f>
        <v>100.30075187969936</v>
      </c>
      <c r="AX30" s="10">
        <f>(100/AX15)*AX28</f>
        <v>110.20787497154993</v>
      </c>
      <c r="AY30" s="10">
        <f>(100/AY15)*AY28</f>
        <v>100.30075187969936</v>
      </c>
      <c r="AZ30" s="10">
        <f>(100/AZ15)*AZ28</f>
        <v>110.20787497154994</v>
      </c>
      <c r="BA30" s="15"/>
      <c r="BB30" s="10"/>
      <c r="BC30" s="10">
        <f>(100/BC15)*BC28</f>
        <v>91.870197585071139</v>
      </c>
      <c r="BD30" s="10">
        <f>(100/BD15)*BD28</f>
        <v>107.9809038192361</v>
      </c>
      <c r="BE30" s="10">
        <f>(100/BE15)*BE28</f>
        <v>91.870197585071139</v>
      </c>
      <c r="BF30" s="10">
        <f>(100/BF15)*BF28</f>
        <v>107.98090381923612</v>
      </c>
      <c r="BG30" s="15"/>
      <c r="BH30" s="10"/>
      <c r="BI30" s="10">
        <f>(100/BI15)*BI28</f>
        <v>100.1359862582308</v>
      </c>
      <c r="BJ30" s="10">
        <f>(100/BJ15)*BJ28</f>
        <v>107.1629003850861</v>
      </c>
      <c r="BK30" s="10">
        <f>(100/BK15)*BK28</f>
        <v>100.13598625823079</v>
      </c>
      <c r="BL30" s="10">
        <f>(100/BL15)*BL28</f>
        <v>107.1629003850861</v>
      </c>
      <c r="BM30" s="15"/>
      <c r="BN30" s="10"/>
      <c r="BO30" s="10">
        <f>(100/BO15)*BO28</f>
        <v>77.871274409044588</v>
      </c>
      <c r="BP30" s="10">
        <f>(100/BP15)*BP28</f>
        <v>104.11395790430856</v>
      </c>
      <c r="BQ30" s="10">
        <f>(100/BQ15)*BQ28</f>
        <v>77.871274409044574</v>
      </c>
      <c r="BR30" s="10">
        <f>(100/BR15)*BR28</f>
        <v>104.11395790430855</v>
      </c>
      <c r="BS30" s="15"/>
      <c r="BT30" s="10"/>
      <c r="BU30" s="10">
        <f>(100/BU15)*BU28</f>
        <v>82.509005264616164</v>
      </c>
      <c r="BV30" s="10">
        <f>(100/BV15)*BV28</f>
        <v>102.21219512195123</v>
      </c>
      <c r="BW30" s="10">
        <f>(100/BW15)*BW28</f>
        <v>82.509005264616164</v>
      </c>
      <c r="BX30" s="10">
        <f>(100/BX15)*BX28</f>
        <v>102.21219512195121</v>
      </c>
      <c r="BY30" s="15"/>
      <c r="BZ30" s="10"/>
      <c r="CA30" s="10">
        <f t="shared" ref="CA30:CF30" si="414">(100/CA15)*CA28</f>
        <v>75.490196078431353</v>
      </c>
      <c r="CB30" s="172">
        <f t="shared" si="414"/>
        <v>80.558722919042197</v>
      </c>
      <c r="CC30" s="172">
        <f t="shared" si="414"/>
        <v>77.658536585365852</v>
      </c>
      <c r="CD30" s="10">
        <f t="shared" si="414"/>
        <v>99.980044345897994</v>
      </c>
      <c r="CE30" s="172">
        <f t="shared" si="414"/>
        <v>77.588655039681569</v>
      </c>
      <c r="CF30" s="10">
        <f t="shared" si="414"/>
        <v>99.793810677221543</v>
      </c>
      <c r="CG30" s="15"/>
      <c r="CH30" s="10"/>
      <c r="CI30" s="10">
        <f>(100/CI15)*CI28</f>
        <v>85.7468272046859</v>
      </c>
      <c r="CJ30" s="10">
        <f>(100/CJ15)*CJ28</f>
        <v>99.07209432669751</v>
      </c>
      <c r="CK30" s="10">
        <f>(100/CK15)*CK28</f>
        <v>85.746827204685914</v>
      </c>
      <c r="CL30" s="10">
        <f>(100/CL15)*CL28</f>
        <v>98.904485403653851</v>
      </c>
      <c r="CM30" s="15"/>
      <c r="CN30" s="13"/>
      <c r="CO30" s="10">
        <f>(100/CO15)*CO28</f>
        <v>117.04366123093183</v>
      </c>
      <c r="CP30" s="10">
        <f>(100/CP15)*CP28</f>
        <v>99.440447641886507</v>
      </c>
      <c r="CQ30" s="10">
        <f>(100/CQ15)*CQ28</f>
        <v>105.13149454778761</v>
      </c>
      <c r="CR30" s="10">
        <f>(100/CR15)*CR28</f>
        <v>99.280350423358499</v>
      </c>
      <c r="CS30" s="15"/>
      <c r="CT30" s="10"/>
      <c r="CU30" s="10">
        <f>(100/CU15)*CU28</f>
        <v>129.15037326697481</v>
      </c>
      <c r="CV30" s="10">
        <f>(100/CV15)*CV28</f>
        <v>100.98513973088868</v>
      </c>
      <c r="CW30" s="10">
        <f>(100/CW15)*CW28</f>
        <v>129.15037326697475</v>
      </c>
      <c r="CX30" s="10">
        <f>(100/CX15)*CX28</f>
        <v>100.82294963388559</v>
      </c>
      <c r="CY30" s="15"/>
      <c r="CZ30" s="10"/>
      <c r="DA30" s="10">
        <f>(100/DA15)*DA28</f>
        <v>91.766882516188971</v>
      </c>
      <c r="DB30" s="10">
        <f>(100/DB15)*DB28</f>
        <v>100.46384292116419</v>
      </c>
      <c r="DC30" s="10">
        <f>(100/DC15)*DC28</f>
        <v>91.766882516188971</v>
      </c>
      <c r="DD30" s="10">
        <f>(100/DD15)*DD28</f>
        <v>100.31406676325958</v>
      </c>
      <c r="DE30" s="15"/>
      <c r="DF30" s="10"/>
      <c r="DG30" s="10">
        <f>(100/DG15)*DG28</f>
        <v>88.612412177986201</v>
      </c>
      <c r="DH30" s="10">
        <f>(100/DH15)*DH28</f>
        <v>99.797574181656643</v>
      </c>
      <c r="DI30" s="10">
        <f>(100/DI15)*DI28</f>
        <v>88.612412177986215</v>
      </c>
      <c r="DJ30" s="10">
        <f>(100/DJ15)*DJ28</f>
        <v>99.660149997441366</v>
      </c>
      <c r="DK30" s="15"/>
      <c r="DL30" s="10"/>
      <c r="DM30" s="10">
        <f>(100/DM15)*DM28</f>
        <v>84.141636814549187</v>
      </c>
      <c r="DN30" s="10">
        <f>(100/DN15)*DN28</f>
        <v>98.915237917753785</v>
      </c>
      <c r="DO30" s="10">
        <f>(100/DO15)*DO28</f>
        <v>84.141636814549187</v>
      </c>
      <c r="DP30" s="10">
        <f>(100/DP15)*DP28</f>
        <v>98.790492954715475</v>
      </c>
      <c r="DQ30" s="15"/>
      <c r="DR30" s="10"/>
      <c r="DS30" s="10">
        <f>(100/DS15)*DS28</f>
        <v>95.177328471992013</v>
      </c>
      <c r="DT30" s="10">
        <f>(100/DT15)*DT28</f>
        <v>98.747941669510055</v>
      </c>
      <c r="DU30" s="10">
        <f>(100/DU15)*DU28</f>
        <v>95.177328471992013</v>
      </c>
      <c r="DV30" s="10">
        <f>(100/DV15)*DV28</f>
        <v>98.629651611965571</v>
      </c>
      <c r="DW30" s="15"/>
      <c r="DX30" s="10"/>
      <c r="DY30" s="10">
        <f>(100/DY15)*DY28</f>
        <v>99.524865378523799</v>
      </c>
      <c r="DZ30" s="10">
        <f>(100/DZ15)*DZ28</f>
        <v>98.782699883796766</v>
      </c>
      <c r="EA30" s="10">
        <f>(100/EA15)*EA28</f>
        <v>99.524865378523799</v>
      </c>
      <c r="EB30" s="216">
        <f>(100/EB15)*EB28</f>
        <v>98.669495628947416</v>
      </c>
    </row>
    <row r="31" spans="1:132">
      <c r="A31" s="67"/>
      <c r="B31" s="65"/>
      <c r="C31" s="65"/>
      <c r="D31" s="24"/>
      <c r="E31" s="65"/>
      <c r="F31" s="65"/>
      <c r="G31" s="29"/>
      <c r="H31" s="26"/>
      <c r="I31" s="22"/>
      <c r="J31" s="170"/>
      <c r="K31" s="29"/>
      <c r="L31" s="24"/>
      <c r="M31" s="22"/>
      <c r="N31" s="22"/>
      <c r="O31" s="170"/>
      <c r="P31" s="170"/>
      <c r="Q31" s="29"/>
      <c r="R31" s="24"/>
      <c r="S31" s="22"/>
      <c r="T31" s="22"/>
      <c r="U31" s="170"/>
      <c r="V31" s="170"/>
      <c r="W31" s="29"/>
      <c r="X31" s="24"/>
      <c r="Y31" s="22"/>
      <c r="Z31" s="22"/>
      <c r="AA31" s="22"/>
      <c r="AB31" s="22"/>
      <c r="AC31" s="29"/>
      <c r="AD31" s="24"/>
      <c r="AE31" s="22"/>
      <c r="AF31" s="22"/>
      <c r="AG31" s="22"/>
      <c r="AH31" s="22"/>
      <c r="AI31" s="29"/>
      <c r="AJ31" s="24"/>
      <c r="AK31" s="22"/>
      <c r="AL31" s="22"/>
      <c r="AM31" s="22"/>
      <c r="AN31" s="22"/>
      <c r="AO31" s="29"/>
      <c r="AP31" s="24"/>
      <c r="AQ31" s="22"/>
      <c r="AR31" s="22"/>
      <c r="AS31" s="22"/>
      <c r="AT31" s="22"/>
      <c r="AU31" s="29"/>
      <c r="AV31" s="26"/>
      <c r="AW31" s="22"/>
      <c r="AX31" s="22"/>
      <c r="AY31" s="22"/>
      <c r="AZ31" s="22"/>
      <c r="BA31" s="29"/>
      <c r="BB31" s="24"/>
      <c r="BC31" s="22"/>
      <c r="BD31" s="22"/>
      <c r="BE31" s="22"/>
      <c r="BF31" s="22"/>
      <c r="BG31" s="29"/>
      <c r="BH31" s="24"/>
      <c r="BI31" s="22"/>
      <c r="BJ31" s="22"/>
      <c r="BK31" s="22"/>
      <c r="BL31" s="22"/>
      <c r="BM31" s="29"/>
      <c r="BN31" s="24"/>
      <c r="BO31" s="22"/>
      <c r="BP31" s="22"/>
      <c r="BQ31" s="22"/>
      <c r="BR31" s="22"/>
      <c r="BS31" s="29"/>
      <c r="BT31" s="24"/>
      <c r="BU31" s="22"/>
      <c r="BV31" s="22"/>
      <c r="BW31" s="22"/>
      <c r="BX31" s="22"/>
      <c r="BY31" s="29"/>
      <c r="BZ31" s="24"/>
      <c r="CA31" s="22"/>
      <c r="CB31" s="177"/>
      <c r="CC31" s="177"/>
      <c r="CD31" s="22"/>
      <c r="CE31" s="22"/>
      <c r="CF31" s="22"/>
      <c r="CG31" s="29"/>
      <c r="CH31" s="24"/>
      <c r="CI31" s="22"/>
      <c r="CJ31" s="22"/>
      <c r="CK31" s="22"/>
      <c r="CL31" s="22"/>
      <c r="CM31" s="29"/>
      <c r="CN31" s="26"/>
      <c r="CO31" s="22"/>
      <c r="CP31" s="22"/>
      <c r="CQ31" s="22"/>
      <c r="CR31" s="22"/>
      <c r="CS31" s="29"/>
      <c r="CT31" s="24"/>
      <c r="CU31" s="22"/>
      <c r="CV31" s="22"/>
      <c r="CW31" s="22"/>
      <c r="CX31" s="22"/>
      <c r="CY31" s="29"/>
      <c r="CZ31" s="24"/>
      <c r="DA31" s="22"/>
      <c r="DB31" s="22"/>
      <c r="DC31" s="22"/>
      <c r="DD31" s="22"/>
      <c r="DE31" s="29"/>
      <c r="DF31" s="24"/>
      <c r="DG31" s="22"/>
      <c r="DH31" s="22"/>
      <c r="DI31" s="22"/>
      <c r="DJ31" s="22"/>
      <c r="DK31" s="29"/>
      <c r="DL31" s="24"/>
      <c r="DM31" s="22"/>
      <c r="DN31" s="22"/>
      <c r="DO31" s="22"/>
      <c r="DP31" s="22"/>
      <c r="DQ31" s="29"/>
      <c r="DR31" s="24"/>
      <c r="DS31" s="22"/>
      <c r="DT31" s="22"/>
      <c r="DU31" s="22"/>
      <c r="DV31" s="22"/>
      <c r="DW31" s="29"/>
      <c r="DX31" s="24"/>
      <c r="DY31" s="22"/>
      <c r="DZ31" s="22"/>
      <c r="EA31" s="22"/>
      <c r="EB31" s="403"/>
    </row>
    <row r="32" spans="1:132">
      <c r="A32" s="9" t="s">
        <v>301</v>
      </c>
      <c r="B32" s="62" t="s">
        <v>302</v>
      </c>
      <c r="C32" s="11">
        <v>42559</v>
      </c>
      <c r="D32" s="12" t="s">
        <v>26</v>
      </c>
      <c r="E32" s="10" t="s">
        <v>303</v>
      </c>
      <c r="F32" s="11" t="s">
        <v>271</v>
      </c>
      <c r="G32" s="15">
        <v>253.13</v>
      </c>
      <c r="H32" s="189">
        <v>249.88</v>
      </c>
      <c r="I32" s="10">
        <f t="shared" ref="I32:I40" si="415">G32-H32</f>
        <v>3.25</v>
      </c>
      <c r="J32" s="168">
        <f t="shared" ref="J32:J40" si="416">I32*T$1</f>
        <v>11.81465104482</v>
      </c>
      <c r="K32" s="15">
        <v>272.12</v>
      </c>
      <c r="L32" s="77">
        <v>268.43</v>
      </c>
      <c r="M32" s="10">
        <f t="shared" ref="M32:M37" si="417">K32-L32</f>
        <v>3.6899999999999977</v>
      </c>
      <c r="N32" s="10">
        <f t="shared" ref="N32:N37" si="418">I32+M32</f>
        <v>6.9399999999999977</v>
      </c>
      <c r="O32" s="168">
        <f t="shared" ref="O32:O37" si="419">M32*T$1</f>
        <v>13.414173032426392</v>
      </c>
      <c r="P32" s="168">
        <f t="shared" ref="P32:P37" si="420">J32+O32</f>
        <v>25.228824077246394</v>
      </c>
      <c r="Q32" s="15">
        <v>281.26</v>
      </c>
      <c r="R32" s="10">
        <v>277.75</v>
      </c>
      <c r="S32" s="190">
        <f>Q32-R32-0.75</f>
        <v>2.7599999999999909</v>
      </c>
      <c r="T32" s="10">
        <f t="shared" ref="T32:T40" si="421">N32+S32</f>
        <v>9.6999999999999886</v>
      </c>
      <c r="U32" s="168">
        <f>S32*T$1</f>
        <v>10.033365194985567</v>
      </c>
      <c r="V32" s="168">
        <f t="shared" ref="V32:V40" si="422">P32+U32</f>
        <v>35.262189272231964</v>
      </c>
      <c r="W32" s="15">
        <v>282.20999999999998</v>
      </c>
      <c r="X32" s="10">
        <v>278.58</v>
      </c>
      <c r="Y32" s="10">
        <f t="shared" ref="Y32:Y37" si="423">W32-X32</f>
        <v>3.6299999999999955</v>
      </c>
      <c r="Z32" s="10">
        <f t="shared" ref="Z32:Z37" si="424">T32+Y32</f>
        <v>13.329999999999984</v>
      </c>
      <c r="AA32" s="168">
        <f t="shared" ref="AA32:AA37" si="425">Y32*$T$1</f>
        <v>13.196056397752784</v>
      </c>
      <c r="AB32" s="168">
        <f t="shared" ref="AB32:AB37" si="426">V32+AA32</f>
        <v>48.458245669984748</v>
      </c>
      <c r="AC32" s="15">
        <v>287.94</v>
      </c>
      <c r="AD32" s="10">
        <v>283.39999999999998</v>
      </c>
      <c r="AE32" s="10">
        <f t="shared" ref="AE32" si="427">AC32-AD32</f>
        <v>4.5400000000000205</v>
      </c>
      <c r="AF32" s="10">
        <f t="shared" ref="AF32" si="428">Z32+AE32</f>
        <v>17.870000000000005</v>
      </c>
      <c r="AG32" s="168">
        <f t="shared" ref="AG32:AG35" si="429">AE32*$T$1</f>
        <v>16.504158690302475</v>
      </c>
      <c r="AH32" s="168">
        <f t="shared" ref="AH32" si="430">AB32+AG32</f>
        <v>64.962404360287223</v>
      </c>
      <c r="AI32" s="15">
        <v>287.57</v>
      </c>
      <c r="AJ32" s="10">
        <v>283.70999999999998</v>
      </c>
      <c r="AK32" s="10">
        <f>AI32-AJ32-0.75</f>
        <v>3.1100000000000136</v>
      </c>
      <c r="AL32" s="10">
        <f t="shared" ref="AL32:AL33" si="431">AF32+AK32</f>
        <v>20.980000000000018</v>
      </c>
      <c r="AM32" s="168">
        <f t="shared" ref="AM32:AM37" si="432">AK32*$T$1</f>
        <v>11.30571223058165</v>
      </c>
      <c r="AN32" s="168">
        <f>AH32+AM32</f>
        <v>76.268116590868871</v>
      </c>
      <c r="AO32" s="15">
        <v>290.58999999999997</v>
      </c>
      <c r="AP32" s="10">
        <v>286.51</v>
      </c>
      <c r="AQ32" s="10">
        <f>AO32-AP32-0.75</f>
        <v>3.3299999999999841</v>
      </c>
      <c r="AR32" s="10">
        <f>AL32+AQ32</f>
        <v>24.310000000000002</v>
      </c>
      <c r="AS32" s="168">
        <f>AQ32*$T$1</f>
        <v>12.105473224384742</v>
      </c>
      <c r="AT32" s="168">
        <f>AN32+AS32</f>
        <v>88.373589815253609</v>
      </c>
      <c r="AU32" s="15">
        <v>289.74</v>
      </c>
      <c r="AV32" s="13">
        <v>286.66000000000003</v>
      </c>
      <c r="AW32" s="10">
        <f t="shared" ref="AW32:AW37" si="433">AU32-AV32</f>
        <v>3.0799999999999841</v>
      </c>
      <c r="AX32" s="10">
        <f t="shared" ref="AX32" si="434">AR32+AW32</f>
        <v>27.389999999999986</v>
      </c>
      <c r="AY32" s="168">
        <f t="shared" ref="AY32:AY37" si="435">AW32*$T$1</f>
        <v>11.196653913244743</v>
      </c>
      <c r="AZ32" s="168">
        <f t="shared" ref="AZ32:AZ37" si="436">AT32+AY32</f>
        <v>99.570243728498355</v>
      </c>
      <c r="BA32" s="15">
        <v>288.36</v>
      </c>
      <c r="BB32" s="10">
        <v>284.48</v>
      </c>
      <c r="BC32" s="10">
        <f t="shared" ref="BC32:BC37" si="437">BA32-BB32</f>
        <v>3.8799999999999955</v>
      </c>
      <c r="BD32" s="10">
        <f t="shared" ref="BD32:BD37" si="438">AX32+BC32</f>
        <v>31.269999999999982</v>
      </c>
      <c r="BE32" s="168">
        <f t="shared" ref="BE32:BE37" si="439">BC32*$T$1</f>
        <v>14.104875708892784</v>
      </c>
      <c r="BF32" s="168">
        <f t="shared" ref="BF32" si="440">AZ32+BE32</f>
        <v>113.67511943739115</v>
      </c>
      <c r="BG32" s="15">
        <v>285.91000000000003</v>
      </c>
      <c r="BH32" s="10">
        <v>282.38</v>
      </c>
      <c r="BI32" s="200">
        <f t="shared" ref="BI32:BI33" si="441">BG32-BH32</f>
        <v>3.5300000000000296</v>
      </c>
      <c r="BJ32" s="10">
        <f t="shared" ref="BJ32:BJ33" si="442">BD32+BI32</f>
        <v>34.800000000000011</v>
      </c>
      <c r="BK32" s="168">
        <f t="shared" ref="BK32:BK37" si="443">BI32*$T$1</f>
        <v>12.832528673296908</v>
      </c>
      <c r="BL32" s="168">
        <f t="shared" ref="BL32:BL33" si="444">BF32+BK32</f>
        <v>126.50764811068805</v>
      </c>
      <c r="BM32" s="15">
        <v>286.14</v>
      </c>
      <c r="BN32" s="10">
        <v>282.02</v>
      </c>
      <c r="BO32" s="205">
        <f>(BM32-BN32)-1.46</f>
        <v>2.6600000000000046</v>
      </c>
      <c r="BP32" s="10">
        <f t="shared" ref="BP32:BP37" si="445">BJ32+BO32</f>
        <v>37.460000000000015</v>
      </c>
      <c r="BQ32" s="168">
        <f t="shared" ref="BQ32:BQ37" si="446">BO32*$T$1</f>
        <v>9.6698374705296164</v>
      </c>
      <c r="BR32" s="168">
        <f t="shared" ref="BR32:BR34" si="447">BL32+BQ32</f>
        <v>136.17748558121767</v>
      </c>
      <c r="BS32" s="15">
        <v>285.5</v>
      </c>
      <c r="BT32" s="10">
        <v>280.79000000000002</v>
      </c>
      <c r="BU32" s="205">
        <f>(BS32-BT32)-1.47</f>
        <v>3.2399999999999798</v>
      </c>
      <c r="BV32" s="10">
        <f>BP32+BU32</f>
        <v>40.699999999999996</v>
      </c>
      <c r="BW32" s="168">
        <f>BU32*$T$1</f>
        <v>11.778298272374327</v>
      </c>
      <c r="BX32" s="168">
        <f t="shared" ref="BX32" si="448">BR32+BW32</f>
        <v>147.95578385359198</v>
      </c>
      <c r="BY32" s="15">
        <v>283.57</v>
      </c>
      <c r="BZ32" s="165">
        <v>280.64999999999998</v>
      </c>
      <c r="CA32" s="114">
        <f>(BY32-BZ32)-1.46</f>
        <v>1.460000000000016</v>
      </c>
      <c r="CB32" s="172">
        <v>2.35</v>
      </c>
      <c r="CC32" s="172">
        <f t="shared" ref="CC32:CC40" si="449">CA32+CB32</f>
        <v>3.810000000000016</v>
      </c>
      <c r="CD32" s="10">
        <f t="shared" ref="CD32:CD37" si="450">BV32+CC32</f>
        <v>44.510000000000012</v>
      </c>
      <c r="CE32" s="369">
        <f>(CA32*$T$1)+10.669</f>
        <v>15.976504777057659</v>
      </c>
      <c r="CF32" s="168">
        <f t="shared" ref="CF32:CF36" si="451">BX32+CE32</f>
        <v>163.93228863064965</v>
      </c>
      <c r="CG32" s="15">
        <v>286.22000000000003</v>
      </c>
      <c r="CH32" s="205">
        <v>281.27</v>
      </c>
      <c r="CI32" s="205">
        <f>CG32-CH32</f>
        <v>4.9500000000000455</v>
      </c>
      <c r="CJ32" s="205">
        <f t="shared" ref="CJ32:CJ37" si="452">CD32+CI32</f>
        <v>49.460000000000058</v>
      </c>
      <c r="CK32" s="168">
        <f t="shared" ref="CK32:CK37" si="453">CI32*$T$1</f>
        <v>17.994622360572166</v>
      </c>
      <c r="CL32" s="168">
        <f t="shared" ref="CL32:CL33" si="454">CF32+CK32</f>
        <v>181.9269109912218</v>
      </c>
      <c r="CM32" s="15">
        <v>288.38</v>
      </c>
      <c r="CN32" s="13">
        <v>285.04000000000002</v>
      </c>
      <c r="CO32" s="10">
        <f t="shared" ref="CO32:CO37" si="455">CM32-CN32</f>
        <v>3.339999999999975</v>
      </c>
      <c r="CP32" s="10">
        <f t="shared" ref="CP32:CP37" si="456">CJ32+CO32</f>
        <v>52.800000000000033</v>
      </c>
      <c r="CQ32" s="168">
        <f t="shared" ref="CQ32:CQ37" si="457">CO32*$T$1</f>
        <v>12.14182599683031</v>
      </c>
      <c r="CR32" s="168">
        <f t="shared" ref="CR32:CR37" si="458">CL32+CQ32</f>
        <v>194.06873698805211</v>
      </c>
      <c r="CS32" s="15">
        <v>287.70999999999998</v>
      </c>
      <c r="CT32" s="10">
        <v>284.07</v>
      </c>
      <c r="CU32" s="10">
        <f t="shared" ref="CU32:CU37" si="459">CS32-CT32</f>
        <v>3.6399999999999864</v>
      </c>
      <c r="CV32" s="10">
        <f t="shared" ref="CV32:CV37" si="460">CP32+CU32</f>
        <v>56.440000000000019</v>
      </c>
      <c r="CW32" s="168">
        <f t="shared" ref="CW32:CW37" si="461">CU32*$T$1</f>
        <v>13.23240917019835</v>
      </c>
      <c r="CX32" s="168">
        <f t="shared" ref="CX32" si="462">CR32+CW32</f>
        <v>207.30114615825045</v>
      </c>
      <c r="CY32" s="15">
        <v>286.57</v>
      </c>
      <c r="CZ32" s="10">
        <v>281.57</v>
      </c>
      <c r="DA32" s="10">
        <f t="shared" ref="DA32" si="463">CY32-CZ32</f>
        <v>5</v>
      </c>
      <c r="DB32" s="10">
        <f t="shared" ref="DB32" si="464">CV32+DA32</f>
        <v>61.440000000000019</v>
      </c>
      <c r="DC32" s="168">
        <f t="shared" ref="DC32:DC40" si="465">DA32*$T$1</f>
        <v>18.176386222800001</v>
      </c>
      <c r="DD32" s="168">
        <f t="shared" ref="DD32" si="466">CX32+DC32</f>
        <v>225.47753238105045</v>
      </c>
      <c r="DE32" s="15">
        <v>286.41000000000003</v>
      </c>
      <c r="DF32" s="10">
        <v>282.16000000000003</v>
      </c>
      <c r="DG32" s="10">
        <f t="shared" ref="DG32" si="467">DE32-DF32</f>
        <v>4.25</v>
      </c>
      <c r="DH32" s="10">
        <f t="shared" ref="DH32:DH37" si="468">DB32+DG32</f>
        <v>65.690000000000026</v>
      </c>
      <c r="DI32" s="168">
        <f t="shared" ref="DI32:DI37" si="469">DG32*$T$1</f>
        <v>15.449928289380001</v>
      </c>
      <c r="DJ32" s="168">
        <f t="shared" ref="DJ32:DJ37" si="470">DD32+DI32</f>
        <v>240.92746067043046</v>
      </c>
      <c r="DK32" s="15">
        <v>287.33999999999997</v>
      </c>
      <c r="DL32" s="10">
        <v>284.14999999999998</v>
      </c>
      <c r="DM32" s="10">
        <f>(DK32-DL32)-0.04</f>
        <v>3.1499999999999977</v>
      </c>
      <c r="DN32" s="10">
        <f t="shared" ref="DN32:DN37" si="471">DH32+DM32</f>
        <v>68.840000000000018</v>
      </c>
      <c r="DO32" s="168">
        <f t="shared" ref="DO32:DO37" si="472">DM32*$T$1</f>
        <v>11.451123320363992</v>
      </c>
      <c r="DP32" s="168">
        <f t="shared" ref="DP32" si="473">DJ32+DO32</f>
        <v>252.37858399079445</v>
      </c>
      <c r="DQ32" s="15">
        <v>286.94</v>
      </c>
      <c r="DR32" s="10">
        <v>283.81</v>
      </c>
      <c r="DS32" s="10">
        <f t="shared" ref="DS32" si="474">(DQ32-DR32)-0.1</f>
        <v>3.0299999999999954</v>
      </c>
      <c r="DT32" s="10">
        <f t="shared" ref="DT32" si="475">DN32+DS32</f>
        <v>71.870000000000019</v>
      </c>
      <c r="DU32" s="168">
        <f t="shared" ref="DU32:DU37" si="476">DS32*$T$1</f>
        <v>11.014890051016783</v>
      </c>
      <c r="DV32" s="168">
        <f t="shared" ref="DV32" si="477">DP32+DU32</f>
        <v>263.39347404181126</v>
      </c>
      <c r="DW32" s="15">
        <v>282.05</v>
      </c>
      <c r="DX32" s="10">
        <v>278.22000000000003</v>
      </c>
      <c r="DY32" s="10">
        <f t="shared" ref="DY32:DY40" si="478">DW32-DX32</f>
        <v>3.8299999999999841</v>
      </c>
      <c r="DZ32" s="10">
        <f t="shared" ref="DZ32:DZ40" si="479">DT32+DY32</f>
        <v>75.7</v>
      </c>
      <c r="EA32" s="168">
        <f t="shared" ref="EA32:EA40" si="480">DY32*$T$1</f>
        <v>13.923111846664742</v>
      </c>
      <c r="EB32" s="306">
        <f t="shared" ref="EB32" si="481">DV32+EA32</f>
        <v>277.31658588847603</v>
      </c>
    </row>
    <row r="33" spans="1:133">
      <c r="A33" s="9" t="s">
        <v>304</v>
      </c>
      <c r="B33" s="62" t="s">
        <v>305</v>
      </c>
      <c r="C33" s="11"/>
      <c r="D33" s="12" t="s">
        <v>26</v>
      </c>
      <c r="E33" s="10" t="s">
        <v>303</v>
      </c>
      <c r="F33" s="217">
        <v>42411</v>
      </c>
      <c r="G33" s="14">
        <v>266.02</v>
      </c>
      <c r="H33" s="13">
        <v>263.31</v>
      </c>
      <c r="I33" s="10">
        <f t="shared" si="415"/>
        <v>2.7099999999999795</v>
      </c>
      <c r="J33" s="168">
        <f t="shared" si="416"/>
        <v>9.8516013327575251</v>
      </c>
      <c r="K33" s="15">
        <v>271.08999999999997</v>
      </c>
      <c r="L33" s="77">
        <v>267.57</v>
      </c>
      <c r="M33" s="10">
        <f t="shared" si="417"/>
        <v>3.5199999999999818</v>
      </c>
      <c r="N33" s="10">
        <f t="shared" si="418"/>
        <v>6.2299999999999613</v>
      </c>
      <c r="O33" s="168">
        <f t="shared" si="419"/>
        <v>12.796175900851134</v>
      </c>
      <c r="P33" s="168">
        <f t="shared" si="420"/>
        <v>22.647777233608657</v>
      </c>
      <c r="Q33" s="15">
        <v>270.68</v>
      </c>
      <c r="R33" s="10">
        <v>266.86</v>
      </c>
      <c r="S33" s="190">
        <f>Q33-R33</f>
        <v>3.8199999999999932</v>
      </c>
      <c r="T33" s="10">
        <f t="shared" si="421"/>
        <v>10.049999999999955</v>
      </c>
      <c r="U33" s="168">
        <f>S33*T$1</f>
        <v>13.886759074219176</v>
      </c>
      <c r="V33" s="168">
        <f t="shared" si="422"/>
        <v>36.534536307827835</v>
      </c>
      <c r="W33" s="15">
        <v>269.33999999999997</v>
      </c>
      <c r="X33" s="10">
        <v>265.22000000000003</v>
      </c>
      <c r="Y33" s="10">
        <f t="shared" si="423"/>
        <v>4.1199999999999477</v>
      </c>
      <c r="Z33" s="10">
        <f t="shared" si="424"/>
        <v>14.169999999999902</v>
      </c>
      <c r="AA33" s="168">
        <f t="shared" si="425"/>
        <v>14.977342247587011</v>
      </c>
      <c r="AB33" s="168">
        <f t="shared" si="426"/>
        <v>51.511878555414846</v>
      </c>
      <c r="AC33" s="15">
        <v>270.39999999999998</v>
      </c>
      <c r="AD33" s="10">
        <v>266.32</v>
      </c>
      <c r="AE33" s="10">
        <f t="shared" ref="AE33" si="482">AC33-AD33</f>
        <v>4.0799999999999841</v>
      </c>
      <c r="AF33" s="10">
        <f t="shared" ref="AF33" si="483">Z33+AE33</f>
        <v>18.249999999999886</v>
      </c>
      <c r="AG33" s="168">
        <f t="shared" si="429"/>
        <v>14.831931157804743</v>
      </c>
      <c r="AH33" s="168">
        <f t="shared" ref="AH33" si="484">AB33+AG33</f>
        <v>66.343809713219585</v>
      </c>
      <c r="AI33" s="15">
        <v>270.27</v>
      </c>
      <c r="AJ33" s="10">
        <v>266.23</v>
      </c>
      <c r="AK33" s="10">
        <f>AI33-AJ33</f>
        <v>4.0399999999999636</v>
      </c>
      <c r="AL33" s="10">
        <f t="shared" si="431"/>
        <v>22.28999999999985</v>
      </c>
      <c r="AM33" s="168">
        <f t="shared" si="432"/>
        <v>14.686520068022269</v>
      </c>
      <c r="AN33" s="168">
        <f t="shared" ref="AN33" si="485">AH33+AM33</f>
        <v>81.030329781241846</v>
      </c>
      <c r="AO33" s="15">
        <v>271.58</v>
      </c>
      <c r="AP33" s="10">
        <v>267.06</v>
      </c>
      <c r="AQ33" s="10">
        <f>AO33-AP33-0.75</f>
        <v>3.7699999999999818</v>
      </c>
      <c r="AR33" s="10">
        <f>AL33+AQ33</f>
        <v>26.059999999999832</v>
      </c>
      <c r="AS33" s="168">
        <f>AQ33*$T$1</f>
        <v>13.704995211991134</v>
      </c>
      <c r="AT33" s="168">
        <f>AN33+AS33</f>
        <v>94.735324993232979</v>
      </c>
      <c r="AU33" s="15">
        <v>271.89</v>
      </c>
      <c r="AV33" s="13">
        <v>268.17</v>
      </c>
      <c r="AW33" s="10">
        <f t="shared" si="433"/>
        <v>3.7199999999999704</v>
      </c>
      <c r="AX33" s="10">
        <f t="shared" ref="AX33" si="486">AR33+AW33</f>
        <v>29.779999999999802</v>
      </c>
      <c r="AY33" s="168">
        <f t="shared" si="435"/>
        <v>13.523231349763092</v>
      </c>
      <c r="AZ33" s="168">
        <f t="shared" si="436"/>
        <v>108.25855634299607</v>
      </c>
      <c r="BA33" s="15">
        <v>262.7</v>
      </c>
      <c r="BB33" s="10">
        <v>258.83999999999997</v>
      </c>
      <c r="BC33" s="10">
        <f t="shared" si="437"/>
        <v>3.8600000000000136</v>
      </c>
      <c r="BD33" s="10">
        <f t="shared" si="438"/>
        <v>33.639999999999816</v>
      </c>
      <c r="BE33" s="168">
        <f t="shared" si="439"/>
        <v>14.03217016400165</v>
      </c>
      <c r="BF33" s="168">
        <f t="shared" ref="BF33" si="487">AZ33+BE33</f>
        <v>122.29072650699773</v>
      </c>
      <c r="BG33" s="15">
        <v>262.19</v>
      </c>
      <c r="BH33" s="10">
        <v>258.18</v>
      </c>
      <c r="BI33" s="10">
        <f t="shared" si="441"/>
        <v>4.0099999999999909</v>
      </c>
      <c r="BJ33" s="10">
        <f t="shared" si="442"/>
        <v>37.649999999999807</v>
      </c>
      <c r="BK33" s="168">
        <f t="shared" si="443"/>
        <v>14.577461750685567</v>
      </c>
      <c r="BL33" s="168">
        <f t="shared" si="444"/>
        <v>136.8681882576833</v>
      </c>
      <c r="BM33" s="15">
        <v>263.57</v>
      </c>
      <c r="BN33" s="10">
        <v>260.45</v>
      </c>
      <c r="BO33" s="221">
        <f t="shared" ref="BO33:BO37" si="488">BM33-BN33</f>
        <v>3.1200000000000045</v>
      </c>
      <c r="BP33" s="10">
        <f t="shared" si="445"/>
        <v>40.769999999999811</v>
      </c>
      <c r="BQ33" s="168">
        <f t="shared" si="446"/>
        <v>11.342065003027217</v>
      </c>
      <c r="BR33" s="168">
        <f t="shared" si="447"/>
        <v>148.21025326071052</v>
      </c>
      <c r="BS33" s="15">
        <v>269.33999999999997</v>
      </c>
      <c r="BT33" s="10">
        <v>264.36</v>
      </c>
      <c r="BU33" s="221">
        <f>(BS33-BT33)-1.56</f>
        <v>3.4199999999999613</v>
      </c>
      <c r="BV33" s="10">
        <f>BP33+BU33</f>
        <v>44.18999999999977</v>
      </c>
      <c r="BW33" s="168">
        <f>BU33*$T$1</f>
        <v>12.432648176395059</v>
      </c>
      <c r="BX33" s="168">
        <f t="shared" ref="BX33" si="489">BR33+BW33</f>
        <v>160.64290143710556</v>
      </c>
      <c r="BY33" s="15">
        <v>269.49</v>
      </c>
      <c r="BZ33" s="165">
        <v>265.89</v>
      </c>
      <c r="CA33" s="114">
        <f>(BY33-BZ33)-1.83</f>
        <v>1.7700000000000227</v>
      </c>
      <c r="CB33" s="172">
        <v>1.65</v>
      </c>
      <c r="CC33" s="172">
        <f t="shared" si="449"/>
        <v>3.4200000000000226</v>
      </c>
      <c r="CD33" s="10">
        <f t="shared" si="450"/>
        <v>47.609999999999793</v>
      </c>
      <c r="CE33" s="369">
        <f>(CA33*$T$1)+7.491</f>
        <v>13.925440722871283</v>
      </c>
      <c r="CF33" s="168">
        <f t="shared" si="451"/>
        <v>174.56834215997685</v>
      </c>
      <c r="CG33" s="15">
        <v>270.25</v>
      </c>
      <c r="CH33" s="10">
        <v>267.14</v>
      </c>
      <c r="CI33" s="10">
        <f>CG33-CH33</f>
        <v>3.1100000000000136</v>
      </c>
      <c r="CJ33" s="10">
        <f t="shared" si="452"/>
        <v>50.719999999999807</v>
      </c>
      <c r="CK33" s="168">
        <f t="shared" si="453"/>
        <v>11.30571223058165</v>
      </c>
      <c r="CL33" s="168">
        <f t="shared" si="454"/>
        <v>185.87405439055851</v>
      </c>
      <c r="CM33" s="15">
        <v>274.95</v>
      </c>
      <c r="CN33" s="13">
        <v>270.94</v>
      </c>
      <c r="CO33" s="10">
        <f t="shared" si="455"/>
        <v>4.0099999999999909</v>
      </c>
      <c r="CP33" s="10">
        <f t="shared" si="456"/>
        <v>54.729999999999798</v>
      </c>
      <c r="CQ33" s="168">
        <f t="shared" si="457"/>
        <v>14.577461750685567</v>
      </c>
      <c r="CR33" s="168">
        <f t="shared" si="458"/>
        <v>200.45151614124407</v>
      </c>
      <c r="CS33" s="15">
        <v>275.3</v>
      </c>
      <c r="CT33" s="10">
        <v>271.23</v>
      </c>
      <c r="CU33" s="10">
        <f t="shared" si="459"/>
        <v>4.0699999999999932</v>
      </c>
      <c r="CV33" s="10">
        <f t="shared" si="460"/>
        <v>58.799999999999791</v>
      </c>
      <c r="CW33" s="168">
        <f t="shared" si="461"/>
        <v>14.795578385359176</v>
      </c>
      <c r="CX33" s="168">
        <f t="shared" ref="CX33" si="490">CR33+CW33</f>
        <v>215.24709452660323</v>
      </c>
      <c r="CY33" s="15">
        <v>268.8</v>
      </c>
      <c r="CZ33" s="10">
        <v>264.69</v>
      </c>
      <c r="DA33" s="10">
        <f t="shared" ref="DA33" si="491">CY33-CZ33</f>
        <v>4.1100000000000136</v>
      </c>
      <c r="DB33" s="10">
        <f t="shared" ref="DB33" si="492">CV33+DA33</f>
        <v>62.909999999999805</v>
      </c>
      <c r="DC33" s="168">
        <f t="shared" si="465"/>
        <v>14.940989475141651</v>
      </c>
      <c r="DD33" s="168">
        <f t="shared" ref="DD33" si="493">CX33+DC33</f>
        <v>230.1880840017449</v>
      </c>
      <c r="DE33" s="15">
        <v>268.01</v>
      </c>
      <c r="DF33" s="10">
        <v>263.93</v>
      </c>
      <c r="DG33" s="10">
        <f t="shared" ref="DG33" si="494">DE33-DF33</f>
        <v>4.0799999999999841</v>
      </c>
      <c r="DH33" s="10">
        <f t="shared" si="468"/>
        <v>66.989999999999782</v>
      </c>
      <c r="DI33" s="168">
        <f t="shared" si="469"/>
        <v>14.831931157804743</v>
      </c>
      <c r="DJ33" s="168">
        <f t="shared" si="470"/>
        <v>245.02001515954964</v>
      </c>
      <c r="DK33" s="15">
        <v>269.33</v>
      </c>
      <c r="DL33" s="10">
        <v>265.70999999999998</v>
      </c>
      <c r="DM33" s="10">
        <f>(DK33-DL33)</f>
        <v>3.6200000000000045</v>
      </c>
      <c r="DN33" s="10">
        <f t="shared" si="471"/>
        <v>70.609999999999786</v>
      </c>
      <c r="DO33" s="168">
        <f t="shared" si="472"/>
        <v>13.159703625307216</v>
      </c>
      <c r="DP33" s="168">
        <f t="shared" ref="DP33" si="495">DJ33+DO33</f>
        <v>258.17971878485685</v>
      </c>
      <c r="DQ33" s="15">
        <v>271.82</v>
      </c>
      <c r="DR33" s="10">
        <v>267.51</v>
      </c>
      <c r="DS33" s="222">
        <f>(DQ33-DR33)-1.01</f>
        <v>3.3000000000000025</v>
      </c>
      <c r="DT33" s="10">
        <f t="shared" ref="DT33:DT34" si="496">DN33+DS33</f>
        <v>73.909999999999783</v>
      </c>
      <c r="DU33" s="168">
        <f t="shared" si="476"/>
        <v>11.99641490704801</v>
      </c>
      <c r="DV33" s="168">
        <f t="shared" ref="DV33:DV34" si="497">DP33+DU33</f>
        <v>270.17613369190485</v>
      </c>
      <c r="DW33" s="15">
        <v>276.38</v>
      </c>
      <c r="DX33" s="10">
        <v>272.35000000000002</v>
      </c>
      <c r="DY33" s="10">
        <f t="shared" si="478"/>
        <v>4.0299999999999727</v>
      </c>
      <c r="DZ33" s="10">
        <f t="shared" si="479"/>
        <v>77.939999999999756</v>
      </c>
      <c r="EA33" s="168">
        <f t="shared" si="480"/>
        <v>14.650167295576701</v>
      </c>
      <c r="EB33" s="306">
        <f t="shared" ref="EB33" si="498">DV33+EA33</f>
        <v>284.82630098748155</v>
      </c>
    </row>
    <row r="34" spans="1:133">
      <c r="A34" s="133" t="s">
        <v>306</v>
      </c>
      <c r="B34" s="62" t="s">
        <v>307</v>
      </c>
      <c r="C34" s="11" t="s">
        <v>308</v>
      </c>
      <c r="D34" s="12" t="s">
        <v>26</v>
      </c>
      <c r="E34" s="10" t="s">
        <v>303</v>
      </c>
      <c r="F34" s="11" t="s">
        <v>309</v>
      </c>
      <c r="G34" s="15">
        <v>241.45</v>
      </c>
      <c r="H34" s="13">
        <v>240.25</v>
      </c>
      <c r="I34" s="10">
        <f t="shared" si="415"/>
        <v>1.1999999999999886</v>
      </c>
      <c r="J34" s="168">
        <f t="shared" si="416"/>
        <v>4.3623326934719584</v>
      </c>
      <c r="K34" s="15">
        <v>252.19</v>
      </c>
      <c r="L34" s="77">
        <v>248.92</v>
      </c>
      <c r="M34" s="10">
        <f t="shared" si="417"/>
        <v>3.2700000000000102</v>
      </c>
      <c r="N34" s="10">
        <f t="shared" si="418"/>
        <v>4.4699999999999989</v>
      </c>
      <c r="O34" s="168">
        <f t="shared" si="419"/>
        <v>11.887356589711237</v>
      </c>
      <c r="P34" s="168">
        <f t="shared" si="420"/>
        <v>16.249689283183194</v>
      </c>
      <c r="Q34" s="15">
        <v>256.69</v>
      </c>
      <c r="R34" s="10">
        <v>253.09</v>
      </c>
      <c r="S34" s="10">
        <f t="shared" ref="S34" si="499">Q34-R34</f>
        <v>3.5999999999999943</v>
      </c>
      <c r="T34" s="10">
        <f t="shared" si="421"/>
        <v>8.0699999999999932</v>
      </c>
      <c r="U34" s="168">
        <f t="shared" ref="U34" si="500">S34*T$1</f>
        <v>13.086998080415979</v>
      </c>
      <c r="V34" s="168">
        <f t="shared" si="422"/>
        <v>29.336687363599175</v>
      </c>
      <c r="W34" s="15">
        <v>255.17</v>
      </c>
      <c r="X34" s="10">
        <v>251.24</v>
      </c>
      <c r="Y34" s="10">
        <f t="shared" si="423"/>
        <v>3.9299999999999784</v>
      </c>
      <c r="Z34" s="10">
        <f t="shared" si="424"/>
        <v>11.999999999999972</v>
      </c>
      <c r="AA34" s="168">
        <f t="shared" si="425"/>
        <v>14.286639571120721</v>
      </c>
      <c r="AB34" s="168">
        <f t="shared" si="426"/>
        <v>43.623326934719898</v>
      </c>
      <c r="AC34" s="15">
        <v>257.79000000000002</v>
      </c>
      <c r="AD34" s="10">
        <v>253.98</v>
      </c>
      <c r="AE34" s="10">
        <f>AC34-AD34</f>
        <v>3.8100000000000307</v>
      </c>
      <c r="AF34" s="10">
        <f t="shared" ref="AF34" si="501">Z34+AE34</f>
        <v>15.810000000000002</v>
      </c>
      <c r="AG34" s="168">
        <f t="shared" si="429"/>
        <v>13.850406301773711</v>
      </c>
      <c r="AH34" s="168">
        <f t="shared" ref="AH34" si="502">AB34+AG34</f>
        <v>57.473733236493608</v>
      </c>
      <c r="AI34" s="15">
        <v>258.27</v>
      </c>
      <c r="AJ34" s="10">
        <v>254.14</v>
      </c>
      <c r="AK34" s="10">
        <f>AI34-AJ34</f>
        <v>4.1299999999999955</v>
      </c>
      <c r="AL34" s="10">
        <f t="shared" ref="AL34" si="503">AF34+AK34</f>
        <v>19.939999999999998</v>
      </c>
      <c r="AM34" s="168">
        <f t="shared" si="432"/>
        <v>15.013695020032785</v>
      </c>
      <c r="AN34" s="168">
        <f t="shared" ref="AN34" si="504">AH34+AM34</f>
        <v>72.487428256526385</v>
      </c>
      <c r="AO34" s="15">
        <v>262.54000000000002</v>
      </c>
      <c r="AP34" s="10">
        <v>258.13</v>
      </c>
      <c r="AQ34" s="10">
        <f>AO34-AP34-0.75</f>
        <v>3.660000000000025</v>
      </c>
      <c r="AR34" s="10">
        <f>AL34+AQ34</f>
        <v>23.600000000000023</v>
      </c>
      <c r="AS34" s="168">
        <f>AQ34*$T$1</f>
        <v>13.305114715089692</v>
      </c>
      <c r="AT34" s="168">
        <f>AN34+AS34</f>
        <v>85.792542971616072</v>
      </c>
      <c r="AU34" s="15">
        <v>266.36</v>
      </c>
      <c r="AV34" s="13">
        <v>262.45999999999998</v>
      </c>
      <c r="AW34" s="10">
        <f t="shared" si="433"/>
        <v>3.9000000000000341</v>
      </c>
      <c r="AX34" s="10">
        <f t="shared" ref="AX34" si="505">AR34+AW34</f>
        <v>27.500000000000057</v>
      </c>
      <c r="AY34" s="168">
        <f t="shared" si="435"/>
        <v>14.177581253784124</v>
      </c>
      <c r="AZ34" s="168">
        <f t="shared" si="436"/>
        <v>99.970124225400198</v>
      </c>
      <c r="BA34" s="15">
        <v>269.83999999999997</v>
      </c>
      <c r="BB34" s="10">
        <v>265.98</v>
      </c>
      <c r="BC34" s="10">
        <f t="shared" si="437"/>
        <v>3.8599999999999568</v>
      </c>
      <c r="BD34" s="10">
        <f t="shared" si="438"/>
        <v>31.360000000000014</v>
      </c>
      <c r="BE34" s="168">
        <f t="shared" si="439"/>
        <v>14.032170164001444</v>
      </c>
      <c r="BF34" s="168">
        <f t="shared" ref="BF34" si="506">AZ34+BE34</f>
        <v>114.00229438940164</v>
      </c>
      <c r="BG34" s="15">
        <v>269.14999999999998</v>
      </c>
      <c r="BH34" s="10">
        <v>264.83</v>
      </c>
      <c r="BI34" s="10">
        <f t="shared" ref="BI34" si="507">BG34-BH34</f>
        <v>4.3199999999999932</v>
      </c>
      <c r="BJ34" s="10">
        <f t="shared" ref="BJ34" si="508">BD34+BI34</f>
        <v>35.680000000000007</v>
      </c>
      <c r="BK34" s="168">
        <f t="shared" si="443"/>
        <v>15.704397696499175</v>
      </c>
      <c r="BL34" s="168">
        <f t="shared" ref="BL34" si="509">BF34+BK34</f>
        <v>129.70669208590081</v>
      </c>
      <c r="BM34" s="15">
        <v>269.2</v>
      </c>
      <c r="BN34" s="10">
        <v>265.52</v>
      </c>
      <c r="BO34" s="10">
        <f t="shared" si="488"/>
        <v>3.6800000000000068</v>
      </c>
      <c r="BP34" s="10">
        <f t="shared" si="445"/>
        <v>39.360000000000014</v>
      </c>
      <c r="BQ34" s="168">
        <f t="shared" si="446"/>
        <v>13.377820259980826</v>
      </c>
      <c r="BR34" s="168">
        <f t="shared" si="447"/>
        <v>143.08451234588165</v>
      </c>
      <c r="BS34" s="15">
        <v>269.49</v>
      </c>
      <c r="BT34" s="10">
        <v>266.35000000000002</v>
      </c>
      <c r="BU34" s="221">
        <f>(BS34-BT34)</f>
        <v>3.1399999999999864</v>
      </c>
      <c r="BV34" s="10">
        <f>BP34+BU34</f>
        <v>42.5</v>
      </c>
      <c r="BW34" s="168">
        <f>BU34*$T$1</f>
        <v>11.414770547918351</v>
      </c>
      <c r="BX34" s="168">
        <f t="shared" ref="BX34" si="510">BR34+BW34</f>
        <v>154.4992828938</v>
      </c>
      <c r="BY34" s="15">
        <v>269.17</v>
      </c>
      <c r="BZ34" s="165">
        <v>268.60000000000002</v>
      </c>
      <c r="CA34" s="114">
        <f>BY34-BZ34</f>
        <v>0.56999999999999318</v>
      </c>
      <c r="CB34" s="172">
        <v>1.93</v>
      </c>
      <c r="CC34" s="172">
        <f t="shared" si="449"/>
        <v>2.4999999999999929</v>
      </c>
      <c r="CD34" s="10">
        <f t="shared" si="450"/>
        <v>44.999999999999993</v>
      </c>
      <c r="CE34" s="369">
        <f>(CA34*$T$1)+8.4784</f>
        <v>10.550508029399175</v>
      </c>
      <c r="CF34" s="168">
        <f t="shared" si="451"/>
        <v>165.04979092319917</v>
      </c>
      <c r="CG34" s="15">
        <v>269.81</v>
      </c>
      <c r="CH34" s="10">
        <v>266.61</v>
      </c>
      <c r="CI34" s="10">
        <f>CG34-CH34</f>
        <v>3.1999999999999886</v>
      </c>
      <c r="CJ34" s="10">
        <f t="shared" si="452"/>
        <v>48.199999999999982</v>
      </c>
      <c r="CK34" s="168">
        <f t="shared" si="453"/>
        <v>11.63288718259196</v>
      </c>
      <c r="CL34" s="168">
        <f>CF34+CK34</f>
        <v>176.68267810579113</v>
      </c>
      <c r="CM34" s="15">
        <v>273.11</v>
      </c>
      <c r="CN34" s="13">
        <v>269.43</v>
      </c>
      <c r="CO34" s="10">
        <f t="shared" si="455"/>
        <v>3.6800000000000068</v>
      </c>
      <c r="CP34" s="10">
        <f t="shared" si="456"/>
        <v>51.879999999999988</v>
      </c>
      <c r="CQ34" s="168">
        <f t="shared" si="457"/>
        <v>13.377820259980826</v>
      </c>
      <c r="CR34" s="168">
        <f t="shared" si="458"/>
        <v>190.06049836577196</v>
      </c>
      <c r="CS34" s="15">
        <v>273.92</v>
      </c>
      <c r="CT34" s="10">
        <v>270.18</v>
      </c>
      <c r="CU34" s="10">
        <f t="shared" si="459"/>
        <v>3.7400000000000091</v>
      </c>
      <c r="CV34" s="10">
        <f t="shared" si="460"/>
        <v>55.62</v>
      </c>
      <c r="CW34" s="168">
        <f t="shared" si="461"/>
        <v>13.595936894654434</v>
      </c>
      <c r="CX34" s="168">
        <f>CR34+CW34</f>
        <v>203.65643526042641</v>
      </c>
      <c r="CY34" s="15">
        <v>268.91000000000003</v>
      </c>
      <c r="CZ34" s="10">
        <v>265.08999999999997</v>
      </c>
      <c r="DA34" s="10">
        <f>CY34-CZ34</f>
        <v>3.82000000000005</v>
      </c>
      <c r="DB34" s="10">
        <f t="shared" ref="DB34:DB40" si="511">CV34+DA34</f>
        <v>59.440000000000047</v>
      </c>
      <c r="DC34" s="168">
        <f t="shared" si="465"/>
        <v>13.886759074219382</v>
      </c>
      <c r="DD34" s="168">
        <f t="shared" ref="DD34:DD40" si="512">CX34+DC34</f>
        <v>217.54319433464579</v>
      </c>
      <c r="DE34" s="15">
        <v>269.11</v>
      </c>
      <c r="DF34" s="221">
        <v>265.67</v>
      </c>
      <c r="DG34" s="10">
        <f t="shared" ref="DG34" si="513">DE34-DF34</f>
        <v>3.4399999999999977</v>
      </c>
      <c r="DH34" s="10">
        <f t="shared" si="468"/>
        <v>62.880000000000045</v>
      </c>
      <c r="DI34" s="168">
        <f t="shared" si="469"/>
        <v>12.505353721286392</v>
      </c>
      <c r="DJ34" s="168">
        <f t="shared" si="470"/>
        <v>230.04854805593217</v>
      </c>
      <c r="DK34" s="15">
        <v>269.5</v>
      </c>
      <c r="DL34" s="10">
        <v>266.39999999999998</v>
      </c>
      <c r="DM34" s="10">
        <f>(DK34-DL34)</f>
        <v>3.1000000000000227</v>
      </c>
      <c r="DN34" s="10">
        <f t="shared" si="471"/>
        <v>65.980000000000075</v>
      </c>
      <c r="DO34" s="168">
        <f t="shared" si="472"/>
        <v>11.269359458136083</v>
      </c>
      <c r="DP34" s="168">
        <f t="shared" ref="DP34" si="514">DJ34+DO34</f>
        <v>241.31790751406825</v>
      </c>
      <c r="DQ34" s="15">
        <v>268.5</v>
      </c>
      <c r="DR34" s="10">
        <v>264.94</v>
      </c>
      <c r="DS34" s="10">
        <f t="shared" ref="DS34" si="515">(DQ34-DR34)-0.1</f>
        <v>3.4600000000000022</v>
      </c>
      <c r="DT34" s="10">
        <f t="shared" si="496"/>
        <v>69.440000000000083</v>
      </c>
      <c r="DU34" s="168">
        <f t="shared" si="476"/>
        <v>12.578059266177608</v>
      </c>
      <c r="DV34" s="168">
        <f t="shared" si="497"/>
        <v>253.89596678024586</v>
      </c>
      <c r="DW34" s="15">
        <v>262.73</v>
      </c>
      <c r="DX34" s="10">
        <v>259.29000000000002</v>
      </c>
      <c r="DY34" s="10">
        <f t="shared" si="478"/>
        <v>3.4399999999999977</v>
      </c>
      <c r="DZ34" s="10">
        <f t="shared" si="479"/>
        <v>72.880000000000081</v>
      </c>
      <c r="EA34" s="168">
        <f t="shared" si="480"/>
        <v>12.505353721286392</v>
      </c>
      <c r="EB34" s="306">
        <f t="shared" ref="EB34:EB40" si="516">DV34+EA34</f>
        <v>266.40132050153227</v>
      </c>
    </row>
    <row r="35" spans="1:133">
      <c r="A35" s="119" t="s">
        <v>310</v>
      </c>
      <c r="B35" s="12" t="s">
        <v>311</v>
      </c>
      <c r="C35" s="305">
        <v>42897</v>
      </c>
      <c r="D35" s="12" t="s">
        <v>26</v>
      </c>
      <c r="E35" s="10" t="s">
        <v>303</v>
      </c>
      <c r="F35" s="217" t="s">
        <v>291</v>
      </c>
      <c r="G35" s="258">
        <v>248.04</v>
      </c>
      <c r="H35" s="77">
        <v>245.56</v>
      </c>
      <c r="I35" s="10">
        <f t="shared" si="415"/>
        <v>2.4799999999999898</v>
      </c>
      <c r="J35" s="306">
        <f t="shared" si="416"/>
        <v>9.0154875665087637</v>
      </c>
      <c r="K35" s="258">
        <v>248.05</v>
      </c>
      <c r="L35" s="77">
        <v>244.45</v>
      </c>
      <c r="M35" s="10">
        <f t="shared" si="417"/>
        <v>3.6000000000000227</v>
      </c>
      <c r="N35" s="10">
        <f t="shared" si="418"/>
        <v>6.0800000000000125</v>
      </c>
      <c r="O35" s="168">
        <f t="shared" si="419"/>
        <v>13.086998080416084</v>
      </c>
      <c r="P35" s="306">
        <f t="shared" si="420"/>
        <v>22.102485646924848</v>
      </c>
      <c r="Q35" s="258">
        <v>269.57</v>
      </c>
      <c r="R35" s="77">
        <v>264.72000000000003</v>
      </c>
      <c r="S35" s="10">
        <f t="shared" ref="S35:S40" si="517">Q35-R35</f>
        <v>4.8499999999999659</v>
      </c>
      <c r="T35" s="10">
        <f t="shared" si="421"/>
        <v>10.929999999999978</v>
      </c>
      <c r="U35" s="168">
        <f t="shared" ref="U35" si="518">S35*T$1</f>
        <v>17.631094636115876</v>
      </c>
      <c r="V35" s="168">
        <f t="shared" si="422"/>
        <v>39.733580283040723</v>
      </c>
      <c r="W35" s="307">
        <v>273.10000000000002</v>
      </c>
      <c r="X35" s="77">
        <v>268.7</v>
      </c>
      <c r="Y35" s="10">
        <f t="shared" si="423"/>
        <v>4.4000000000000341</v>
      </c>
      <c r="Z35" s="10">
        <f t="shared" si="424"/>
        <v>15.330000000000013</v>
      </c>
      <c r="AA35" s="168">
        <f t="shared" si="425"/>
        <v>15.995219876064125</v>
      </c>
      <c r="AB35" s="168">
        <f t="shared" si="426"/>
        <v>55.72880015910485</v>
      </c>
      <c r="AC35" s="307">
        <v>274.49</v>
      </c>
      <c r="AD35" s="77">
        <v>268.45</v>
      </c>
      <c r="AE35" s="310">
        <f>AC35-AD35-0.43</f>
        <v>5.6100000000000207</v>
      </c>
      <c r="AF35" s="10">
        <f t="shared" ref="AF35:AF37" si="519">Z35+AE35</f>
        <v>20.940000000000033</v>
      </c>
      <c r="AG35" s="168">
        <f t="shared" si="429"/>
        <v>20.393905341981675</v>
      </c>
      <c r="AH35" s="306">
        <f t="shared" ref="AH35:AH36" si="520">AB35+AG35</f>
        <v>76.122705501086529</v>
      </c>
      <c r="AI35" s="258">
        <v>281.10000000000002</v>
      </c>
      <c r="AJ35" s="77">
        <v>275.49</v>
      </c>
      <c r="AK35" s="310">
        <f>AI35-AJ35-0.43</f>
        <v>5.1800000000000139</v>
      </c>
      <c r="AL35" s="10">
        <f t="shared" ref="AL35:AL36" si="521">AF35+AK35</f>
        <v>26.120000000000047</v>
      </c>
      <c r="AM35" s="168">
        <f t="shared" si="432"/>
        <v>18.830736126820852</v>
      </c>
      <c r="AN35" s="306">
        <f t="shared" ref="AN35:AN36" si="522">AH35+AM35</f>
        <v>94.953441627907381</v>
      </c>
      <c r="AO35" s="258">
        <v>283.54000000000002</v>
      </c>
      <c r="AP35" s="77">
        <v>266.68</v>
      </c>
      <c r="AQ35" s="310">
        <f>AO35-AP35-11.42</f>
        <v>5.4400000000000137</v>
      </c>
      <c r="AR35" s="10">
        <f>AL35+AQ35</f>
        <v>31.560000000000059</v>
      </c>
      <c r="AS35" s="168">
        <f>AQ35*$T$1</f>
        <v>19.775908210406449</v>
      </c>
      <c r="AT35" s="168">
        <f>AN35+AS35</f>
        <v>114.72934983831382</v>
      </c>
      <c r="AU35" s="15">
        <v>268.16000000000003</v>
      </c>
      <c r="AV35" s="77">
        <v>262.24</v>
      </c>
      <c r="AW35" s="10">
        <f t="shared" si="433"/>
        <v>5.9200000000000159</v>
      </c>
      <c r="AX35" s="10">
        <f t="shared" ref="AX35:AX37" si="523">AR35+AW35</f>
        <v>37.480000000000075</v>
      </c>
      <c r="AY35" s="168">
        <f t="shared" si="435"/>
        <v>21.520841287795257</v>
      </c>
      <c r="AZ35" s="306">
        <f t="shared" si="436"/>
        <v>136.25019112610909</v>
      </c>
      <c r="BA35" s="258">
        <v>272.08999999999997</v>
      </c>
      <c r="BB35" s="311">
        <v>266.7</v>
      </c>
      <c r="BC35" s="10">
        <f t="shared" si="437"/>
        <v>5.3899999999999864</v>
      </c>
      <c r="BD35" s="10">
        <f t="shared" si="438"/>
        <v>42.870000000000061</v>
      </c>
      <c r="BE35" s="168">
        <f t="shared" si="439"/>
        <v>19.59414434817835</v>
      </c>
      <c r="BF35" s="168">
        <f t="shared" ref="BF35" si="524">AZ35+BE35</f>
        <v>155.84433547428745</v>
      </c>
      <c r="BG35" s="307">
        <v>268.05</v>
      </c>
      <c r="BH35" s="77">
        <v>264.67</v>
      </c>
      <c r="BI35" s="10">
        <f>BG35-BH35</f>
        <v>3.3799999999999955</v>
      </c>
      <c r="BJ35" s="10">
        <f t="shared" ref="BJ35:BJ36" si="525">BD35+BI35</f>
        <v>46.250000000000057</v>
      </c>
      <c r="BK35" s="168">
        <f t="shared" si="443"/>
        <v>12.287237086612784</v>
      </c>
      <c r="BL35" s="168">
        <f t="shared" ref="BL35:BL36" si="526">BF35+BK35</f>
        <v>168.13157256090022</v>
      </c>
      <c r="BM35" s="307">
        <v>270.5</v>
      </c>
      <c r="BN35" s="312">
        <v>265.08999999999997</v>
      </c>
      <c r="BO35" s="10">
        <f t="shared" si="488"/>
        <v>5.410000000000025</v>
      </c>
      <c r="BP35" s="10">
        <f t="shared" si="445"/>
        <v>51.660000000000082</v>
      </c>
      <c r="BQ35" s="168">
        <f t="shared" si="446"/>
        <v>19.666849893069692</v>
      </c>
      <c r="BR35" s="306">
        <f t="shared" ref="BR35" si="527">BL35+BQ35</f>
        <v>187.79842245396992</v>
      </c>
      <c r="BS35" s="258">
        <v>267.76</v>
      </c>
      <c r="BT35" s="315">
        <v>262.07</v>
      </c>
      <c r="BU35" s="114">
        <f>(BS35-BT35)</f>
        <v>5.6899999999999977</v>
      </c>
      <c r="BV35" s="10">
        <f>BP35+BU35</f>
        <v>57.35000000000008</v>
      </c>
      <c r="BW35" s="168">
        <f>BU35*$T$1</f>
        <v>20.684727521546392</v>
      </c>
      <c r="BX35" s="168">
        <f t="shared" ref="BX35" si="528">BR35+BW35</f>
        <v>208.48314997551631</v>
      </c>
      <c r="BY35" s="15">
        <v>270.17</v>
      </c>
      <c r="BZ35" s="312">
        <v>267.79000000000002</v>
      </c>
      <c r="CA35" s="114">
        <f>BY35-BZ35</f>
        <v>2.3799999999999955</v>
      </c>
      <c r="CB35" s="172">
        <v>2.11</v>
      </c>
      <c r="CC35" s="172">
        <f t="shared" si="449"/>
        <v>4.4899999999999949</v>
      </c>
      <c r="CD35" s="10">
        <f t="shared" si="450"/>
        <v>61.840000000000074</v>
      </c>
      <c r="CE35" s="369">
        <f>(CA35*$T$1)+9.3988</f>
        <v>18.050759842052784</v>
      </c>
      <c r="CF35" s="168">
        <f t="shared" si="451"/>
        <v>226.53390981756911</v>
      </c>
      <c r="CG35" s="15">
        <v>262.51</v>
      </c>
      <c r="CH35" s="315">
        <v>259.47000000000003</v>
      </c>
      <c r="CI35" s="10">
        <f>CG35-CH35</f>
        <v>3.0399999999999636</v>
      </c>
      <c r="CJ35" s="10">
        <f t="shared" si="452"/>
        <v>64.880000000000038</v>
      </c>
      <c r="CK35" s="168">
        <f t="shared" si="453"/>
        <v>11.051242823462267</v>
      </c>
      <c r="CL35" s="168">
        <f>CF35+CK35</f>
        <v>237.58515264103139</v>
      </c>
      <c r="CM35" s="15">
        <v>269.77</v>
      </c>
      <c r="CN35" s="77">
        <v>265.85000000000002</v>
      </c>
      <c r="CO35" s="10">
        <f t="shared" si="455"/>
        <v>3.9199999999999591</v>
      </c>
      <c r="CP35" s="10">
        <f t="shared" si="456"/>
        <v>68.8</v>
      </c>
      <c r="CQ35" s="168">
        <f t="shared" si="457"/>
        <v>14.250286798675052</v>
      </c>
      <c r="CR35" s="168">
        <f t="shared" si="458"/>
        <v>251.83543943970645</v>
      </c>
      <c r="CS35" s="15">
        <v>272.70999999999998</v>
      </c>
      <c r="CT35" s="312">
        <v>268.02</v>
      </c>
      <c r="CU35" s="10">
        <f t="shared" si="459"/>
        <v>4.6899999999999977</v>
      </c>
      <c r="CV35" s="10">
        <f t="shared" si="460"/>
        <v>73.489999999999995</v>
      </c>
      <c r="CW35" s="168">
        <f t="shared" si="461"/>
        <v>17.049450276986391</v>
      </c>
      <c r="CX35" s="168">
        <f>CR35+CW35</f>
        <v>268.88488971669284</v>
      </c>
      <c r="CY35" s="15">
        <v>260.19</v>
      </c>
      <c r="CZ35" s="165">
        <v>256.61</v>
      </c>
      <c r="DA35" s="10">
        <f>CY35-CZ35</f>
        <v>3.5799999999999841</v>
      </c>
      <c r="DB35" s="10">
        <f t="shared" si="511"/>
        <v>77.069999999999979</v>
      </c>
      <c r="DC35" s="168">
        <f t="shared" si="465"/>
        <v>13.014292535524742</v>
      </c>
      <c r="DD35" s="168">
        <f t="shared" si="512"/>
        <v>281.8991822522176</v>
      </c>
      <c r="DE35" s="15">
        <v>259.35000000000002</v>
      </c>
      <c r="DF35" s="77">
        <v>254.32</v>
      </c>
      <c r="DG35" s="10">
        <f>DE35-DF35</f>
        <v>5.0300000000000296</v>
      </c>
      <c r="DH35" s="10">
        <f t="shared" si="468"/>
        <v>82.100000000000009</v>
      </c>
      <c r="DI35" s="168">
        <f t="shared" si="469"/>
        <v>18.285444540136908</v>
      </c>
      <c r="DJ35" s="168">
        <f t="shared" si="470"/>
        <v>300.18462679235449</v>
      </c>
      <c r="DK35" s="15">
        <v>259.64</v>
      </c>
      <c r="DL35" s="312">
        <v>256.45999999999998</v>
      </c>
      <c r="DM35" s="10">
        <f>(DK35-DL35)</f>
        <v>3.1800000000000068</v>
      </c>
      <c r="DN35" s="10">
        <f t="shared" si="471"/>
        <v>85.280000000000015</v>
      </c>
      <c r="DO35" s="168">
        <f t="shared" si="472"/>
        <v>11.560181637700826</v>
      </c>
      <c r="DP35" s="168">
        <f t="shared" ref="DP35" si="529">DJ35+DO35</f>
        <v>311.74480843005534</v>
      </c>
      <c r="DQ35" s="15">
        <v>264.13</v>
      </c>
      <c r="DR35" s="77">
        <v>259.58999999999997</v>
      </c>
      <c r="DS35" s="10">
        <f>(DQ35-DR35)</f>
        <v>4.5400000000000205</v>
      </c>
      <c r="DT35" s="10">
        <f>DN35+DS35</f>
        <v>89.820000000000036</v>
      </c>
      <c r="DU35" s="168">
        <f t="shared" si="476"/>
        <v>16.504158690302475</v>
      </c>
      <c r="DV35" s="168">
        <f>DP35+DU35</f>
        <v>328.2489671203578</v>
      </c>
      <c r="DW35" s="15">
        <v>265.62</v>
      </c>
      <c r="DX35" s="312">
        <v>262.02</v>
      </c>
      <c r="DY35" s="10">
        <f t="shared" si="478"/>
        <v>3.6000000000000227</v>
      </c>
      <c r="DZ35" s="10">
        <f t="shared" si="479"/>
        <v>93.420000000000059</v>
      </c>
      <c r="EA35" s="168">
        <f t="shared" si="480"/>
        <v>13.086998080416084</v>
      </c>
      <c r="EB35" s="306">
        <f t="shared" si="516"/>
        <v>341.3359652007739</v>
      </c>
    </row>
    <row r="36" spans="1:133" s="10" customFormat="1">
      <c r="A36" s="119" t="s">
        <v>312</v>
      </c>
      <c r="B36" s="12" t="s">
        <v>313</v>
      </c>
      <c r="C36" s="305">
        <v>43165</v>
      </c>
      <c r="D36" s="12" t="s">
        <v>26</v>
      </c>
      <c r="E36" s="10" t="s">
        <v>303</v>
      </c>
      <c r="F36" s="305">
        <v>43203</v>
      </c>
      <c r="G36" s="15">
        <v>235.34</v>
      </c>
      <c r="H36" s="13">
        <v>233.1</v>
      </c>
      <c r="I36" s="10">
        <f t="shared" si="415"/>
        <v>2.2400000000000091</v>
      </c>
      <c r="J36" s="306">
        <f t="shared" si="416"/>
        <v>8.1430210278144326</v>
      </c>
      <c r="K36" s="15">
        <v>245.26</v>
      </c>
      <c r="L36" s="10">
        <v>241.41</v>
      </c>
      <c r="M36" s="10">
        <f t="shared" si="417"/>
        <v>3.8499999999999943</v>
      </c>
      <c r="N36" s="10">
        <f t="shared" si="418"/>
        <v>6.0900000000000034</v>
      </c>
      <c r="O36" s="168">
        <f t="shared" si="419"/>
        <v>13.995817391555979</v>
      </c>
      <c r="P36" s="168">
        <f t="shared" si="420"/>
        <v>22.138838419370412</v>
      </c>
      <c r="Q36" s="15">
        <v>247.88</v>
      </c>
      <c r="R36" s="10">
        <v>244.63</v>
      </c>
      <c r="S36" s="10">
        <f t="shared" si="517"/>
        <v>3.25</v>
      </c>
      <c r="T36" s="10">
        <f t="shared" si="421"/>
        <v>9.3400000000000034</v>
      </c>
      <c r="U36" s="168">
        <f t="shared" ref="U36:U40" si="530">S36*T$1</f>
        <v>11.81465104482</v>
      </c>
      <c r="V36" s="168">
        <f t="shared" si="422"/>
        <v>33.953489464190412</v>
      </c>
      <c r="W36" s="15">
        <v>249.46</v>
      </c>
      <c r="X36" s="10">
        <v>246.25</v>
      </c>
      <c r="Y36" s="10">
        <f t="shared" si="423"/>
        <v>3.210000000000008</v>
      </c>
      <c r="Z36" s="10">
        <f t="shared" si="424"/>
        <v>12.550000000000011</v>
      </c>
      <c r="AA36" s="168">
        <f t="shared" si="425"/>
        <v>11.669239955037629</v>
      </c>
      <c r="AB36" s="168">
        <f t="shared" si="426"/>
        <v>45.622729419228037</v>
      </c>
      <c r="AC36" s="15">
        <v>249.71</v>
      </c>
      <c r="AD36" s="10">
        <v>245.65</v>
      </c>
      <c r="AE36" s="10">
        <f>AC36-AD36</f>
        <v>4.0600000000000023</v>
      </c>
      <c r="AF36" s="10">
        <f t="shared" si="519"/>
        <v>16.610000000000014</v>
      </c>
      <c r="AG36" s="168">
        <f>AE36*$T$1</f>
        <v>14.759225612913609</v>
      </c>
      <c r="AH36" s="168">
        <f t="shared" si="520"/>
        <v>60.381955032141647</v>
      </c>
      <c r="AI36" s="15">
        <v>250.82</v>
      </c>
      <c r="AJ36" s="10">
        <v>246.91</v>
      </c>
      <c r="AK36" s="10">
        <f>AI36-AJ36</f>
        <v>3.9099999999999966</v>
      </c>
      <c r="AL36" s="10">
        <f t="shared" si="521"/>
        <v>20.52000000000001</v>
      </c>
      <c r="AM36" s="168">
        <f t="shared" si="432"/>
        <v>14.213934026229587</v>
      </c>
      <c r="AN36" s="168">
        <f t="shared" si="522"/>
        <v>74.595889058371228</v>
      </c>
      <c r="AO36" s="15">
        <v>250.66</v>
      </c>
      <c r="AP36" s="10">
        <v>246.94</v>
      </c>
      <c r="AQ36" s="10">
        <f t="shared" ref="AQ36" si="531">AO36-AP36</f>
        <v>3.7199999999999989</v>
      </c>
      <c r="AR36" s="10">
        <f t="shared" ref="AR36" si="532">AL36+AQ36</f>
        <v>24.240000000000009</v>
      </c>
      <c r="AS36" s="168">
        <f t="shared" ref="AS36" si="533">AQ36*$T$1</f>
        <v>13.523231349763197</v>
      </c>
      <c r="AT36" s="168">
        <f t="shared" ref="AT36" si="534">AN36+AS36</f>
        <v>88.119120408134421</v>
      </c>
      <c r="AU36" s="15">
        <v>252.36</v>
      </c>
      <c r="AV36" s="13">
        <v>249.21</v>
      </c>
      <c r="AW36" s="10">
        <f t="shared" si="433"/>
        <v>3.1500000000000057</v>
      </c>
      <c r="AX36" s="10">
        <f t="shared" si="523"/>
        <v>27.390000000000015</v>
      </c>
      <c r="AY36" s="168">
        <f t="shared" si="435"/>
        <v>11.451123320364021</v>
      </c>
      <c r="AZ36" s="306">
        <f t="shared" si="436"/>
        <v>99.57024372849844</v>
      </c>
      <c r="BA36" s="15">
        <v>256.61</v>
      </c>
      <c r="BB36" s="10">
        <v>253.12</v>
      </c>
      <c r="BC36" s="10">
        <f t="shared" si="437"/>
        <v>3.4900000000000091</v>
      </c>
      <c r="BD36" s="10">
        <f t="shared" si="438"/>
        <v>30.880000000000024</v>
      </c>
      <c r="BE36" s="168">
        <f t="shared" si="439"/>
        <v>12.687117583514434</v>
      </c>
      <c r="BF36" s="168">
        <f t="shared" ref="BF36" si="535">AZ36+BE36</f>
        <v>112.25736131201288</v>
      </c>
      <c r="BG36" s="15">
        <v>260.70999999999998</v>
      </c>
      <c r="BH36" s="10">
        <v>257.29000000000002</v>
      </c>
      <c r="BI36" s="10">
        <f>BG36-BH36</f>
        <v>3.4199999999999591</v>
      </c>
      <c r="BJ36" s="10">
        <f t="shared" si="525"/>
        <v>34.299999999999983</v>
      </c>
      <c r="BK36" s="168">
        <f t="shared" si="443"/>
        <v>12.432648176395052</v>
      </c>
      <c r="BL36" s="168">
        <f t="shared" si="526"/>
        <v>124.69000948840792</v>
      </c>
      <c r="BM36" s="15">
        <v>265.33</v>
      </c>
      <c r="BN36" s="10">
        <v>262.01</v>
      </c>
      <c r="BO36" s="10">
        <f t="shared" si="488"/>
        <v>3.3199999999999932</v>
      </c>
      <c r="BP36" s="10">
        <f t="shared" si="445"/>
        <v>37.619999999999976</v>
      </c>
      <c r="BQ36" s="168">
        <f t="shared" si="446"/>
        <v>12.069120451939176</v>
      </c>
      <c r="BR36" s="306">
        <f t="shared" ref="BR36" si="536">BL36+BQ36</f>
        <v>136.75912994034709</v>
      </c>
      <c r="BS36" s="15">
        <v>264.58</v>
      </c>
      <c r="BT36" s="10">
        <v>260.7</v>
      </c>
      <c r="BU36" s="114">
        <f>(BS36-BT36)</f>
        <v>3.8799999999999955</v>
      </c>
      <c r="BV36" s="10">
        <f>BP36+BU36</f>
        <v>41.499999999999972</v>
      </c>
      <c r="BW36" s="168">
        <f>BU36*$T$1</f>
        <v>14.104875708892784</v>
      </c>
      <c r="BX36" s="168">
        <f t="shared" ref="BX36" si="537">BR36+BW36</f>
        <v>150.86400564923989</v>
      </c>
      <c r="BY36" s="15">
        <v>263.3</v>
      </c>
      <c r="BZ36" s="10">
        <v>260.33999999999997</v>
      </c>
      <c r="CA36" s="390">
        <f>(BY36-BZ36)-0.455</f>
        <v>2.5050000000000363</v>
      </c>
      <c r="CB36" s="172">
        <v>2.09</v>
      </c>
      <c r="CC36" s="172">
        <f t="shared" si="449"/>
        <v>4.5950000000000362</v>
      </c>
      <c r="CD36" s="10">
        <f t="shared" si="450"/>
        <v>46.095000000000006</v>
      </c>
      <c r="CE36" s="369">
        <f>(CA36*$T$1)+9.3252</f>
        <v>18.431569497622931</v>
      </c>
      <c r="CF36" s="168">
        <f t="shared" si="451"/>
        <v>169.2955751468628</v>
      </c>
      <c r="CG36" s="15">
        <v>261.42</v>
      </c>
      <c r="CH36" s="10">
        <v>257.87</v>
      </c>
      <c r="CI36" s="391">
        <f>(CG36-CH36)-0.455</f>
        <v>3.0950000000000113</v>
      </c>
      <c r="CJ36" s="10">
        <f t="shared" si="452"/>
        <v>49.190000000000019</v>
      </c>
      <c r="CK36" s="168">
        <f t="shared" si="453"/>
        <v>11.251183071913241</v>
      </c>
      <c r="CL36" s="168">
        <f>CF36+CK36</f>
        <v>180.54675821877603</v>
      </c>
      <c r="CM36" s="15">
        <v>262.58999999999997</v>
      </c>
      <c r="CN36" s="13">
        <v>258.35000000000002</v>
      </c>
      <c r="CO36" s="10">
        <f t="shared" si="455"/>
        <v>4.2399999999999523</v>
      </c>
      <c r="CP36" s="10">
        <f t="shared" si="456"/>
        <v>53.429999999999971</v>
      </c>
      <c r="CQ36" s="168">
        <f t="shared" si="457"/>
        <v>15.413575516934227</v>
      </c>
      <c r="CR36" s="168">
        <f t="shared" si="458"/>
        <v>195.96033373571026</v>
      </c>
      <c r="CS36" s="15">
        <v>268.42</v>
      </c>
      <c r="CT36" s="366">
        <v>263.12</v>
      </c>
      <c r="CU36" s="10">
        <f t="shared" si="459"/>
        <v>5.3000000000000114</v>
      </c>
      <c r="CV36" s="10">
        <f t="shared" si="460"/>
        <v>58.729999999999983</v>
      </c>
      <c r="CW36" s="168">
        <f t="shared" si="461"/>
        <v>19.266969396168044</v>
      </c>
      <c r="CX36" s="168">
        <f>CR36+CW36</f>
        <v>215.2273031318783</v>
      </c>
      <c r="CY36" s="15">
        <v>270.77999999999997</v>
      </c>
      <c r="CZ36" s="366">
        <v>267.43</v>
      </c>
      <c r="DA36" s="348">
        <f>(CY36-CZ36)-1.12</f>
        <v>2.2299999999999658</v>
      </c>
      <c r="DB36" s="10">
        <f t="shared" si="511"/>
        <v>60.959999999999951</v>
      </c>
      <c r="DC36" s="168">
        <f t="shared" si="465"/>
        <v>8.1066682553686764</v>
      </c>
      <c r="DD36" s="168">
        <f t="shared" si="512"/>
        <v>223.33397138724698</v>
      </c>
      <c r="DE36" s="15">
        <v>271.02999999999997</v>
      </c>
      <c r="DF36" s="10">
        <v>266.89999999999998</v>
      </c>
      <c r="DG36" s="348">
        <f>(DE36-DF36)-1.12</f>
        <v>3.0099999999999953</v>
      </c>
      <c r="DH36" s="10">
        <f t="shared" si="468"/>
        <v>63.969999999999949</v>
      </c>
      <c r="DI36" s="168">
        <f t="shared" si="469"/>
        <v>10.942184506125583</v>
      </c>
      <c r="DJ36" s="168">
        <f t="shared" si="470"/>
        <v>234.27615589337256</v>
      </c>
      <c r="DK36" s="15">
        <v>271.76</v>
      </c>
      <c r="DL36" s="10">
        <v>266.83</v>
      </c>
      <c r="DM36" s="348">
        <f>(DK36-DL36)-1.12</f>
        <v>3.8100000000000067</v>
      </c>
      <c r="DN36" s="10">
        <f t="shared" si="471"/>
        <v>67.779999999999959</v>
      </c>
      <c r="DO36" s="168">
        <f t="shared" si="472"/>
        <v>13.850406301773624</v>
      </c>
      <c r="DP36" s="168">
        <f t="shared" ref="DP36:DP37" si="538">DJ36+DO36</f>
        <v>248.12656219514619</v>
      </c>
      <c r="DQ36" s="15">
        <v>268.23</v>
      </c>
      <c r="DR36" s="10">
        <v>262.74</v>
      </c>
      <c r="DS36" s="348">
        <f>(DQ36-DR36)-1.12</f>
        <v>4.370000000000009</v>
      </c>
      <c r="DT36" s="10">
        <f>DN36+DS36</f>
        <v>72.149999999999963</v>
      </c>
      <c r="DU36" s="168">
        <f t="shared" si="476"/>
        <v>15.886161558727233</v>
      </c>
      <c r="DV36" s="168">
        <f>DP36+DU36</f>
        <v>264.01272375387344</v>
      </c>
      <c r="DW36" s="15">
        <v>264.11</v>
      </c>
      <c r="DX36" s="10">
        <v>259.64999999999998</v>
      </c>
      <c r="DY36" s="10">
        <f t="shared" si="478"/>
        <v>4.4600000000000364</v>
      </c>
      <c r="DZ36" s="10">
        <f t="shared" si="479"/>
        <v>76.61</v>
      </c>
      <c r="EA36" s="168">
        <f t="shared" si="480"/>
        <v>16.213336510737733</v>
      </c>
      <c r="EB36" s="306">
        <f t="shared" si="516"/>
        <v>280.22606026461119</v>
      </c>
    </row>
    <row r="37" spans="1:133" s="10" customFormat="1">
      <c r="A37" s="9" t="s">
        <v>314</v>
      </c>
      <c r="B37" s="62" t="s">
        <v>315</v>
      </c>
      <c r="C37" s="11">
        <v>43253</v>
      </c>
      <c r="D37" s="12" t="s">
        <v>26</v>
      </c>
      <c r="E37" s="10" t="s">
        <v>303</v>
      </c>
      <c r="F37" s="11">
        <v>43287</v>
      </c>
      <c r="G37" s="15">
        <v>249.8</v>
      </c>
      <c r="H37" s="13">
        <v>248.45</v>
      </c>
      <c r="I37" s="10">
        <f t="shared" si="415"/>
        <v>1.3500000000000227</v>
      </c>
      <c r="J37" s="168">
        <f t="shared" si="416"/>
        <v>4.9076242801560825</v>
      </c>
      <c r="K37" s="15">
        <v>253.69</v>
      </c>
      <c r="L37" s="10">
        <v>251.51</v>
      </c>
      <c r="M37" s="10">
        <f t="shared" si="417"/>
        <v>2.1800000000000068</v>
      </c>
      <c r="N37" s="10">
        <f t="shared" si="418"/>
        <v>3.5300000000000296</v>
      </c>
      <c r="O37" s="168">
        <f t="shared" si="419"/>
        <v>7.9249043931408254</v>
      </c>
      <c r="P37" s="168">
        <f t="shared" si="420"/>
        <v>12.832528673296908</v>
      </c>
      <c r="Q37" s="15">
        <v>255.77</v>
      </c>
      <c r="R37" s="10">
        <v>253.1</v>
      </c>
      <c r="S37" s="10">
        <f t="shared" si="517"/>
        <v>2.6700000000000159</v>
      </c>
      <c r="T37" s="10">
        <f t="shared" si="421"/>
        <v>6.2000000000000455</v>
      </c>
      <c r="U37" s="168">
        <f t="shared" si="530"/>
        <v>9.7061902429752589</v>
      </c>
      <c r="V37" s="168">
        <f t="shared" si="422"/>
        <v>22.538718916272167</v>
      </c>
      <c r="W37" s="15">
        <v>257.13</v>
      </c>
      <c r="X37" s="10">
        <v>254.03</v>
      </c>
      <c r="Y37" s="10">
        <f t="shared" si="423"/>
        <v>3.0999999999999943</v>
      </c>
      <c r="Z37" s="10">
        <f t="shared" si="424"/>
        <v>9.3000000000000398</v>
      </c>
      <c r="AA37" s="168">
        <f t="shared" si="425"/>
        <v>11.26935945813598</v>
      </c>
      <c r="AB37" s="168">
        <f t="shared" si="426"/>
        <v>33.808078374408147</v>
      </c>
      <c r="AC37" s="15">
        <v>258.33</v>
      </c>
      <c r="AD37" s="10">
        <v>255.05</v>
      </c>
      <c r="AE37" s="10">
        <f>AC37-AD37</f>
        <v>3.2799999999999727</v>
      </c>
      <c r="AF37" s="10">
        <f t="shared" si="519"/>
        <v>12.580000000000013</v>
      </c>
      <c r="AG37" s="168">
        <f t="shared" ref="AG37:AG40" si="539">AE37*$T$1</f>
        <v>11.923709362156702</v>
      </c>
      <c r="AH37" s="168">
        <f t="shared" ref="AH37:AH40" si="540">AB37+AG37</f>
        <v>45.731787736564847</v>
      </c>
      <c r="AI37" s="15">
        <v>258.85000000000002</v>
      </c>
      <c r="AJ37" s="10">
        <v>255.08</v>
      </c>
      <c r="AK37" s="10">
        <f>AI37-AJ37</f>
        <v>3.7700000000000102</v>
      </c>
      <c r="AL37" s="10">
        <f t="shared" ref="AL37" si="541">AF37+AK37</f>
        <v>16.350000000000023</v>
      </c>
      <c r="AM37" s="168">
        <f t="shared" si="432"/>
        <v>13.704995211991237</v>
      </c>
      <c r="AN37" s="168">
        <f t="shared" ref="AN37" si="542">AH37+AM37</f>
        <v>59.436782948556086</v>
      </c>
      <c r="AO37" s="15">
        <v>258</v>
      </c>
      <c r="AP37" s="10">
        <v>254.17</v>
      </c>
      <c r="AQ37" s="10">
        <f t="shared" ref="AQ37" si="543">AO37-AP37</f>
        <v>3.8300000000000125</v>
      </c>
      <c r="AR37" s="10">
        <f t="shared" ref="AR37" si="544">AL37+AQ37</f>
        <v>20.180000000000035</v>
      </c>
      <c r="AS37" s="168">
        <f t="shared" ref="AS37" si="545">AQ37*$T$1</f>
        <v>13.923111846664845</v>
      </c>
      <c r="AT37" s="168">
        <f t="shared" ref="AT37" si="546">AN37+AS37</f>
        <v>73.359894795220924</v>
      </c>
      <c r="AU37" s="15">
        <v>257.16000000000003</v>
      </c>
      <c r="AV37" s="13">
        <v>253.28</v>
      </c>
      <c r="AW37" s="10">
        <f t="shared" si="433"/>
        <v>3.8800000000000239</v>
      </c>
      <c r="AX37" s="10">
        <f t="shared" si="523"/>
        <v>24.060000000000059</v>
      </c>
      <c r="AY37" s="168">
        <f t="shared" si="435"/>
        <v>14.104875708892887</v>
      </c>
      <c r="AZ37" s="306">
        <f t="shared" si="436"/>
        <v>87.464770504113815</v>
      </c>
      <c r="BA37" s="15">
        <v>256.58999999999997</v>
      </c>
      <c r="BB37" s="10">
        <v>252.75</v>
      </c>
      <c r="BC37" s="10">
        <f t="shared" si="437"/>
        <v>3.839999999999975</v>
      </c>
      <c r="BD37" s="10">
        <f t="shared" si="438"/>
        <v>27.900000000000034</v>
      </c>
      <c r="BE37" s="168">
        <f t="shared" si="439"/>
        <v>13.95946461911031</v>
      </c>
      <c r="BF37" s="168">
        <f t="shared" ref="BF37" si="547">AZ37+BE37</f>
        <v>101.42423512322412</v>
      </c>
      <c r="BG37" s="15">
        <v>256.3</v>
      </c>
      <c r="BH37" s="10">
        <v>252.72</v>
      </c>
      <c r="BI37" s="10">
        <f>BG37-BH37</f>
        <v>3.5800000000000125</v>
      </c>
      <c r="BJ37" s="10">
        <f t="shared" ref="BJ37" si="548">BD37+BI37</f>
        <v>31.480000000000047</v>
      </c>
      <c r="BK37" s="168">
        <f t="shared" si="443"/>
        <v>13.014292535524845</v>
      </c>
      <c r="BL37" s="168">
        <f t="shared" ref="BL37" si="549">BF37+BK37</f>
        <v>114.43852765874897</v>
      </c>
      <c r="BM37" s="15">
        <v>256.36</v>
      </c>
      <c r="BN37" s="10">
        <v>253.17</v>
      </c>
      <c r="BO37" s="10">
        <f t="shared" si="488"/>
        <v>3.1900000000000261</v>
      </c>
      <c r="BP37" s="10">
        <f t="shared" si="445"/>
        <v>34.670000000000073</v>
      </c>
      <c r="BQ37" s="168">
        <f t="shared" si="446"/>
        <v>11.596534410146495</v>
      </c>
      <c r="BR37" s="306">
        <f t="shared" ref="BR37" si="550">BL37+BQ37</f>
        <v>126.03506206889546</v>
      </c>
      <c r="BS37" s="15">
        <v>254.89</v>
      </c>
      <c r="BT37" s="10">
        <v>251.8</v>
      </c>
      <c r="BU37" s="205">
        <f t="shared" ref="BU37" si="551">(BS37-BT37)</f>
        <v>3.089999999999975</v>
      </c>
      <c r="BV37" s="10">
        <f t="shared" ref="BV37" si="552">BP37+BU37</f>
        <v>37.760000000000048</v>
      </c>
      <c r="BW37" s="168">
        <f t="shared" ref="BW37" si="553">BU37*$T$1</f>
        <v>11.233006685690309</v>
      </c>
      <c r="BX37" s="168">
        <f t="shared" ref="BX37" si="554">BR37+BW37</f>
        <v>137.26806875458576</v>
      </c>
      <c r="BY37" s="15">
        <v>254.46</v>
      </c>
      <c r="BZ37" s="10">
        <v>250.99</v>
      </c>
      <c r="CA37" s="367">
        <f>(BY37-BZ37)-1.5</f>
        <v>1.9699999999999989</v>
      </c>
      <c r="CB37" s="172">
        <v>2.5499999999999998</v>
      </c>
      <c r="CC37" s="172">
        <f t="shared" si="449"/>
        <v>4.5199999999999987</v>
      </c>
      <c r="CD37" s="10">
        <f t="shared" si="450"/>
        <v>42.280000000000044</v>
      </c>
      <c r="CE37" s="369">
        <f>(CA37*$T$1)+11.3792</f>
        <v>18.540696171783196</v>
      </c>
      <c r="CF37" s="168">
        <f>BX37+CE37</f>
        <v>155.80876492636895</v>
      </c>
      <c r="CG37" s="15">
        <v>255.33</v>
      </c>
      <c r="CH37" s="10">
        <v>249.82</v>
      </c>
      <c r="CI37" s="368">
        <f>CG37-CH37-2.39</f>
        <v>3.1200000000000192</v>
      </c>
      <c r="CJ37" s="10">
        <f t="shared" si="452"/>
        <v>45.400000000000063</v>
      </c>
      <c r="CK37" s="168">
        <f t="shared" si="453"/>
        <v>11.342065003027271</v>
      </c>
      <c r="CL37" s="168">
        <f t="shared" ref="CL37" si="555">CF37+CK37</f>
        <v>167.15082992939622</v>
      </c>
      <c r="CM37" s="15">
        <v>254.6</v>
      </c>
      <c r="CN37" s="13">
        <v>250.83</v>
      </c>
      <c r="CO37" s="10">
        <f t="shared" si="455"/>
        <v>3.7699999999999818</v>
      </c>
      <c r="CP37" s="10">
        <f t="shared" si="456"/>
        <v>49.170000000000044</v>
      </c>
      <c r="CQ37" s="168">
        <f t="shared" si="457"/>
        <v>13.704995211991134</v>
      </c>
      <c r="CR37" s="168">
        <f t="shared" si="458"/>
        <v>180.85582514138736</v>
      </c>
      <c r="CS37" s="15">
        <v>253.87</v>
      </c>
      <c r="CT37" s="10">
        <v>249.57</v>
      </c>
      <c r="CU37" s="10">
        <f t="shared" si="459"/>
        <v>4.3000000000000114</v>
      </c>
      <c r="CV37" s="10">
        <f t="shared" si="460"/>
        <v>53.470000000000056</v>
      </c>
      <c r="CW37" s="168">
        <f t="shared" si="461"/>
        <v>15.631692151608043</v>
      </c>
      <c r="CX37" s="168">
        <f>CR37+CW37</f>
        <v>196.48751729299539</v>
      </c>
      <c r="CY37" s="15">
        <v>254.03</v>
      </c>
      <c r="CZ37" s="10">
        <v>250.25</v>
      </c>
      <c r="DA37" s="10">
        <f>CY37-CZ37</f>
        <v>3.7800000000000011</v>
      </c>
      <c r="DB37" s="10">
        <f t="shared" si="511"/>
        <v>57.250000000000057</v>
      </c>
      <c r="DC37" s="168">
        <f t="shared" si="465"/>
        <v>13.741347984436805</v>
      </c>
      <c r="DD37" s="168">
        <f t="shared" si="512"/>
        <v>210.22886527743219</v>
      </c>
      <c r="DE37" s="15">
        <v>255.56</v>
      </c>
      <c r="DF37" s="10">
        <v>251.8</v>
      </c>
      <c r="DG37" s="10">
        <f>DE37-DF37</f>
        <v>3.7599999999999909</v>
      </c>
      <c r="DH37" s="10">
        <f t="shared" si="468"/>
        <v>61.010000000000048</v>
      </c>
      <c r="DI37" s="168">
        <f t="shared" si="469"/>
        <v>13.668642439545568</v>
      </c>
      <c r="DJ37" s="168">
        <f t="shared" si="470"/>
        <v>223.89750771697777</v>
      </c>
      <c r="DK37" s="15">
        <v>253.51</v>
      </c>
      <c r="DL37" s="374">
        <f>247.48+2.59</f>
        <v>250.07</v>
      </c>
      <c r="DM37" s="10">
        <f>(DK37-DL37)</f>
        <v>3.4399999999999977</v>
      </c>
      <c r="DN37" s="10">
        <f t="shared" si="471"/>
        <v>64.450000000000045</v>
      </c>
      <c r="DO37" s="168">
        <f t="shared" si="472"/>
        <v>12.505353721286392</v>
      </c>
      <c r="DP37" s="168">
        <f t="shared" si="538"/>
        <v>236.40286143826415</v>
      </c>
      <c r="DQ37" s="15">
        <v>250.94</v>
      </c>
      <c r="DR37" s="374">
        <f>245.01+2.59</f>
        <v>247.6</v>
      </c>
      <c r="DS37" s="10">
        <f>(DQ37-DR37)</f>
        <v>3.3400000000000034</v>
      </c>
      <c r="DT37" s="10">
        <f>DN37+DS37</f>
        <v>67.790000000000049</v>
      </c>
      <c r="DU37" s="168">
        <f t="shared" si="476"/>
        <v>12.141825996830413</v>
      </c>
      <c r="DV37" s="168">
        <f>DP37+DU37</f>
        <v>248.54468743509457</v>
      </c>
      <c r="DW37" s="15">
        <v>248.89</v>
      </c>
      <c r="DX37" s="10">
        <v>245.8</v>
      </c>
      <c r="DY37" s="10">
        <f t="shared" si="478"/>
        <v>3.089999999999975</v>
      </c>
      <c r="DZ37" s="10">
        <f t="shared" si="479"/>
        <v>70.880000000000024</v>
      </c>
      <c r="EA37" s="168">
        <f t="shared" si="480"/>
        <v>11.233006685690309</v>
      </c>
      <c r="EB37" s="306">
        <f t="shared" si="516"/>
        <v>259.77769412078487</v>
      </c>
    </row>
    <row r="38" spans="1:133" s="10" customFormat="1">
      <c r="A38" s="313"/>
      <c r="C38" s="89"/>
      <c r="F38" s="89"/>
      <c r="G38" s="15"/>
      <c r="H38" s="13"/>
      <c r="J38" s="168"/>
      <c r="K38" s="15"/>
      <c r="O38" s="168"/>
      <c r="P38" s="168"/>
      <c r="Q38" s="15"/>
      <c r="R38" s="77"/>
      <c r="U38" s="168"/>
      <c r="V38" s="168"/>
      <c r="W38" s="15"/>
      <c r="AA38" s="168"/>
      <c r="AB38" s="168"/>
      <c r="AC38" s="15"/>
      <c r="AG38" s="168"/>
      <c r="AH38" s="168"/>
      <c r="AI38" s="15"/>
      <c r="AM38" s="168"/>
      <c r="AN38" s="168"/>
      <c r="AO38" s="15"/>
      <c r="AS38" s="168"/>
      <c r="AT38" s="168"/>
      <c r="AU38" s="15"/>
      <c r="AV38" s="13"/>
      <c r="AY38" s="168"/>
      <c r="AZ38" s="306"/>
      <c r="BA38" s="15"/>
      <c r="BE38" s="168"/>
      <c r="BF38" s="168"/>
      <c r="BG38" s="15"/>
      <c r="BK38" s="168"/>
      <c r="BL38" s="168"/>
      <c r="BM38" s="15"/>
      <c r="BO38" s="114"/>
      <c r="BQ38" s="168"/>
      <c r="BR38" s="168"/>
      <c r="BS38" s="15"/>
      <c r="BU38" s="114"/>
      <c r="BW38" s="168"/>
      <c r="BX38" s="168"/>
      <c r="BY38" s="15"/>
      <c r="CA38" s="379"/>
      <c r="CB38" s="172"/>
      <c r="CC38" s="172"/>
      <c r="CE38" s="369"/>
      <c r="CF38" s="168"/>
      <c r="CG38" s="15"/>
      <c r="CK38" s="168"/>
      <c r="CL38" s="168"/>
      <c r="CM38" s="15"/>
      <c r="CN38" s="13"/>
      <c r="CQ38" s="168"/>
      <c r="CR38" s="168"/>
      <c r="CS38" s="15"/>
      <c r="CW38" s="168"/>
      <c r="CX38" s="168"/>
      <c r="CY38" s="15"/>
      <c r="DC38" s="168"/>
      <c r="DD38" s="168"/>
      <c r="DE38" s="15"/>
      <c r="DI38" s="168"/>
      <c r="DJ38" s="168"/>
      <c r="DK38" s="15"/>
      <c r="DO38" s="168"/>
      <c r="DP38" s="168"/>
      <c r="DQ38" s="15"/>
      <c r="DU38" s="168"/>
      <c r="DV38" s="168"/>
      <c r="DW38" s="15"/>
      <c r="EA38" s="168"/>
      <c r="EB38" s="404"/>
      <c r="EC38" s="266"/>
    </row>
    <row r="39" spans="1:133" s="10" customFormat="1">
      <c r="A39" s="313" t="s">
        <v>317</v>
      </c>
      <c r="B39" s="10" t="s">
        <v>318</v>
      </c>
      <c r="C39" s="89"/>
      <c r="D39" s="10" t="s">
        <v>26</v>
      </c>
      <c r="E39" s="10" t="s">
        <v>303</v>
      </c>
      <c r="F39" s="89">
        <v>43742</v>
      </c>
      <c r="G39" s="15">
        <v>259.37</v>
      </c>
      <c r="H39" s="13">
        <v>255.31</v>
      </c>
      <c r="I39" s="10">
        <f t="shared" si="415"/>
        <v>4.0600000000000023</v>
      </c>
      <c r="J39" s="168">
        <f t="shared" si="416"/>
        <v>14.759225612913609</v>
      </c>
      <c r="K39" s="15">
        <v>261.58999999999997</v>
      </c>
      <c r="L39" s="10">
        <v>257.7</v>
      </c>
      <c r="M39" s="10">
        <f t="shared" ref="M39:M40" si="556">K39-L39</f>
        <v>3.8899999999999864</v>
      </c>
      <c r="N39" s="10">
        <f t="shared" ref="N39:N40" si="557">I39+M39</f>
        <v>7.9499999999999886</v>
      </c>
      <c r="O39" s="168">
        <f t="shared" ref="O39:O40" si="558">M39*T$1</f>
        <v>14.14122848133835</v>
      </c>
      <c r="P39" s="168">
        <f t="shared" ref="P39:P40" si="559">J39+O39</f>
        <v>28.900454094251959</v>
      </c>
      <c r="Q39" s="15">
        <v>259.02999999999997</v>
      </c>
      <c r="R39" s="77">
        <v>254.64</v>
      </c>
      <c r="S39" s="10">
        <f t="shared" si="517"/>
        <v>4.3899999999999864</v>
      </c>
      <c r="T39" s="10">
        <f t="shared" si="421"/>
        <v>12.339999999999975</v>
      </c>
      <c r="U39" s="168">
        <f t="shared" si="530"/>
        <v>15.958867103618351</v>
      </c>
      <c r="V39" s="168">
        <f t="shared" si="422"/>
        <v>44.859321197870308</v>
      </c>
      <c r="W39" s="15">
        <v>257.42</v>
      </c>
      <c r="X39" s="10">
        <v>252.89</v>
      </c>
      <c r="Y39" s="10">
        <f t="shared" ref="Y39:Y40" si="560">W39-X39</f>
        <v>4.5300000000000296</v>
      </c>
      <c r="Z39" s="10">
        <f t="shared" ref="Z39:Z40" si="561">T39+Y39</f>
        <v>16.870000000000005</v>
      </c>
      <c r="AA39" s="168">
        <f t="shared" ref="AA39:AA40" si="562">Y39*$T$1</f>
        <v>16.467805917856907</v>
      </c>
      <c r="AB39" s="168">
        <f t="shared" ref="AB39:AB40" si="563">V39+AA39</f>
        <v>61.327127115727215</v>
      </c>
      <c r="AC39" s="15">
        <v>260.19</v>
      </c>
      <c r="AD39" s="10">
        <v>255.62</v>
      </c>
      <c r="AE39" s="10">
        <f>AC39-AD39</f>
        <v>4.5699999999999932</v>
      </c>
      <c r="AF39" s="10">
        <f t="shared" ref="AF39:AF40" si="564">Z39+AE39</f>
        <v>21.439999999999998</v>
      </c>
      <c r="AG39" s="168">
        <f t="shared" si="539"/>
        <v>16.613217007639175</v>
      </c>
      <c r="AH39" s="168">
        <f t="shared" si="540"/>
        <v>77.940344123366387</v>
      </c>
      <c r="AI39" s="15">
        <v>260.58</v>
      </c>
      <c r="AJ39" s="10">
        <v>256.14999999999998</v>
      </c>
      <c r="AK39" s="10">
        <f t="shared" ref="AK39:AK40" si="565">AI39-AJ39</f>
        <v>4.4300000000000068</v>
      </c>
      <c r="AL39" s="10">
        <f t="shared" ref="AL39:AL40" si="566">AF39+AK39</f>
        <v>25.870000000000005</v>
      </c>
      <c r="AM39" s="168">
        <f t="shared" ref="AM39:AM40" si="567">AK39*$T$1</f>
        <v>16.104278193400827</v>
      </c>
      <c r="AN39" s="168">
        <f t="shared" ref="AN39:AN40" si="568">AH39+AM39</f>
        <v>94.044622316767217</v>
      </c>
      <c r="AO39" s="15">
        <v>266.57</v>
      </c>
      <c r="AP39" s="10">
        <v>264.49</v>
      </c>
      <c r="AQ39" s="10">
        <f t="shared" ref="AQ39:AQ40" si="569">AO39-AP39</f>
        <v>2.0799999999999841</v>
      </c>
      <c r="AR39" s="10">
        <f t="shared" ref="AR39:AR40" si="570">AL39+AQ39</f>
        <v>27.949999999999989</v>
      </c>
      <c r="AS39" s="168">
        <f t="shared" ref="AS39:AS40" si="571">AQ39*$T$1</f>
        <v>7.5613766686847423</v>
      </c>
      <c r="AT39" s="168">
        <f t="shared" ref="AT39:AT40" si="572">AN39+AS39</f>
        <v>101.60599898545196</v>
      </c>
      <c r="AU39" s="15">
        <v>267.95</v>
      </c>
      <c r="AV39" s="13">
        <v>263.11</v>
      </c>
      <c r="AW39" s="10">
        <f>AU39-AV39</f>
        <v>4.839999999999975</v>
      </c>
      <c r="AX39" s="10">
        <f t="shared" ref="AX39:AX40" si="573">AR39+AW39</f>
        <v>32.789999999999964</v>
      </c>
      <c r="AY39" s="168">
        <f t="shared" ref="AY39:AY40" si="574">AW39*$T$1</f>
        <v>17.594741863670311</v>
      </c>
      <c r="AZ39" s="306">
        <f t="shared" ref="AZ39:AZ40" si="575">AT39+AY39</f>
        <v>119.20074084912227</v>
      </c>
      <c r="BA39" s="15">
        <v>267.85000000000002</v>
      </c>
      <c r="BB39" s="10">
        <v>263.75</v>
      </c>
      <c r="BC39" s="10">
        <f t="shared" ref="BC39:BC40" si="576">BA39-BB39</f>
        <v>4.1000000000000227</v>
      </c>
      <c r="BD39" s="10">
        <f t="shared" ref="BD39:BD40" si="577">AX39+BC39</f>
        <v>36.889999999999986</v>
      </c>
      <c r="BE39" s="168">
        <f t="shared" ref="BE39:BE40" si="578">BC39*$T$1</f>
        <v>14.904636702696083</v>
      </c>
      <c r="BF39" s="168">
        <f t="shared" ref="BF39:BF40" si="579">AZ39+BE39</f>
        <v>134.10537755181835</v>
      </c>
      <c r="BG39" s="15">
        <v>269.70999999999998</v>
      </c>
      <c r="BH39" s="10">
        <v>265.18</v>
      </c>
      <c r="BI39" s="10">
        <f t="shared" ref="BI39:BI40" si="580">BG39-BH39</f>
        <v>4.5299999999999727</v>
      </c>
      <c r="BJ39" s="10">
        <f t="shared" ref="BJ39:BJ40" si="581">BD39+BI39</f>
        <v>41.419999999999959</v>
      </c>
      <c r="BK39" s="168">
        <f t="shared" ref="BK39:BK40" si="582">BI39*$T$1</f>
        <v>16.467805917856701</v>
      </c>
      <c r="BL39" s="168">
        <f t="shared" ref="BL39:BL40" si="583">BF39+BK39</f>
        <v>150.57318346967506</v>
      </c>
      <c r="BM39" s="15">
        <v>270.41000000000003</v>
      </c>
      <c r="BN39" s="10">
        <v>266.83999999999997</v>
      </c>
      <c r="BO39" s="114">
        <f t="shared" ref="BO39:BO40" si="584">BM39-BN39</f>
        <v>3.57000000000005</v>
      </c>
      <c r="BP39" s="10">
        <f t="shared" ref="BP39:BP40" si="585">BJ39+BO39</f>
        <v>44.990000000000009</v>
      </c>
      <c r="BQ39" s="168">
        <f t="shared" ref="BQ39:BQ40" si="586">BO39*$T$1</f>
        <v>12.977939763079382</v>
      </c>
      <c r="BR39" s="168">
        <f t="shared" ref="BR39:BR40" si="587">BL39+BQ39</f>
        <v>163.55112323275443</v>
      </c>
      <c r="BS39" s="15">
        <v>268.99</v>
      </c>
      <c r="BT39" s="10">
        <v>264.81</v>
      </c>
      <c r="BU39" s="114">
        <f t="shared" ref="BU39:BU40" si="588">(BS39-BT39)</f>
        <v>4.1800000000000068</v>
      </c>
      <c r="BV39" s="10">
        <f t="shared" ref="BV39:BV40" si="589">BP39+BU39</f>
        <v>49.170000000000016</v>
      </c>
      <c r="BW39" s="168">
        <f t="shared" ref="BW39:BW40" si="590">BU39*$T$1</f>
        <v>15.195458882260825</v>
      </c>
      <c r="BX39" s="168">
        <f t="shared" ref="BX39:BX40" si="591">BR39+BW39</f>
        <v>178.74658211501526</v>
      </c>
      <c r="BY39" s="15">
        <v>270.7</v>
      </c>
      <c r="BZ39" s="10">
        <v>268.45</v>
      </c>
      <c r="CA39" s="114">
        <f>BY39-BZ39</f>
        <v>2.25</v>
      </c>
      <c r="CB39" s="172">
        <v>1.78</v>
      </c>
      <c r="CC39" s="172">
        <f t="shared" si="449"/>
        <v>4.03</v>
      </c>
      <c r="CD39" s="10">
        <f t="shared" ref="CD39:CD40" si="592">BV39+CC39</f>
        <v>53.200000000000017</v>
      </c>
      <c r="CE39" s="369">
        <f>(CA39*$T$1)+7.92</f>
        <v>16.09937380026</v>
      </c>
      <c r="CF39" s="168">
        <f t="shared" ref="CF39:CF40" si="593">BX39+CE39</f>
        <v>194.84595591527525</v>
      </c>
      <c r="CG39" s="15">
        <v>270.39999999999998</v>
      </c>
      <c r="CH39" s="10">
        <v>267.93</v>
      </c>
      <c r="CI39" s="10">
        <f t="shared" ref="CI39:CI40" si="594">CG39-CH39</f>
        <v>2.4699999999999704</v>
      </c>
      <c r="CJ39" s="10">
        <f t="shared" ref="CJ39:CJ40" si="595">CD39+CI39</f>
        <v>55.669999999999987</v>
      </c>
      <c r="CK39" s="168">
        <f t="shared" ref="CK39:CK40" si="596">CI39*$T$1</f>
        <v>8.9791347940630928</v>
      </c>
      <c r="CL39" s="168">
        <f t="shared" ref="CL39:CL40" si="597">CF39+CK39</f>
        <v>203.82509070933835</v>
      </c>
      <c r="CM39" s="15">
        <v>272.24</v>
      </c>
      <c r="CN39" s="13">
        <v>268.94</v>
      </c>
      <c r="CO39" s="10">
        <f t="shared" ref="CO39:CO40" si="598">CM39-CN39</f>
        <v>3.3000000000000114</v>
      </c>
      <c r="CP39" s="10">
        <f t="shared" ref="CP39:CP40" si="599">CJ39+CO39</f>
        <v>58.97</v>
      </c>
      <c r="CQ39" s="168">
        <f t="shared" ref="CQ39:CQ40" si="600">CO39*$T$1</f>
        <v>11.996414907048042</v>
      </c>
      <c r="CR39" s="168">
        <f t="shared" ref="CR39:CR40" si="601">CL39+CQ39</f>
        <v>215.82150561638639</v>
      </c>
      <c r="CS39" s="15">
        <v>268.26</v>
      </c>
      <c r="CT39" s="10">
        <v>263.76</v>
      </c>
      <c r="CU39" s="10">
        <f t="shared" ref="CU39:CU40" si="602">CS39-CT39</f>
        <v>4.5</v>
      </c>
      <c r="CV39" s="10">
        <f t="shared" ref="CV39:CV40" si="603">CP39+CU39</f>
        <v>63.47</v>
      </c>
      <c r="CW39" s="168">
        <f t="shared" ref="CW39:CW40" si="604">CU39*$T$1</f>
        <v>16.358747600520001</v>
      </c>
      <c r="CX39" s="168">
        <f t="shared" ref="CX39:CX40" si="605">CR39+CW39</f>
        <v>232.18025321690638</v>
      </c>
      <c r="CY39" s="15">
        <v>269.89999999999998</v>
      </c>
      <c r="CZ39" s="10">
        <v>265.69</v>
      </c>
      <c r="DA39" s="10">
        <f>CY39-CZ39</f>
        <v>4.2099999999999795</v>
      </c>
      <c r="DB39" s="10">
        <f t="shared" si="511"/>
        <v>67.679999999999978</v>
      </c>
      <c r="DC39" s="168">
        <f t="shared" si="465"/>
        <v>15.304517199597527</v>
      </c>
      <c r="DD39" s="168">
        <f t="shared" si="512"/>
        <v>247.48477041650392</v>
      </c>
      <c r="DE39" s="15">
        <v>270.22000000000003</v>
      </c>
      <c r="DF39" s="10">
        <v>267.45999999999998</v>
      </c>
      <c r="DG39" s="10">
        <f t="shared" ref="DG39:DG40" si="606">DE39-DF39</f>
        <v>2.7600000000000477</v>
      </c>
      <c r="DH39" s="10">
        <f t="shared" ref="DH39:DH40" si="607">DB39+DG39</f>
        <v>70.440000000000026</v>
      </c>
      <c r="DI39" s="168">
        <f t="shared" ref="DI39:DI40" si="608">DG39*$T$1</f>
        <v>10.033365194985773</v>
      </c>
      <c r="DJ39" s="168">
        <f t="shared" ref="DJ39:DJ40" si="609">DD39+DI39</f>
        <v>257.5181356114897</v>
      </c>
      <c r="DK39" s="15">
        <v>268.25</v>
      </c>
      <c r="DL39" s="10">
        <v>264.52999999999997</v>
      </c>
      <c r="DM39" s="10">
        <f t="shared" ref="DM39:DM40" si="610">(DK39-DL39)</f>
        <v>3.7200000000000273</v>
      </c>
      <c r="DN39" s="10">
        <f t="shared" ref="DN39:DN40" si="611">DH39+DM39</f>
        <v>74.160000000000053</v>
      </c>
      <c r="DO39" s="168">
        <f t="shared" ref="DO39:DO40" si="612">DM39*$T$1</f>
        <v>13.5232313497633</v>
      </c>
      <c r="DP39" s="168">
        <f t="shared" ref="DP39:DP40" si="613">DJ39+DO39</f>
        <v>271.041366961253</v>
      </c>
      <c r="DQ39" s="15">
        <v>270.02</v>
      </c>
      <c r="DR39" s="10">
        <v>266.99</v>
      </c>
      <c r="DS39" s="10">
        <f t="shared" ref="DS39:DS40" si="614">(DQ39-DR39)</f>
        <v>3.0299999999999727</v>
      </c>
      <c r="DT39" s="10">
        <f t="shared" ref="DT39:DT40" si="615">DN39+DS39</f>
        <v>77.190000000000026</v>
      </c>
      <c r="DU39" s="168">
        <f t="shared" ref="DU39:DU40" si="616">DS39*$T$1</f>
        <v>11.014890051016701</v>
      </c>
      <c r="DV39" s="168">
        <f t="shared" ref="DV39:DV40" si="617">DP39+DU39</f>
        <v>282.05625701226973</v>
      </c>
      <c r="DW39" s="15">
        <v>265.91000000000003</v>
      </c>
      <c r="DX39" s="10">
        <v>261.58999999999997</v>
      </c>
      <c r="DY39" s="10">
        <f t="shared" si="478"/>
        <v>4.32000000000005</v>
      </c>
      <c r="DZ39" s="10">
        <f t="shared" si="479"/>
        <v>81.510000000000076</v>
      </c>
      <c r="EA39" s="168">
        <f t="shared" si="480"/>
        <v>15.704397696499383</v>
      </c>
      <c r="EB39" s="405">
        <f t="shared" si="516"/>
        <v>297.7606547087691</v>
      </c>
      <c r="EC39" s="266"/>
    </row>
    <row r="40" spans="1:133" s="10" customFormat="1">
      <c r="A40" s="313" t="s">
        <v>320</v>
      </c>
      <c r="B40" s="10" t="s">
        <v>321</v>
      </c>
      <c r="C40" s="89"/>
      <c r="D40" s="10" t="s">
        <v>26</v>
      </c>
      <c r="E40" s="10" t="s">
        <v>303</v>
      </c>
      <c r="F40" s="89">
        <v>43742</v>
      </c>
      <c r="G40" s="15">
        <v>246.19</v>
      </c>
      <c r="H40" s="13">
        <v>243.93</v>
      </c>
      <c r="I40" s="10">
        <f t="shared" si="415"/>
        <v>2.2599999999999909</v>
      </c>
      <c r="J40" s="168">
        <f t="shared" si="416"/>
        <v>8.2157265727055666</v>
      </c>
      <c r="K40" s="15">
        <v>250.81</v>
      </c>
      <c r="L40" s="10">
        <v>247.49</v>
      </c>
      <c r="M40" s="10">
        <f t="shared" si="556"/>
        <v>3.3199999999999932</v>
      </c>
      <c r="N40" s="10">
        <f t="shared" si="557"/>
        <v>5.5799999999999841</v>
      </c>
      <c r="O40" s="168">
        <f t="shared" si="558"/>
        <v>12.069120451939176</v>
      </c>
      <c r="P40" s="168">
        <f t="shared" si="559"/>
        <v>20.284847024644741</v>
      </c>
      <c r="Q40" s="15">
        <v>256.35000000000002</v>
      </c>
      <c r="R40" s="77">
        <v>252.46</v>
      </c>
      <c r="S40" s="10">
        <f t="shared" si="517"/>
        <v>3.8900000000000148</v>
      </c>
      <c r="T40" s="10">
        <f t="shared" si="421"/>
        <v>9.4699999999999989</v>
      </c>
      <c r="U40" s="168">
        <f t="shared" si="530"/>
        <v>14.141228481338453</v>
      </c>
      <c r="V40" s="168">
        <f t="shared" si="422"/>
        <v>34.426075505983192</v>
      </c>
      <c r="W40" s="15">
        <v>258.07</v>
      </c>
      <c r="X40" s="10">
        <v>254.23</v>
      </c>
      <c r="Y40" s="10">
        <f t="shared" si="560"/>
        <v>3.8400000000000034</v>
      </c>
      <c r="Z40" s="10">
        <f t="shared" si="561"/>
        <v>13.310000000000002</v>
      </c>
      <c r="AA40" s="168">
        <f t="shared" si="562"/>
        <v>13.959464619110413</v>
      </c>
      <c r="AB40" s="168">
        <f t="shared" si="563"/>
        <v>48.385540125093605</v>
      </c>
      <c r="AC40" s="15">
        <v>260.12</v>
      </c>
      <c r="AD40" s="10">
        <v>256.20999999999998</v>
      </c>
      <c r="AE40" s="10">
        <f t="shared" ref="AE40" si="618">AC40-AD40</f>
        <v>3.910000000000025</v>
      </c>
      <c r="AF40" s="10">
        <f t="shared" si="564"/>
        <v>17.220000000000027</v>
      </c>
      <c r="AG40" s="168">
        <f t="shared" si="539"/>
        <v>14.213934026229692</v>
      </c>
      <c r="AH40" s="168">
        <f t="shared" si="540"/>
        <v>62.5994741513233</v>
      </c>
      <c r="AI40" s="15">
        <v>265.83999999999997</v>
      </c>
      <c r="AJ40" s="10">
        <v>261.64999999999998</v>
      </c>
      <c r="AK40" s="10">
        <f t="shared" si="565"/>
        <v>4.1899999999999977</v>
      </c>
      <c r="AL40" s="10">
        <f t="shared" si="566"/>
        <v>21.410000000000025</v>
      </c>
      <c r="AM40" s="168">
        <f t="shared" si="567"/>
        <v>15.231811654706393</v>
      </c>
      <c r="AN40" s="168">
        <f t="shared" si="568"/>
        <v>77.831285806029697</v>
      </c>
      <c r="AO40" s="15">
        <v>267.42</v>
      </c>
      <c r="AP40" s="10">
        <v>263.98</v>
      </c>
      <c r="AQ40" s="10">
        <f t="shared" si="569"/>
        <v>3.4399999999999977</v>
      </c>
      <c r="AR40" s="10">
        <f t="shared" si="570"/>
        <v>24.850000000000023</v>
      </c>
      <c r="AS40" s="168">
        <f t="shared" si="571"/>
        <v>12.505353721286392</v>
      </c>
      <c r="AT40" s="168">
        <f t="shared" si="572"/>
        <v>90.336639527316095</v>
      </c>
      <c r="AU40" s="15">
        <v>269.14</v>
      </c>
      <c r="AV40" s="13">
        <v>265.10000000000002</v>
      </c>
      <c r="AW40" s="10">
        <f t="shared" ref="AW40" si="619">AU40-AV40</f>
        <v>4.0399999999999636</v>
      </c>
      <c r="AX40" s="10">
        <f t="shared" si="573"/>
        <v>28.889999999999986</v>
      </c>
      <c r="AY40" s="168">
        <f t="shared" si="574"/>
        <v>14.686520068022269</v>
      </c>
      <c r="AZ40" s="306">
        <f t="shared" si="575"/>
        <v>105.02315959533837</v>
      </c>
      <c r="BA40" s="15">
        <v>270.75</v>
      </c>
      <c r="BB40" s="10">
        <v>267.13</v>
      </c>
      <c r="BC40" s="10">
        <f t="shared" si="576"/>
        <v>3.6200000000000045</v>
      </c>
      <c r="BD40" s="10">
        <f t="shared" si="577"/>
        <v>32.509999999999991</v>
      </c>
      <c r="BE40" s="168">
        <f t="shared" si="578"/>
        <v>13.159703625307216</v>
      </c>
      <c r="BF40" s="168">
        <f t="shared" si="579"/>
        <v>118.18286322064559</v>
      </c>
      <c r="BG40" s="15">
        <v>273.39</v>
      </c>
      <c r="BH40" s="10">
        <v>269.56</v>
      </c>
      <c r="BI40" s="10">
        <f t="shared" si="580"/>
        <v>3.8299999999999841</v>
      </c>
      <c r="BJ40" s="10">
        <f t="shared" si="581"/>
        <v>36.339999999999975</v>
      </c>
      <c r="BK40" s="168">
        <f t="shared" si="582"/>
        <v>13.923111846664742</v>
      </c>
      <c r="BL40" s="168">
        <f t="shared" si="583"/>
        <v>132.10597506731034</v>
      </c>
      <c r="BM40" s="15">
        <v>274.16000000000003</v>
      </c>
      <c r="BN40" s="10">
        <v>270.2</v>
      </c>
      <c r="BO40" s="114">
        <f t="shared" si="584"/>
        <v>3.9600000000000364</v>
      </c>
      <c r="BP40" s="10">
        <f t="shared" si="585"/>
        <v>40.300000000000011</v>
      </c>
      <c r="BQ40" s="168">
        <f t="shared" si="586"/>
        <v>14.395697888457732</v>
      </c>
      <c r="BR40" s="168">
        <f t="shared" si="587"/>
        <v>146.50167295576807</v>
      </c>
      <c r="BS40" s="15">
        <v>269.69</v>
      </c>
      <c r="BT40" s="10">
        <v>266.14</v>
      </c>
      <c r="BU40" s="114">
        <f t="shared" si="588"/>
        <v>3.5500000000000114</v>
      </c>
      <c r="BV40" s="10">
        <f t="shared" si="589"/>
        <v>43.850000000000023</v>
      </c>
      <c r="BW40" s="168">
        <f t="shared" si="590"/>
        <v>12.905234218188042</v>
      </c>
      <c r="BX40" s="168">
        <f t="shared" si="591"/>
        <v>159.40690717395611</v>
      </c>
      <c r="BY40" s="15">
        <v>270.39999999999998</v>
      </c>
      <c r="BZ40" s="10">
        <v>268.27</v>
      </c>
      <c r="CA40" s="114">
        <f>BY40-BZ40</f>
        <v>2.1299999999999955</v>
      </c>
      <c r="CB40" s="172">
        <v>2.46</v>
      </c>
      <c r="CC40" s="172">
        <f t="shared" si="449"/>
        <v>4.5899999999999954</v>
      </c>
      <c r="CD40" s="10">
        <f t="shared" si="592"/>
        <v>48.440000000000019</v>
      </c>
      <c r="CE40" s="369">
        <f>(CA40*$T$1)+10.77</f>
        <v>18.513140530912782</v>
      </c>
      <c r="CF40" s="168">
        <f t="shared" si="593"/>
        <v>177.92004770486889</v>
      </c>
      <c r="CG40" s="15">
        <v>271.22000000000003</v>
      </c>
      <c r="CH40" s="10">
        <v>268.27999999999997</v>
      </c>
      <c r="CI40" s="10">
        <f t="shared" si="594"/>
        <v>2.9400000000000546</v>
      </c>
      <c r="CJ40" s="10">
        <f t="shared" si="595"/>
        <v>51.380000000000074</v>
      </c>
      <c r="CK40" s="168">
        <f t="shared" si="596"/>
        <v>10.687715099006599</v>
      </c>
      <c r="CL40" s="168">
        <f t="shared" si="597"/>
        <v>188.60776280387549</v>
      </c>
      <c r="CM40" s="15">
        <v>267.27999999999997</v>
      </c>
      <c r="CN40" s="13">
        <v>263.66000000000003</v>
      </c>
      <c r="CO40" s="10">
        <f t="shared" si="598"/>
        <v>3.6199999999999477</v>
      </c>
      <c r="CP40" s="10">
        <f t="shared" si="599"/>
        <v>55.000000000000021</v>
      </c>
      <c r="CQ40" s="168">
        <f t="shared" si="600"/>
        <v>13.15970362530701</v>
      </c>
      <c r="CR40" s="168">
        <f t="shared" si="601"/>
        <v>201.76746642918249</v>
      </c>
      <c r="CS40" s="15">
        <v>268.02999999999997</v>
      </c>
      <c r="CT40" s="10">
        <v>264.56</v>
      </c>
      <c r="CU40" s="10">
        <f t="shared" si="602"/>
        <v>3.4699999999999704</v>
      </c>
      <c r="CV40" s="10">
        <f t="shared" si="603"/>
        <v>58.469999999999992</v>
      </c>
      <c r="CW40" s="168">
        <f t="shared" si="604"/>
        <v>12.614412038623094</v>
      </c>
      <c r="CX40" s="168">
        <f t="shared" si="605"/>
        <v>214.38187846780559</v>
      </c>
      <c r="CY40" s="15">
        <v>269.77999999999997</v>
      </c>
      <c r="CZ40" s="10">
        <v>266.27</v>
      </c>
      <c r="DA40" s="10">
        <f>CY40-CZ40</f>
        <v>3.5099999999999909</v>
      </c>
      <c r="DB40" s="10">
        <f t="shared" si="511"/>
        <v>61.979999999999983</v>
      </c>
      <c r="DC40" s="168">
        <f t="shared" si="465"/>
        <v>12.759823128405568</v>
      </c>
      <c r="DD40" s="168">
        <f t="shared" si="512"/>
        <v>227.14170159621116</v>
      </c>
      <c r="DE40" s="15">
        <v>269.31</v>
      </c>
      <c r="DF40" s="10">
        <v>266.45</v>
      </c>
      <c r="DG40" s="10">
        <f t="shared" si="606"/>
        <v>2.8600000000000136</v>
      </c>
      <c r="DH40" s="10">
        <f t="shared" si="607"/>
        <v>64.84</v>
      </c>
      <c r="DI40" s="168">
        <f t="shared" si="608"/>
        <v>10.396892919441649</v>
      </c>
      <c r="DJ40" s="168">
        <f t="shared" si="609"/>
        <v>237.53859451565282</v>
      </c>
      <c r="DK40" s="15">
        <v>270.04000000000002</v>
      </c>
      <c r="DL40" s="10">
        <v>266.17</v>
      </c>
      <c r="DM40" s="10">
        <f t="shared" si="610"/>
        <v>3.8700000000000045</v>
      </c>
      <c r="DN40" s="10">
        <f t="shared" si="611"/>
        <v>68.710000000000008</v>
      </c>
      <c r="DO40" s="168">
        <f t="shared" si="612"/>
        <v>14.068522936447216</v>
      </c>
      <c r="DP40" s="168">
        <f t="shared" si="613"/>
        <v>251.60711745210003</v>
      </c>
      <c r="DQ40" s="15">
        <v>269.69</v>
      </c>
      <c r="DR40" s="10">
        <v>265.94</v>
      </c>
      <c r="DS40" s="10">
        <f t="shared" si="614"/>
        <v>3.75</v>
      </c>
      <c r="DT40" s="10">
        <f t="shared" si="615"/>
        <v>72.460000000000008</v>
      </c>
      <c r="DU40" s="168">
        <f t="shared" si="616"/>
        <v>13.6322896671</v>
      </c>
      <c r="DV40" s="168">
        <f t="shared" si="617"/>
        <v>265.23940711920005</v>
      </c>
      <c r="DW40" s="15">
        <v>264.81</v>
      </c>
      <c r="DX40" s="10">
        <v>261.2</v>
      </c>
      <c r="DY40" s="10">
        <f t="shared" si="478"/>
        <v>3.6100000000000136</v>
      </c>
      <c r="DZ40" s="10">
        <f t="shared" si="479"/>
        <v>76.070000000000022</v>
      </c>
      <c r="EA40" s="168">
        <f t="shared" si="480"/>
        <v>13.12335085286165</v>
      </c>
      <c r="EB40" s="405">
        <f t="shared" si="516"/>
        <v>278.36275797206173</v>
      </c>
      <c r="EC40" s="266"/>
    </row>
    <row r="41" spans="1:133" s="10" customFormat="1">
      <c r="A41" s="9"/>
      <c r="B41" s="62"/>
      <c r="C41" s="11"/>
      <c r="D41" s="12"/>
      <c r="F41" s="11"/>
      <c r="G41" s="15"/>
      <c r="H41" s="13"/>
      <c r="J41" s="168"/>
      <c r="K41" s="15"/>
      <c r="O41" s="168"/>
      <c r="P41" s="168"/>
      <c r="Q41" s="15"/>
      <c r="U41" s="168"/>
      <c r="V41" s="168"/>
      <c r="W41" s="15"/>
      <c r="AC41" s="15"/>
      <c r="AI41" s="15"/>
      <c r="AO41" s="15"/>
      <c r="AU41" s="15"/>
      <c r="AV41" s="13"/>
      <c r="BA41" s="15"/>
      <c r="BG41" s="15"/>
      <c r="BM41" s="15"/>
      <c r="BS41" s="15"/>
      <c r="BU41" s="114"/>
      <c r="BW41" s="168"/>
      <c r="BX41" s="168"/>
      <c r="BY41" s="15"/>
      <c r="CB41" s="172"/>
      <c r="CC41" s="172"/>
      <c r="CE41" s="172"/>
      <c r="CG41" s="15"/>
      <c r="CM41" s="15"/>
      <c r="CN41" s="13"/>
      <c r="CS41" s="15"/>
      <c r="CY41" s="15"/>
      <c r="DE41" s="15"/>
      <c r="DK41" s="15"/>
      <c r="DQ41" s="15"/>
      <c r="DW41" s="15"/>
      <c r="EB41" s="216"/>
    </row>
    <row r="42" spans="1:133">
      <c r="A42" s="9"/>
      <c r="B42" s="11"/>
      <c r="C42" s="3"/>
      <c r="D42" s="12"/>
      <c r="E42" s="3"/>
      <c r="F42" s="3" t="s">
        <v>281</v>
      </c>
      <c r="G42" s="20"/>
      <c r="H42" s="18"/>
      <c r="I42" s="3">
        <f>AVERAGE(I32:I41)</f>
        <v>2.4437499999999979</v>
      </c>
      <c r="J42" s="19">
        <f>AVERAGE(J32:J41)</f>
        <v>8.8837087663934931</v>
      </c>
      <c r="K42" s="20"/>
      <c r="M42" s="3">
        <f>AVERAGE(M32:M41)</f>
        <v>3.4149999999999991</v>
      </c>
      <c r="N42" s="3">
        <f>AVERAGE(N32:N41)</f>
        <v>5.858749999999997</v>
      </c>
      <c r="O42" s="3">
        <f>AVERAGE(O32:O41)</f>
        <v>12.414471790172394</v>
      </c>
      <c r="P42" s="19">
        <f>AVERAGE(P32:P41)</f>
        <v>21.298180556565889</v>
      </c>
      <c r="Q42" s="20"/>
      <c r="R42" s="18"/>
      <c r="S42" s="3">
        <f>AVERAGE(S32:S41)</f>
        <v>3.6537499999999952</v>
      </c>
      <c r="T42" s="3">
        <f>AVERAGE(T32:T41)</f>
        <v>9.5124999999999922</v>
      </c>
      <c r="U42" s="3">
        <f>AVERAGE(U32:U41)</f>
        <v>13.282394232311082</v>
      </c>
      <c r="V42" s="19">
        <f>AVERAGE(V32:V41)</f>
        <v>34.580574788876973</v>
      </c>
      <c r="W42" s="20"/>
      <c r="X42" s="18"/>
      <c r="Y42" s="3">
        <f>AVERAGE(Y32:Y41)</f>
        <v>3.8449999999999989</v>
      </c>
      <c r="Z42" s="3">
        <f>AVERAGE(Z32:Z41)</f>
        <v>13.357499999999991</v>
      </c>
      <c r="AA42" s="3">
        <f>AVERAGE(AA32:AA41)</f>
        <v>13.977641005333197</v>
      </c>
      <c r="AB42" s="19">
        <f>AVERAGE(AB32:AB41)</f>
        <v>48.558215794210163</v>
      </c>
      <c r="AC42" s="20"/>
      <c r="AD42" s="18"/>
      <c r="AE42" s="3">
        <f>AVERAGE(AE32:AE41)</f>
        <v>4.2325000000000061</v>
      </c>
      <c r="AF42" s="3">
        <f>AVERAGE(AF32:AF41)</f>
        <v>17.589999999999996</v>
      </c>
      <c r="AG42" s="3">
        <f>AVERAGE(AG32:AG41)</f>
        <v>15.386310937600223</v>
      </c>
      <c r="AH42" s="19">
        <f>AVERAGE(AH32:AH41)</f>
        <v>63.944526731810392</v>
      </c>
      <c r="AI42" s="20"/>
      <c r="AJ42" s="18"/>
      <c r="AK42" s="3">
        <f>AVERAGE(AK32:AK41)</f>
        <v>4.0949999999999998</v>
      </c>
      <c r="AL42" s="3">
        <f>AVERAGE(AL32:AL41)</f>
        <v>21.684999999999995</v>
      </c>
      <c r="AM42" s="3">
        <f>AVERAGE(AM32:AM41)</f>
        <v>14.886460316473199</v>
      </c>
      <c r="AN42" s="19">
        <f>AVERAGE(AN32:AN41)</f>
        <v>78.830987048283575</v>
      </c>
      <c r="AO42" s="20"/>
      <c r="AP42" s="18"/>
      <c r="AQ42" s="3">
        <f>AVERAGE(AQ32:AQ41)</f>
        <v>3.6587499999999995</v>
      </c>
      <c r="AR42" s="3">
        <f>AVERAGE(AR32:AR41)</f>
        <v>25.343749999999996</v>
      </c>
      <c r="AS42" s="3">
        <f>AVERAGE(AS32:AS41)</f>
        <v>13.300570618533902</v>
      </c>
      <c r="AT42" s="19">
        <f>AVERAGE(AT32:AT41)</f>
        <v>92.131557666817486</v>
      </c>
      <c r="AU42" s="20"/>
      <c r="AV42" s="18"/>
      <c r="AW42" s="3">
        <f>AVERAGE(AW32:AW41)</f>
        <v>4.0662499999999966</v>
      </c>
      <c r="AX42" s="3">
        <f>AVERAGE(AX32:AX41)</f>
        <v>29.409999999999993</v>
      </c>
      <c r="AY42" s="3">
        <f>AVERAGE(AY32:AY41)</f>
        <v>14.781946095692089</v>
      </c>
      <c r="AZ42" s="19">
        <f>AVERAGE(AZ32:AZ41)</f>
        <v>106.91350376250956</v>
      </c>
      <c r="BA42" s="20"/>
      <c r="BB42" s="18"/>
      <c r="BC42" s="3">
        <f>AVERAGE(BC32:BC41)</f>
        <v>4.0049999999999955</v>
      </c>
      <c r="BD42" s="3">
        <f>AVERAGE(BD32:BD41)</f>
        <v>33.414999999999992</v>
      </c>
      <c r="BE42" s="3">
        <f>AVERAGE(BE32:BE41)</f>
        <v>14.559285364462783</v>
      </c>
      <c r="BF42" s="19">
        <f>AVERAGE(BF32:BF41)</f>
        <v>121.47278912697236</v>
      </c>
      <c r="BG42" s="20"/>
      <c r="BH42" s="18"/>
      <c r="BI42" s="3">
        <f>AVERAGE(BI32:BI41)</f>
        <v>3.8249999999999922</v>
      </c>
      <c r="BJ42" s="3">
        <f>AVERAGE(BJ32:BJ41)</f>
        <v>37.239999999999981</v>
      </c>
      <c r="BK42" s="3">
        <f>AVERAGE(BK32:BK41)</f>
        <v>13.904935460441973</v>
      </c>
      <c r="BL42" s="19">
        <f>AVERAGE(BL32:BL41)</f>
        <v>135.37772458741435</v>
      </c>
      <c r="BM42" s="20"/>
      <c r="BN42" s="18"/>
      <c r="BO42" s="3">
        <f>AVERAGE(BO32:BO41)</f>
        <v>3.6137500000000182</v>
      </c>
      <c r="BP42" s="3">
        <f>AVERAGE(BP32:BP41)</f>
        <v>40.853749999999998</v>
      </c>
      <c r="BQ42" s="3">
        <f>AVERAGE(BQ32:BQ41)</f>
        <v>13.136983142528765</v>
      </c>
      <c r="BR42" s="19">
        <f>AVERAGE(BR32:BR41)</f>
        <v>148.5147077299431</v>
      </c>
      <c r="BS42" s="20"/>
      <c r="BT42" s="18"/>
      <c r="BU42" s="3">
        <f>AVERAGE(BU32:BU41)</f>
        <v>3.7737499999999891</v>
      </c>
      <c r="BV42" s="3">
        <f>AVERAGE(BV32:BV41)</f>
        <v>44.627499999999991</v>
      </c>
      <c r="BW42" s="3">
        <f>AVERAGE(BW32:BW41)</f>
        <v>13.718627501658261</v>
      </c>
      <c r="BX42" s="19">
        <f>AVERAGE(BX32:BX41)</f>
        <v>162.23333523160136</v>
      </c>
      <c r="BY42" s="20"/>
      <c r="BZ42" s="18"/>
      <c r="CA42" s="3">
        <f>AVERAGE(CA32:CA41)</f>
        <v>1.8793750000000071</v>
      </c>
      <c r="CB42" s="174">
        <f t="shared" ref="CB42:CF42" si="620">AVERAGE(CB32:CB41)</f>
        <v>2.1149999999999998</v>
      </c>
      <c r="CC42" s="174">
        <f>AVERAGE(CC32:CC41)</f>
        <v>3.9943750000000073</v>
      </c>
      <c r="CD42" s="3">
        <f t="shared" si="620"/>
        <v>48.621874999999996</v>
      </c>
      <c r="CE42" s="370">
        <f>AVERAGE(CE32:CE41)</f>
        <v>16.260999171494976</v>
      </c>
      <c r="CF42" s="19">
        <f t="shared" si="620"/>
        <v>178.49433440309633</v>
      </c>
      <c r="CG42" s="20"/>
      <c r="CH42" s="18"/>
      <c r="CI42" s="3">
        <f>AVERAGE(CI32:CI41)</f>
        <v>3.2406250000000085</v>
      </c>
      <c r="CJ42" s="3">
        <f>AVERAGE(CJ32:CJ41)</f>
        <v>51.86249999999999</v>
      </c>
      <c r="CK42" s="141">
        <f>AVERAGE(CK32:CK41)</f>
        <v>11.780570320652281</v>
      </c>
      <c r="CL42" s="19">
        <f>AVERAGE(CL32:CL41)</f>
        <v>190.27490472374862</v>
      </c>
      <c r="CM42" s="20"/>
      <c r="CN42" s="18"/>
      <c r="CO42" s="3">
        <f>AVERAGE(CO32:CO41)</f>
        <v>3.7349999999999781</v>
      </c>
      <c r="CP42" s="3">
        <f>AVERAGE(CP32:CP41)</f>
        <v>55.597499999999982</v>
      </c>
      <c r="CQ42" s="141">
        <f>AVERAGE(CQ32:CQ41)</f>
        <v>13.57776050843152</v>
      </c>
      <c r="CR42" s="19">
        <f>AVERAGE(CR32:CR41)</f>
        <v>203.85266523218013</v>
      </c>
      <c r="CS42" s="20"/>
      <c r="CT42" s="18"/>
      <c r="CU42" s="3">
        <f>AVERAGE(CU32:CU41)</f>
        <v>4.2137499999999974</v>
      </c>
      <c r="CV42" s="3">
        <f>AVERAGE(CV32:CV41)</f>
        <v>59.81124999999998</v>
      </c>
      <c r="CW42" s="3">
        <f>AVERAGE(CW32:CW41)</f>
        <v>15.318149489264691</v>
      </c>
      <c r="CX42" s="19">
        <f>AVERAGE(CX32:CX41)</f>
        <v>219.1708147214448</v>
      </c>
      <c r="CY42" s="20"/>
      <c r="CZ42" s="18"/>
      <c r="DA42" s="3">
        <f>AVERAGE(DA32:DA41)</f>
        <v>3.779999999999998</v>
      </c>
      <c r="DB42" s="3">
        <f>AVERAGE(DB32:DB41)</f>
        <v>63.591249999999981</v>
      </c>
      <c r="DC42" s="141">
        <f>AVERAGE(DC32:DC41)</f>
        <v>13.741347984436795</v>
      </c>
      <c r="DD42" s="19">
        <f>AVERAGE(DD32:DD41)</f>
        <v>232.9121627058816</v>
      </c>
      <c r="DE42" s="20"/>
      <c r="DF42" s="18"/>
      <c r="DG42" s="3">
        <f>AVERAGE(DG32:DG41)</f>
        <v>3.6487500000000073</v>
      </c>
      <c r="DH42" s="3">
        <f>AVERAGE(DH32:DH41)</f>
        <v>67.239999999999995</v>
      </c>
      <c r="DI42" s="141">
        <f>AVERAGE(DI32:DI41)</f>
        <v>13.264217846088327</v>
      </c>
      <c r="DJ42" s="19">
        <f>AVERAGE(DJ32:DJ41)</f>
        <v>246.17638055196997</v>
      </c>
      <c r="DK42" s="20"/>
      <c r="DL42" s="18"/>
      <c r="DM42" s="3">
        <f>AVERAGE(DM32:DM41)</f>
        <v>3.4862500000000085</v>
      </c>
      <c r="DN42" s="3">
        <f>AVERAGE(DN32:DN41)</f>
        <v>70.726250000000007</v>
      </c>
      <c r="DO42" s="3">
        <f>AVERAGE(DO32:DO41)</f>
        <v>12.673485293847328</v>
      </c>
      <c r="DP42" s="19">
        <f>AVERAGE(DP32:DP41)</f>
        <v>258.84986584581725</v>
      </c>
      <c r="DQ42" s="20"/>
      <c r="DR42" s="18"/>
      <c r="DS42" s="3">
        <f>AVERAGE(DS32:DS41)</f>
        <v>3.6025000000000009</v>
      </c>
      <c r="DT42" s="3">
        <f>AVERAGE(DT32:DT41)</f>
        <v>74.328749999999999</v>
      </c>
      <c r="DU42" s="3">
        <f>AVERAGE(DU32:DU41)</f>
        <v>13.096086273527403</v>
      </c>
      <c r="DV42" s="169">
        <f>AVERAGE(DV32:DV41)</f>
        <v>271.94595211934472</v>
      </c>
      <c r="DW42" s="20"/>
      <c r="DX42" s="18"/>
      <c r="DY42" s="3">
        <f>AVERAGE(DY32:DY41)</f>
        <v>3.7975000000000065</v>
      </c>
      <c r="DZ42" s="3">
        <f>AVERAGE(DZ32:DZ41)</f>
        <v>78.126250000000013</v>
      </c>
      <c r="EA42" s="3">
        <f>AVERAGE(EA32:EA41)</f>
        <v>13.804965336216625</v>
      </c>
      <c r="EB42" s="207">
        <f>AVERAGE(EB32:EB41)</f>
        <v>285.75091745556131</v>
      </c>
    </row>
    <row r="43" spans="1:133">
      <c r="A43" s="9"/>
      <c r="B43" s="31"/>
      <c r="C43" s="3"/>
      <c r="D43" s="12"/>
      <c r="E43" s="3"/>
      <c r="F43" s="3" t="s">
        <v>45</v>
      </c>
      <c r="G43" s="20"/>
      <c r="H43" s="18"/>
      <c r="I43" s="3">
        <f>STDEV(I32:I41)/SQRT(COUNT(I32:I41))</f>
        <v>0.33147364417961467</v>
      </c>
      <c r="J43" s="19">
        <f>STDEV(J32:J41)/SQRT(COUNT(J32:J41))</f>
        <v>1.2049985958575307</v>
      </c>
      <c r="K43" s="20"/>
      <c r="M43" s="3">
        <f>STDEV(M32:M41)/SQRT(COUNT(M32:M41))</f>
        <v>0.19323375925103017</v>
      </c>
      <c r="N43" s="3">
        <f>STDEV(N32:N41)/SQRT(COUNT(N32:N41))</f>
        <v>0.48572639822081759</v>
      </c>
      <c r="O43" s="3">
        <f>STDEV(O32:O41)/SQRT(COUNT(O32:O41))</f>
        <v>0.70245828788606546</v>
      </c>
      <c r="P43" s="19">
        <f>STDEV(P32:P41)/SQRT(COUNT(P32:P41))</f>
        <v>1.7657501225342278</v>
      </c>
      <c r="Q43" s="20"/>
      <c r="R43" s="18"/>
      <c r="S43" s="3">
        <f>STDEV(S32:S41)/SQRT(COUNT(S32:S41))</f>
        <v>0.2668930865400137</v>
      </c>
      <c r="T43" s="3">
        <f>STDEV(T32:T41)/SQRT(COUNT(T32:T41))</f>
        <v>0.64660031262419415</v>
      </c>
      <c r="U43" s="3">
        <f>STDEV(U32:U41)/SQRT(COUNT(U32:U41))</f>
        <v>0.9702303642292962</v>
      </c>
      <c r="V43" s="19">
        <f>STDEV(V32:V41)/SQRT(COUNT(V32:V41))</f>
        <v>2.3505714028081117</v>
      </c>
      <c r="W43" s="20"/>
      <c r="X43" s="18"/>
      <c r="Y43" s="3">
        <f>STDEV(Y32:Y41)/SQRT(COUNT(Y32:Y41))</f>
        <v>0.18247308999254999</v>
      </c>
      <c r="Z43" s="3">
        <f>STDEV(Z32:Z41)/SQRT(COUNT(Z32:Z41))</f>
        <v>0.80010880956458319</v>
      </c>
      <c r="AA43" s="3">
        <f>STDEV(AA32:AA41)/SQRT(COUNT(AA32:AA41))</f>
        <v>0.6633402717944622</v>
      </c>
      <c r="AB43" s="19">
        <f>STDEV(AB32:AB41)/SQRT(COUNT(AB32:AB41))</f>
        <v>2.9086173485821263</v>
      </c>
      <c r="AC43" s="20"/>
      <c r="AD43" s="18"/>
      <c r="AE43" s="3">
        <f>STDEV(AE32:AE41)/SQRT(COUNT(AE32:AE41))</f>
        <v>0.24453855962375048</v>
      </c>
      <c r="AF43" s="3">
        <f>STDEV(AF32:AF41)/SQRT(COUNT(AF32:AF41))</f>
        <v>0.9993283458689376</v>
      </c>
      <c r="AG43" s="3">
        <f>STDEV(AG32:AG41)/SQRT(COUNT(AG32:AG41))</f>
        <v>0.88896546121769759</v>
      </c>
      <c r="AH43" s="19">
        <f>STDEV(AH32:AH41)/SQRT(COUNT(AH32:AH41))</f>
        <v>3.6328355955811302</v>
      </c>
      <c r="AI43" s="20"/>
      <c r="AJ43" s="18"/>
      <c r="AK43" s="3">
        <f>STDEV(AK32:AK41)/SQRT(COUNT(AK32:AK41))</f>
        <v>0.20757098613658495</v>
      </c>
      <c r="AL43" s="3">
        <f>STDEV(AL32:AL41)/SQRT(COUNT(AL32:AL41))</f>
        <v>1.1258853658978201</v>
      </c>
      <c r="AM43" s="3">
        <f>STDEV(AM32:AM41)/SQRT(COUNT(AM32:AM41))</f>
        <v>0.75457808253321124</v>
      </c>
      <c r="AN43" s="19">
        <f>STDEV(AN32:AN41)/SQRT(COUNT(AN32:AN41))</f>
        <v>4.0929054506314815</v>
      </c>
      <c r="AO43" s="20"/>
      <c r="AP43" s="18"/>
      <c r="AQ43" s="3">
        <f>STDEV(AQ32:AQ41)/SQRT(COUNT(AQ32:AQ41))</f>
        <v>0.32367001218172309</v>
      </c>
      <c r="AR43" s="3">
        <f>STDEV(AR32:AR41)/SQRT(COUNT(AR32:AR41))</f>
        <v>1.1815772411424146</v>
      </c>
      <c r="AS43" s="3">
        <f>STDEV(AS32:AS41)/SQRT(COUNT(AS32:AS41))</f>
        <v>1.176630230030669</v>
      </c>
      <c r="AT43" s="19">
        <f>STDEV(AT32:AT41)/SQRT(COUNT(AT32:AT41))</f>
        <v>4.2953608574150035</v>
      </c>
      <c r="AU43" s="20"/>
      <c r="AV43" s="18"/>
      <c r="AW43" s="3">
        <f>STDEV(AW32:AW41)/SQRT(COUNT(AW32:AW41))</f>
        <v>0.32814923379898031</v>
      </c>
      <c r="AX43" s="3">
        <f>STDEV(AX32:AX41)/SQRT(COUNT(AX32:AX41))</f>
        <v>1.4478308898881347</v>
      </c>
      <c r="AY43" s="3">
        <f>STDEV(AY32:AY41)/SQRT(COUNT(AY32:AY41))</f>
        <v>1.1929134424492309</v>
      </c>
      <c r="AZ43" s="19">
        <f>STDEV(AZ32:AZ41)/SQRT(COUNT(AZ32:AZ41))</f>
        <v>5.2632666879814396</v>
      </c>
      <c r="BA43" s="20"/>
      <c r="BB43" s="18"/>
      <c r="BC43" s="3">
        <f>STDEV(BC32:BC41)/SQRT(COUNT(BC32:BC41))</f>
        <v>0.20812084401684819</v>
      </c>
      <c r="BD43" s="3">
        <f>STDEV(BD32:BD41)/SQRT(COUNT(BD32:BD41))</f>
        <v>1.6257295065820099</v>
      </c>
      <c r="BE43" s="3">
        <f>STDEV(BE32:BE41)/SQRT(COUNT(BE32:BE41))</f>
        <v>0.75657696837307309</v>
      </c>
      <c r="BF43" s="19">
        <f>STDEV(BF32:BF41)/SQRT(COUNT(BF32:BF41))</f>
        <v>5.9099774810873962</v>
      </c>
      <c r="BG43" s="20"/>
      <c r="BH43" s="18"/>
      <c r="BI43" s="3">
        <f>STDEV(BI32:BI41)/SQRT(COUNT(BI32:BI41))</f>
        <v>0.15150436108762955</v>
      </c>
      <c r="BJ43" s="3">
        <f>STDEV(BJ32:BJ41)/SQRT(COUNT(BJ32:BJ41))</f>
        <v>1.6357556139507696</v>
      </c>
      <c r="BK43" s="3">
        <f>STDEV(BK32:BK41)/SQRT(COUNT(BK32:BK41))</f>
        <v>0.55076035631345821</v>
      </c>
      <c r="BL43" s="19">
        <f>STDEV(BL32:BL41)/SQRT(COUNT(BL32:BL41))</f>
        <v>5.946425161056422</v>
      </c>
      <c r="BM43" s="20"/>
      <c r="BN43" s="18"/>
      <c r="BO43" s="3">
        <f>STDEV(BO32:BO41)/SQRT(COUNT(BO32:BO41))</f>
        <v>0.29191447805821769</v>
      </c>
      <c r="BP43" s="3">
        <f>STDEV(BP32:BP41)/SQRT(COUNT(BP32:BP41))</f>
        <v>1.8738900881588594</v>
      </c>
      <c r="BQ43" s="3">
        <f>STDEV(BQ32:BQ41)/SQRT(COUNT(BQ32:BQ41))</f>
        <v>1.0611900594426511</v>
      </c>
      <c r="BR43" s="19">
        <f>STDEV(BR32:BR41)/SQRT(COUNT(BR32:BR41))</f>
        <v>6.8121099962904657</v>
      </c>
      <c r="BS43" s="20"/>
      <c r="BT43" s="18"/>
      <c r="BU43" s="3">
        <f>STDEV(BU32:BU41)/SQRT(COUNT(BU32:BU41))</f>
        <v>0.30406729459588211</v>
      </c>
      <c r="BV43" s="3">
        <f>STDEV(BV32:BV41)/SQRT(COUNT(BV32:BV41))</f>
        <v>2.1555060310748404</v>
      </c>
      <c r="BW43" s="3">
        <f>STDEV(BW32:BW41)/SQRT(COUNT(BW32:BW41))</f>
        <v>1.1053689168593317</v>
      </c>
      <c r="BX43" s="19">
        <f>STDEV(BX32:BX41)/SQRT(COUNT(BX32:BX41))</f>
        <v>7.835862025278252</v>
      </c>
      <c r="BY43" s="20"/>
      <c r="BZ43" s="18"/>
      <c r="CA43" s="3">
        <f>STDEV(CA32:CA41)/SQRT(COUNT(CA32:CA41))</f>
        <v>0.22171095545294522</v>
      </c>
      <c r="CB43" s="174">
        <f>(STDEV(CB32:CB41)/(SQRT(COUNT(CB32:CB41))))</f>
        <v>0.11392353325178914</v>
      </c>
      <c r="CC43" s="174">
        <f>(STDEV(CC32:CC41)/(SQRT(COUNT(CC32:CC41))))</f>
        <v>0.26171726412158181</v>
      </c>
      <c r="CD43" s="3">
        <f>STDEV(CD32:CD41)/SQRT(COUNT(CD32:CD41))</f>
        <v>2.2094157149208655</v>
      </c>
      <c r="CE43" s="173">
        <f>STDEV(CE32:CE41)/SQRT(COUNT(CE32:CE41))</f>
        <v>1.0031680183161444</v>
      </c>
      <c r="CF43" s="19">
        <f>STDEV(CF32:CF41)/SQRT(COUNT(CF32:CF41))</f>
        <v>7.9988623222132311</v>
      </c>
      <c r="CG43" s="20"/>
      <c r="CH43" s="18"/>
      <c r="CI43" s="3">
        <f>STDEV(CI32:CI41)/SQRT(COUNT(CI32:CI41))</f>
        <v>0.25707565156000844</v>
      </c>
      <c r="CJ43" s="3">
        <f>STDEV(CJ32:CJ41)/SQRT(COUNT(CJ32:CJ41))</f>
        <v>2.1279708225041096</v>
      </c>
      <c r="CK43" s="3">
        <f>STDEV(CK32:CK41)/SQRT(COUNT(CK32:CK41))</f>
        <v>0.93454126624653711</v>
      </c>
      <c r="CL43" s="19">
        <f>STDEV(CL32:CL41)/SQRT(COUNT(CL32:CL41))</f>
        <v>7.7087742649252764</v>
      </c>
      <c r="CM43" s="20"/>
      <c r="CN43" s="18"/>
      <c r="CO43" s="3">
        <f>STDEV(CO32:CO41)/SQRT(COUNT(CO32:CO41))</f>
        <v>0.11398621470535934</v>
      </c>
      <c r="CP43" s="3">
        <f>STDEV(CP32:CP41)/SQRT(COUNT(CP32:CP41))</f>
        <v>2.1315904106022301</v>
      </c>
      <c r="CQ43" s="3">
        <f>STDEV(CQ32:CQ41)/SQRT(COUNT(CQ32:CQ41))</f>
        <v>0.41437149251192318</v>
      </c>
      <c r="CR43" s="19">
        <f>STDEV(CR32:CR41)/SQRT(COUNT(CR32:CR41))</f>
        <v>7.7212696718552047</v>
      </c>
      <c r="CS43" s="20"/>
      <c r="CT43" s="18"/>
      <c r="CU43" s="3">
        <f>STDEV(CU32:CU41)/SQRT(COUNT(CU32:CU41))</f>
        <v>0.21644809258969122</v>
      </c>
      <c r="CV43" s="3">
        <f>STDEV(CV32:CV41)/SQRT(COUNT(CV32:CV41))</f>
        <v>2.2104810703781181</v>
      </c>
      <c r="CW43" s="3">
        <f>STDEV(CW32:CW41)/SQRT(COUNT(CW32:CW41))</f>
        <v>0.78684882561972502</v>
      </c>
      <c r="CX43" s="19">
        <f>STDEV(CX32:CX41)/SQRT(COUNT(CX32:CX41))</f>
        <v>8.0075104265512032</v>
      </c>
      <c r="CY43" s="20"/>
      <c r="CZ43" s="18"/>
      <c r="DA43" s="3">
        <f>STDEV(DA32:DA41)/SQRT(COUNT(DA32:DA41))</f>
        <v>0.27707657528457874</v>
      </c>
      <c r="DB43" s="3">
        <f>STDEV(DB32:DB41)/SQRT(COUNT(DB32:DB41))</f>
        <v>2.1976061956300095</v>
      </c>
      <c r="DC43" s="3">
        <f>STDEV(DC32:DC41)/SQRT(COUNT(DC32:DC41))</f>
        <v>1.0072501691326439</v>
      </c>
      <c r="DD43" s="19">
        <f>STDEV(DD32:DD41)/SQRT(COUNT(DD32:DD41))</f>
        <v>7.9625916161494947</v>
      </c>
      <c r="DE43" s="20"/>
      <c r="DF43" s="18"/>
      <c r="DG43" s="3">
        <f>STDEV(DG32:DG41)/SQRT(COUNT(DG32:DG41))</f>
        <v>0.27810864719180639</v>
      </c>
      <c r="DH43" s="3">
        <f>STDEV(DH32:DH41)/SQRT(COUNT(DH32:DH41))</f>
        <v>2.3444463251327732</v>
      </c>
      <c r="DI43" s="3">
        <f>STDEV(DI32:DI41)/SQRT(COUNT(DI32:DI41))</f>
        <v>1.0110020366517378</v>
      </c>
      <c r="DJ43" s="19">
        <f>STDEV(DJ32:DJ41)/SQRT(COUNT(DJ32:DJ41))</f>
        <v>8.5011514566599917</v>
      </c>
      <c r="DK43" s="20"/>
      <c r="DL43" s="18"/>
      <c r="DM43" s="3">
        <f>STDEV(DM32:DM41)/SQRT(COUNT(DM32:DM41))</f>
        <v>0.1104202604985673</v>
      </c>
      <c r="DN43" s="3">
        <f>STDEV(DN32:DN41)/SQRT(COUNT(DN32:DN41))</f>
        <v>2.3216280752185199</v>
      </c>
      <c r="DO43" s="3">
        <f>STDEV(DO32:DO41)/SQRT(COUNT(DO32:DO41))</f>
        <v>0.40140826032882898</v>
      </c>
      <c r="DP43" s="19">
        <f>STDEV(DP32:DP41)/SQRT(COUNT(DP32:DP41))</f>
        <v>8.4171577019651362</v>
      </c>
      <c r="DQ43" s="20"/>
      <c r="DR43" s="18"/>
      <c r="DS43" s="3">
        <f>STDEV(DS32:DS41)/SQRT(COUNT(DS32:DS41))</f>
        <v>0.20380093578924705</v>
      </c>
      <c r="DT43" s="3">
        <f>STDEV(DT32:DT41)/SQRT(COUNT(DT32:DT41))</f>
        <v>2.4248736620256555</v>
      </c>
      <c r="DU43" s="3">
        <f>STDEV(DU32:DU41)/SQRT(COUNT(DU32:DU41))</f>
        <v>0.74087290429468522</v>
      </c>
      <c r="DV43" s="19">
        <f>STDEV(DV32:DV41)/SQRT(COUNT(DV32:DV41))</f>
        <v>8.7931181689622466</v>
      </c>
      <c r="DW43" s="20"/>
      <c r="DX43" s="18"/>
      <c r="DY43" s="3">
        <f>STDEV(DY32:DY41)/SQRT(COUNT(DY32:DY41))</f>
        <v>0.16199371680937591</v>
      </c>
      <c r="DZ43" s="3">
        <f>STDEV(DZ32:DZ41)/SQRT(COUNT(DZ32:DZ41))</f>
        <v>2.4561453085649743</v>
      </c>
      <c r="EA43" s="3">
        <f>STDEV(EA32:EA41)/SQRT(COUNT(EA32:EA41))</f>
        <v>0.58889207247881425</v>
      </c>
      <c r="EB43" s="207">
        <f>STDEV(EB32:EB41)/SQRT(COUNT(EB32:EB41))</f>
        <v>8.904301094074853</v>
      </c>
    </row>
    <row r="44" spans="1:133">
      <c r="A44" s="54"/>
      <c r="B44" s="35"/>
      <c r="C44" s="35"/>
      <c r="D44" s="35"/>
      <c r="E44" s="35"/>
      <c r="F44" s="35" t="s">
        <v>300</v>
      </c>
      <c r="G44" s="37"/>
      <c r="H44" s="34"/>
      <c r="I44" s="34">
        <f>(100/I15)*I42</f>
        <v>67.929117442668428</v>
      </c>
      <c r="J44" s="34">
        <f>(100/J15)*J42</f>
        <v>67.929117442668428</v>
      </c>
      <c r="K44" s="37"/>
      <c r="L44" s="34"/>
      <c r="M44" s="34">
        <f>(100/M15)*M42</f>
        <v>86.074354127284181</v>
      </c>
      <c r="N44" s="34">
        <f>(100/N15)*N42</f>
        <v>77.445472571050843</v>
      </c>
      <c r="O44" s="34">
        <f>(100/O15)*O42</f>
        <v>86.074354127284167</v>
      </c>
      <c r="P44" s="34">
        <f>(100/P15)*P42</f>
        <v>77.445472571050843</v>
      </c>
      <c r="Q44" s="37"/>
      <c r="R44" s="34"/>
      <c r="S44" s="34">
        <f>(100/S15)*S42</f>
        <v>93.237639553428963</v>
      </c>
      <c r="T44" s="34">
        <f>(100/T15)*T42</f>
        <v>82.834439969522094</v>
      </c>
      <c r="U44" s="34">
        <f>(100/U15)*U42</f>
        <v>93.237639553428963</v>
      </c>
      <c r="V44" s="34">
        <f>(100/V15)*V42</f>
        <v>82.834439969522109</v>
      </c>
      <c r="W44" s="37"/>
      <c r="X44" s="34"/>
      <c r="Y44" s="34">
        <f>(100/Y15)*Y42</f>
        <v>96.094970321774483</v>
      </c>
      <c r="Z44" s="34">
        <f>(100/Z15)*Z42</f>
        <v>86.260897642880181</v>
      </c>
      <c r="AA44" s="34">
        <f>(100/AA15)*AA42</f>
        <v>96.094970321774497</v>
      </c>
      <c r="AB44" s="34">
        <f>(100/AB15)*AB42</f>
        <v>86.260897642880167</v>
      </c>
      <c r="AC44" s="37"/>
      <c r="AD44" s="34"/>
      <c r="AE44" s="34">
        <f>(100/AE15)*AE42</f>
        <v>105.58154038041806</v>
      </c>
      <c r="AF44" s="34">
        <f>(100/AF15)*AF42</f>
        <v>90.234049374799639</v>
      </c>
      <c r="AG44" s="34">
        <f>(100/AG15)*AG42</f>
        <v>105.58154038041808</v>
      </c>
      <c r="AH44" s="34">
        <f>(100/AH15)*AH42</f>
        <v>90.234049374799639</v>
      </c>
      <c r="AI44" s="37"/>
      <c r="AJ44" s="34"/>
      <c r="AK44" s="34">
        <f>(100/AK15)*AK42</f>
        <v>92.281690140845143</v>
      </c>
      <c r="AL44" s="34">
        <f>(100/AL15)*AL42</f>
        <v>90.613737268216269</v>
      </c>
      <c r="AM44" s="34">
        <f>(100/AM15)*AM42</f>
        <v>92.281690140845143</v>
      </c>
      <c r="AN44" s="34">
        <f>(100/AN15)*AN42</f>
        <v>90.613737268216269</v>
      </c>
      <c r="AO44" s="37"/>
      <c r="AP44" s="34"/>
      <c r="AQ44" s="34">
        <f>(100/AQ15)*AQ42</f>
        <v>75.205549845837567</v>
      </c>
      <c r="AR44" s="34">
        <f>(100/AR15)*AR42</f>
        <v>88.010591656899777</v>
      </c>
      <c r="AS44" s="34">
        <f>(100/AS15)*AS42</f>
        <v>75.205549845837581</v>
      </c>
      <c r="AT44" s="34">
        <f>(100/AT15)*AT42</f>
        <v>88.010591656899777</v>
      </c>
      <c r="AU44" s="37"/>
      <c r="AV44" s="33"/>
      <c r="AW44" s="34">
        <f>(100/AW15)*AW42</f>
        <v>97.834586466165462</v>
      </c>
      <c r="AX44" s="34">
        <f>(100/AX15)*AX42</f>
        <v>89.249677566193782</v>
      </c>
      <c r="AY44" s="34">
        <f>(100/AY15)*AY42</f>
        <v>97.834586466165447</v>
      </c>
      <c r="AZ44" s="34">
        <f>(100/AZ15)*AZ42</f>
        <v>89.249677566193782</v>
      </c>
      <c r="BA44" s="37"/>
      <c r="BB44" s="34"/>
      <c r="BC44" s="34">
        <f>(100/BC15)*BC42</f>
        <v>87.925356750823113</v>
      </c>
      <c r="BD44" s="34">
        <f>(100/BD15)*BD42</f>
        <v>89.088848896887285</v>
      </c>
      <c r="BE44" s="34">
        <f>(100/BE15)*BE42</f>
        <v>87.925356750823099</v>
      </c>
      <c r="BF44" s="34">
        <f>(100/BF15)*BF42</f>
        <v>89.088848896887285</v>
      </c>
      <c r="BG44" s="37"/>
      <c r="BH44" s="34"/>
      <c r="BI44" s="34">
        <f>(100/BI15)*BI42</f>
        <v>87.603778986544356</v>
      </c>
      <c r="BJ44" s="34">
        <f>(100/BJ15)*BJ42</f>
        <v>88.933998029791908</v>
      </c>
      <c r="BK44" s="34">
        <f>(100/BK15)*BK42</f>
        <v>87.603778986544356</v>
      </c>
      <c r="BL44" s="34">
        <f>(100/BL15)*BL42</f>
        <v>88.933998029791923</v>
      </c>
      <c r="BM44" s="37"/>
      <c r="BN44" s="34"/>
      <c r="BO44" s="34">
        <f>(100/BO15)*BO42</f>
        <v>74.280575539568801</v>
      </c>
      <c r="BP44" s="34">
        <f>(100/BP15)*BP42</f>
        <v>87.408734722259396</v>
      </c>
      <c r="BQ44" s="34">
        <f>(100/BQ15)*BQ42</f>
        <v>74.280575539568773</v>
      </c>
      <c r="BR44" s="34">
        <f>(100/BR15)*BR42</f>
        <v>87.40873472225941</v>
      </c>
      <c r="BS44" s="37"/>
      <c r="BT44" s="34"/>
      <c r="BU44" s="34">
        <f>(100/BU15)*BU42</f>
        <v>83.651981158215364</v>
      </c>
      <c r="BV44" s="34">
        <f>(100/BV15)*BV42</f>
        <v>87.078048780487819</v>
      </c>
      <c r="BW44" s="34">
        <f>(100/BW15)*BW42</f>
        <v>83.651981158215364</v>
      </c>
      <c r="BX44" s="34">
        <f>(100/BX15)*BX42</f>
        <v>87.078048780487805</v>
      </c>
      <c r="BY44" s="37"/>
      <c r="BZ44" s="34"/>
      <c r="CA44" s="34">
        <f t="shared" ref="CA44:CF44" si="621">(100/CA15)*CA42</f>
        <v>64.087809036658328</v>
      </c>
      <c r="CB44" s="175">
        <f t="shared" si="621"/>
        <v>96.465222348916754</v>
      </c>
      <c r="CC44" s="175">
        <f t="shared" si="621"/>
        <v>77.939024390244001</v>
      </c>
      <c r="CD44" s="34">
        <f t="shared" si="621"/>
        <v>86.247228381374725</v>
      </c>
      <c r="CE44" s="175">
        <f t="shared" si="621"/>
        <v>80.139070473619427</v>
      </c>
      <c r="CF44" s="34">
        <f t="shared" si="621"/>
        <v>86.396541688348336</v>
      </c>
      <c r="CG44" s="37"/>
      <c r="CH44" s="34"/>
      <c r="CI44" s="34">
        <f>(100/CI15)*CI42</f>
        <v>84.363813862675087</v>
      </c>
      <c r="CJ44" s="34">
        <f>(100/CJ15)*CJ42</f>
        <v>86.127083636061698</v>
      </c>
      <c r="CK44" s="34">
        <f>(100/CK15)*CK42</f>
        <v>84.363813862675087</v>
      </c>
      <c r="CL44" s="34">
        <f>(100/CL15)*CL42</f>
        <v>86.267848134092375</v>
      </c>
      <c r="CM44" s="37"/>
      <c r="CN44" s="33"/>
      <c r="CO44" s="34">
        <f>(100/CO15)*CO42</f>
        <v>98.237769594949583</v>
      </c>
      <c r="CP44" s="34">
        <f>(100/CP15)*CP42</f>
        <v>86.716967889103344</v>
      </c>
      <c r="CQ44" s="34">
        <f>(100/CQ15)*CQ42</f>
        <v>95.830660679922573</v>
      </c>
      <c r="CR44" s="34">
        <f>(100/CR15)*CR42</f>
        <v>86.845063719098619</v>
      </c>
      <c r="CS44" s="37"/>
      <c r="CT44" s="34"/>
      <c r="CU44" s="34">
        <f>(100/CU15)*CU42</f>
        <v>119.83647351581936</v>
      </c>
      <c r="CV44" s="34">
        <f>(100/CV15)*CV42</f>
        <v>88.438932426437958</v>
      </c>
      <c r="CW44" s="34">
        <f>(100/CW15)*CW42</f>
        <v>119.83647351581932</v>
      </c>
      <c r="CX44" s="34">
        <f>(100/CX15)*CX42</f>
        <v>88.54886297539791</v>
      </c>
      <c r="CY44" s="37"/>
      <c r="CZ44" s="34"/>
      <c r="DA44" s="34">
        <f>(100/DA15)*DA42</f>
        <v>93.246993524514352</v>
      </c>
      <c r="DB44" s="34">
        <f>(100/DB15)*DB42</f>
        <v>88.710830557832139</v>
      </c>
      <c r="DC44" s="34">
        <f>(100/DC15)*DC42</f>
        <v>93.246993524514366</v>
      </c>
      <c r="DD44" s="34">
        <f>(100/DD15)*DD42</f>
        <v>88.812862582439038</v>
      </c>
      <c r="DE44" s="37"/>
      <c r="DF44" s="34"/>
      <c r="DG44" s="34">
        <f>(100/DG15)*DG42</f>
        <v>85.450819672131303</v>
      </c>
      <c r="DH44" s="34">
        <f>(100/DH15)*DH42</f>
        <v>88.527557888846843</v>
      </c>
      <c r="DI44" s="34">
        <f>(100/DI15)*DI42</f>
        <v>85.450819672131303</v>
      </c>
      <c r="DJ44" s="34">
        <f>(100/DJ15)*DJ42</f>
        <v>88.624983491458423</v>
      </c>
      <c r="DK44" s="37"/>
      <c r="DL44" s="34"/>
      <c r="DM44" s="34">
        <f>(100/DM15)*DM42</f>
        <v>76.853127583356482</v>
      </c>
      <c r="DN44" s="34">
        <f>(100/DN15)*DN42</f>
        <v>87.869611131817649</v>
      </c>
      <c r="DO44" s="34">
        <f>(100/DO15)*DO42</f>
        <v>76.853127583356468</v>
      </c>
      <c r="DP44" s="34">
        <f>(100/DP15)*DP42</f>
        <v>87.965289017137181</v>
      </c>
      <c r="DQ44" s="37"/>
      <c r="DR44" s="34"/>
      <c r="DS44" s="34">
        <f>(100/DS15)*DS42</f>
        <v>95.525356314219451</v>
      </c>
      <c r="DT44" s="34">
        <f>(100/DT15)*DT42</f>
        <v>88.212256523609639</v>
      </c>
      <c r="DU44" s="34">
        <f>(100/DU15)*DU42</f>
        <v>95.525356314219437</v>
      </c>
      <c r="DV44" s="34">
        <f>(100/DV15)*DV42</f>
        <v>88.30182818693045</v>
      </c>
      <c r="DW44" s="37"/>
      <c r="DX44" s="34"/>
      <c r="DY44" s="34">
        <f>(100/DY15)*DY42</f>
        <v>96.230598669623248</v>
      </c>
      <c r="DZ44" s="34">
        <f>(100/DZ15)*DZ42</f>
        <v>88.570983193039183</v>
      </c>
      <c r="EA44" s="206">
        <f>(100/EA15)*EA42</f>
        <v>96.230598669623234</v>
      </c>
      <c r="EB44" s="406">
        <f>(100/EB15)*EB42</f>
        <v>88.654720510036682</v>
      </c>
    </row>
    <row r="45" spans="1:133" ht="12" customHeight="1">
      <c r="A45" s="119"/>
      <c r="B45" s="62"/>
      <c r="C45" s="11"/>
      <c r="D45" s="12"/>
      <c r="E45" s="10"/>
      <c r="F45" s="11" t="s">
        <v>547</v>
      </c>
      <c r="G45" s="10"/>
      <c r="H45" s="155" t="s">
        <v>548</v>
      </c>
      <c r="I45" s="10"/>
      <c r="J45" s="168"/>
      <c r="K45" s="10"/>
      <c r="L45" s="10"/>
      <c r="M45" s="10"/>
      <c r="N45" s="10"/>
      <c r="O45" s="168"/>
      <c r="P45" s="168"/>
      <c r="Q45" s="10"/>
      <c r="R45" s="150" t="s">
        <v>549</v>
      </c>
      <c r="S45" s="10"/>
      <c r="T45"/>
      <c r="U45" s="168"/>
      <c r="V45" s="168"/>
      <c r="W45" s="10"/>
      <c r="X45" s="150" t="s">
        <v>549</v>
      </c>
      <c r="Y45" s="10"/>
      <c r="Z45" s="10"/>
      <c r="AA45" s="10"/>
      <c r="AB45" s="10"/>
      <c r="AC45" s="10"/>
      <c r="AD45" s="150" t="s">
        <v>549</v>
      </c>
      <c r="AE45" s="10"/>
      <c r="AF45" s="10"/>
      <c r="AG45" s="10"/>
      <c r="AH45" s="10"/>
      <c r="AI45" s="10"/>
      <c r="AJ45" s="150" t="s">
        <v>549</v>
      </c>
      <c r="AK45" s="10"/>
      <c r="AL45" s="10"/>
      <c r="AM45" s="10"/>
      <c r="AN45" s="10"/>
      <c r="AO45" s="10"/>
      <c r="AP45" s="150" t="s">
        <v>549</v>
      </c>
      <c r="AQ45" s="10"/>
      <c r="AR45" s="10"/>
      <c r="AS45" s="10"/>
      <c r="AT45" s="10"/>
      <c r="AU45" s="10"/>
      <c r="AV45" s="150" t="s">
        <v>549</v>
      </c>
      <c r="AW45" s="10"/>
      <c r="AX45" s="10"/>
      <c r="AY45" s="10"/>
      <c r="AZ45" s="10"/>
      <c r="BA45" s="10"/>
      <c r="BB45" s="150" t="s">
        <v>549</v>
      </c>
      <c r="BC45" s="10"/>
      <c r="BD45" s="10"/>
      <c r="BE45" s="10"/>
      <c r="BF45" s="10"/>
      <c r="BG45" s="10"/>
      <c r="BH45" s="150" t="s">
        <v>549</v>
      </c>
      <c r="BI45" s="10"/>
      <c r="BJ45" s="10"/>
      <c r="BK45" s="10"/>
      <c r="BL45" s="10"/>
      <c r="BM45" s="10"/>
      <c r="BN45" s="150" t="s">
        <v>549</v>
      </c>
      <c r="BO45" s="10"/>
      <c r="BP45" s="10"/>
      <c r="BQ45" s="10"/>
      <c r="BR45" s="10"/>
      <c r="BS45" s="10"/>
      <c r="BT45" s="150" t="s">
        <v>549</v>
      </c>
      <c r="BU45" s="10"/>
      <c r="BV45" s="10"/>
      <c r="BW45" s="10"/>
      <c r="BX45" s="10"/>
      <c r="BY45" s="10"/>
      <c r="BZ45" s="150" t="s">
        <v>549</v>
      </c>
      <c r="CA45" s="10"/>
      <c r="CB45" s="10"/>
      <c r="CC45" s="10"/>
      <c r="CD45" s="10"/>
      <c r="CE45" s="10"/>
      <c r="CF45" s="10"/>
      <c r="CG45" s="10"/>
      <c r="CH45" s="152" t="s">
        <v>550</v>
      </c>
      <c r="CI45" s="10"/>
      <c r="CJ45" s="10"/>
      <c r="CK45" s="10"/>
      <c r="CL45" s="10"/>
      <c r="CM45" s="10"/>
      <c r="CN45" s="150" t="s">
        <v>549</v>
      </c>
      <c r="CO45" s="10"/>
      <c r="CP45" s="10"/>
      <c r="CQ45" s="10"/>
      <c r="CR45" s="10"/>
      <c r="CS45" s="10"/>
      <c r="CT45" s="150" t="s">
        <v>549</v>
      </c>
      <c r="CU45" s="10"/>
      <c r="CV45" s="10"/>
      <c r="CW45" s="10"/>
      <c r="CX45" s="10"/>
      <c r="CY45" s="10"/>
      <c r="CZ45" s="10"/>
      <c r="DA45" s="221" t="s">
        <v>551</v>
      </c>
      <c r="DB45" s="10"/>
      <c r="DC45" s="10"/>
      <c r="DD45" s="10"/>
      <c r="DE45" s="10"/>
      <c r="DF45" s="150" t="s">
        <v>549</v>
      </c>
      <c r="DG45" s="10"/>
      <c r="DH45" s="10"/>
      <c r="DI45" s="10"/>
      <c r="DJ45" s="10"/>
      <c r="DK45" s="10"/>
      <c r="DL45" s="150" t="s">
        <v>549</v>
      </c>
      <c r="DM45" s="10"/>
      <c r="DN45" s="10"/>
      <c r="DO45" s="10"/>
      <c r="DP45" s="10"/>
      <c r="DQ45" s="10"/>
      <c r="DR45" s="150" t="s">
        <v>549</v>
      </c>
      <c r="DS45" s="10"/>
      <c r="DT45" s="10"/>
      <c r="DU45" s="10"/>
      <c r="DV45" s="10"/>
      <c r="DW45" s="10"/>
      <c r="DX45" s="150" t="s">
        <v>549</v>
      </c>
      <c r="DY45" s="10"/>
      <c r="EA45" s="10"/>
      <c r="EB45" s="10"/>
    </row>
    <row r="46" spans="1:133" s="12" customFormat="1" ht="12" customHeight="1">
      <c r="A46" s="62"/>
      <c r="B46" s="62"/>
      <c r="D46" s="62"/>
      <c r="E46" s="62"/>
      <c r="F46" s="62"/>
      <c r="G46" s="136"/>
      <c r="H46" s="150" t="s">
        <v>549</v>
      </c>
      <c r="I46" s="10"/>
      <c r="J46" s="168"/>
      <c r="K46" s="136"/>
      <c r="L46" s="136"/>
      <c r="M46" s="136"/>
      <c r="N46" s="10"/>
      <c r="O46" s="168"/>
      <c r="P46" s="168"/>
      <c r="Q46" s="136"/>
      <c r="R46" s="136"/>
      <c r="S46" s="136"/>
      <c r="T46" s="10"/>
      <c r="U46" s="168"/>
      <c r="V46" s="168"/>
      <c r="W46" s="136"/>
      <c r="X46" s="156" t="s">
        <v>552</v>
      </c>
      <c r="Y46" s="136"/>
      <c r="Z46" s="10"/>
      <c r="AA46" s="10"/>
      <c r="AB46" s="10"/>
      <c r="AC46" s="136"/>
      <c r="AD46" s="136"/>
      <c r="AE46" s="136"/>
      <c r="AF46" s="10"/>
      <c r="AG46" s="10"/>
      <c r="AH46" s="10"/>
      <c r="AI46" s="349" t="s">
        <v>553</v>
      </c>
      <c r="AJ46" s="136"/>
      <c r="AK46" s="136"/>
      <c r="AL46" s="10"/>
      <c r="AM46" s="10"/>
      <c r="AN46" s="10"/>
      <c r="AO46" s="136"/>
      <c r="AP46" s="159" t="s">
        <v>554</v>
      </c>
      <c r="AQ46" s="136"/>
      <c r="AR46" s="10"/>
      <c r="AS46" s="10"/>
      <c r="AT46" s="10"/>
      <c r="AU46" s="136"/>
      <c r="AV46" s="220" t="s">
        <v>555</v>
      </c>
      <c r="AW46" s="136"/>
      <c r="AX46" s="10"/>
      <c r="AY46" s="10"/>
      <c r="AZ46" s="10"/>
      <c r="BA46" s="136"/>
      <c r="BB46" s="156" t="s">
        <v>556</v>
      </c>
      <c r="BC46" s="136"/>
      <c r="BD46" s="10"/>
      <c r="BE46" s="10"/>
      <c r="BF46" s="10"/>
      <c r="BG46" s="136"/>
      <c r="BH46" s="156" t="s">
        <v>556</v>
      </c>
      <c r="BI46" s="136"/>
      <c r="BJ46" s="10"/>
      <c r="BK46" s="10"/>
      <c r="BL46" s="10"/>
      <c r="BM46" s="136"/>
      <c r="BN46" s="221" t="s">
        <v>551</v>
      </c>
      <c r="BO46" s="136"/>
      <c r="BP46" s="10"/>
      <c r="BQ46" s="10"/>
      <c r="BR46" s="10"/>
      <c r="BS46" s="136"/>
      <c r="BT46" s="221" t="s">
        <v>551</v>
      </c>
      <c r="BU46" s="136"/>
      <c r="BV46" s="10"/>
      <c r="BW46" s="10"/>
      <c r="BX46" s="10"/>
      <c r="BY46" s="136"/>
      <c r="BZ46" s="221" t="s">
        <v>551</v>
      </c>
      <c r="CA46" s="136"/>
      <c r="CB46" s="136"/>
      <c r="CC46" s="136"/>
      <c r="CD46" s="10"/>
      <c r="CE46" s="10"/>
      <c r="CF46" s="10"/>
      <c r="CG46" s="136"/>
      <c r="CH46" s="204" t="s">
        <v>557</v>
      </c>
      <c r="CI46" s="136"/>
      <c r="CJ46" s="10"/>
      <c r="CK46" s="10"/>
      <c r="CL46" s="10"/>
      <c r="CM46" s="136"/>
      <c r="CN46" s="260" t="s">
        <v>558</v>
      </c>
      <c r="CO46" s="136"/>
      <c r="CP46" s="10"/>
      <c r="CQ46" s="10"/>
      <c r="CR46" s="10"/>
      <c r="CS46" s="136"/>
      <c r="CT46" s="221" t="s">
        <v>551</v>
      </c>
      <c r="CU46" s="136"/>
      <c r="CV46" s="10"/>
      <c r="CW46" s="10"/>
      <c r="CX46" s="10"/>
      <c r="CY46" s="136"/>
      <c r="CZ46" s="362" t="s">
        <v>559</v>
      </c>
      <c r="DA46" s="136"/>
      <c r="DB46" s="10"/>
      <c r="DC46" s="10"/>
      <c r="DD46" s="10"/>
      <c r="DE46" s="136"/>
      <c r="DF46" s="221" t="s">
        <v>551</v>
      </c>
      <c r="DG46" s="136"/>
      <c r="DH46" s="10"/>
      <c r="DI46" s="10"/>
      <c r="DJ46" s="10"/>
      <c r="DK46" s="136"/>
      <c r="DL46" s="212" t="s">
        <v>560</v>
      </c>
      <c r="DN46" s="10"/>
      <c r="DO46" s="10"/>
      <c r="DP46" s="10"/>
      <c r="DQ46" s="136"/>
      <c r="DR46" s="212" t="s">
        <v>560</v>
      </c>
      <c r="DS46" s="136"/>
      <c r="DT46" s="10"/>
      <c r="DU46" s="10"/>
      <c r="DV46" s="10"/>
      <c r="DW46" s="136"/>
      <c r="DX46" s="152" t="s">
        <v>561</v>
      </c>
      <c r="DY46" s="136"/>
      <c r="DZ46" s="10"/>
      <c r="EA46" s="10"/>
      <c r="EB46" s="10"/>
    </row>
    <row r="47" spans="1:133" s="12" customFormat="1" ht="12" customHeight="1">
      <c r="A47" s="62"/>
      <c r="B47" s="62"/>
      <c r="E47" s="62"/>
      <c r="F47" s="62"/>
      <c r="G47" s="136"/>
      <c r="H47" s="136"/>
      <c r="I47" s="10"/>
      <c r="J47" s="168"/>
      <c r="K47" s="136"/>
      <c r="L47" s="136"/>
      <c r="M47" s="136"/>
      <c r="N47" s="10"/>
      <c r="O47" s="168"/>
      <c r="P47" s="168"/>
      <c r="Q47" s="136"/>
      <c r="R47" s="136"/>
      <c r="S47" s="136"/>
      <c r="T47" s="10"/>
      <c r="U47" s="168"/>
      <c r="V47" s="168"/>
      <c r="W47" s="136"/>
      <c r="X47" s="136"/>
      <c r="Y47" s="136"/>
      <c r="Z47" s="10"/>
      <c r="AA47" s="10"/>
      <c r="AB47" s="10"/>
      <c r="AC47" s="136"/>
      <c r="AD47" s="136"/>
      <c r="AE47" s="136"/>
      <c r="AF47" s="10"/>
      <c r="AG47" s="10"/>
      <c r="AH47" s="10"/>
      <c r="AI47" s="136"/>
      <c r="AJ47" s="136"/>
      <c r="AK47" s="136"/>
      <c r="AL47" s="10"/>
      <c r="AM47" s="10"/>
      <c r="AN47" s="10"/>
      <c r="AO47" s="136"/>
      <c r="AP47" s="156" t="s">
        <v>562</v>
      </c>
      <c r="AQ47" s="136"/>
      <c r="AR47" s="10"/>
      <c r="AS47" s="10"/>
      <c r="AT47" s="10"/>
      <c r="AU47" s="136"/>
      <c r="AV47" s="136"/>
      <c r="AW47" s="136"/>
      <c r="AX47" s="10"/>
      <c r="AY47" s="10"/>
      <c r="AZ47" s="10"/>
      <c r="BA47" s="136"/>
      <c r="BB47" s="136"/>
      <c r="BC47" s="136"/>
      <c r="BD47" s="10"/>
      <c r="BE47" s="10"/>
      <c r="BF47" s="10"/>
      <c r="BG47" s="136"/>
      <c r="BH47" s="136"/>
      <c r="BI47" s="136"/>
      <c r="BJ47" s="10"/>
      <c r="BK47" s="10"/>
      <c r="BL47" s="10"/>
      <c r="BM47" s="136"/>
      <c r="BN47" s="259" t="s">
        <v>563</v>
      </c>
      <c r="BO47" s="136"/>
      <c r="BP47" s="10"/>
      <c r="BQ47" s="10"/>
      <c r="BR47" s="10"/>
      <c r="BS47" s="136"/>
      <c r="BT47" s="344" t="s">
        <v>564</v>
      </c>
      <c r="BU47" s="136"/>
      <c r="BV47" s="10"/>
      <c r="BW47" s="10"/>
      <c r="BX47" s="10"/>
      <c r="BY47" s="136"/>
      <c r="BZ47" s="136"/>
      <c r="CA47" s="380" t="s">
        <v>565</v>
      </c>
      <c r="CB47" s="136"/>
      <c r="CC47" s="136"/>
      <c r="CD47" s="10"/>
      <c r="CE47" s="10"/>
      <c r="CF47" s="10"/>
      <c r="CG47" s="136"/>
      <c r="CH47" s="156" t="s">
        <v>566</v>
      </c>
      <c r="CI47" s="136"/>
      <c r="CJ47" s="10"/>
      <c r="CK47" s="10"/>
      <c r="CL47" s="10"/>
      <c r="CM47" s="136"/>
      <c r="CN47" s="136"/>
      <c r="CO47" s="136"/>
      <c r="CP47" s="10"/>
      <c r="CQ47" s="10"/>
      <c r="CR47" s="10"/>
      <c r="CS47" s="136"/>
      <c r="CT47" s="136"/>
      <c r="CU47" s="136"/>
      <c r="CV47" s="10"/>
      <c r="CW47" s="10"/>
      <c r="CX47" s="10"/>
      <c r="CY47" s="136"/>
      <c r="CZ47" s="136"/>
      <c r="DA47" s="136"/>
      <c r="DB47" s="10"/>
      <c r="DC47" s="10"/>
      <c r="DD47" s="10"/>
      <c r="DE47" s="136"/>
      <c r="DF47" s="261" t="s">
        <v>567</v>
      </c>
      <c r="DG47" s="136"/>
      <c r="DH47" s="10"/>
      <c r="DI47" s="10"/>
      <c r="DJ47" s="10"/>
      <c r="DK47" s="136"/>
      <c r="DL47" s="221" t="s">
        <v>551</v>
      </c>
      <c r="DM47" s="136"/>
      <c r="DN47" s="10"/>
      <c r="DO47" s="10"/>
      <c r="DP47" s="10"/>
      <c r="DQ47" s="136"/>
      <c r="DR47" s="221" t="s">
        <v>551</v>
      </c>
      <c r="DS47" s="136"/>
      <c r="DT47" s="10"/>
      <c r="DU47" s="10"/>
      <c r="DV47" s="10"/>
      <c r="DW47" s="136"/>
      <c r="DX47" s="136"/>
      <c r="DY47" s="136"/>
      <c r="DZ47" s="10"/>
      <c r="EA47" s="10"/>
      <c r="EB47" s="10"/>
    </row>
    <row r="48" spans="1:133" s="12" customFormat="1" ht="12" customHeight="1">
      <c r="A48" s="62"/>
      <c r="B48" s="62"/>
      <c r="E48" s="62"/>
      <c r="F48" s="62"/>
      <c r="G48" s="136"/>
      <c r="H48" s="136"/>
      <c r="I48" s="10"/>
      <c r="J48" s="168"/>
      <c r="K48" s="136"/>
      <c r="L48" s="136"/>
      <c r="M48" s="136"/>
      <c r="N48" s="10"/>
      <c r="O48" s="168"/>
      <c r="P48" s="168"/>
      <c r="Q48" s="136"/>
      <c r="R48" s="136"/>
      <c r="S48" s="136"/>
      <c r="T48" s="10"/>
      <c r="U48" s="168"/>
      <c r="V48" s="168"/>
      <c r="W48" s="136"/>
      <c r="X48" s="136"/>
      <c r="Y48" s="136"/>
      <c r="Z48" s="10"/>
      <c r="AA48" s="10"/>
      <c r="AB48" s="10"/>
      <c r="AC48" s="136"/>
      <c r="AD48" s="136"/>
      <c r="AE48" s="136"/>
      <c r="AF48" s="10"/>
      <c r="AG48" s="10"/>
      <c r="AH48" s="10"/>
      <c r="AI48" s="136"/>
      <c r="AJ48" s="136"/>
      <c r="AK48" s="136"/>
      <c r="AL48" s="10"/>
      <c r="AM48" s="10"/>
      <c r="AN48" s="10"/>
      <c r="AO48" s="136"/>
      <c r="AP48" s="223" t="s">
        <v>568</v>
      </c>
      <c r="AQ48" s="136"/>
      <c r="AR48" s="10"/>
      <c r="AS48" s="10"/>
      <c r="AT48" s="10"/>
      <c r="AU48" s="136"/>
      <c r="AV48" s="136"/>
      <c r="AW48" s="136"/>
      <c r="AX48" s="10"/>
      <c r="AY48" s="10"/>
      <c r="AZ48" s="10"/>
      <c r="BA48" s="136"/>
      <c r="BB48" s="136"/>
      <c r="BC48" s="136"/>
      <c r="BD48" s="10"/>
      <c r="BE48" s="10"/>
      <c r="BF48" s="10"/>
      <c r="BG48" s="136"/>
      <c r="BH48" s="136"/>
      <c r="BI48" s="136"/>
      <c r="BJ48" s="10"/>
      <c r="BK48" s="10"/>
      <c r="BL48" s="10"/>
      <c r="BM48" s="136"/>
      <c r="BN48"/>
      <c r="BO48" s="136"/>
      <c r="BP48" s="10"/>
      <c r="BQ48" s="10"/>
      <c r="BR48" s="10"/>
      <c r="BS48" s="136"/>
      <c r="BT48" s="136"/>
      <c r="BU48" s="136"/>
      <c r="BV48" s="10"/>
      <c r="BW48" s="10"/>
      <c r="BX48" s="10"/>
      <c r="BY48" s="136"/>
      <c r="BZ48" s="136"/>
      <c r="CA48" s="136"/>
      <c r="CB48" s="136"/>
      <c r="CC48" s="136"/>
      <c r="CD48" s="10"/>
      <c r="CE48" s="10"/>
      <c r="CF48" s="10"/>
      <c r="CG48" s="136"/>
      <c r="CH48" s="346" t="s">
        <v>569</v>
      </c>
      <c r="CI48" s="136"/>
      <c r="CJ48" s="10"/>
      <c r="CK48" s="10"/>
      <c r="CL48" s="10"/>
      <c r="CM48" s="136"/>
      <c r="CN48" s="136"/>
      <c r="CO48" s="136"/>
      <c r="CP48" s="10"/>
      <c r="CQ48" s="10"/>
      <c r="CR48" s="10"/>
      <c r="CS48" s="136"/>
      <c r="CT48" s="136"/>
      <c r="CU48" s="136"/>
      <c r="CV48" s="10"/>
      <c r="CW48" s="10"/>
      <c r="CX48" s="10"/>
      <c r="CY48" s="136"/>
      <c r="CZ48" s="136"/>
      <c r="DA48" s="136"/>
      <c r="DB48" s="10"/>
      <c r="DC48" s="10"/>
      <c r="DD48" s="10"/>
      <c r="DE48" s="136"/>
      <c r="DF48" s="136"/>
      <c r="DG48" s="136"/>
      <c r="DH48" s="10"/>
      <c r="DI48" s="10"/>
      <c r="DJ48" s="10"/>
      <c r="DK48" s="136"/>
      <c r="DL48" s="136"/>
      <c r="DM48" s="136"/>
      <c r="DN48" s="10"/>
      <c r="DO48" s="10"/>
      <c r="DP48" s="10"/>
      <c r="DQ48" s="136"/>
      <c r="DR48" s="309" t="s">
        <v>570</v>
      </c>
      <c r="DS48" s="136"/>
      <c r="DT48" s="10"/>
      <c r="DU48" s="10"/>
      <c r="DV48" s="10"/>
      <c r="DW48" s="136"/>
      <c r="DX48" s="136"/>
      <c r="DY48" s="136"/>
      <c r="DZ48" s="10"/>
      <c r="EA48" s="10"/>
      <c r="EB48" s="10"/>
    </row>
    <row r="49" spans="1:134" s="12" customFormat="1" ht="12" customHeight="1">
      <c r="A49" s="62"/>
      <c r="B49" s="62"/>
      <c r="E49" s="62"/>
      <c r="F49" s="62"/>
      <c r="G49" s="136"/>
      <c r="H49" s="136"/>
      <c r="I49" s="10"/>
      <c r="J49" s="168"/>
      <c r="K49" s="136"/>
      <c r="L49" s="136"/>
      <c r="M49" s="136"/>
      <c r="N49" s="10"/>
      <c r="O49" s="168"/>
      <c r="P49" s="168"/>
      <c r="Q49" s="136"/>
      <c r="R49" s="136"/>
      <c r="S49" s="136"/>
      <c r="T49" s="10"/>
      <c r="U49" s="168"/>
      <c r="V49" s="168"/>
      <c r="W49" s="136"/>
      <c r="X49" s="136"/>
      <c r="Y49" s="136"/>
      <c r="Z49" s="10"/>
      <c r="AA49" s="10"/>
      <c r="AB49" s="10"/>
      <c r="AC49" s="136"/>
      <c r="AD49" s="136"/>
      <c r="AE49" s="136"/>
      <c r="AF49" s="10"/>
      <c r="AG49" s="10"/>
      <c r="AH49" s="10"/>
      <c r="AI49" s="136"/>
      <c r="AJ49" s="136"/>
      <c r="AK49" s="136"/>
      <c r="AL49" s="10"/>
      <c r="AM49" s="10"/>
      <c r="AN49" s="10"/>
      <c r="AO49" s="136"/>
      <c r="AP49" s="309" t="s">
        <v>571</v>
      </c>
      <c r="AQ49" s="136"/>
      <c r="AR49" s="10"/>
      <c r="AS49" s="10"/>
      <c r="AT49" s="10"/>
      <c r="AU49" s="136"/>
      <c r="AV49" s="136"/>
      <c r="AW49" s="136"/>
      <c r="AX49" s="10"/>
      <c r="AY49" s="10"/>
      <c r="AZ49" s="10"/>
      <c r="BA49" s="136"/>
      <c r="BB49" s="136"/>
      <c r="BC49" s="136"/>
      <c r="BD49" s="10"/>
      <c r="BE49" s="10"/>
      <c r="BF49" s="10"/>
      <c r="BG49" s="136"/>
      <c r="BH49" s="136"/>
      <c r="BI49" s="136"/>
      <c r="BJ49" s="10"/>
      <c r="BK49" s="10"/>
      <c r="BL49" s="10"/>
      <c r="BM49" s="136"/>
      <c r="BN49"/>
      <c r="BO49" s="136"/>
      <c r="BP49" s="10"/>
      <c r="BQ49" s="10"/>
      <c r="BR49" s="10"/>
      <c r="BS49" s="136"/>
      <c r="BT49" s="136"/>
      <c r="BU49" s="136"/>
      <c r="BV49" s="10"/>
      <c r="BW49" s="10"/>
      <c r="BX49" s="10"/>
      <c r="BY49" s="136"/>
      <c r="BZ49" s="136"/>
      <c r="CA49" s="136"/>
      <c r="CB49" s="136"/>
      <c r="CC49" s="136"/>
      <c r="CD49" s="10"/>
      <c r="CE49" s="10"/>
      <c r="CF49" s="10"/>
      <c r="CG49" s="136"/>
      <c r="CH49" s="347" t="s">
        <v>572</v>
      </c>
      <c r="CI49" s="136"/>
      <c r="CJ49" s="10"/>
      <c r="CK49" s="10"/>
      <c r="CL49" s="10"/>
      <c r="CM49" s="136"/>
      <c r="CN49" s="136"/>
      <c r="CO49" s="136"/>
      <c r="CP49" s="10"/>
      <c r="CQ49" s="10"/>
      <c r="CR49" s="10"/>
      <c r="CS49" s="136"/>
      <c r="CT49" s="136"/>
      <c r="CU49" s="136"/>
      <c r="CV49" s="10"/>
      <c r="CW49" s="10"/>
      <c r="CX49" s="10"/>
      <c r="CY49" s="136"/>
      <c r="CZ49" s="136"/>
      <c r="DA49" s="136"/>
      <c r="DB49" s="10"/>
      <c r="DC49" s="10"/>
      <c r="DD49" s="10"/>
      <c r="DE49" s="136"/>
      <c r="DF49" s="136"/>
      <c r="DG49" s="136"/>
      <c r="DH49" s="10"/>
      <c r="DI49" s="10"/>
      <c r="DJ49" s="10"/>
      <c r="DK49" s="136"/>
      <c r="DL49" s="136"/>
      <c r="DM49" s="136"/>
      <c r="DN49" s="10"/>
      <c r="DO49" s="10"/>
      <c r="DP49" s="10"/>
      <c r="DQ49" s="136"/>
      <c r="DR49" s="349" t="s">
        <v>573</v>
      </c>
      <c r="DS49" s="136"/>
      <c r="DT49" s="10"/>
      <c r="DU49" s="10"/>
      <c r="DV49" s="10"/>
      <c r="DW49" s="136"/>
      <c r="DX49" s="136"/>
      <c r="DY49" s="136"/>
      <c r="DZ49" s="10"/>
      <c r="EA49" s="10"/>
      <c r="EB49" s="10"/>
    </row>
    <row r="50" spans="1:134" s="12" customFormat="1" ht="12" customHeight="1">
      <c r="A50" s="62"/>
      <c r="B50" s="62"/>
      <c r="E50" s="62"/>
      <c r="F50" s="62"/>
      <c r="G50" s="136"/>
      <c r="H50" s="136"/>
      <c r="I50" s="10"/>
      <c r="J50" s="168"/>
      <c r="K50" s="136"/>
      <c r="L50" s="136"/>
      <c r="M50" s="136"/>
      <c r="N50" s="10"/>
      <c r="O50" s="168"/>
      <c r="P50" s="168"/>
      <c r="Q50" s="136"/>
      <c r="R50" s="136"/>
      <c r="S50" s="136"/>
      <c r="T50" s="10"/>
      <c r="U50" s="168"/>
      <c r="V50" s="168"/>
      <c r="W50" s="136"/>
      <c r="X50" s="136"/>
      <c r="Y50" s="136"/>
      <c r="Z50" s="10"/>
      <c r="AA50" s="10"/>
      <c r="AB50" s="10"/>
      <c r="AC50" s="136"/>
      <c r="AD50" s="136"/>
      <c r="AE50" s="136"/>
      <c r="AF50" s="10"/>
      <c r="AG50" s="10"/>
      <c r="AH50" s="10"/>
      <c r="AI50" s="136"/>
      <c r="AJ50" s="136"/>
      <c r="AK50" s="136"/>
      <c r="AL50" s="10"/>
      <c r="AM50" s="10"/>
      <c r="AN50" s="10"/>
      <c r="AO50" s="349" t="s">
        <v>553</v>
      </c>
      <c r="AP50"/>
      <c r="AQ50"/>
      <c r="AR50"/>
      <c r="AS50"/>
      <c r="AT50"/>
      <c r="AU50"/>
      <c r="AV50" s="136"/>
      <c r="AW50" s="136"/>
      <c r="AX50" s="10"/>
      <c r="AY50" s="10"/>
      <c r="AZ50" s="10"/>
      <c r="BA50" s="136"/>
      <c r="BB50" s="136"/>
      <c r="BC50" s="136"/>
      <c r="BD50" s="10"/>
      <c r="BE50" s="10"/>
      <c r="BF50" s="10"/>
      <c r="BG50" s="136"/>
      <c r="BH50" s="136"/>
      <c r="BI50" s="136"/>
      <c r="BJ50" s="10"/>
      <c r="BK50" s="10"/>
      <c r="BL50" s="10"/>
      <c r="BM50" s="136"/>
      <c r="BN50"/>
      <c r="BO50" s="136"/>
      <c r="BP50" s="10"/>
      <c r="BQ50" s="10"/>
      <c r="BR50" s="10"/>
      <c r="BS50" s="136"/>
      <c r="BT50" s="136"/>
      <c r="BU50" s="136"/>
      <c r="BV50" s="10"/>
      <c r="BW50" s="10"/>
      <c r="BX50" s="10"/>
      <c r="BY50" s="136"/>
      <c r="BZ50" s="136"/>
      <c r="CA50" s="136"/>
      <c r="CB50" s="136"/>
      <c r="CC50" s="136"/>
      <c r="CD50" s="10"/>
      <c r="CE50" s="10"/>
      <c r="CF50" s="10"/>
      <c r="CG50" s="136"/>
      <c r="CH50" s="362" t="s">
        <v>574</v>
      </c>
      <c r="CI50" s="136"/>
      <c r="CJ50" s="10"/>
      <c r="CK50" s="10"/>
      <c r="CL50" s="10"/>
      <c r="CM50" s="136"/>
      <c r="CN50" s="136"/>
      <c r="CO50" s="136"/>
      <c r="CP50" s="10"/>
      <c r="CQ50" s="10"/>
      <c r="CR50" s="10"/>
      <c r="CS50" s="136"/>
      <c r="CT50" s="136"/>
      <c r="CU50" s="136"/>
      <c r="CV50" s="10"/>
      <c r="CW50" s="10"/>
      <c r="CX50" s="10"/>
      <c r="CY50" s="136"/>
      <c r="CZ50" s="136"/>
      <c r="DA50" s="136"/>
      <c r="DB50" s="10"/>
      <c r="DC50" s="10"/>
      <c r="DD50" s="10"/>
      <c r="DE50" s="136"/>
      <c r="DF50" s="136"/>
      <c r="DG50" s="136"/>
      <c r="DH50" s="10"/>
      <c r="DI50" s="10"/>
      <c r="DJ50" s="10"/>
      <c r="DK50" s="136"/>
      <c r="DL50" s="136"/>
      <c r="DM50" s="136"/>
      <c r="DN50" s="10"/>
      <c r="DO50" s="10"/>
      <c r="DP50" s="10"/>
      <c r="DQ50" s="136"/>
      <c r="DR50" s="362" t="s">
        <v>575</v>
      </c>
      <c r="DS50" s="136"/>
      <c r="DT50" s="10"/>
      <c r="DU50" s="10"/>
      <c r="DV50" s="10"/>
      <c r="DW50" s="136"/>
      <c r="DX50" s="136"/>
      <c r="DY50" s="136"/>
      <c r="DZ50" s="10"/>
      <c r="EA50" s="10"/>
      <c r="EB50" s="10"/>
    </row>
    <row r="51" spans="1:134" ht="12.95" customHeight="1">
      <c r="A51" s="12"/>
      <c r="B51" s="12"/>
      <c r="C51" s="12"/>
      <c r="D51" s="12"/>
      <c r="E51" s="12"/>
      <c r="F51" s="1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B51"/>
      <c r="CC51"/>
      <c r="CD51" s="10"/>
      <c r="CE51" s="10"/>
      <c r="CF51" s="10"/>
      <c r="CG51" s="10"/>
      <c r="CH51" s="363" t="s">
        <v>576</v>
      </c>
      <c r="CI51" s="136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373" t="s">
        <v>577</v>
      </c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2"/>
    </row>
    <row r="52" spans="1:134" s="12" customFormat="1" ht="12" customHeight="1">
      <c r="A52" s="62"/>
      <c r="B52" s="62"/>
      <c r="E52" s="62"/>
      <c r="F52" s="62"/>
      <c r="G52" s="136"/>
      <c r="H52" s="136"/>
      <c r="I52" s="10"/>
      <c r="J52" s="168"/>
      <c r="K52" s="136"/>
      <c r="L52" s="136"/>
      <c r="M52" s="136"/>
      <c r="N52" s="10"/>
      <c r="O52" s="168"/>
      <c r="P52" s="168"/>
      <c r="Q52" s="136"/>
      <c r="R52" s="136"/>
      <c r="S52" s="136"/>
      <c r="T52" s="10"/>
      <c r="U52" s="168"/>
      <c r="V52" s="168"/>
      <c r="W52" s="136"/>
      <c r="X52" s="136"/>
      <c r="Y52" s="136"/>
      <c r="Z52" s="10"/>
      <c r="AA52" s="10"/>
      <c r="AB52" s="10"/>
      <c r="AC52" s="136"/>
      <c r="AD52" s="136"/>
      <c r="AE52" s="136"/>
      <c r="AF52" s="10"/>
      <c r="AG52" s="10"/>
      <c r="AH52" s="10"/>
      <c r="AI52" s="136"/>
      <c r="AJ52" s="136"/>
      <c r="AK52" s="136"/>
      <c r="AL52" s="10"/>
      <c r="AM52" s="10"/>
      <c r="AN52" s="10"/>
      <c r="AO52" s="136"/>
      <c r="AP52"/>
      <c r="AQ52"/>
      <c r="AR52"/>
      <c r="AS52"/>
      <c r="AT52"/>
      <c r="AU52"/>
      <c r="AV52" s="136"/>
      <c r="AW52" s="136"/>
      <c r="AX52" s="10"/>
      <c r="AY52" s="10"/>
      <c r="AZ52" s="10"/>
      <c r="BA52" s="136"/>
      <c r="BB52" s="136"/>
      <c r="BC52" s="136"/>
      <c r="BD52" s="10"/>
      <c r="BE52" s="10"/>
      <c r="BF52" s="10"/>
      <c r="BG52" s="136"/>
      <c r="BH52" s="136"/>
      <c r="BI52" s="136"/>
      <c r="BJ52" s="10"/>
      <c r="BK52" s="10"/>
      <c r="BL52" s="10"/>
      <c r="BM52" s="136"/>
      <c r="BN52"/>
      <c r="BO52" s="136"/>
      <c r="BP52" s="10"/>
      <c r="BQ52" s="10"/>
      <c r="BR52" s="10"/>
      <c r="BS52" s="136"/>
      <c r="BT52" s="136"/>
      <c r="BU52" s="136"/>
      <c r="BV52" s="10"/>
      <c r="BW52" s="10"/>
      <c r="BX52" s="10"/>
      <c r="BY52" s="136"/>
      <c r="BZ52" s="136"/>
      <c r="CA52" s="136"/>
      <c r="CB52" s="136"/>
      <c r="CC52" s="136"/>
      <c r="CD52" s="10"/>
      <c r="CE52" s="10"/>
      <c r="CF52" s="10"/>
      <c r="CG52" s="136"/>
      <c r="CL52" s="10"/>
      <c r="CM52" s="136"/>
      <c r="CN52" s="136"/>
      <c r="CO52" s="136"/>
      <c r="CP52" s="10"/>
      <c r="CQ52" s="10"/>
      <c r="CR52" s="10"/>
      <c r="CS52" s="136"/>
      <c r="CT52" s="136"/>
      <c r="CU52" s="136"/>
      <c r="CV52" s="10"/>
      <c r="CW52" s="10"/>
      <c r="CX52" s="10"/>
      <c r="CY52" s="136"/>
      <c r="CZ52" s="136"/>
      <c r="DA52" s="136"/>
      <c r="DB52" s="10"/>
      <c r="DC52" s="10"/>
      <c r="DD52" s="10"/>
      <c r="DE52" s="136"/>
      <c r="DF52" s="136"/>
      <c r="DG52" s="136"/>
      <c r="DH52" s="10"/>
      <c r="DI52" s="10"/>
      <c r="DJ52" s="10"/>
      <c r="DK52" s="136"/>
      <c r="DL52" s="136"/>
      <c r="DM52" s="136"/>
      <c r="DN52" s="10"/>
      <c r="DO52" s="10"/>
      <c r="DP52" s="10"/>
      <c r="DQ52" s="136"/>
      <c r="DS52" s="136"/>
      <c r="DT52" s="10"/>
      <c r="DU52" s="10"/>
      <c r="DV52" s="10"/>
      <c r="DW52" s="136"/>
      <c r="DX52" s="136"/>
      <c r="DY52" s="136"/>
      <c r="DZ52" s="10"/>
      <c r="EA52" s="10"/>
      <c r="EB52" s="10"/>
    </row>
    <row r="53" spans="1:134" ht="12.95" customHeight="1">
      <c r="A53" s="12"/>
      <c r="B53" s="12"/>
      <c r="C53" s="12"/>
      <c r="D53" s="353" t="s">
        <v>322</v>
      </c>
      <c r="E53" s="12"/>
      <c r="F53" s="351"/>
      <c r="G53" s="351" t="s">
        <v>323</v>
      </c>
      <c r="I53" s="356">
        <v>0.64139999999999997</v>
      </c>
      <c r="J53" s="10"/>
      <c r="K53" s="10"/>
      <c r="L53" s="10"/>
      <c r="M53" s="414">
        <v>3.56E-2</v>
      </c>
      <c r="N53" s="413">
        <v>9.4799999999999995E-2</v>
      </c>
      <c r="O53" s="10"/>
      <c r="P53" s="10"/>
      <c r="Q53" s="10"/>
      <c r="R53" s="10"/>
      <c r="S53" s="413">
        <v>7.1199999999999999E-2</v>
      </c>
      <c r="T53" s="414">
        <v>1.78E-2</v>
      </c>
      <c r="U53" s="10"/>
      <c r="V53" s="10"/>
      <c r="W53" s="10"/>
      <c r="X53" s="10"/>
      <c r="Y53" s="356">
        <v>0.16750000000000001</v>
      </c>
      <c r="Z53" s="414">
        <v>2.5000000000000001E-2</v>
      </c>
      <c r="AA53" s="10"/>
      <c r="AB53" s="10"/>
      <c r="AC53" s="10"/>
      <c r="AD53" s="10"/>
      <c r="AE53" s="356">
        <v>0.51980000000000004</v>
      </c>
      <c r="AF53" s="414">
        <v>4.6199999999999998E-2</v>
      </c>
      <c r="AG53" s="10"/>
      <c r="AH53" s="10"/>
      <c r="AI53" s="10"/>
      <c r="AJ53" s="10"/>
      <c r="AK53" s="356" t="s">
        <v>324</v>
      </c>
      <c r="AL53" s="413">
        <v>8.3400000000000002E-2</v>
      </c>
      <c r="AM53" s="10"/>
      <c r="AN53" s="10"/>
      <c r="AO53" s="10"/>
      <c r="AP53" s="10"/>
      <c r="AQ53" s="356">
        <v>0.79069999999999996</v>
      </c>
      <c r="AR53" s="356">
        <v>0.29959999999999998</v>
      </c>
      <c r="AS53" s="10"/>
      <c r="AT53" s="10"/>
      <c r="AU53" s="10"/>
      <c r="AV53" s="10"/>
      <c r="AW53" s="356" t="s">
        <v>324</v>
      </c>
      <c r="AX53" s="356">
        <v>0.36859999999999998</v>
      </c>
      <c r="AY53" s="10"/>
      <c r="AZ53" s="10"/>
      <c r="BA53" s="10"/>
      <c r="BB53" s="10"/>
      <c r="BC53" s="356">
        <f>_xlfn.T.TEST(BC8:BC12,BC22:BC26,2,1)</f>
        <v>3.0635659694470678E-2</v>
      </c>
      <c r="BD53" s="356">
        <v>0.5595</v>
      </c>
      <c r="BE53" s="10"/>
      <c r="BF53" s="10"/>
      <c r="BG53" s="10"/>
      <c r="BH53" s="10"/>
      <c r="BI53" s="356" t="s">
        <v>324</v>
      </c>
      <c r="BJ53" s="356">
        <v>0.5806</v>
      </c>
      <c r="BK53" s="10"/>
      <c r="BL53" s="10"/>
      <c r="BM53" s="10"/>
      <c r="BN53" s="10"/>
      <c r="BO53" s="414">
        <v>4.9700000000000001E-2</v>
      </c>
      <c r="BP53" s="356" t="s">
        <v>324</v>
      </c>
      <c r="BQ53" s="10"/>
      <c r="BR53" s="10"/>
      <c r="BS53" s="10"/>
      <c r="BT53" s="10"/>
      <c r="BU53" s="356">
        <v>0.51949999999999996</v>
      </c>
      <c r="BV53" s="356" t="s">
        <v>324</v>
      </c>
      <c r="BW53" s="10"/>
      <c r="BX53" s="10"/>
      <c r="BY53" s="10"/>
      <c r="BZ53" s="10"/>
      <c r="CA53" s="356"/>
      <c r="CB53" s="10"/>
      <c r="CC53" s="413">
        <v>7.5300000000000006E-2</v>
      </c>
      <c r="CD53" s="10" t="s">
        <v>324</v>
      </c>
      <c r="CE53" s="10"/>
      <c r="CF53" s="10" t="s">
        <v>324</v>
      </c>
      <c r="CG53" s="10"/>
      <c r="CH53" s="10"/>
      <c r="CI53" s="356">
        <v>0.95379999999999998</v>
      </c>
      <c r="CJ53" s="356" t="s">
        <v>324</v>
      </c>
      <c r="CK53" s="10"/>
      <c r="CL53" s="10" t="s">
        <v>324</v>
      </c>
      <c r="CM53" s="10"/>
      <c r="CN53" s="10"/>
      <c r="CO53" s="356" t="s">
        <v>324</v>
      </c>
      <c r="CP53" s="356" t="s">
        <v>324</v>
      </c>
      <c r="CQ53" s="10"/>
      <c r="CR53" s="10" t="s">
        <v>324</v>
      </c>
      <c r="CS53" s="10"/>
      <c r="CT53" s="10"/>
      <c r="CU53" s="414">
        <v>2.81E-2</v>
      </c>
      <c r="CV53" s="356" t="s">
        <v>324</v>
      </c>
      <c r="CW53" s="10"/>
      <c r="CX53" s="10" t="s">
        <v>324</v>
      </c>
      <c r="CY53" s="10"/>
      <c r="CZ53" s="10"/>
      <c r="DA53" s="356" t="s">
        <v>324</v>
      </c>
      <c r="DB53" s="356" t="s">
        <v>324</v>
      </c>
      <c r="DC53" s="10"/>
      <c r="DD53" s="10" t="s">
        <v>324</v>
      </c>
      <c r="DE53" s="10"/>
      <c r="DF53" s="10"/>
      <c r="DG53" s="356">
        <v>0.90429999999999999</v>
      </c>
      <c r="DH53" s="356" t="s">
        <v>324</v>
      </c>
      <c r="DI53" s="10"/>
      <c r="DJ53" s="10" t="s">
        <v>324</v>
      </c>
      <c r="DK53" s="10"/>
      <c r="DL53" s="10"/>
      <c r="DM53" s="414">
        <v>2.2700000000000001E-2</v>
      </c>
      <c r="DN53" s="356" t="s">
        <v>324</v>
      </c>
      <c r="DO53" s="10"/>
      <c r="DP53" s="10" t="s">
        <v>324</v>
      </c>
      <c r="DQ53" s="10"/>
      <c r="DR53" s="10"/>
      <c r="DS53" s="356" t="s">
        <v>324</v>
      </c>
      <c r="DT53" s="356" t="s">
        <v>324</v>
      </c>
      <c r="DU53" s="10"/>
      <c r="DV53" s="10" t="s">
        <v>324</v>
      </c>
      <c r="DW53" s="10"/>
      <c r="DX53" s="10"/>
      <c r="DY53" s="356" t="s">
        <v>324</v>
      </c>
      <c r="DZ53" s="356" t="s">
        <v>324</v>
      </c>
      <c r="EA53" s="10"/>
      <c r="EB53" s="10" t="s">
        <v>324</v>
      </c>
      <c r="EC53" s="356"/>
    </row>
    <row r="54" spans="1:134">
      <c r="A54" s="12"/>
      <c r="B54" s="12"/>
      <c r="C54" s="12"/>
      <c r="D54" s="353" t="s">
        <v>325</v>
      </c>
      <c r="E54" s="12"/>
      <c r="F54" s="351"/>
      <c r="G54" s="62" t="s">
        <v>326</v>
      </c>
      <c r="I54" s="414">
        <v>1.01E-2</v>
      </c>
      <c r="J54" s="356"/>
      <c r="K54" s="10"/>
      <c r="L54" s="10"/>
      <c r="M54" s="413">
        <v>9.5899999999999999E-2</v>
      </c>
      <c r="N54" s="414">
        <v>5.7999999999999996E-3</v>
      </c>
      <c r="O54" s="10"/>
      <c r="P54" s="10"/>
      <c r="Q54" s="10"/>
      <c r="R54" s="10"/>
      <c r="S54" s="356" t="s">
        <v>324</v>
      </c>
      <c r="T54" s="414">
        <v>2.9100000000000001E-2</v>
      </c>
      <c r="U54" s="10"/>
      <c r="V54" s="10"/>
      <c r="W54" s="10"/>
      <c r="X54" s="10"/>
      <c r="Y54" s="356" t="s">
        <v>324</v>
      </c>
      <c r="Z54" s="356">
        <v>0.1308</v>
      </c>
      <c r="AA54" s="10"/>
      <c r="AB54" s="10"/>
      <c r="AC54" s="10"/>
      <c r="AD54" s="10"/>
      <c r="AE54" s="356" t="s">
        <v>324</v>
      </c>
      <c r="AF54" s="356">
        <v>0.53490000000000004</v>
      </c>
      <c r="AG54" s="10"/>
      <c r="AH54" s="10"/>
      <c r="AI54" s="10"/>
      <c r="AJ54" s="10"/>
      <c r="AK54" s="356" t="s">
        <v>324</v>
      </c>
      <c r="AL54" s="356">
        <v>0.57830000000000004</v>
      </c>
      <c r="AM54" s="10"/>
      <c r="AN54" s="10"/>
      <c r="AO54" s="10"/>
      <c r="AP54" s="10"/>
      <c r="AQ54" s="413">
        <v>8.9800000000000005E-2</v>
      </c>
      <c r="AR54" s="356">
        <v>0.27200000000000002</v>
      </c>
      <c r="AS54" s="10"/>
      <c r="AT54" s="10"/>
      <c r="AU54" s="10"/>
      <c r="AV54" s="10"/>
      <c r="AW54" s="356" t="s">
        <v>324</v>
      </c>
      <c r="AX54" s="356">
        <v>0.31569999999999998</v>
      </c>
      <c r="AY54" s="10"/>
      <c r="AZ54" s="10"/>
      <c r="BA54" s="10"/>
      <c r="BB54" s="10"/>
      <c r="BC54" s="356">
        <f>_xlfn.T.TEST(BC8:BC12,BC36:BC40,2,1)</f>
        <v>1.2614380235872672E-2</v>
      </c>
      <c r="BD54" s="356">
        <v>0.22770000000000001</v>
      </c>
      <c r="BE54" s="10"/>
      <c r="BF54" s="10"/>
      <c r="BG54" s="10"/>
      <c r="BH54" s="10"/>
      <c r="BI54" s="413">
        <v>8.0399999999999999E-2</v>
      </c>
      <c r="BJ54" s="356">
        <v>0.15129999999999999</v>
      </c>
      <c r="BK54" s="10"/>
      <c r="BL54" s="10"/>
      <c r="BM54" s="10"/>
      <c r="BN54" s="10"/>
      <c r="BO54" s="414">
        <v>1.9300000000000001E-2</v>
      </c>
      <c r="BP54" s="413">
        <v>6.4600000000000005E-2</v>
      </c>
      <c r="BQ54" s="10"/>
      <c r="BR54" s="10"/>
      <c r="BS54" s="10"/>
      <c r="BT54" s="10"/>
      <c r="BU54" s="356">
        <v>0.60519999999999996</v>
      </c>
      <c r="BV54" s="413">
        <v>8.2799999999999999E-2</v>
      </c>
      <c r="BW54" s="10"/>
      <c r="BX54" s="10"/>
      <c r="BY54" s="10"/>
      <c r="BZ54" s="10"/>
      <c r="CA54" s="356"/>
      <c r="CB54" s="10"/>
      <c r="CC54" s="413">
        <v>8.0299999999999996E-2</v>
      </c>
      <c r="CD54" s="384">
        <v>4.9299999999999997E-2</v>
      </c>
      <c r="CE54" s="10"/>
      <c r="CF54" s="383">
        <v>5.0500000000000003E-2</v>
      </c>
      <c r="CG54" s="10"/>
      <c r="CH54" s="10"/>
      <c r="CI54" s="356">
        <v>0.82320000000000004</v>
      </c>
      <c r="CJ54" s="413">
        <v>5.33E-2</v>
      </c>
      <c r="CK54" s="10"/>
      <c r="CL54" s="383">
        <v>5.45E-2</v>
      </c>
      <c r="CM54" s="10"/>
      <c r="CN54" s="10"/>
      <c r="CO54" s="356" t="s">
        <v>324</v>
      </c>
      <c r="CP54" s="413">
        <v>6.2700000000000006E-2</v>
      </c>
      <c r="CQ54" s="10"/>
      <c r="CR54" s="383">
        <v>6.4399999999999999E-2</v>
      </c>
      <c r="CS54" s="10"/>
      <c r="CT54" s="10"/>
      <c r="CU54" s="356">
        <v>0.19550000000000001</v>
      </c>
      <c r="CV54" s="356">
        <v>0.1245</v>
      </c>
      <c r="CW54" s="10"/>
      <c r="CX54" s="10">
        <v>0.1275</v>
      </c>
      <c r="CY54" s="10"/>
      <c r="CZ54" s="10"/>
      <c r="DA54" s="356" t="s">
        <v>324</v>
      </c>
      <c r="DB54" s="356">
        <v>0.115</v>
      </c>
      <c r="DC54" s="10"/>
      <c r="DD54" s="10">
        <v>0.11749999999999999</v>
      </c>
      <c r="DE54" s="10"/>
      <c r="DF54" s="10"/>
      <c r="DG54" s="356">
        <v>0.57079999999999997</v>
      </c>
      <c r="DH54" s="356">
        <v>0.1106</v>
      </c>
      <c r="DI54" s="10"/>
      <c r="DJ54" s="10">
        <v>0.113</v>
      </c>
      <c r="DK54" s="10"/>
      <c r="DL54" s="10"/>
      <c r="DM54" s="414">
        <v>8.9999999999999998E-4</v>
      </c>
      <c r="DN54" s="413">
        <v>6.6299999999999998E-2</v>
      </c>
      <c r="DO54" s="10"/>
      <c r="DP54" s="383">
        <v>6.7799999999999999E-2</v>
      </c>
      <c r="DQ54" s="10"/>
      <c r="DR54" s="10"/>
      <c r="DS54" s="356" t="s">
        <v>324</v>
      </c>
      <c r="DT54" s="413">
        <v>7.0499999999999993E-2</v>
      </c>
      <c r="DU54" s="10"/>
      <c r="DV54" s="383">
        <v>7.1999999999999995E-2</v>
      </c>
      <c r="DW54" s="10"/>
      <c r="DX54" s="10"/>
      <c r="DY54" s="356" t="s">
        <v>324</v>
      </c>
      <c r="DZ54" s="413">
        <v>7.6200000000000004E-2</v>
      </c>
      <c r="EA54" s="10"/>
      <c r="EB54" s="383">
        <v>7.7399999999999997E-2</v>
      </c>
      <c r="EC54" s="356"/>
    </row>
    <row r="55" spans="1:134">
      <c r="A55" s="12"/>
      <c r="B55" s="12"/>
      <c r="C55" s="12"/>
      <c r="D55" s="12"/>
      <c r="E55" s="12"/>
      <c r="F55" s="351"/>
      <c r="G55" s="351" t="s">
        <v>328</v>
      </c>
      <c r="H55" s="10"/>
      <c r="I55" s="414">
        <v>5.0000000000000001E-4</v>
      </c>
      <c r="J55" s="10"/>
      <c r="K55" s="10"/>
      <c r="L55" s="10"/>
      <c r="M55" s="414">
        <v>2.0000000000000001E-4</v>
      </c>
      <c r="N55" s="414" t="s">
        <v>327</v>
      </c>
      <c r="O55" s="10"/>
      <c r="P55" s="10"/>
      <c r="Q55" s="10"/>
      <c r="R55" s="10"/>
      <c r="S55" s="414">
        <v>1.7100000000000001E-2</v>
      </c>
      <c r="T55" s="414" t="s">
        <v>327</v>
      </c>
      <c r="U55" s="10"/>
      <c r="V55" s="10"/>
      <c r="W55" s="10"/>
      <c r="X55" s="10"/>
      <c r="Y55" s="413">
        <v>7.1199999999999999E-2</v>
      </c>
      <c r="Z55" s="414">
        <v>2.0000000000000001E-4</v>
      </c>
      <c r="AA55" s="10"/>
      <c r="AB55" s="10"/>
      <c r="AC55" s="10"/>
      <c r="AD55" s="10"/>
      <c r="AE55" s="356" t="s">
        <v>324</v>
      </c>
      <c r="AF55" s="414">
        <v>1.8E-3</v>
      </c>
      <c r="AG55" s="10"/>
      <c r="AH55" s="10"/>
      <c r="AI55" s="10"/>
      <c r="AJ55" s="10"/>
      <c r="AK55" s="356">
        <v>0.48480000000000001</v>
      </c>
      <c r="AL55" s="414">
        <v>3.8999999999999998E-3</v>
      </c>
      <c r="AM55" s="10"/>
      <c r="AN55" s="10"/>
      <c r="AO55" s="10"/>
      <c r="AP55" s="10"/>
      <c r="AQ55" s="356">
        <v>0.75339999999999996</v>
      </c>
      <c r="AR55" s="414">
        <v>6.4999999999999997E-3</v>
      </c>
      <c r="AS55" s="10"/>
      <c r="AT55" s="10"/>
      <c r="AU55" s="10"/>
      <c r="AV55" s="10"/>
      <c r="AW55" s="356" t="s">
        <v>324</v>
      </c>
      <c r="AX55" s="414">
        <v>1.0200000000000001E-2</v>
      </c>
      <c r="AY55" s="10"/>
      <c r="AZ55" s="10"/>
      <c r="BA55" s="10"/>
      <c r="BB55" s="10"/>
      <c r="BC55" s="356">
        <f>_xlfn.T.TEST(BC22:BC26,BC36:BC40,2,1)</f>
        <v>0.12628124981667704</v>
      </c>
      <c r="BD55" s="414">
        <v>1.2E-2</v>
      </c>
      <c r="BE55" s="10"/>
      <c r="BF55" s="10"/>
      <c r="BG55" s="10"/>
      <c r="BH55" s="10"/>
      <c r="BI55" s="413">
        <v>7.6100000000000001E-2</v>
      </c>
      <c r="BJ55" s="414">
        <v>7.7999999999999996E-3</v>
      </c>
      <c r="BK55" s="10"/>
      <c r="BL55" s="10"/>
      <c r="BM55" s="10"/>
      <c r="BN55" s="10"/>
      <c r="BO55" s="356" t="s">
        <v>324</v>
      </c>
      <c r="BP55" s="414">
        <v>1.04E-2</v>
      </c>
      <c r="BQ55" s="10"/>
      <c r="BR55" s="10"/>
      <c r="BS55" s="10"/>
      <c r="BT55" s="10"/>
      <c r="BU55" s="356" t="s">
        <v>324</v>
      </c>
      <c r="BV55" s="414">
        <v>3.4200000000000001E-2</v>
      </c>
      <c r="BW55" s="10"/>
      <c r="BX55" s="10"/>
      <c r="BY55" s="10"/>
      <c r="BZ55" s="10"/>
      <c r="CA55" s="356"/>
      <c r="CB55" s="10"/>
      <c r="CC55" s="356" t="s">
        <v>324</v>
      </c>
      <c r="CD55" s="384">
        <v>4.9700000000000001E-2</v>
      </c>
      <c r="CE55" s="10"/>
      <c r="CF55" s="383">
        <v>5.5100000000000003E-2</v>
      </c>
      <c r="CG55" s="10"/>
      <c r="CH55" s="10"/>
      <c r="CI55" s="356" t="s">
        <v>324</v>
      </c>
      <c r="CJ55" s="413">
        <v>7.7200000000000005E-2</v>
      </c>
      <c r="CK55" s="10"/>
      <c r="CL55" s="383">
        <v>8.4500000000000006E-2</v>
      </c>
      <c r="CM55" s="10"/>
      <c r="CN55" s="10"/>
      <c r="CO55" s="356">
        <v>0.61180000000000001</v>
      </c>
      <c r="CP55" s="413">
        <v>7.8600000000000003E-2</v>
      </c>
      <c r="CQ55" s="10"/>
      <c r="CR55" s="383">
        <v>8.6099999999999996E-2</v>
      </c>
      <c r="CS55" s="10"/>
      <c r="CT55" s="10"/>
      <c r="CU55" s="356" t="s">
        <v>324</v>
      </c>
      <c r="CV55" s="413">
        <v>8.4699999999999998E-2</v>
      </c>
      <c r="CW55" s="10"/>
      <c r="CX55" s="383">
        <v>9.2399999999999996E-2</v>
      </c>
      <c r="CY55" s="10"/>
      <c r="CZ55" s="10"/>
      <c r="DA55" s="356" t="s">
        <v>324</v>
      </c>
      <c r="DB55" s="413">
        <v>9.5200000000000007E-2</v>
      </c>
      <c r="DC55" s="10"/>
      <c r="DD55" s="10">
        <v>0.10349999999999999</v>
      </c>
      <c r="DE55" s="10"/>
      <c r="DF55" s="10"/>
      <c r="DG55" s="356" t="s">
        <v>324</v>
      </c>
      <c r="DH55" s="356">
        <v>0.12</v>
      </c>
      <c r="DI55" s="10"/>
      <c r="DJ55" s="10">
        <v>0.1295</v>
      </c>
      <c r="DK55" s="10"/>
      <c r="DL55" s="10"/>
      <c r="DM55" s="356">
        <v>0.56640000000000001</v>
      </c>
      <c r="DN55" s="356">
        <v>0.10580000000000001</v>
      </c>
      <c r="DO55" s="10"/>
      <c r="DP55" s="10">
        <v>0.11409999999999999</v>
      </c>
      <c r="DQ55" s="10"/>
      <c r="DR55" s="10"/>
      <c r="DS55" s="356" t="s">
        <v>324</v>
      </c>
      <c r="DT55" s="356">
        <v>0.1216</v>
      </c>
      <c r="DU55" s="10"/>
      <c r="DV55" s="10">
        <v>0.13059999999999999</v>
      </c>
      <c r="DW55" s="10"/>
      <c r="DX55" s="10"/>
      <c r="DY55" s="356" t="s">
        <v>324</v>
      </c>
      <c r="DZ55" s="356">
        <v>0.13</v>
      </c>
      <c r="EA55" s="10"/>
      <c r="EB55" s="10">
        <v>0.13900000000000001</v>
      </c>
      <c r="EC55" s="356"/>
    </row>
    <row r="56" spans="1:134" customFormat="1" ht="12" customHeight="1"/>
    <row r="57" spans="1:134" s="266" customFormat="1" ht="12" customHeight="1">
      <c r="A57" s="284" t="s">
        <v>333</v>
      </c>
      <c r="B57" s="263" t="s">
        <v>334</v>
      </c>
      <c r="C57" s="285"/>
      <c r="D57" s="265" t="s">
        <v>26</v>
      </c>
      <c r="E57" s="266" t="s">
        <v>262</v>
      </c>
      <c r="F57" s="290">
        <v>42890</v>
      </c>
      <c r="G57" s="291">
        <v>107.17</v>
      </c>
      <c r="H57" s="266">
        <v>104.19</v>
      </c>
      <c r="I57" s="266">
        <f t="shared" ref="I57" si="622">G57-H57</f>
        <v>2.980000000000004</v>
      </c>
      <c r="J57" s="292">
        <f>I57*T$1</f>
        <v>10.833126188788814</v>
      </c>
      <c r="K57" s="293">
        <v>106.46</v>
      </c>
      <c r="L57" s="266">
        <v>103.27</v>
      </c>
      <c r="M57" s="266">
        <f>K57-L57</f>
        <v>3.1899999999999977</v>
      </c>
      <c r="N57" s="266">
        <f>I57+M57</f>
        <v>6.1700000000000017</v>
      </c>
      <c r="O57" s="292">
        <f>M57*T$1</f>
        <v>11.596534410146392</v>
      </c>
      <c r="P57" s="292">
        <f t="shared" ref="P57" si="623">J57+O57</f>
        <v>22.429660598935207</v>
      </c>
      <c r="Q57" s="293">
        <v>107.52</v>
      </c>
      <c r="R57" s="266">
        <v>102.95</v>
      </c>
      <c r="S57" s="266">
        <f>Q57-R57</f>
        <v>4.5699999999999932</v>
      </c>
      <c r="T57" s="266">
        <f>N57+S57</f>
        <v>10.739999999999995</v>
      </c>
      <c r="U57" s="292">
        <f>S57*T$1</f>
        <v>16.613217007639175</v>
      </c>
      <c r="V57" s="292">
        <f>P57+U57</f>
        <v>39.042877606574379</v>
      </c>
      <c r="W57" s="293">
        <v>106.87</v>
      </c>
      <c r="X57" s="266">
        <v>102.52</v>
      </c>
      <c r="Y57" s="266">
        <f>W57-X57</f>
        <v>4.3500000000000085</v>
      </c>
      <c r="Z57" s="266">
        <f>T57+Y57</f>
        <v>15.090000000000003</v>
      </c>
      <c r="AA57" s="292">
        <f t="shared" ref="AA57" si="624">Y57*$T$1</f>
        <v>15.813456013836031</v>
      </c>
      <c r="AB57" s="292">
        <f t="shared" ref="AB57" si="625">V57+AA57</f>
        <v>54.85633362041041</v>
      </c>
      <c r="AC57" s="293">
        <v>106.92</v>
      </c>
      <c r="AD57" s="266">
        <v>102.09</v>
      </c>
      <c r="AE57" s="266">
        <f t="shared" ref="AE57" si="626">AC57-AD57</f>
        <v>4.8299999999999983</v>
      </c>
      <c r="AF57" s="266">
        <f t="shared" ref="AF57" si="627">Z57+AE57</f>
        <v>19.920000000000002</v>
      </c>
      <c r="AG57" s="292">
        <f>AE57*$T$1</f>
        <v>17.558389091224793</v>
      </c>
      <c r="AH57" s="292">
        <f t="shared" ref="AH57" si="628">AB57+AG57</f>
        <v>72.414722711635207</v>
      </c>
      <c r="AI57" s="293">
        <v>104.62</v>
      </c>
      <c r="AJ57" s="266">
        <v>99.11</v>
      </c>
      <c r="AK57" s="266">
        <f>AI57-AJ57</f>
        <v>5.5100000000000051</v>
      </c>
      <c r="AL57" s="266">
        <f>AF57+AK57</f>
        <v>25.430000000000007</v>
      </c>
      <c r="AM57" s="292">
        <f>AK57*$T$1</f>
        <v>20.03037761752562</v>
      </c>
      <c r="AN57" s="292">
        <f>AH57+AM57</f>
        <v>92.445100329160823</v>
      </c>
      <c r="AO57" s="293">
        <v>107.98</v>
      </c>
      <c r="AP57" s="266">
        <v>102.93</v>
      </c>
      <c r="AQ57" s="266">
        <f t="shared" ref="AQ57" si="629">AO57-AP57</f>
        <v>5.0499999999999972</v>
      </c>
      <c r="AR57" s="266">
        <f t="shared" ref="AR57" si="630">AL57+AQ57</f>
        <v>30.480000000000004</v>
      </c>
      <c r="AS57" s="292">
        <f>AQ57*$T$1</f>
        <v>18.35815008502799</v>
      </c>
      <c r="AT57" s="292">
        <f t="shared" ref="AT57" si="631">AN57+AS57</f>
        <v>110.80325041418881</v>
      </c>
      <c r="AU57" s="293">
        <v>107.58</v>
      </c>
      <c r="AV57" s="286">
        <v>102.18</v>
      </c>
      <c r="AW57" s="266">
        <f>AU57-AV57</f>
        <v>5.3999999999999915</v>
      </c>
      <c r="AX57" s="266">
        <f>AR57+AW57</f>
        <v>35.879999999999995</v>
      </c>
      <c r="AY57" s="292">
        <f>AW57*$T$1</f>
        <v>19.630497120623971</v>
      </c>
      <c r="AZ57" s="292">
        <f t="shared" ref="AZ57" si="632">AT57+AY57</f>
        <v>130.43374753481277</v>
      </c>
      <c r="BA57" s="293">
        <v>109.92</v>
      </c>
      <c r="BB57" s="266">
        <v>105.52</v>
      </c>
      <c r="BC57" s="266">
        <f>BA57-BB57</f>
        <v>4.4000000000000057</v>
      </c>
      <c r="BD57" s="266">
        <f>AX57+BC57</f>
        <v>40.28</v>
      </c>
      <c r="BE57" s="292">
        <f>BC57*$T$1</f>
        <v>15.995219876064022</v>
      </c>
      <c r="BF57" s="292">
        <f>AZ57+BE57</f>
        <v>146.42896741087679</v>
      </c>
      <c r="BG57" s="293">
        <v>108.74</v>
      </c>
      <c r="BH57" s="266">
        <v>103.37</v>
      </c>
      <c r="BI57" s="266">
        <f>BG57-BH57</f>
        <v>5.3699999999999903</v>
      </c>
      <c r="BJ57" s="266">
        <f>BD57+BI57</f>
        <v>45.649999999999991</v>
      </c>
      <c r="BK57" s="292">
        <f>BI57*$T$1</f>
        <v>19.521438803287165</v>
      </c>
      <c r="BL57" s="292">
        <f>BF57+BK57</f>
        <v>165.95040621416396</v>
      </c>
      <c r="BM57" s="293">
        <v>106.67</v>
      </c>
      <c r="BN57" s="266">
        <v>100.55</v>
      </c>
      <c r="BO57" s="266">
        <f>BM57-BN57</f>
        <v>6.1200000000000045</v>
      </c>
      <c r="BP57" s="266">
        <f>BJ57+BO57</f>
        <v>51.769999999999996</v>
      </c>
      <c r="BQ57" s="292">
        <f>BO57*$T$1</f>
        <v>22.247896736707219</v>
      </c>
      <c r="BR57" s="292">
        <f>BL57+BQ57</f>
        <v>188.19830295087118</v>
      </c>
      <c r="BS57" s="293">
        <v>107.6</v>
      </c>
      <c r="BT57" s="266">
        <v>102.46</v>
      </c>
      <c r="BU57" s="266">
        <f>BS57-BT57</f>
        <v>5.1400000000000006</v>
      </c>
      <c r="BV57" s="266">
        <f>BP57+BU57</f>
        <v>56.91</v>
      </c>
      <c r="BW57" s="292">
        <f>BU57*$T$1</f>
        <v>18.685325037038403</v>
      </c>
      <c r="BX57" s="292">
        <f t="shared" ref="BX57" si="633">BR57+BW57</f>
        <v>206.88362798790959</v>
      </c>
      <c r="BY57" s="293">
        <v>107.55</v>
      </c>
      <c r="BZ57" s="266">
        <v>104.51</v>
      </c>
      <c r="CA57" s="266">
        <f>BY57-BZ57</f>
        <v>3.039999999999992</v>
      </c>
      <c r="CB57" s="294">
        <v>2.13</v>
      </c>
      <c r="CC57" s="294">
        <f>CA57+CB57</f>
        <v>5.1699999999999919</v>
      </c>
      <c r="CD57" s="266">
        <f>BV57+CC57</f>
        <v>62.079999999999991</v>
      </c>
      <c r="CE57" s="371">
        <f>(CA57*$T$1)+9.4036</f>
        <v>20.454842823462371</v>
      </c>
      <c r="CF57" s="292">
        <f>BX57+CE57</f>
        <v>227.33847081137196</v>
      </c>
      <c r="CG57" s="293">
        <v>108.72</v>
      </c>
      <c r="CH57" s="266">
        <v>104.22</v>
      </c>
      <c r="CI57" s="266">
        <f>CG57-CH57</f>
        <v>4.5</v>
      </c>
      <c r="CJ57" s="266">
        <f>CD57+CI57</f>
        <v>66.579999999999984</v>
      </c>
      <c r="CK57" s="292">
        <f>CI57*$T$1</f>
        <v>16.358747600520001</v>
      </c>
      <c r="CL57" s="292">
        <f t="shared" ref="CL57" si="634">CF57+CK57</f>
        <v>243.69721841189195</v>
      </c>
      <c r="CM57" s="293">
        <v>107.28</v>
      </c>
      <c r="CN57" s="286">
        <v>102.92</v>
      </c>
      <c r="CO57" s="266">
        <f>CM57-CN57</f>
        <v>4.3599999999999994</v>
      </c>
      <c r="CP57" s="266">
        <f>CJ57+CO57</f>
        <v>70.939999999999984</v>
      </c>
      <c r="CQ57" s="292">
        <f>CO57*$T$1</f>
        <v>15.849808786281599</v>
      </c>
      <c r="CR57" s="292">
        <f t="shared" ref="CR57" si="635">CL57+CQ57</f>
        <v>259.54702719817357</v>
      </c>
      <c r="CS57" s="293">
        <v>108.43</v>
      </c>
      <c r="CT57" s="266">
        <v>103.25</v>
      </c>
      <c r="CU57" s="266">
        <f>CS57-CT57</f>
        <v>5.1800000000000068</v>
      </c>
      <c r="CV57" s="266">
        <f>CP57+CU57</f>
        <v>76.11999999999999</v>
      </c>
      <c r="CW57" s="292">
        <f>CU57*$T$1</f>
        <v>18.830736126820824</v>
      </c>
      <c r="CX57" s="292">
        <f t="shared" ref="CX57" si="636">CR57+CW57</f>
        <v>278.37776332499436</v>
      </c>
      <c r="CY57" s="293">
        <v>107.53</v>
      </c>
      <c r="CZ57" s="266">
        <v>101.39</v>
      </c>
      <c r="DA57" s="266">
        <f>CY57-CZ57</f>
        <v>6.1400000000000006</v>
      </c>
      <c r="DB57" s="266">
        <f>CV57+DA57</f>
        <v>82.259999999999991</v>
      </c>
      <c r="DC57" s="292">
        <f>DA57*$T$1</f>
        <v>22.320602281598404</v>
      </c>
      <c r="DD57" s="292">
        <f t="shared" ref="DD57" si="637">CX57+DC57</f>
        <v>300.69836560659274</v>
      </c>
      <c r="DE57" s="293">
        <v>108.3</v>
      </c>
      <c r="DF57" s="266">
        <v>103.71</v>
      </c>
      <c r="DG57" s="266">
        <f t="shared" ref="DG57" si="638">DE57-DF57</f>
        <v>4.5900000000000034</v>
      </c>
      <c r="DH57" s="266">
        <f t="shared" ref="DH57" si="639">DB57+DG57</f>
        <v>86.85</v>
      </c>
      <c r="DI57" s="292">
        <f>DG57*$T$1</f>
        <v>16.685922552530414</v>
      </c>
      <c r="DJ57" s="292">
        <f t="shared" ref="DJ57" si="640">DD57+DI57</f>
        <v>317.38428815912317</v>
      </c>
      <c r="DK57" s="293">
        <v>106.57</v>
      </c>
      <c r="DQ57" s="293"/>
      <c r="DW57" s="293"/>
      <c r="EC57" s="293"/>
      <c r="ED57" s="266" t="s">
        <v>332</v>
      </c>
    </row>
    <row r="58" spans="1:134" s="266" customFormat="1">
      <c r="A58" s="284" t="s">
        <v>335</v>
      </c>
      <c r="B58" s="263" t="s">
        <v>336</v>
      </c>
      <c r="C58" s="264"/>
      <c r="D58" s="265" t="s">
        <v>26</v>
      </c>
      <c r="E58" s="266" t="s">
        <v>284</v>
      </c>
      <c r="F58" s="290">
        <v>42890</v>
      </c>
      <c r="G58" s="291">
        <v>251.01</v>
      </c>
      <c r="H58" s="286">
        <v>248.15</v>
      </c>
      <c r="I58" s="266">
        <f>G58-H58</f>
        <v>2.8599999999999852</v>
      </c>
      <c r="J58" s="292">
        <f>I58*T$1</f>
        <v>10.396892919441546</v>
      </c>
      <c r="K58" s="293">
        <v>261.64999999999998</v>
      </c>
      <c r="L58" s="266">
        <v>258.23</v>
      </c>
      <c r="M58" s="266">
        <f>K58-L58</f>
        <v>3.4199999999999591</v>
      </c>
      <c r="N58" s="266">
        <f>I58+M58</f>
        <v>6.2799999999999443</v>
      </c>
      <c r="O58" s="292">
        <f>M58*T$1</f>
        <v>12.432648176395052</v>
      </c>
      <c r="P58" s="292">
        <f>J58+O58</f>
        <v>22.829541095836596</v>
      </c>
      <c r="Q58" s="293">
        <v>259.12</v>
      </c>
      <c r="R58" s="266">
        <v>255.41</v>
      </c>
      <c r="S58" s="266">
        <f>Q58-R58</f>
        <v>3.710000000000008</v>
      </c>
      <c r="T58" s="266">
        <f>N58+S58</f>
        <v>9.9899999999999523</v>
      </c>
      <c r="U58" s="292">
        <f>S58*T$1</f>
        <v>13.486878577317629</v>
      </c>
      <c r="V58" s="292">
        <f>P58+U58</f>
        <v>36.316419673154229</v>
      </c>
      <c r="W58" s="293">
        <v>261.07</v>
      </c>
      <c r="X58" s="266">
        <v>257.02999999999997</v>
      </c>
      <c r="Y58" s="266">
        <f>W58-X58</f>
        <v>4.0400000000000205</v>
      </c>
      <c r="Z58" s="266">
        <f>T58+Y58</f>
        <v>14.029999999999973</v>
      </c>
      <c r="AA58" s="292">
        <f>Y58*$T$1</f>
        <v>14.686520068022475</v>
      </c>
      <c r="AB58" s="292">
        <f>V58+AA58</f>
        <v>51.002939741176704</v>
      </c>
      <c r="AC58" s="293">
        <v>261.06</v>
      </c>
      <c r="AD58" s="266">
        <v>256.83</v>
      </c>
      <c r="AE58" s="266">
        <f>AC58-AD58-0.75</f>
        <v>3.4800000000000182</v>
      </c>
      <c r="AF58" s="266">
        <f>Z58+AE58</f>
        <v>17.509999999999991</v>
      </c>
      <c r="AG58" s="292">
        <f>AE58*$T$1</f>
        <v>12.650764811068866</v>
      </c>
      <c r="AH58" s="292">
        <f>AB58+AG58</f>
        <v>63.653704552245571</v>
      </c>
      <c r="AI58" s="293">
        <v>260.58</v>
      </c>
      <c r="AJ58" s="266">
        <v>256.12</v>
      </c>
      <c r="AK58" s="266">
        <f>AI58-AJ58-0.75</f>
        <v>3.7099999999999795</v>
      </c>
      <c r="AL58" s="266">
        <f>AF58+AK58</f>
        <v>21.21999999999997</v>
      </c>
      <c r="AM58" s="292">
        <f>AK58*$T$1</f>
        <v>13.486878577317526</v>
      </c>
      <c r="AN58" s="292">
        <f>AH58+AM58</f>
        <v>77.140583129563097</v>
      </c>
      <c r="AO58" s="293">
        <v>260.69</v>
      </c>
      <c r="AP58" s="266">
        <v>256.67</v>
      </c>
      <c r="AQ58" s="266">
        <v>5.25</v>
      </c>
      <c r="AR58" s="266">
        <f>AL58+AQ58</f>
        <v>26.46999999999997</v>
      </c>
      <c r="AS58" s="292">
        <f>AQ58*$T$1</f>
        <v>19.085205533940002</v>
      </c>
      <c r="AT58" s="292">
        <f>AN58+AS58</f>
        <v>96.225788663503096</v>
      </c>
      <c r="AU58" s="293">
        <v>262.68</v>
      </c>
      <c r="AV58" s="286">
        <v>258.43</v>
      </c>
      <c r="AW58" s="266">
        <f>AU58-AV58</f>
        <v>4.25</v>
      </c>
      <c r="AX58" s="266">
        <f>AR58+AW58</f>
        <v>30.71999999999997</v>
      </c>
      <c r="AY58" s="292">
        <f>AW58*$T$1</f>
        <v>15.449928289380001</v>
      </c>
      <c r="AZ58" s="292">
        <f>AT58+AY58</f>
        <v>111.67571695288309</v>
      </c>
      <c r="BA58" s="293">
        <v>263.2</v>
      </c>
      <c r="BB58" s="295">
        <v>259.27</v>
      </c>
      <c r="BC58" s="266">
        <f>BA58-BB58</f>
        <v>3.9300000000000068</v>
      </c>
      <c r="BD58" s="266">
        <f>AX58+BC58</f>
        <v>34.649999999999977</v>
      </c>
      <c r="BE58" s="292">
        <f>BC58*$T$1</f>
        <v>14.286639571120824</v>
      </c>
      <c r="BF58" s="292">
        <f>AZ58+BE58</f>
        <v>125.96235652400392</v>
      </c>
      <c r="BG58" s="293">
        <v>264.60000000000002</v>
      </c>
      <c r="BH58" s="295">
        <v>260.74</v>
      </c>
      <c r="BI58" s="266">
        <f>BG58-BH58</f>
        <v>3.8600000000000136</v>
      </c>
      <c r="BJ58" s="266">
        <f>BD58+BI58</f>
        <v>38.509999999999991</v>
      </c>
      <c r="BK58" s="292">
        <f>BI58*$T$1</f>
        <v>14.03217016400165</v>
      </c>
      <c r="BL58" s="292">
        <f>BF58+BK58</f>
        <v>139.99452668800558</v>
      </c>
      <c r="BM58" s="293">
        <v>262.98</v>
      </c>
      <c r="BN58" s="295">
        <v>259.11</v>
      </c>
      <c r="BO58" s="266">
        <f>BM58-BN58</f>
        <v>3.8700000000000045</v>
      </c>
      <c r="BP58" s="266">
        <f>BJ58+BO58</f>
        <v>42.379999999999995</v>
      </c>
      <c r="BQ58" s="292">
        <f>BO58*$T$1</f>
        <v>14.068522936447216</v>
      </c>
      <c r="BR58" s="292">
        <f>BL58+BQ58</f>
        <v>154.06304962445279</v>
      </c>
      <c r="BS58" s="293">
        <v>261.23</v>
      </c>
      <c r="BT58" s="295">
        <v>257.52</v>
      </c>
      <c r="BU58" s="266">
        <f>BS58-BT58</f>
        <v>3.7100000000000364</v>
      </c>
      <c r="BV58" s="266">
        <f>BP58+BU58</f>
        <v>46.090000000000032</v>
      </c>
      <c r="BW58" s="292">
        <f>BU58*$T$1</f>
        <v>13.486878577317732</v>
      </c>
      <c r="BX58" s="292">
        <f>BR58+BW58</f>
        <v>167.54992820177051</v>
      </c>
      <c r="BY58" s="293">
        <v>260.36</v>
      </c>
      <c r="BZ58" s="266">
        <v>257.77</v>
      </c>
      <c r="CA58" s="266">
        <f>BY58-BZ58</f>
        <v>2.5900000000000318</v>
      </c>
      <c r="CB58" s="294">
        <v>1.25</v>
      </c>
      <c r="CC58" s="294">
        <f>CA58+CB58</f>
        <v>3.8400000000000318</v>
      </c>
      <c r="CD58" s="266">
        <f>BV58+CC58</f>
        <v>49.930000000000064</v>
      </c>
      <c r="CE58" s="371">
        <f>(CA58*$T$1)+5.6664</f>
        <v>15.081768063410518</v>
      </c>
      <c r="CF58" s="292">
        <f>BX58+CE58</f>
        <v>182.63169626518103</v>
      </c>
      <c r="CG58" s="293">
        <v>261.89999999999998</v>
      </c>
      <c r="CH58" s="295">
        <v>258.12</v>
      </c>
      <c r="CI58" s="266">
        <f>CG58-CH58</f>
        <v>3.7799999999999727</v>
      </c>
      <c r="CJ58" s="266">
        <f>CD58+CI58</f>
        <v>53.710000000000036</v>
      </c>
      <c r="CK58" s="292">
        <f>CI58*$T$1</f>
        <v>13.741347984436702</v>
      </c>
      <c r="CL58" s="292">
        <f>CF58+CK58</f>
        <v>196.37304424961775</v>
      </c>
      <c r="CM58" s="293">
        <v>262.77999999999997</v>
      </c>
      <c r="CN58" s="286">
        <v>258.27999999999997</v>
      </c>
      <c r="CO58" s="266">
        <f>CM58-CN58</f>
        <v>4.5</v>
      </c>
      <c r="CP58" s="266">
        <f>CJ58+CO58</f>
        <v>58.210000000000036</v>
      </c>
      <c r="CQ58" s="292">
        <f>CO58*$T$1</f>
        <v>16.358747600520001</v>
      </c>
      <c r="CR58" s="292">
        <f>CL58+CQ58</f>
        <v>212.73179185013774</v>
      </c>
      <c r="CS58" s="293">
        <v>259.97000000000003</v>
      </c>
      <c r="CT58" s="266">
        <v>255.73</v>
      </c>
      <c r="CU58" s="266">
        <f>CS58-CT58</f>
        <v>4.2400000000000375</v>
      </c>
      <c r="CV58" s="266">
        <f>CP58+CU58</f>
        <v>62.450000000000074</v>
      </c>
      <c r="CW58" s="292">
        <f>CU58*$T$1</f>
        <v>15.413575516934538</v>
      </c>
      <c r="CX58" s="292">
        <f>CR58+CW58</f>
        <v>228.14536736707228</v>
      </c>
      <c r="CY58" s="293">
        <v>258.95999999999998</v>
      </c>
      <c r="CZ58" s="266">
        <v>254.55</v>
      </c>
      <c r="DA58" s="266">
        <f>CY58-CZ58</f>
        <v>4.4099999999999682</v>
      </c>
      <c r="DB58" s="266">
        <f>CV58+DA58</f>
        <v>66.860000000000042</v>
      </c>
      <c r="DC58" s="292">
        <f>DA58*$T$1</f>
        <v>16.031572648509485</v>
      </c>
      <c r="DD58" s="292">
        <f>CX58+DC58</f>
        <v>244.17694001558178</v>
      </c>
      <c r="DE58" s="293">
        <v>257.83</v>
      </c>
      <c r="DG58" s="296">
        <v>0.78</v>
      </c>
      <c r="DH58" s="266">
        <f>DB58+DG58</f>
        <v>67.640000000000043</v>
      </c>
      <c r="DI58" s="292">
        <f>DG58*$T$1</f>
        <v>2.8355162507568004</v>
      </c>
      <c r="DJ58" s="292">
        <f>DD58+DI58</f>
        <v>247.01245626633857</v>
      </c>
      <c r="DK58" s="293">
        <v>257.83</v>
      </c>
      <c r="DQ58" s="293"/>
      <c r="DW58" s="293"/>
      <c r="EC58" s="293"/>
      <c r="ED58" s="266" t="s">
        <v>332</v>
      </c>
    </row>
    <row r="59" spans="1:134" s="266" customFormat="1">
      <c r="A59" s="262" t="s">
        <v>337</v>
      </c>
      <c r="B59" s="263" t="s">
        <v>338</v>
      </c>
      <c r="C59" s="264"/>
      <c r="D59" s="265" t="s">
        <v>26</v>
      </c>
      <c r="E59" s="266" t="s">
        <v>303</v>
      </c>
      <c r="F59" s="290">
        <v>42890</v>
      </c>
      <c r="G59" s="291">
        <v>244.55</v>
      </c>
      <c r="H59" s="286">
        <v>243.09</v>
      </c>
      <c r="I59" s="266">
        <f t="shared" ref="I59" si="641">G59-H59</f>
        <v>1.460000000000008</v>
      </c>
      <c r="J59" s="292">
        <f>I59*T$1</f>
        <v>5.3075047770576287</v>
      </c>
      <c r="K59" s="293">
        <v>249.89</v>
      </c>
      <c r="L59" s="266">
        <v>247.31</v>
      </c>
      <c r="M59" s="266">
        <f t="shared" ref="M59" si="642">K59-L59</f>
        <v>2.5799999999999841</v>
      </c>
      <c r="N59" s="266">
        <f t="shared" ref="N59" si="643">I59+M59</f>
        <v>4.039999999999992</v>
      </c>
      <c r="O59" s="292">
        <f>M59*T$1</f>
        <v>9.3790152909647428</v>
      </c>
      <c r="P59" s="292">
        <f t="shared" ref="P59" si="644">J59+O59</f>
        <v>14.686520068022372</v>
      </c>
      <c r="Q59" s="293">
        <v>251.72</v>
      </c>
      <c r="R59" s="266">
        <v>248.33</v>
      </c>
      <c r="S59" s="266">
        <f t="shared" ref="S59" si="645">Q59-R59</f>
        <v>3.3899999999999864</v>
      </c>
      <c r="T59" s="266">
        <f t="shared" ref="T59" si="646">N59+S59</f>
        <v>7.4299999999999784</v>
      </c>
      <c r="U59" s="292">
        <f>S59*T$1</f>
        <v>12.323589859058352</v>
      </c>
      <c r="V59" s="292">
        <f t="shared" ref="V59" si="647">P59+U59</f>
        <v>27.010109927080723</v>
      </c>
      <c r="W59" s="293">
        <v>253.68</v>
      </c>
      <c r="X59" s="266">
        <v>250.16</v>
      </c>
      <c r="Y59" s="266">
        <f t="shared" ref="Y59" si="648">W59-X59</f>
        <v>3.5200000000000102</v>
      </c>
      <c r="Z59" s="266">
        <f t="shared" ref="Z59" si="649">T59+Y59</f>
        <v>10.949999999999989</v>
      </c>
      <c r="AA59" s="292">
        <f t="shared" ref="AA59" si="650">Y59*$T$1</f>
        <v>12.796175900851237</v>
      </c>
      <c r="AB59" s="292">
        <f t="shared" ref="AB59" si="651">V59+AA59</f>
        <v>39.806285827931958</v>
      </c>
      <c r="AC59" s="293">
        <v>255.01</v>
      </c>
      <c r="AD59" s="266">
        <v>251.07</v>
      </c>
      <c r="AE59" s="266">
        <f t="shared" ref="AE59" si="652">AC59-AD59</f>
        <v>3.9399999999999977</v>
      </c>
      <c r="AF59" s="266">
        <f t="shared" ref="AF59" si="653">Z59+AE59</f>
        <v>14.889999999999986</v>
      </c>
      <c r="AG59" s="292">
        <f>AE59*$T$1</f>
        <v>14.322992343566392</v>
      </c>
      <c r="AH59" s="292">
        <f t="shared" ref="AH59" si="654">AB59+AG59</f>
        <v>54.129278171498349</v>
      </c>
      <c r="AI59" s="293">
        <v>257.29000000000002</v>
      </c>
      <c r="AJ59" s="266">
        <v>253.43</v>
      </c>
      <c r="AK59" s="266">
        <f>AI59-AJ59</f>
        <v>3.8600000000000136</v>
      </c>
      <c r="AL59" s="266">
        <f t="shared" ref="AL59" si="655">AF59+AK59</f>
        <v>18.75</v>
      </c>
      <c r="AM59" s="292">
        <f>AK59*$T$1</f>
        <v>14.03217016400165</v>
      </c>
      <c r="AN59" s="292">
        <f t="shared" ref="AN59" si="656">AH59+AM59</f>
        <v>68.161448335499998</v>
      </c>
      <c r="AO59" s="293">
        <v>259.04000000000002</v>
      </c>
      <c r="AP59" s="266">
        <v>254.98</v>
      </c>
      <c r="AQ59" s="266">
        <f>AO59-AP59-0.75</f>
        <v>3.3100000000000307</v>
      </c>
      <c r="AR59" s="266">
        <f>AL59+AQ59</f>
        <v>22.060000000000031</v>
      </c>
      <c r="AS59" s="292">
        <f>AQ59*$T$1</f>
        <v>12.032767679493713</v>
      </c>
      <c r="AT59" s="292">
        <f>AN59+AS59</f>
        <v>80.194216014993714</v>
      </c>
      <c r="AU59" s="293">
        <v>258.66000000000003</v>
      </c>
      <c r="AV59" s="286">
        <v>254.75</v>
      </c>
      <c r="AW59" s="266">
        <f>AU59-AV59</f>
        <v>3.910000000000025</v>
      </c>
      <c r="AX59" s="266">
        <f t="shared" ref="AX59" si="657">AR59+AW59</f>
        <v>25.970000000000056</v>
      </c>
      <c r="AY59" s="292">
        <f>AW59*$T$1</f>
        <v>14.213934026229692</v>
      </c>
      <c r="AZ59" s="292">
        <f>AT59+AY59</f>
        <v>94.408150041223408</v>
      </c>
      <c r="BA59" s="293">
        <v>259.63</v>
      </c>
      <c r="BB59" s="297">
        <v>255.58</v>
      </c>
      <c r="BC59" s="266">
        <f>BA59-BB59</f>
        <v>4.0499999999999829</v>
      </c>
      <c r="BD59" s="266">
        <f>AX59+BC59</f>
        <v>30.020000000000039</v>
      </c>
      <c r="BE59" s="292">
        <f>BC59*$T$1</f>
        <v>14.722872840467938</v>
      </c>
      <c r="BF59" s="292">
        <f t="shared" ref="BF59" si="658">AZ59+BE59</f>
        <v>109.13102288169135</v>
      </c>
      <c r="BG59" s="293">
        <v>262.12</v>
      </c>
      <c r="BH59" s="297">
        <v>257.8</v>
      </c>
      <c r="BI59" s="266">
        <f t="shared" ref="BI59" si="659">BG59-BH59</f>
        <v>4.3199999999999932</v>
      </c>
      <c r="BJ59" s="266">
        <f t="shared" ref="BJ59" si="660">BD59+BI59</f>
        <v>34.340000000000032</v>
      </c>
      <c r="BK59" s="292">
        <f>BI59*$T$1</f>
        <v>15.704397696499175</v>
      </c>
      <c r="BL59" s="292">
        <f t="shared" ref="BL59" si="661">BF59+BK59</f>
        <v>124.83542057819052</v>
      </c>
      <c r="BM59" s="293">
        <v>262.02</v>
      </c>
      <c r="BN59" s="298">
        <v>257.64999999999998</v>
      </c>
      <c r="BO59" s="266">
        <f>BM59-BN59</f>
        <v>4.3700000000000045</v>
      </c>
      <c r="BP59" s="266">
        <f>BJ59+BO59</f>
        <v>38.710000000000036</v>
      </c>
      <c r="BQ59" s="292">
        <f>BO59*$T$1</f>
        <v>15.886161558727217</v>
      </c>
      <c r="BR59" s="292">
        <f t="shared" ref="BR59" si="662">BL59+BQ59</f>
        <v>140.72158213691773</v>
      </c>
      <c r="BS59" s="293">
        <v>261.48</v>
      </c>
      <c r="BT59" s="297">
        <v>257.57</v>
      </c>
      <c r="BU59" s="266">
        <f>BS59-BT59</f>
        <v>3.910000000000025</v>
      </c>
      <c r="BV59" s="266">
        <f>BP59+BU59</f>
        <v>42.620000000000061</v>
      </c>
      <c r="BW59" s="292">
        <f>BU59*$T$1</f>
        <v>14.213934026229692</v>
      </c>
      <c r="BX59" s="292">
        <f>BR59+BW59</f>
        <v>154.93551616314741</v>
      </c>
      <c r="BY59" s="293">
        <v>262.19</v>
      </c>
      <c r="BZ59" s="266">
        <f>(255.7+6.02)</f>
        <v>261.71999999999997</v>
      </c>
      <c r="CA59" s="299">
        <f>BY59-BZ59</f>
        <v>0.47000000000002728</v>
      </c>
      <c r="CB59" s="294">
        <v>1.95</v>
      </c>
      <c r="CC59" s="294">
        <f>CA59+CB59</f>
        <v>2.4200000000000275</v>
      </c>
      <c r="CD59" s="266">
        <f>BV59+CC59</f>
        <v>45.040000000000092</v>
      </c>
      <c r="CE59" s="371">
        <f>(CA59*$T$1)+8.6306</f>
        <v>10.339180304943298</v>
      </c>
      <c r="CF59" s="292">
        <f>BX59+CE59</f>
        <v>165.27469646809072</v>
      </c>
      <c r="CG59" s="293">
        <v>262.89</v>
      </c>
      <c r="CH59" s="297">
        <v>257.81</v>
      </c>
      <c r="CI59" s="266">
        <f>CG59-CH59</f>
        <v>5.0799999999999841</v>
      </c>
      <c r="CJ59" s="266">
        <f>CD59+CI59</f>
        <v>50.120000000000076</v>
      </c>
      <c r="CK59" s="292">
        <f>CI59*$T$1</f>
        <v>18.467208402364744</v>
      </c>
      <c r="CL59" s="292">
        <f>CF59+CK59</f>
        <v>183.74190487045547</v>
      </c>
      <c r="CM59" s="293">
        <v>260.63</v>
      </c>
      <c r="CN59" s="300">
        <v>256.66000000000003</v>
      </c>
      <c r="CO59" s="266">
        <f>CM59-CN59</f>
        <v>3.9699999999999704</v>
      </c>
      <c r="CP59" s="266">
        <f>CJ59+CO59</f>
        <v>54.090000000000046</v>
      </c>
      <c r="CQ59" s="292">
        <f>CO59*$T$1</f>
        <v>14.432050660903093</v>
      </c>
      <c r="CR59" s="292">
        <f>CL59+CQ59</f>
        <v>198.17395553135856</v>
      </c>
      <c r="CS59" s="293">
        <v>248.35</v>
      </c>
      <c r="CT59" s="266">
        <v>244.11</v>
      </c>
      <c r="CU59" s="266">
        <f>CS59-CT59</f>
        <v>4.2399999999999807</v>
      </c>
      <c r="CV59" s="266">
        <f>CP59+CU59</f>
        <v>58.330000000000027</v>
      </c>
      <c r="CW59" s="292">
        <f>CU59*$T$1</f>
        <v>15.41357551693433</v>
      </c>
      <c r="CX59" s="292">
        <f>CR59+CW59</f>
        <v>213.58753104829287</v>
      </c>
      <c r="CY59" s="293">
        <v>254.62</v>
      </c>
      <c r="CZ59" s="301">
        <v>250.93</v>
      </c>
      <c r="DA59" s="301">
        <f>CY59-CZ59</f>
        <v>3.6899999999999977</v>
      </c>
      <c r="DB59" s="266">
        <f>CV59+DA59</f>
        <v>62.020000000000024</v>
      </c>
      <c r="DC59" s="292">
        <f>DA59*$T$1</f>
        <v>13.414173032426392</v>
      </c>
      <c r="DD59" s="292">
        <f>CX59+DC59</f>
        <v>227.00170408071926</v>
      </c>
      <c r="DE59" s="293">
        <v>264.8</v>
      </c>
      <c r="DG59" s="296">
        <v>0.91</v>
      </c>
      <c r="DH59" s="266">
        <f>DB59+DG59</f>
        <v>62.930000000000021</v>
      </c>
      <c r="DI59" s="292">
        <f>DG59*$T$1</f>
        <v>3.3081022925496004</v>
      </c>
      <c r="DJ59" s="292">
        <f>DD59+DI59</f>
        <v>230.30980637326886</v>
      </c>
      <c r="DK59" s="293">
        <v>264.8</v>
      </c>
      <c r="DQ59" s="293"/>
      <c r="DW59" s="293"/>
      <c r="EC59" s="293"/>
      <c r="ED59" s="266" t="s">
        <v>332</v>
      </c>
    </row>
    <row r="60" spans="1:134" s="266" customFormat="1" ht="15.75">
      <c r="A60" s="262" t="s">
        <v>329</v>
      </c>
      <c r="B60" s="263" t="s">
        <v>330</v>
      </c>
      <c r="C60" s="264"/>
      <c r="D60" s="265" t="s">
        <v>26</v>
      </c>
      <c r="E60" s="266" t="s">
        <v>303</v>
      </c>
      <c r="F60" s="290">
        <v>42890</v>
      </c>
      <c r="G60" s="291">
        <v>244.22</v>
      </c>
      <c r="H60" s="286">
        <v>243.21</v>
      </c>
      <c r="I60" s="266">
        <f>G60-H60</f>
        <v>1.0099999999999909</v>
      </c>
      <c r="J60" s="292">
        <f>I60*T$1</f>
        <v>3.6716300170055671</v>
      </c>
      <c r="K60" s="293">
        <v>248.5</v>
      </c>
      <c r="L60" s="266">
        <v>247.96</v>
      </c>
      <c r="M60" s="266">
        <f>K60-L60</f>
        <v>0.53999999999999204</v>
      </c>
      <c r="N60" s="266">
        <f>I60+M60</f>
        <v>1.5499999999999829</v>
      </c>
      <c r="O60" s="292">
        <f>M60*T$1</f>
        <v>1.9630497120623711</v>
      </c>
      <c r="P60" s="292">
        <f>J60+O60</f>
        <v>5.6346797290679387</v>
      </c>
      <c r="Q60" s="293">
        <v>248.77</v>
      </c>
      <c r="R60" s="266">
        <v>248.2</v>
      </c>
      <c r="S60" s="266">
        <f>Q60-R60</f>
        <v>0.5700000000000216</v>
      </c>
      <c r="T60" s="266">
        <f>N60+S60</f>
        <v>2.1200000000000045</v>
      </c>
      <c r="U60" s="292">
        <f>S60*T$1</f>
        <v>2.0721080293992786</v>
      </c>
      <c r="V60" s="292">
        <f>P60+U60</f>
        <v>7.7067877584672173</v>
      </c>
      <c r="W60" s="293">
        <v>248.2</v>
      </c>
      <c r="X60" s="266">
        <v>247.8</v>
      </c>
      <c r="Y60" s="266">
        <f>W60-X60</f>
        <v>0.39999999999997726</v>
      </c>
      <c r="Z60" s="266">
        <f>T60+Y60</f>
        <v>2.5199999999999818</v>
      </c>
      <c r="AA60" s="292">
        <f>Y60*$T$1</f>
        <v>1.4541108978239174</v>
      </c>
      <c r="AB60" s="292">
        <f>V60+AA60</f>
        <v>9.1608986562911348</v>
      </c>
      <c r="AC60" s="293">
        <v>247.8</v>
      </c>
      <c r="CB60" s="302"/>
      <c r="CC60" s="302"/>
      <c r="CH60" s="297" t="s">
        <v>578</v>
      </c>
      <c r="ED60" s="269" t="s">
        <v>339</v>
      </c>
    </row>
    <row r="61" spans="1:134" s="12" customFormat="1" ht="12" customHeight="1">
      <c r="A61" s="62"/>
      <c r="B61" s="62"/>
      <c r="E61" s="62"/>
      <c r="F61" s="62"/>
      <c r="G61" s="62"/>
      <c r="H61" s="62"/>
      <c r="I61" s="62"/>
      <c r="J61" s="132"/>
      <c r="K61" s="62"/>
      <c r="L61" s="62"/>
      <c r="M61" s="62"/>
      <c r="N61" s="62"/>
      <c r="O61" s="132"/>
      <c r="P61" s="132"/>
      <c r="Q61" s="62"/>
      <c r="R61" s="62"/>
      <c r="S61" s="62"/>
      <c r="T61" s="77"/>
      <c r="U61" s="132"/>
      <c r="V61" s="13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K61" s="62"/>
      <c r="CL61" s="62"/>
      <c r="CQ61" s="62"/>
      <c r="CR61" s="62"/>
      <c r="CS61" s="62"/>
      <c r="CT61" s="62"/>
      <c r="CU61" s="62"/>
      <c r="CV61"/>
      <c r="CW61" s="62"/>
      <c r="CX61" s="62"/>
      <c r="CY61"/>
      <c r="CZ61"/>
      <c r="DA61"/>
      <c r="DB61"/>
      <c r="DC61" s="62"/>
      <c r="DD61" s="62"/>
      <c r="DE61"/>
      <c r="DF61"/>
      <c r="DG61"/>
      <c r="DH61"/>
      <c r="DI61" s="62"/>
      <c r="DJ61" s="62"/>
      <c r="DK61"/>
      <c r="DL61"/>
      <c r="DM61"/>
      <c r="DN61"/>
      <c r="DO61" s="62"/>
      <c r="DP61" s="62"/>
      <c r="DQ61"/>
      <c r="DR61"/>
      <c r="DS61"/>
      <c r="DT61"/>
      <c r="DU61" s="62"/>
      <c r="DV61" s="62"/>
      <c r="DW61"/>
      <c r="DX61"/>
      <c r="DY61"/>
      <c r="DZ61"/>
      <c r="EA61" s="62"/>
      <c r="EB61" s="62"/>
    </row>
    <row r="62" spans="1:134">
      <c r="A62" s="12"/>
      <c r="B62" s="12"/>
      <c r="C62" s="12"/>
      <c r="D62" s="12"/>
      <c r="E62" s="12"/>
      <c r="F62" s="12"/>
      <c r="AV62" s="12"/>
    </row>
    <row r="63" spans="1:134" ht="15.75" customHeight="1">
      <c r="A63" s="55" t="s">
        <v>579</v>
      </c>
      <c r="B63" s="12"/>
      <c r="C63" s="12"/>
      <c r="D63" s="12"/>
      <c r="E63" s="12"/>
      <c r="F63" s="12"/>
    </row>
    <row r="64" spans="1:134" ht="15.75" customHeight="1">
      <c r="A64" s="97"/>
      <c r="B64" s="98" t="s">
        <v>580</v>
      </c>
      <c r="C64" s="99"/>
      <c r="D64" s="100" t="s">
        <v>581</v>
      </c>
      <c r="E64" s="101" t="s">
        <v>582</v>
      </c>
      <c r="F64" s="101" t="s">
        <v>583</v>
      </c>
      <c r="G64" s="101" t="s">
        <v>584</v>
      </c>
      <c r="H64" s="101" t="s">
        <v>585</v>
      </c>
      <c r="I64" s="101" t="s">
        <v>586</v>
      </c>
      <c r="J64" s="101" t="s">
        <v>587</v>
      </c>
      <c r="K64" s="101" t="s">
        <v>588</v>
      </c>
      <c r="L64" s="101" t="s">
        <v>589</v>
      </c>
      <c r="M64" s="101" t="s">
        <v>590</v>
      </c>
      <c r="N64" s="101" t="s">
        <v>591</v>
      </c>
      <c r="O64" s="101" t="s">
        <v>592</v>
      </c>
      <c r="P64" s="101" t="s">
        <v>593</v>
      </c>
      <c r="Q64" s="101" t="s">
        <v>594</v>
      </c>
      <c r="R64" s="101" t="s">
        <v>595</v>
      </c>
      <c r="S64" s="101" t="s">
        <v>596</v>
      </c>
      <c r="T64" s="101" t="s">
        <v>597</v>
      </c>
      <c r="U64" s="101" t="s">
        <v>598</v>
      </c>
      <c r="V64" s="101" t="s">
        <v>599</v>
      </c>
      <c r="W64" s="101" t="s">
        <v>600</v>
      </c>
      <c r="X64" s="113" t="s">
        <v>601</v>
      </c>
      <c r="Y64" s="13" t="s">
        <v>602</v>
      </c>
      <c r="Z64" s="10"/>
      <c r="AA64" s="10"/>
      <c r="AF64" s="10"/>
      <c r="AG64" s="10"/>
    </row>
    <row r="65" spans="1:132" ht="15.75" customHeight="1">
      <c r="A65" s="251" t="s">
        <v>603</v>
      </c>
      <c r="B65" s="102" t="s">
        <v>604</v>
      </c>
      <c r="C65" s="99"/>
      <c r="D65" s="100"/>
      <c r="E65" s="101">
        <f>AVERAGE(I4:I6)</f>
        <v>3.5333333333333314</v>
      </c>
      <c r="F65" s="101">
        <f>AVERAGE(M4)</f>
        <v>4.2600000000000051</v>
      </c>
      <c r="G65" s="101">
        <f>AVERAGE(S4:S6)</f>
        <v>4.3299999999999939</v>
      </c>
      <c r="H65" s="101">
        <f>AVERAGE(Y4:Y6)</f>
        <v>4.3900000000000006</v>
      </c>
      <c r="I65" s="101">
        <v>4.79</v>
      </c>
      <c r="J65" s="101">
        <f>AVERAGE(AK4:AK6)</f>
        <v>4.4966666666666653</v>
      </c>
      <c r="K65" s="101">
        <v>5.05</v>
      </c>
      <c r="L65" s="101">
        <f>AVERAGE(AW4:AW6)</f>
        <v>3.9833333333333294</v>
      </c>
      <c r="M65" s="101">
        <v>4.38</v>
      </c>
      <c r="N65" s="101">
        <f>AVERAGE(BI4:BI6)</f>
        <v>4.096666666666664</v>
      </c>
      <c r="O65" s="101">
        <v>4.96</v>
      </c>
      <c r="P65" s="101">
        <v>5.01</v>
      </c>
      <c r="Q65" s="101">
        <v>5.62</v>
      </c>
      <c r="R65" s="101">
        <v>4.7699999999999996</v>
      </c>
      <c r="S65" s="101">
        <v>3.87</v>
      </c>
      <c r="T65" s="101">
        <v>3.29</v>
      </c>
      <c r="U65" s="101">
        <f>AVERAGE(DA4:DA6)</f>
        <v>4.7533333333333347</v>
      </c>
      <c r="V65" s="101">
        <f>AVERAGE(DG4:DG6)</f>
        <v>5.0266666666666611</v>
      </c>
      <c r="W65" s="101">
        <f>AVERAGE(DM4:DM6)</f>
        <v>4.8333333333333286</v>
      </c>
      <c r="X65" s="101">
        <f>AVERAGE(DS4:DS6)</f>
        <v>3.786666666666664</v>
      </c>
      <c r="Y65"/>
      <c r="Z65" s="10"/>
      <c r="AA65" s="10"/>
      <c r="AB65"/>
      <c r="AF65" s="10"/>
      <c r="AG65" s="10"/>
    </row>
    <row r="66" spans="1:132" ht="15.75" customHeight="1">
      <c r="A66" s="188">
        <v>42587</v>
      </c>
      <c r="B66" s="10" t="s">
        <v>605</v>
      </c>
      <c r="C66" s="103"/>
      <c r="D66" s="104">
        <f t="shared" ref="D66:X66" si="663">D65/24</f>
        <v>0</v>
      </c>
      <c r="E66" s="15">
        <f t="shared" si="663"/>
        <v>0.14722222222222214</v>
      </c>
      <c r="F66" s="15">
        <f t="shared" si="663"/>
        <v>0.17750000000000021</v>
      </c>
      <c r="G66" s="15">
        <f t="shared" si="663"/>
        <v>0.18041666666666642</v>
      </c>
      <c r="H66" s="15">
        <f t="shared" si="663"/>
        <v>0.1829166666666667</v>
      </c>
      <c r="I66" s="15">
        <f t="shared" si="663"/>
        <v>0.19958333333333333</v>
      </c>
      <c r="J66" s="15">
        <f t="shared" si="663"/>
        <v>0.18736111111111106</v>
      </c>
      <c r="K66" s="15">
        <f t="shared" si="663"/>
        <v>0.21041666666666667</v>
      </c>
      <c r="L66" s="15">
        <f t="shared" si="663"/>
        <v>0.16597222222222205</v>
      </c>
      <c r="M66" s="15">
        <f t="shared" si="663"/>
        <v>0.1825</v>
      </c>
      <c r="N66" s="15">
        <f>N65/24</f>
        <v>0.17069444444444434</v>
      </c>
      <c r="O66" s="15">
        <f>O65/24</f>
        <v>0.20666666666666667</v>
      </c>
      <c r="P66" s="15">
        <f t="shared" si="663"/>
        <v>0.20874999999999999</v>
      </c>
      <c r="Q66" s="15">
        <f t="shared" si="663"/>
        <v>0.23416666666666666</v>
      </c>
      <c r="R66" s="15">
        <f>R65/24</f>
        <v>0.19874999999999998</v>
      </c>
      <c r="S66" s="15">
        <f t="shared" si="663"/>
        <v>0.16125</v>
      </c>
      <c r="T66" s="15">
        <f t="shared" si="663"/>
        <v>0.13708333333333333</v>
      </c>
      <c r="U66" s="15">
        <f t="shared" si="663"/>
        <v>0.19805555555555562</v>
      </c>
      <c r="V66" s="15">
        <f t="shared" si="663"/>
        <v>0.20944444444444421</v>
      </c>
      <c r="W66" s="15">
        <f t="shared" si="663"/>
        <v>0.2013888888888887</v>
      </c>
      <c r="X66" s="15">
        <f t="shared" si="663"/>
        <v>0.15777777777777766</v>
      </c>
      <c r="Y66"/>
      <c r="Z66" s="10"/>
      <c r="AA66" s="10"/>
      <c r="AB66"/>
      <c r="AF66" s="10"/>
      <c r="AG66" s="10"/>
      <c r="CU66"/>
      <c r="CV66"/>
    </row>
    <row r="67" spans="1:132" ht="15.75" customHeight="1">
      <c r="A67" s="252"/>
      <c r="B67" s="24" t="s">
        <v>606</v>
      </c>
      <c r="C67" s="105"/>
      <c r="D67" s="106">
        <v>0.22</v>
      </c>
      <c r="E67" s="29">
        <v>0.22</v>
      </c>
      <c r="F67" s="29">
        <v>0.22</v>
      </c>
      <c r="G67" s="29">
        <v>0.22</v>
      </c>
      <c r="H67" s="29">
        <v>0.22</v>
      </c>
      <c r="I67" s="32">
        <v>0.22</v>
      </c>
      <c r="J67" s="32">
        <v>0.22</v>
      </c>
      <c r="K67" s="32">
        <v>0.22</v>
      </c>
      <c r="L67" s="32">
        <v>0.22</v>
      </c>
      <c r="M67" s="32">
        <v>0.22</v>
      </c>
      <c r="N67" s="32">
        <v>0.22</v>
      </c>
      <c r="O67" s="32">
        <v>0.22</v>
      </c>
      <c r="P67" s="32">
        <v>0.23</v>
      </c>
      <c r="Q67" s="32">
        <v>0.23</v>
      </c>
      <c r="R67" s="32">
        <v>0.23</v>
      </c>
      <c r="S67" s="32">
        <v>0.23</v>
      </c>
      <c r="T67" s="32">
        <v>0.23</v>
      </c>
      <c r="U67" s="32">
        <v>0.23</v>
      </c>
      <c r="V67" s="32">
        <v>0.23</v>
      </c>
      <c r="W67" s="32">
        <v>0.23</v>
      </c>
      <c r="X67" s="32">
        <v>0.23</v>
      </c>
      <c r="Y67"/>
      <c r="Z67" s="10"/>
      <c r="AA67" s="10"/>
      <c r="AB67"/>
      <c r="AF67" s="10"/>
      <c r="AG67" s="10"/>
      <c r="CU67"/>
      <c r="CV67"/>
    </row>
    <row r="68" spans="1:132" ht="15.75" customHeight="1">
      <c r="A68" s="253" t="s">
        <v>607</v>
      </c>
      <c r="B68" s="102" t="s">
        <v>604</v>
      </c>
      <c r="C68" s="99"/>
      <c r="D68" s="100"/>
      <c r="E68" s="101">
        <v>4.1260000000000003</v>
      </c>
      <c r="F68" s="101">
        <v>3.867</v>
      </c>
      <c r="G68" s="101">
        <v>4.766</v>
      </c>
      <c r="H68" s="101">
        <v>4.4800000000000004</v>
      </c>
      <c r="I68" s="101">
        <v>4.8899999999999997</v>
      </c>
      <c r="J68" s="101">
        <v>5.32</v>
      </c>
      <c r="K68" s="101">
        <v>5.7329999999999997</v>
      </c>
      <c r="L68" s="101">
        <v>5.726</v>
      </c>
      <c r="M68" s="101">
        <v>4.8600000000000003</v>
      </c>
      <c r="N68" s="101">
        <v>4.8860000000000001</v>
      </c>
      <c r="O68" s="101">
        <v>4.2329999999999997</v>
      </c>
      <c r="P68" s="101">
        <v>4.59</v>
      </c>
      <c r="Q68" s="101">
        <f>AVERAGE(6.44, 5.52, 4.11)</f>
        <v>5.3566666666666665</v>
      </c>
      <c r="R68" s="101">
        <v>4.99</v>
      </c>
      <c r="S68" s="101">
        <v>5.2859999999999996</v>
      </c>
      <c r="T68" s="101">
        <v>4.58</v>
      </c>
      <c r="U68" s="101">
        <v>5.16</v>
      </c>
      <c r="V68" s="101">
        <v>5.5659999999999998</v>
      </c>
      <c r="W68" s="101">
        <v>5.2560000000000002</v>
      </c>
      <c r="X68" s="101">
        <v>4.26</v>
      </c>
      <c r="Y68"/>
      <c r="Z68" s="10"/>
      <c r="AA68" s="10"/>
      <c r="AB68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W68" s="10"/>
      <c r="BX68" s="10"/>
      <c r="CE68" s="10"/>
      <c r="CF68" s="10"/>
      <c r="CK68" s="10"/>
      <c r="CL68" s="10"/>
      <c r="CQ68" s="10"/>
      <c r="CR68" s="10"/>
      <c r="CU68"/>
      <c r="CV68"/>
      <c r="CW68" s="10"/>
      <c r="CX68" s="10"/>
      <c r="DC68" s="10"/>
      <c r="DD68" s="10"/>
      <c r="DI68" s="10"/>
      <c r="DJ68" s="10"/>
      <c r="DO68" s="10"/>
      <c r="DP68" s="10"/>
      <c r="DU68" s="10"/>
      <c r="DV68" s="10"/>
      <c r="EA68" s="10"/>
      <c r="EB68" s="10"/>
    </row>
    <row r="69" spans="1:132" ht="15.75" customHeight="1">
      <c r="A69" s="187">
        <v>42657</v>
      </c>
      <c r="B69" s="10" t="s">
        <v>605</v>
      </c>
      <c r="C69" s="103"/>
      <c r="D69" s="104">
        <v>0</v>
      </c>
      <c r="E69" s="15">
        <f>E68/24</f>
        <v>0.17191666666666669</v>
      </c>
      <c r="F69" s="15">
        <f t="shared" ref="F69:X69" si="664">F68/24</f>
        <v>0.16112499999999999</v>
      </c>
      <c r="G69" s="15">
        <f t="shared" si="664"/>
        <v>0.19858333333333333</v>
      </c>
      <c r="H69" s="15">
        <f t="shared" si="664"/>
        <v>0.18666666666666668</v>
      </c>
      <c r="I69" s="15">
        <f t="shared" si="664"/>
        <v>0.20374999999999999</v>
      </c>
      <c r="J69" s="15">
        <f t="shared" si="664"/>
        <v>0.22166666666666668</v>
      </c>
      <c r="K69" s="15">
        <f t="shared" si="664"/>
        <v>0.23887499999999998</v>
      </c>
      <c r="L69" s="15">
        <f t="shared" si="664"/>
        <v>0.23858333333333334</v>
      </c>
      <c r="M69" s="15">
        <f t="shared" si="664"/>
        <v>0.20250000000000001</v>
      </c>
      <c r="N69" s="15">
        <f t="shared" si="664"/>
        <v>0.20358333333333334</v>
      </c>
      <c r="O69" s="15">
        <f t="shared" si="664"/>
        <v>0.17637499999999998</v>
      </c>
      <c r="P69" s="15">
        <f t="shared" si="664"/>
        <v>0.19125</v>
      </c>
      <c r="Q69" s="15">
        <f t="shared" si="664"/>
        <v>0.22319444444444445</v>
      </c>
      <c r="R69" s="15">
        <f t="shared" si="664"/>
        <v>0.20791666666666667</v>
      </c>
      <c r="S69" s="15">
        <f t="shared" si="664"/>
        <v>0.22024999999999997</v>
      </c>
      <c r="T69" s="15">
        <f t="shared" si="664"/>
        <v>0.19083333333333333</v>
      </c>
      <c r="U69" s="15">
        <f t="shared" si="664"/>
        <v>0.215</v>
      </c>
      <c r="V69" s="15">
        <f t="shared" si="664"/>
        <v>0.23191666666666666</v>
      </c>
      <c r="W69" s="15">
        <f t="shared" si="664"/>
        <v>0.219</v>
      </c>
      <c r="X69" s="15">
        <f t="shared" si="664"/>
        <v>0.17749999999999999</v>
      </c>
      <c r="Y69"/>
      <c r="Z69" s="10"/>
      <c r="AA69" s="10"/>
      <c r="AB69"/>
      <c r="AC69" s="12"/>
      <c r="AD69" s="12"/>
      <c r="AE69" s="12"/>
      <c r="AF69" s="10"/>
      <c r="AG69" s="10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W69" s="12"/>
      <c r="BX69" s="12"/>
      <c r="CE69" s="12"/>
      <c r="CF69" s="12"/>
      <c r="CK69" s="12"/>
      <c r="CL69" s="12"/>
      <c r="CQ69" s="12"/>
      <c r="CR69" s="12"/>
      <c r="CU69"/>
      <c r="CV69"/>
      <c r="CW69" s="12"/>
      <c r="CX69" s="12"/>
      <c r="DC69" s="12"/>
      <c r="DD69" s="12"/>
      <c r="DI69" s="12"/>
      <c r="DJ69" s="12"/>
      <c r="DO69" s="12"/>
      <c r="DP69" s="12"/>
      <c r="DU69" s="12"/>
      <c r="DV69" s="12"/>
      <c r="EA69" s="12"/>
      <c r="EB69" s="12"/>
    </row>
    <row r="70" spans="1:132" ht="15.75" customHeight="1">
      <c r="A70" s="254"/>
      <c r="B70" s="108" t="s">
        <v>606</v>
      </c>
      <c r="C70" s="109"/>
      <c r="D70" s="110">
        <v>0.2</v>
      </c>
      <c r="E70" s="107">
        <v>0.2</v>
      </c>
      <c r="F70" s="111">
        <v>0.2</v>
      </c>
      <c r="G70" s="111">
        <v>0.2</v>
      </c>
      <c r="H70" s="111">
        <v>0.2</v>
      </c>
      <c r="I70" s="111">
        <v>0.22</v>
      </c>
      <c r="J70" s="111">
        <v>0.23</v>
      </c>
      <c r="K70" s="111">
        <v>0.25</v>
      </c>
      <c r="L70" s="111">
        <v>0.25</v>
      </c>
      <c r="M70" s="111">
        <v>0.25</v>
      </c>
      <c r="N70" s="111">
        <v>0.25</v>
      </c>
      <c r="O70" s="111">
        <v>0.25</v>
      </c>
      <c r="P70" s="111">
        <v>0.23</v>
      </c>
      <c r="Q70" s="111">
        <v>0.23</v>
      </c>
      <c r="R70" s="111">
        <v>0.23</v>
      </c>
      <c r="S70" s="111">
        <v>0.23</v>
      </c>
      <c r="T70" s="111">
        <v>0.23</v>
      </c>
      <c r="U70" s="111">
        <v>0.23</v>
      </c>
      <c r="V70" s="111">
        <v>0.24</v>
      </c>
      <c r="W70" s="111">
        <v>0.24</v>
      </c>
      <c r="X70" s="111">
        <v>0.24</v>
      </c>
      <c r="Y70"/>
      <c r="Z70" s="10"/>
      <c r="AA70" s="10"/>
      <c r="AB70"/>
      <c r="AC70" s="12"/>
      <c r="AD70" s="12"/>
      <c r="AE70" s="12"/>
      <c r="AF70" s="10"/>
      <c r="AG70" s="10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W70" s="12"/>
      <c r="BX70" s="12"/>
      <c r="CE70" s="12"/>
      <c r="CF70" s="12"/>
      <c r="CK70" s="12"/>
      <c r="CL70" s="12"/>
      <c r="CQ70" s="12"/>
      <c r="CR70" s="12"/>
      <c r="CU70"/>
      <c r="CV70"/>
      <c r="CW70" s="12"/>
      <c r="CX70" s="12"/>
      <c r="DC70" s="12"/>
      <c r="DD70" s="12"/>
      <c r="DI70" s="12"/>
      <c r="DJ70" s="12"/>
      <c r="DO70" s="12"/>
      <c r="DP70" s="12"/>
      <c r="DU70" s="12"/>
      <c r="DV70" s="12"/>
      <c r="EA70" s="12"/>
      <c r="EB70" s="12"/>
    </row>
    <row r="71" spans="1:132" ht="15.75" customHeight="1">
      <c r="A71" s="253" t="s">
        <v>608</v>
      </c>
      <c r="B71" s="102" t="s">
        <v>604</v>
      </c>
      <c r="C71" s="99"/>
      <c r="D71" s="100"/>
      <c r="E71" s="101">
        <v>3.5339999999999998</v>
      </c>
      <c r="F71" s="101">
        <v>4.13</v>
      </c>
      <c r="G71" s="101">
        <v>4.218</v>
      </c>
      <c r="H71" s="101">
        <v>4.444</v>
      </c>
      <c r="I71" s="101">
        <v>4.766</v>
      </c>
      <c r="J71" s="101">
        <v>4.5519999999999996</v>
      </c>
      <c r="K71" s="101">
        <v>4.93</v>
      </c>
      <c r="L71" s="101">
        <v>3.996</v>
      </c>
      <c r="M71" s="101">
        <v>4.3579999999999997</v>
      </c>
      <c r="N71" s="101">
        <v>4.3440000000000003</v>
      </c>
      <c r="O71" s="101">
        <f>AVERAGE(BO4:BO8)</f>
        <v>5.0199999999999987</v>
      </c>
      <c r="P71" s="101">
        <v>4.74</v>
      </c>
      <c r="Q71" s="101">
        <v>5.2240000000000002</v>
      </c>
      <c r="R71" s="101">
        <v>4.3680000000000003</v>
      </c>
      <c r="S71" s="101">
        <v>3.802</v>
      </c>
      <c r="T71" s="101">
        <v>3.278</v>
      </c>
      <c r="U71" s="101">
        <v>4.3819999999999997</v>
      </c>
      <c r="V71" s="101">
        <v>4.5940000000000003</v>
      </c>
      <c r="W71" s="101">
        <v>4.7560000000000002</v>
      </c>
      <c r="X71" s="229">
        <v>3.6579999999999999</v>
      </c>
      <c r="Y71" s="230"/>
      <c r="Z71" s="10"/>
      <c r="AA71" s="10"/>
      <c r="AB71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W71" s="10"/>
      <c r="BX71" s="10"/>
      <c r="CE71" s="10"/>
      <c r="CF71" s="10"/>
      <c r="CK71" s="10"/>
      <c r="CL71" s="10"/>
      <c r="CQ71" s="10"/>
      <c r="CR71" s="10"/>
      <c r="CU71"/>
      <c r="CV71"/>
      <c r="CW71" s="10"/>
      <c r="CX71" s="10"/>
      <c r="DC71" s="10"/>
      <c r="DD71" s="10"/>
      <c r="DI71" s="10"/>
      <c r="DJ71" s="10"/>
      <c r="DO71" s="10"/>
      <c r="DP71" s="10"/>
      <c r="DU71" s="10"/>
      <c r="DV71" s="10"/>
      <c r="EA71" s="10"/>
      <c r="EB71" s="10"/>
    </row>
    <row r="72" spans="1:132" ht="15.75" customHeight="1">
      <c r="A72" s="187">
        <v>42705</v>
      </c>
      <c r="B72" s="10" t="s">
        <v>605</v>
      </c>
      <c r="C72" s="103"/>
      <c r="D72" s="104">
        <v>0</v>
      </c>
      <c r="E72" s="15">
        <f t="shared" ref="E72:X72" si="665">E71/24</f>
        <v>0.14724999999999999</v>
      </c>
      <c r="F72" s="15">
        <f t="shared" si="665"/>
        <v>0.17208333333333334</v>
      </c>
      <c r="G72" s="15">
        <f t="shared" si="665"/>
        <v>0.17574999999999999</v>
      </c>
      <c r="H72" s="15">
        <f t="shared" si="665"/>
        <v>0.18516666666666667</v>
      </c>
      <c r="I72" s="15">
        <f t="shared" si="665"/>
        <v>0.19858333333333333</v>
      </c>
      <c r="J72" s="15">
        <f t="shared" si="665"/>
        <v>0.18966666666666665</v>
      </c>
      <c r="K72" s="15">
        <f t="shared" si="665"/>
        <v>0.20541666666666666</v>
      </c>
      <c r="L72" s="15">
        <f t="shared" si="665"/>
        <v>0.16650000000000001</v>
      </c>
      <c r="M72" s="15">
        <f t="shared" si="665"/>
        <v>0.18158333333333332</v>
      </c>
      <c r="N72" s="15">
        <f>N71/24</f>
        <v>0.18100000000000002</v>
      </c>
      <c r="O72" s="15">
        <f t="shared" si="665"/>
        <v>0.20916666666666661</v>
      </c>
      <c r="P72" s="15">
        <f t="shared" si="665"/>
        <v>0.19750000000000001</v>
      </c>
      <c r="Q72" s="15">
        <f t="shared" si="665"/>
        <v>0.21766666666666667</v>
      </c>
      <c r="R72" s="15">
        <f>R71/24</f>
        <v>0.18200000000000002</v>
      </c>
      <c r="S72" s="15">
        <f>S71/24</f>
        <v>0.15841666666666668</v>
      </c>
      <c r="T72" s="15">
        <f>T71/24</f>
        <v>0.13658333333333333</v>
      </c>
      <c r="U72" s="15">
        <f t="shared" si="665"/>
        <v>0.18258333333333332</v>
      </c>
      <c r="V72" s="15">
        <f t="shared" si="665"/>
        <v>0.19141666666666668</v>
      </c>
      <c r="W72" s="15">
        <f t="shared" si="665"/>
        <v>0.19816666666666669</v>
      </c>
      <c r="X72" s="15">
        <f t="shared" si="665"/>
        <v>0.15241666666666667</v>
      </c>
      <c r="Y72"/>
      <c r="Z72" s="10"/>
      <c r="AA72" s="10"/>
      <c r="AB72"/>
      <c r="AC72" s="12"/>
      <c r="AD72" s="12"/>
      <c r="AE72" s="12"/>
      <c r="AF72" s="10"/>
      <c r="AG72" s="10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W72" s="12"/>
      <c r="BX72" s="12"/>
      <c r="CE72" s="12"/>
      <c r="CF72" s="12"/>
      <c r="CK72" s="12"/>
      <c r="CL72" s="12"/>
      <c r="CQ72" s="12"/>
      <c r="CR72" s="12"/>
      <c r="CU72"/>
      <c r="CV72"/>
      <c r="CW72" s="12"/>
      <c r="CX72" s="12"/>
      <c r="DC72" s="12"/>
      <c r="DD72" s="12"/>
      <c r="DI72" s="12"/>
      <c r="DJ72" s="12"/>
      <c r="DO72" s="12"/>
      <c r="DP72" s="12"/>
      <c r="DU72" s="12"/>
      <c r="DV72" s="12"/>
      <c r="EA72" s="12"/>
      <c r="EB72" s="12"/>
    </row>
    <row r="73" spans="1:132" ht="15.75" customHeight="1">
      <c r="A73" s="254"/>
      <c r="B73" s="108" t="s">
        <v>606</v>
      </c>
      <c r="C73" s="109"/>
      <c r="D73" s="110">
        <v>0.2</v>
      </c>
      <c r="E73" s="107">
        <v>0.2</v>
      </c>
      <c r="F73" s="111">
        <v>0.2</v>
      </c>
      <c r="G73" s="111">
        <v>0.2</v>
      </c>
      <c r="H73" s="111">
        <v>0.2</v>
      </c>
      <c r="I73" s="111">
        <v>0.21</v>
      </c>
      <c r="J73" s="111">
        <v>0.21</v>
      </c>
      <c r="K73" s="111">
        <v>0.21</v>
      </c>
      <c r="L73" s="111">
        <v>0.21</v>
      </c>
      <c r="M73" s="111">
        <v>0.21</v>
      </c>
      <c r="N73" s="111">
        <v>0.21</v>
      </c>
      <c r="O73" s="111">
        <v>0.21</v>
      </c>
      <c r="P73" s="111">
        <v>0.22</v>
      </c>
      <c r="Q73" s="111">
        <v>0.22</v>
      </c>
      <c r="R73" s="111">
        <v>0.22</v>
      </c>
      <c r="S73" s="111">
        <v>0.22</v>
      </c>
      <c r="T73" s="111">
        <v>0.22</v>
      </c>
      <c r="U73" s="111">
        <v>0.22</v>
      </c>
      <c r="V73" s="111">
        <v>0.22</v>
      </c>
      <c r="W73" s="111">
        <v>0.22</v>
      </c>
      <c r="X73" s="111">
        <v>0.22</v>
      </c>
      <c r="Y73"/>
      <c r="Z73" s="10"/>
      <c r="AA73" s="10"/>
      <c r="AB73"/>
      <c r="AC73" s="12"/>
      <c r="AD73" s="12"/>
      <c r="AE73" s="12"/>
      <c r="AF73" s="10"/>
      <c r="AG73" s="10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W73" s="12"/>
      <c r="BX73" s="12"/>
      <c r="CE73" s="12"/>
      <c r="CF73" s="12"/>
      <c r="CK73" s="12"/>
      <c r="CL73" s="12"/>
      <c r="CQ73" s="12"/>
      <c r="CR73" s="12"/>
      <c r="CU73"/>
      <c r="CV73"/>
      <c r="CW73" s="12"/>
      <c r="CX73" s="12"/>
      <c r="DC73" s="12"/>
      <c r="DD73" s="12"/>
      <c r="DI73" s="12"/>
      <c r="DJ73" s="12"/>
      <c r="DO73" s="12"/>
      <c r="DP73" s="12"/>
      <c r="DU73" s="12"/>
      <c r="DV73" s="12"/>
      <c r="EA73" s="12"/>
      <c r="EB73" s="12"/>
    </row>
    <row r="74" spans="1:132" ht="15.75" customHeight="1">
      <c r="A74" s="253" t="s">
        <v>609</v>
      </c>
      <c r="B74" s="102" t="s">
        <v>604</v>
      </c>
      <c r="C74" s="99"/>
      <c r="D74" s="100"/>
      <c r="E74" s="101">
        <v>3.44</v>
      </c>
      <c r="F74" s="101">
        <v>3.9729999999999999</v>
      </c>
      <c r="G74" s="101">
        <v>4.2770000000000001</v>
      </c>
      <c r="H74" s="101">
        <v>4.4279999999999999</v>
      </c>
      <c r="I74" s="101">
        <v>4.7770000000000001</v>
      </c>
      <c r="J74" s="101">
        <v>4.72</v>
      </c>
      <c r="K74" s="101">
        <v>4.95</v>
      </c>
      <c r="L74" s="101">
        <v>4.2300000000000004</v>
      </c>
      <c r="M74" s="101">
        <v>4.3650000000000002</v>
      </c>
      <c r="N74" s="101">
        <v>4.5199999999999996</v>
      </c>
      <c r="O74" s="101">
        <v>5.2030000000000003</v>
      </c>
      <c r="P74" s="101">
        <v>4.806</v>
      </c>
      <c r="Q74" s="101">
        <v>5.2150000000000079</v>
      </c>
      <c r="R74" s="101">
        <v>4.3899999999999997</v>
      </c>
      <c r="S74" s="101">
        <v>3.895</v>
      </c>
      <c r="T74" s="101">
        <v>3.5950000000000002</v>
      </c>
      <c r="U74" s="101">
        <v>4.6749999999999998</v>
      </c>
      <c r="V74" s="101">
        <v>4.593</v>
      </c>
      <c r="W74" s="101"/>
      <c r="X74" s="101"/>
      <c r="Y74"/>
      <c r="Z74" s="10"/>
      <c r="AA74" s="10"/>
      <c r="AB74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W74" s="10"/>
      <c r="BX74" s="10"/>
      <c r="CE74" s="10"/>
      <c r="CF74" s="10"/>
      <c r="CK74" s="10"/>
      <c r="CL74" s="10"/>
      <c r="CQ74" s="10"/>
      <c r="CR74" s="10"/>
      <c r="CU74"/>
      <c r="CW74" s="10"/>
      <c r="CX74" s="10"/>
      <c r="DC74" s="10"/>
      <c r="DD74" s="10"/>
      <c r="DI74" s="10"/>
      <c r="DJ74" s="10"/>
      <c r="DO74" s="10"/>
      <c r="DP74" s="10"/>
      <c r="DU74" s="10"/>
      <c r="DV74" s="10"/>
      <c r="EA74" s="10"/>
      <c r="EB74" s="10"/>
    </row>
    <row r="75" spans="1:132" ht="15.75" customHeight="1">
      <c r="A75" s="20"/>
      <c r="B75" s="10" t="s">
        <v>605</v>
      </c>
      <c r="C75" s="103"/>
      <c r="D75" s="104">
        <v>0</v>
      </c>
      <c r="E75" s="15">
        <f>E74/24</f>
        <v>0.14333333333333334</v>
      </c>
      <c r="F75" s="15">
        <f t="shared" ref="F75:X75" si="666">F74/24</f>
        <v>0.16554166666666667</v>
      </c>
      <c r="G75" s="15">
        <f t="shared" si="666"/>
        <v>0.17820833333333333</v>
      </c>
      <c r="H75" s="15">
        <f t="shared" si="666"/>
        <v>0.1845</v>
      </c>
      <c r="I75" s="15">
        <f t="shared" si="666"/>
        <v>0.19904166666666667</v>
      </c>
      <c r="J75" s="15">
        <f t="shared" si="666"/>
        <v>0.19666666666666666</v>
      </c>
      <c r="K75" s="15">
        <f t="shared" si="666"/>
        <v>0.20625000000000002</v>
      </c>
      <c r="L75" s="15">
        <f t="shared" si="666"/>
        <v>0.17625000000000002</v>
      </c>
      <c r="M75" s="15">
        <f t="shared" si="666"/>
        <v>0.18187500000000001</v>
      </c>
      <c r="N75" s="15">
        <f t="shared" si="666"/>
        <v>0.18833333333333332</v>
      </c>
      <c r="O75" s="15">
        <f t="shared" si="666"/>
        <v>0.21679166666666669</v>
      </c>
      <c r="P75" s="15">
        <f t="shared" si="666"/>
        <v>0.20025000000000001</v>
      </c>
      <c r="Q75" s="15">
        <f t="shared" si="666"/>
        <v>0.21729166666666699</v>
      </c>
      <c r="R75" s="15">
        <f t="shared" si="666"/>
        <v>0.18291666666666664</v>
      </c>
      <c r="S75" s="15">
        <f t="shared" si="666"/>
        <v>0.16229166666666667</v>
      </c>
      <c r="T75" s="15">
        <f t="shared" si="666"/>
        <v>0.14979166666666668</v>
      </c>
      <c r="U75" s="15">
        <f t="shared" si="666"/>
        <v>0.19479166666666667</v>
      </c>
      <c r="V75" s="15">
        <f t="shared" si="666"/>
        <v>0.19137499999999999</v>
      </c>
      <c r="W75" s="15">
        <f t="shared" si="666"/>
        <v>0</v>
      </c>
      <c r="X75" s="15">
        <f t="shared" si="666"/>
        <v>0</v>
      </c>
      <c r="Y75"/>
      <c r="Z75" s="10"/>
      <c r="AA75" s="10"/>
      <c r="AB75"/>
      <c r="AC75" s="12"/>
      <c r="AD75" s="12"/>
      <c r="AE75" s="12"/>
      <c r="AF75" s="10"/>
      <c r="AG75" s="10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W75" s="12"/>
      <c r="BX75" s="12"/>
      <c r="CE75" s="12"/>
      <c r="CF75" s="12"/>
      <c r="CK75" s="12"/>
      <c r="CL75" s="12"/>
      <c r="CQ75" s="12"/>
      <c r="CR75" s="12"/>
      <c r="CU75"/>
      <c r="CW75" s="12"/>
      <c r="CX75" s="12"/>
      <c r="DC75" s="12"/>
      <c r="DD75" s="12"/>
      <c r="DI75" s="12"/>
      <c r="DJ75" s="12"/>
      <c r="DO75" s="12"/>
      <c r="DP75" s="12"/>
      <c r="DU75" s="12"/>
      <c r="DV75" s="12"/>
      <c r="EA75" s="12"/>
      <c r="EB75" s="12"/>
    </row>
    <row r="76" spans="1:132" ht="15.75" customHeight="1">
      <c r="A76" s="254"/>
      <c r="B76" s="108" t="s">
        <v>606</v>
      </c>
      <c r="C76" s="109"/>
      <c r="D76" s="110">
        <v>0.2</v>
      </c>
      <c r="E76" s="107">
        <v>0.2</v>
      </c>
      <c r="F76" s="111">
        <v>0.2</v>
      </c>
      <c r="G76" s="111">
        <v>0.2</v>
      </c>
      <c r="H76" s="111">
        <v>0.2</v>
      </c>
      <c r="I76" s="111">
        <v>0.21</v>
      </c>
      <c r="J76" s="111">
        <v>0.21</v>
      </c>
      <c r="K76" s="111">
        <v>0.21</v>
      </c>
      <c r="L76" s="111">
        <v>0.21</v>
      </c>
      <c r="M76" s="111">
        <v>0.21</v>
      </c>
      <c r="N76" s="111">
        <v>0.21</v>
      </c>
      <c r="O76" s="111">
        <v>0.22</v>
      </c>
      <c r="P76" s="111">
        <v>0.22</v>
      </c>
      <c r="Q76" s="111">
        <v>0.22</v>
      </c>
      <c r="R76" s="111">
        <v>0.22</v>
      </c>
      <c r="S76" s="111">
        <v>0.22</v>
      </c>
      <c r="T76" s="111">
        <v>0.22</v>
      </c>
      <c r="U76" s="111">
        <v>0.22</v>
      </c>
      <c r="V76" s="111">
        <v>0.23</v>
      </c>
      <c r="W76" s="111"/>
      <c r="X76" s="111"/>
      <c r="Y76"/>
      <c r="Z76" s="10"/>
      <c r="AA76" s="10"/>
      <c r="AB76"/>
      <c r="AC76" s="12"/>
      <c r="AD76" s="12"/>
      <c r="AE76" s="12"/>
      <c r="AF76" s="10"/>
      <c r="AG76" s="10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W76" s="12"/>
      <c r="BX76" s="12"/>
      <c r="CE76" s="12"/>
      <c r="CF76" s="12"/>
      <c r="CK76" s="12"/>
      <c r="CL76" s="12"/>
      <c r="CQ76" s="12"/>
      <c r="CR76" s="12"/>
      <c r="CU76"/>
      <c r="CW76" s="12"/>
      <c r="CX76" s="12"/>
      <c r="DC76" s="12"/>
      <c r="DD76" s="12"/>
      <c r="DI76" s="12"/>
      <c r="DJ76" s="12"/>
      <c r="DO76" s="12"/>
      <c r="DP76" s="12"/>
      <c r="DU76" s="12"/>
      <c r="DV76" s="12"/>
      <c r="EA76" s="12"/>
      <c r="EB76" s="12"/>
    </row>
    <row r="77" spans="1:132" ht="15.75" customHeight="1">
      <c r="A77" s="253" t="s">
        <v>610</v>
      </c>
      <c r="B77" s="102" t="s">
        <v>604</v>
      </c>
      <c r="C77" s="99"/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/>
      <c r="Z77" s="10"/>
      <c r="AA77" s="10"/>
      <c r="AB77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W77" s="10"/>
      <c r="BX77" s="10"/>
      <c r="CE77" s="10"/>
      <c r="CF77" s="10"/>
      <c r="CK77" s="10"/>
      <c r="CL77" s="10"/>
      <c r="CQ77" s="10"/>
      <c r="CR77" s="10"/>
      <c r="CU77"/>
      <c r="CW77" s="10"/>
      <c r="CX77" s="10"/>
      <c r="DC77" s="10"/>
      <c r="DD77" s="10"/>
      <c r="DI77" s="10"/>
      <c r="DJ77" s="10"/>
      <c r="DO77" s="10"/>
      <c r="DP77" s="10"/>
      <c r="DU77" s="10"/>
      <c r="DV77" s="10"/>
      <c r="EA77" s="10"/>
      <c r="EB77" s="10"/>
    </row>
    <row r="78" spans="1:132" ht="15.75" customHeight="1">
      <c r="A78" s="187">
        <v>43112</v>
      </c>
      <c r="B78" s="10" t="s">
        <v>605</v>
      </c>
      <c r="C78" s="103"/>
      <c r="D78" s="104">
        <v>0</v>
      </c>
      <c r="E78" s="15">
        <f>E77/24</f>
        <v>0</v>
      </c>
      <c r="F78" s="15">
        <f t="shared" ref="F78:X78" si="667">F77/24</f>
        <v>0</v>
      </c>
      <c r="G78" s="15">
        <f t="shared" si="667"/>
        <v>0</v>
      </c>
      <c r="H78" s="15">
        <f t="shared" si="667"/>
        <v>0</v>
      </c>
      <c r="I78" s="15">
        <f t="shared" si="667"/>
        <v>0</v>
      </c>
      <c r="J78" s="15">
        <f t="shared" si="667"/>
        <v>0</v>
      </c>
      <c r="K78" s="15">
        <f t="shared" si="667"/>
        <v>0</v>
      </c>
      <c r="L78" s="15">
        <f t="shared" si="667"/>
        <v>0</v>
      </c>
      <c r="M78" s="15">
        <f t="shared" si="667"/>
        <v>0</v>
      </c>
      <c r="N78" s="15">
        <f t="shared" si="667"/>
        <v>0</v>
      </c>
      <c r="O78" s="15">
        <f t="shared" si="667"/>
        <v>0</v>
      </c>
      <c r="P78" s="15">
        <f t="shared" si="667"/>
        <v>0</v>
      </c>
      <c r="Q78" s="15">
        <f t="shared" si="667"/>
        <v>0</v>
      </c>
      <c r="R78" s="15">
        <f t="shared" si="667"/>
        <v>0</v>
      </c>
      <c r="S78" s="15">
        <f t="shared" si="667"/>
        <v>0</v>
      </c>
      <c r="T78" s="15">
        <f t="shared" si="667"/>
        <v>0</v>
      </c>
      <c r="U78" s="15">
        <f t="shared" si="667"/>
        <v>0</v>
      </c>
      <c r="V78" s="15">
        <f t="shared" si="667"/>
        <v>0</v>
      </c>
      <c r="W78" s="15">
        <f t="shared" si="667"/>
        <v>0</v>
      </c>
      <c r="X78" s="15">
        <f t="shared" si="667"/>
        <v>0</v>
      </c>
      <c r="Y78"/>
      <c r="Z78" s="10"/>
      <c r="AA78" s="10"/>
      <c r="AB78"/>
      <c r="AC78" s="12"/>
      <c r="AD78" s="12"/>
      <c r="AE78" s="12"/>
      <c r="AF78" s="10"/>
      <c r="AG78" s="10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W78" s="12"/>
      <c r="BX78" s="12"/>
      <c r="CE78" s="12"/>
      <c r="CF78" s="12"/>
      <c r="CK78" s="12"/>
      <c r="CL78" s="12"/>
      <c r="CQ78" s="12"/>
      <c r="CR78" s="12"/>
      <c r="CU78"/>
      <c r="CW78" s="12"/>
      <c r="CX78" s="12"/>
      <c r="DC78" s="12"/>
      <c r="DD78" s="12"/>
      <c r="DI78" s="12"/>
      <c r="DJ78" s="12"/>
      <c r="DO78" s="12"/>
      <c r="DP78" s="12"/>
      <c r="DU78" s="12"/>
      <c r="DV78" s="12"/>
      <c r="EA78" s="12"/>
      <c r="EB78" s="12"/>
    </row>
    <row r="79" spans="1:132" ht="15.75" customHeight="1">
      <c r="A79" s="254"/>
      <c r="B79" s="108" t="s">
        <v>606</v>
      </c>
      <c r="C79" s="109"/>
      <c r="D79" s="110">
        <v>0.2</v>
      </c>
      <c r="E79" s="107">
        <v>0.2</v>
      </c>
      <c r="F79" s="111">
        <v>0.2</v>
      </c>
      <c r="G79" s="111">
        <v>0.22</v>
      </c>
      <c r="H79" s="111">
        <v>0.22</v>
      </c>
      <c r="I79" s="111">
        <v>0.22</v>
      </c>
      <c r="J79" s="111">
        <v>0.22</v>
      </c>
      <c r="K79" s="111">
        <v>0.22</v>
      </c>
      <c r="L79" s="111"/>
      <c r="M79" s="111"/>
      <c r="N79" s="111"/>
      <c r="O79" s="111"/>
      <c r="P79" s="111">
        <v>0.23</v>
      </c>
      <c r="Q79" s="111"/>
      <c r="R79" s="111"/>
      <c r="S79" s="111"/>
      <c r="T79" s="111"/>
      <c r="U79" s="111"/>
      <c r="V79" s="111"/>
      <c r="W79" s="111"/>
      <c r="X79" s="111"/>
      <c r="Y79"/>
      <c r="Z79" s="10"/>
      <c r="AA79" s="10"/>
      <c r="AB79"/>
      <c r="AC79" s="12"/>
      <c r="AD79" s="12"/>
      <c r="AE79" s="12"/>
      <c r="AF79" s="10"/>
      <c r="AG79" s="10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W79" s="12"/>
      <c r="BX79" s="12"/>
      <c r="CE79" s="12"/>
      <c r="CF79" s="12"/>
      <c r="CK79" s="12"/>
      <c r="CL79" s="12"/>
      <c r="CQ79" s="12"/>
      <c r="CR79" s="12"/>
      <c r="CU79"/>
      <c r="CW79" s="12"/>
      <c r="CX79" s="12"/>
      <c r="DC79" s="12"/>
      <c r="DD79" s="12"/>
      <c r="DI79" s="12"/>
      <c r="DJ79" s="12"/>
      <c r="DO79" s="12"/>
      <c r="DP79" s="12"/>
      <c r="DU79" s="12"/>
      <c r="DV79" s="12"/>
      <c r="EA79" s="12"/>
      <c r="EB79" s="12"/>
    </row>
    <row r="80" spans="1:132" ht="15.75" customHeight="1">
      <c r="A80" s="253" t="s">
        <v>611</v>
      </c>
      <c r="B80" s="102" t="s">
        <v>604</v>
      </c>
      <c r="C80" s="99"/>
      <c r="D80" s="100"/>
      <c r="E80" s="101"/>
      <c r="F80" s="101"/>
      <c r="G80" s="101"/>
      <c r="H80" s="101">
        <v>4.444</v>
      </c>
      <c r="I80" s="101">
        <v>4.766</v>
      </c>
      <c r="J80" s="101">
        <v>4.46</v>
      </c>
      <c r="K80" s="101">
        <v>4.93</v>
      </c>
      <c r="L80" s="101">
        <v>3.9959999999999951</v>
      </c>
      <c r="M80" s="101"/>
      <c r="N80" s="101">
        <v>4.3439999999999968</v>
      </c>
      <c r="O80" s="101">
        <v>5.0199999999999987</v>
      </c>
      <c r="P80" s="101">
        <v>4.74</v>
      </c>
      <c r="Q80" s="101"/>
      <c r="R80" s="101"/>
      <c r="S80" s="101">
        <v>3.8019999999999952</v>
      </c>
      <c r="T80" s="101"/>
      <c r="U80" s="101"/>
      <c r="V80" s="101"/>
      <c r="W80" s="101"/>
      <c r="X80" s="101"/>
      <c r="Y80"/>
      <c r="Z80" s="10"/>
      <c r="AA80" s="10"/>
      <c r="AB8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W80" s="10"/>
      <c r="BX80" s="10"/>
      <c r="CE80" s="10"/>
      <c r="CF80" s="10"/>
      <c r="CK80" s="10"/>
      <c r="CL80" s="10"/>
      <c r="CQ80" s="10"/>
      <c r="CR80" s="10"/>
      <c r="CU80"/>
      <c r="CW80" s="10"/>
      <c r="CX80" s="10"/>
      <c r="DC80" s="10"/>
      <c r="DD80" s="10"/>
      <c r="DI80" s="10"/>
      <c r="DJ80" s="10"/>
      <c r="DO80" s="10"/>
      <c r="DP80" s="10"/>
      <c r="DU80" s="10"/>
      <c r="DV80" s="10"/>
      <c r="EA80" s="10"/>
      <c r="EB80" s="10"/>
    </row>
    <row r="81" spans="1:132" ht="15.75" customHeight="1">
      <c r="A81" s="187">
        <v>43203</v>
      </c>
      <c r="B81" s="10" t="s">
        <v>605</v>
      </c>
      <c r="C81" s="103"/>
      <c r="D81" s="104">
        <v>0</v>
      </c>
      <c r="E81" s="15">
        <f>E80/24</f>
        <v>0</v>
      </c>
      <c r="F81" s="15">
        <f t="shared" ref="F81:V81" si="668">F80/24</f>
        <v>0</v>
      </c>
      <c r="G81" s="15">
        <f t="shared" si="668"/>
        <v>0</v>
      </c>
      <c r="H81" s="15">
        <f t="shared" si="668"/>
        <v>0.18516666666666667</v>
      </c>
      <c r="I81" s="15">
        <f t="shared" si="668"/>
        <v>0.19858333333333333</v>
      </c>
      <c r="J81" s="15">
        <f t="shared" si="668"/>
        <v>0.18583333333333332</v>
      </c>
      <c r="K81" s="15">
        <f t="shared" si="668"/>
        <v>0.20541666666666666</v>
      </c>
      <c r="L81" s="15">
        <f t="shared" si="668"/>
        <v>0.16649999999999979</v>
      </c>
      <c r="M81" s="15">
        <f t="shared" si="668"/>
        <v>0</v>
      </c>
      <c r="N81" s="15">
        <f t="shared" si="668"/>
        <v>0.18099999999999986</v>
      </c>
      <c r="O81" s="15">
        <f t="shared" si="668"/>
        <v>0.20916666666666661</v>
      </c>
      <c r="P81" s="15">
        <f t="shared" si="668"/>
        <v>0.19750000000000001</v>
      </c>
      <c r="Q81" s="15">
        <f t="shared" si="668"/>
        <v>0</v>
      </c>
      <c r="R81" s="15">
        <f t="shared" si="668"/>
        <v>0</v>
      </c>
      <c r="S81" s="15">
        <f t="shared" si="668"/>
        <v>0.15841666666666646</v>
      </c>
      <c r="T81" s="15">
        <f t="shared" si="668"/>
        <v>0</v>
      </c>
      <c r="U81" s="15">
        <f t="shared" si="668"/>
        <v>0</v>
      </c>
      <c r="V81" s="15">
        <f t="shared" si="668"/>
        <v>0</v>
      </c>
      <c r="W81" s="15">
        <f>W80/24</f>
        <v>0</v>
      </c>
      <c r="X81" s="15">
        <f>X80/24</f>
        <v>0</v>
      </c>
      <c r="Y81"/>
      <c r="Z81" s="10"/>
      <c r="AA81" s="10"/>
      <c r="AB81"/>
      <c r="AC81" s="12"/>
      <c r="AD81" s="12"/>
      <c r="AE81" s="12"/>
      <c r="AF81" s="10"/>
      <c r="AG81" s="10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W81" s="12"/>
      <c r="BX81" s="12"/>
      <c r="CE81" s="12"/>
      <c r="CF81" s="12"/>
      <c r="CK81" s="12"/>
      <c r="CL81" s="12"/>
      <c r="CQ81" s="12"/>
      <c r="CR81" s="12"/>
      <c r="CU81"/>
      <c r="CW81" s="12"/>
      <c r="CX81" s="12"/>
      <c r="DC81" s="12"/>
      <c r="DD81" s="12"/>
      <c r="DI81" s="12"/>
      <c r="DJ81" s="12"/>
      <c r="DO81" s="12"/>
      <c r="DP81" s="12"/>
      <c r="DU81" s="12"/>
      <c r="DV81" s="12"/>
      <c r="EA81" s="12"/>
      <c r="EB81" s="12"/>
    </row>
    <row r="82" spans="1:132" ht="15.75" customHeight="1">
      <c r="A82" s="254"/>
      <c r="B82" s="108" t="s">
        <v>606</v>
      </c>
      <c r="C82" s="109"/>
      <c r="D82" s="110">
        <v>0.2</v>
      </c>
      <c r="E82" s="107">
        <v>0.2</v>
      </c>
      <c r="F82" s="111">
        <v>0.2</v>
      </c>
      <c r="G82" s="111">
        <v>0.2</v>
      </c>
      <c r="H82" s="111">
        <v>0.2</v>
      </c>
      <c r="I82" s="111">
        <v>0.2</v>
      </c>
      <c r="J82" s="111">
        <v>0.2</v>
      </c>
      <c r="K82" s="111">
        <v>0.21</v>
      </c>
      <c r="L82" s="111">
        <v>0.21</v>
      </c>
      <c r="M82" s="111">
        <v>0.21</v>
      </c>
      <c r="N82" s="111">
        <v>0.21</v>
      </c>
      <c r="O82" s="111">
        <v>0.21</v>
      </c>
      <c r="P82" s="111">
        <v>0.21</v>
      </c>
      <c r="Q82" s="111">
        <v>0.21</v>
      </c>
      <c r="R82" s="111">
        <v>0.21</v>
      </c>
      <c r="S82" s="111">
        <v>0.21</v>
      </c>
      <c r="T82" s="111"/>
      <c r="U82" s="111"/>
      <c r="V82" s="111"/>
      <c r="W82" s="111"/>
      <c r="X82" s="111"/>
      <c r="Y82"/>
      <c r="Z82" s="10"/>
      <c r="AA82" s="10"/>
      <c r="AB82"/>
      <c r="AC82" s="12"/>
      <c r="AD82" s="12"/>
      <c r="AE82" s="12"/>
      <c r="AF82" s="10"/>
      <c r="AG82" s="10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W82" s="12"/>
      <c r="BX82" s="12"/>
      <c r="CE82" s="12"/>
      <c r="CF82" s="12"/>
      <c r="CK82" s="12"/>
      <c r="CL82" s="12"/>
      <c r="CQ82" s="12"/>
      <c r="CR82" s="12"/>
      <c r="CU82"/>
      <c r="CW82" s="12"/>
      <c r="CX82" s="12"/>
      <c r="DC82" s="12"/>
      <c r="DD82" s="12"/>
      <c r="DI82" s="12"/>
      <c r="DJ82" s="12"/>
      <c r="DO82" s="12"/>
      <c r="DP82" s="12"/>
      <c r="DU82" s="12"/>
      <c r="DV82" s="12"/>
      <c r="EA82" s="12"/>
      <c r="EB82" s="12"/>
    </row>
    <row r="83" spans="1:132" ht="15.75" customHeight="1">
      <c r="A83" s="253" t="s">
        <v>612</v>
      </c>
      <c r="B83" s="102" t="s">
        <v>604</v>
      </c>
      <c r="C83" s="99"/>
      <c r="D83" s="100"/>
      <c r="E83" s="101"/>
      <c r="F83" s="101">
        <v>4.1299999999999981</v>
      </c>
      <c r="G83" s="101">
        <v>4.2179999999999982</v>
      </c>
      <c r="H83" s="101">
        <v>4.4439999999999973</v>
      </c>
      <c r="I83" s="101">
        <v>4.7659999999999965</v>
      </c>
      <c r="J83" s="101">
        <v>4.46</v>
      </c>
      <c r="K83" s="101">
        <v>4.93</v>
      </c>
      <c r="L83" s="101">
        <v>3.996</v>
      </c>
      <c r="M83" s="101">
        <v>4.3579999999999997</v>
      </c>
      <c r="N83" s="101">
        <v>4.3440000000000003</v>
      </c>
      <c r="O83" s="101">
        <v>5.0199999999999996</v>
      </c>
      <c r="P83" s="101">
        <v>4.74</v>
      </c>
      <c r="Q83" s="101">
        <v>5.2240000000000002</v>
      </c>
      <c r="R83" s="101">
        <v>4.3680000000000003</v>
      </c>
      <c r="S83" s="101">
        <v>3.802</v>
      </c>
      <c r="T83" s="101">
        <v>3.278</v>
      </c>
      <c r="U83" s="101">
        <v>4.3819999999999997</v>
      </c>
      <c r="V83" s="101">
        <v>4.5940000000000003</v>
      </c>
      <c r="W83" s="101">
        <v>4.7560000000000002</v>
      </c>
      <c r="X83" s="229">
        <v>3.6579999999999999</v>
      </c>
      <c r="Y83" s="397"/>
      <c r="Z83" s="10"/>
      <c r="AA83" s="10"/>
      <c r="AB83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W83" s="10"/>
      <c r="BX83" s="10"/>
      <c r="CE83" s="10"/>
      <c r="CF83" s="10"/>
      <c r="CK83" s="10"/>
      <c r="CL83" s="10"/>
      <c r="CQ83" s="10"/>
      <c r="CR83" s="10"/>
      <c r="CU83"/>
      <c r="CW83" s="10"/>
      <c r="CX83" s="10"/>
      <c r="DC83" s="10"/>
      <c r="DD83" s="10"/>
      <c r="DI83" s="10"/>
      <c r="DJ83" s="10"/>
      <c r="DO83" s="10"/>
      <c r="DP83" s="10"/>
      <c r="DU83" s="10"/>
      <c r="DV83" s="10"/>
      <c r="EA83" s="10"/>
      <c r="EB83" s="10"/>
    </row>
    <row r="84" spans="1:132" ht="15.75" customHeight="1">
      <c r="A84" s="187">
        <v>43287</v>
      </c>
      <c r="B84" s="10" t="s">
        <v>605</v>
      </c>
      <c r="C84" s="103"/>
      <c r="D84" s="104">
        <v>0</v>
      </c>
      <c r="E84" s="15">
        <f>E83/24</f>
        <v>0</v>
      </c>
      <c r="F84" s="15">
        <f t="shared" ref="F84:V84" si="669">F83/24</f>
        <v>0.17208333333333325</v>
      </c>
      <c r="G84" s="15">
        <f t="shared" si="669"/>
        <v>0.17574999999999993</v>
      </c>
      <c r="H84" s="15">
        <f t="shared" si="669"/>
        <v>0.18516666666666656</v>
      </c>
      <c r="I84" s="15">
        <f t="shared" si="669"/>
        <v>0.1985833333333332</v>
      </c>
      <c r="J84" s="15">
        <f t="shared" si="669"/>
        <v>0.18583333333333332</v>
      </c>
      <c r="K84" s="15">
        <f t="shared" si="669"/>
        <v>0.20541666666666666</v>
      </c>
      <c r="L84" s="15">
        <f t="shared" si="669"/>
        <v>0.16650000000000001</v>
      </c>
      <c r="M84" s="15">
        <f t="shared" si="669"/>
        <v>0.18158333333333332</v>
      </c>
      <c r="N84" s="15">
        <f t="shared" si="669"/>
        <v>0.18100000000000002</v>
      </c>
      <c r="O84" s="15">
        <f t="shared" si="669"/>
        <v>0.20916666666666664</v>
      </c>
      <c r="P84" s="15">
        <f t="shared" si="669"/>
        <v>0.19750000000000001</v>
      </c>
      <c r="Q84" s="15">
        <f t="shared" si="669"/>
        <v>0.21766666666666667</v>
      </c>
      <c r="R84" s="15">
        <f t="shared" si="669"/>
        <v>0.18200000000000002</v>
      </c>
      <c r="S84" s="15">
        <f t="shared" si="669"/>
        <v>0.15841666666666668</v>
      </c>
      <c r="T84" s="15">
        <f t="shared" si="669"/>
        <v>0.13658333333333333</v>
      </c>
      <c r="U84" s="15">
        <f t="shared" si="669"/>
        <v>0.18258333333333332</v>
      </c>
      <c r="V84" s="15">
        <f t="shared" si="669"/>
        <v>0.19141666666666668</v>
      </c>
      <c r="W84" s="15">
        <f>W83/24</f>
        <v>0.19816666666666669</v>
      </c>
      <c r="X84" s="15">
        <f>X83/24</f>
        <v>0.15241666666666667</v>
      </c>
      <c r="Y84"/>
      <c r="Z84" s="10"/>
      <c r="AA84" s="10"/>
      <c r="AB84"/>
      <c r="AC84" s="12"/>
      <c r="AD84" s="12"/>
      <c r="AE84" s="12"/>
      <c r="AF84" s="10"/>
      <c r="AG84" s="10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W84" s="12"/>
      <c r="BX84" s="12"/>
      <c r="CE84" s="12"/>
      <c r="CF84" s="12"/>
      <c r="CK84" s="12"/>
      <c r="CL84" s="12"/>
      <c r="CQ84" s="12"/>
      <c r="CR84" s="12"/>
      <c r="CU84"/>
      <c r="CW84" s="12"/>
      <c r="CX84" s="12"/>
      <c r="DC84" s="12"/>
      <c r="DD84" s="12"/>
      <c r="DI84" s="12"/>
      <c r="DJ84" s="12"/>
      <c r="DO84" s="12"/>
      <c r="DP84" s="12"/>
      <c r="DU84" s="12"/>
      <c r="DV84" s="12"/>
      <c r="EA84" s="12"/>
      <c r="EB84" s="12"/>
    </row>
    <row r="85" spans="1:132" ht="15.75" customHeight="1">
      <c r="A85" s="254"/>
      <c r="B85" s="108" t="s">
        <v>606</v>
      </c>
      <c r="C85" s="109"/>
      <c r="D85" s="110">
        <v>0.2</v>
      </c>
      <c r="E85" s="107">
        <v>0.2</v>
      </c>
      <c r="F85" s="111">
        <v>0.2</v>
      </c>
      <c r="G85" s="111">
        <v>0.2</v>
      </c>
      <c r="H85" s="111">
        <v>0.2</v>
      </c>
      <c r="I85" s="111">
        <v>0.2</v>
      </c>
      <c r="J85" s="111">
        <v>0.2</v>
      </c>
      <c r="K85" s="111">
        <v>0.21</v>
      </c>
      <c r="L85" s="111">
        <v>0.21</v>
      </c>
      <c r="M85" s="111">
        <v>0.21</v>
      </c>
      <c r="N85" s="111">
        <v>0.21</v>
      </c>
      <c r="O85" s="111">
        <v>0.21</v>
      </c>
      <c r="P85" s="111">
        <v>0.22</v>
      </c>
      <c r="Q85" s="111">
        <v>0.22</v>
      </c>
      <c r="R85" s="111">
        <v>0.22</v>
      </c>
      <c r="S85" s="111">
        <v>0.22</v>
      </c>
      <c r="T85" s="111">
        <v>0.22</v>
      </c>
      <c r="U85" s="111">
        <v>0.22</v>
      </c>
      <c r="V85" s="111">
        <v>0.22</v>
      </c>
      <c r="W85" s="111">
        <v>0.22</v>
      </c>
      <c r="X85" s="111">
        <v>0.22</v>
      </c>
      <c r="Y85"/>
      <c r="Z85" s="10"/>
      <c r="AA85" s="10"/>
      <c r="AB85"/>
      <c r="AC85" s="12"/>
      <c r="AD85" s="12"/>
      <c r="AE85" s="12"/>
      <c r="AF85" s="10"/>
      <c r="AG85" s="10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W85" s="12"/>
      <c r="BX85" s="12"/>
      <c r="CE85" s="12"/>
      <c r="CF85" s="12"/>
      <c r="CK85" s="12"/>
      <c r="CL85" s="12"/>
      <c r="CQ85" s="12"/>
      <c r="CR85" s="12"/>
      <c r="CU85"/>
      <c r="CW85" s="12"/>
      <c r="CX85" s="12"/>
      <c r="DC85" s="12"/>
      <c r="DD85" s="12"/>
      <c r="DI85" s="12"/>
      <c r="DJ85" s="12"/>
      <c r="DO85" s="12"/>
      <c r="DP85" s="12"/>
      <c r="DU85" s="12"/>
      <c r="DV85" s="12"/>
      <c r="EA85" s="12"/>
      <c r="EB85" s="12"/>
    </row>
    <row r="86" spans="1:132" ht="15.75" customHeight="1">
      <c r="A86" s="253" t="s">
        <v>613</v>
      </c>
      <c r="B86" s="102" t="s">
        <v>604</v>
      </c>
      <c r="C86" s="99"/>
      <c r="D86" s="100"/>
      <c r="E86" s="101">
        <f>AVERAGE(I11:I13)</f>
        <v>3.703333333333338</v>
      </c>
      <c r="F86" s="101">
        <f>AVERAGE(M11:M13)</f>
        <v>3.6966666666666677</v>
      </c>
      <c r="G86" s="101">
        <f>AVERAGE(S11:S13)</f>
        <v>3.4199999999999968</v>
      </c>
      <c r="H86" s="101">
        <f>AVERAGE(Y11:Y13)</f>
        <v>3.2633333333333305</v>
      </c>
      <c r="I86" s="101">
        <f>AVERAGE(AE11:AE13)</f>
        <v>2.7466666666666648</v>
      </c>
      <c r="J86" s="101">
        <f>AVERAGE(AK11:AK13)</f>
        <v>4.2466666666666599</v>
      </c>
      <c r="K86" s="101">
        <f>AVERAGE(AQ11:AQ13)</f>
        <v>4.7566666666666704</v>
      </c>
      <c r="L86" s="101">
        <f>AVERAGE(AW11:AW13)</f>
        <v>4.4233333333333276</v>
      </c>
      <c r="M86" s="101">
        <f>AVERAGE(BC11:BC13)</f>
        <v>4.8833333333333355</v>
      </c>
      <c r="N86" s="101">
        <f>AVERAGE(BI11:BI13)</f>
        <v>4.403333333333336</v>
      </c>
      <c r="O86" s="101">
        <f>AVERAGE(BO11:BO13)</f>
        <v>4.6066666666666549</v>
      </c>
      <c r="P86" s="101">
        <f>AVERAGE(BU11:BU13)</f>
        <v>4.1299999999999955</v>
      </c>
      <c r="Q86" s="101">
        <f>AVERAGE(CC11:CC13)</f>
        <v>4.9600000000000026</v>
      </c>
      <c r="R86" s="101">
        <f>AVERAGE(CI11:CI13)</f>
        <v>2.9633333333333383</v>
      </c>
      <c r="S86" s="101">
        <f>AVERAGE(CO11:CO13)</f>
        <v>4.0566666666666622</v>
      </c>
      <c r="T86" s="101">
        <f>AVERAGE(CU11:CU13)</f>
        <v>3.9133333333333269</v>
      </c>
      <c r="U86" s="101">
        <f>AVERAGE(DA11:DA13)</f>
        <v>3.5066666666666606</v>
      </c>
      <c r="V86" s="101">
        <f>AVERAGE(DG11:DG13)</f>
        <v>3.7300000000000089</v>
      </c>
      <c r="W86" s="101">
        <f>AVERAGE(DM11:DM13)</f>
        <v>4.1700000000000061</v>
      </c>
      <c r="X86" s="101">
        <f>AVERAGE(DS11:DS13)</f>
        <v>3.960000000000008</v>
      </c>
      <c r="Y86" s="397"/>
      <c r="Z86" s="10"/>
      <c r="AA86" s="10"/>
      <c r="AB86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W86" s="10"/>
      <c r="BX86" s="10"/>
      <c r="CE86" s="10"/>
      <c r="CF86" s="10"/>
      <c r="CK86" s="10"/>
      <c r="CL86" s="10"/>
      <c r="CQ86" s="10"/>
      <c r="CR86" s="10"/>
      <c r="CU86"/>
      <c r="CW86" s="10"/>
      <c r="CX86" s="10"/>
      <c r="DC86" s="10"/>
      <c r="DD86" s="10"/>
      <c r="DI86" s="10"/>
      <c r="DJ86" s="10"/>
      <c r="DO86" s="10"/>
      <c r="DP86" s="10"/>
      <c r="DU86" s="10"/>
      <c r="DV86" s="10"/>
      <c r="EA86" s="10"/>
      <c r="EB86" s="10"/>
    </row>
    <row r="87" spans="1:132" ht="15.75" customHeight="1">
      <c r="A87" s="187">
        <v>43742</v>
      </c>
      <c r="B87" s="10" t="s">
        <v>605</v>
      </c>
      <c r="C87" s="103"/>
      <c r="D87" s="104">
        <v>0</v>
      </c>
      <c r="E87" s="15">
        <f>E86/24</f>
        <v>0.15430555555555575</v>
      </c>
      <c r="F87" s="15">
        <f>F86/24</f>
        <v>0.15402777777777782</v>
      </c>
      <c r="G87" s="15">
        <f t="shared" ref="G87:U87" si="670">G86/24</f>
        <v>0.14249999999999988</v>
      </c>
      <c r="H87" s="15">
        <f t="shared" ref="H87:I87" si="671">H86/24</f>
        <v>0.13597222222222211</v>
      </c>
      <c r="I87" s="15">
        <f t="shared" si="671"/>
        <v>0.11444444444444436</v>
      </c>
      <c r="J87" s="15">
        <f t="shared" ref="J87:K87" si="672">J86/24</f>
        <v>0.17694444444444415</v>
      </c>
      <c r="K87" s="15">
        <f t="shared" si="672"/>
        <v>0.19819444444444459</v>
      </c>
      <c r="L87" s="15">
        <f t="shared" ref="L87:M87" si="673">L86/24</f>
        <v>0.18430555555555531</v>
      </c>
      <c r="M87" s="15">
        <f t="shared" si="673"/>
        <v>0.2034722222222223</v>
      </c>
      <c r="N87" s="15">
        <f t="shared" si="670"/>
        <v>0.18347222222222234</v>
      </c>
      <c r="O87" s="15">
        <f t="shared" ref="O87:P87" si="674">O86/24</f>
        <v>0.19194444444444395</v>
      </c>
      <c r="P87" s="15">
        <f t="shared" si="674"/>
        <v>0.17208333333333314</v>
      </c>
      <c r="Q87" s="15">
        <f t="shared" ref="Q87:R87" si="675">Q86/24</f>
        <v>0.20666666666666678</v>
      </c>
      <c r="R87" s="15">
        <f t="shared" si="675"/>
        <v>0.12347222222222243</v>
      </c>
      <c r="S87" s="15">
        <f t="shared" ref="S87:T87" si="676">S86/24</f>
        <v>0.16902777777777758</v>
      </c>
      <c r="T87" s="15">
        <f t="shared" si="676"/>
        <v>0.16305555555555529</v>
      </c>
      <c r="U87" s="15">
        <f t="shared" si="670"/>
        <v>0.14611111111111086</v>
      </c>
      <c r="V87" s="15">
        <f t="shared" ref="V87" si="677">V86/24</f>
        <v>0.15541666666666704</v>
      </c>
      <c r="W87" s="15">
        <f t="shared" ref="W87:X87" si="678">W86/24</f>
        <v>0.17375000000000027</v>
      </c>
      <c r="X87" s="15">
        <f t="shared" si="678"/>
        <v>0.16500000000000034</v>
      </c>
      <c r="Y87"/>
      <c r="Z87" s="10"/>
      <c r="AA87" s="10"/>
      <c r="AB87"/>
      <c r="AC87" s="12"/>
      <c r="AD87" s="12"/>
      <c r="AE87" s="12"/>
      <c r="AF87" s="10"/>
      <c r="AG87" s="10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W87" s="12"/>
      <c r="BX87" s="12"/>
      <c r="CE87" s="12"/>
      <c r="CF87" s="12"/>
      <c r="CK87" s="12"/>
      <c r="CL87" s="12"/>
      <c r="CQ87" s="12"/>
      <c r="CR87" s="12"/>
      <c r="CU87"/>
      <c r="CW87" s="12"/>
      <c r="CX87" s="12"/>
      <c r="DC87" s="12"/>
      <c r="DD87" s="12"/>
      <c r="DI87" s="12"/>
      <c r="DJ87" s="12"/>
      <c r="DO87" s="12"/>
      <c r="DP87" s="12"/>
      <c r="DU87" s="12"/>
      <c r="DV87" s="12"/>
      <c r="EA87" s="12"/>
      <c r="EB87" s="12"/>
    </row>
    <row r="88" spans="1:132" ht="15.75" customHeight="1">
      <c r="A88" s="254"/>
      <c r="B88" s="108" t="s">
        <v>606</v>
      </c>
      <c r="C88" s="109"/>
      <c r="D88" s="110">
        <v>0.2</v>
      </c>
      <c r="E88" s="107">
        <v>0.2</v>
      </c>
      <c r="F88" s="111">
        <v>0.2</v>
      </c>
      <c r="G88" s="111">
        <v>0.2</v>
      </c>
      <c r="H88" s="111">
        <v>0.2</v>
      </c>
      <c r="I88" s="111">
        <v>0.2</v>
      </c>
      <c r="J88" s="111">
        <v>0.2</v>
      </c>
      <c r="K88" s="111">
        <v>0.2</v>
      </c>
      <c r="L88" s="111">
        <v>0.22</v>
      </c>
      <c r="M88" s="111">
        <v>0.22</v>
      </c>
      <c r="N88" s="111">
        <v>0.22</v>
      </c>
      <c r="O88" s="111">
        <v>0.22</v>
      </c>
      <c r="P88" s="111">
        <v>0.22</v>
      </c>
      <c r="Q88" s="111">
        <v>0.22</v>
      </c>
      <c r="R88" s="111">
        <v>0.22</v>
      </c>
      <c r="S88" s="111">
        <v>0.22</v>
      </c>
      <c r="T88" s="111">
        <v>0.22</v>
      </c>
      <c r="U88" s="111">
        <v>0.22</v>
      </c>
      <c r="V88" s="111">
        <v>0.22</v>
      </c>
      <c r="W88" s="111">
        <v>0.22</v>
      </c>
      <c r="X88" s="111">
        <v>0.22</v>
      </c>
      <c r="Y88"/>
      <c r="Z88" s="10"/>
      <c r="AA88" s="10"/>
      <c r="AB88"/>
      <c r="AC88" s="12"/>
      <c r="AD88" s="12"/>
      <c r="AE88" s="12"/>
      <c r="AF88" s="10"/>
      <c r="AG88" s="10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W88" s="12"/>
      <c r="BX88" s="12"/>
      <c r="CE88" s="12"/>
      <c r="CF88" s="12"/>
      <c r="CK88" s="12"/>
      <c r="CL88" s="12"/>
      <c r="CQ88" s="12"/>
      <c r="CR88" s="12"/>
      <c r="CU88"/>
      <c r="CW88" s="12"/>
      <c r="CX88" s="12"/>
      <c r="DC88" s="12"/>
      <c r="DD88" s="12"/>
      <c r="DI88" s="12"/>
      <c r="DJ88" s="12"/>
      <c r="DO88" s="12"/>
      <c r="DP88" s="12"/>
      <c r="DU88" s="12"/>
      <c r="DV88" s="12"/>
      <c r="EA88" s="12"/>
      <c r="EB88" s="12"/>
    </row>
    <row r="89" spans="1:132" ht="15.75">
      <c r="N89" s="166"/>
      <c r="O89" s="77"/>
      <c r="P89" s="77"/>
      <c r="S89" s="166"/>
      <c r="T89" s="166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W89" s="12"/>
      <c r="BX89" s="12"/>
      <c r="CE89" s="12"/>
      <c r="CF89" s="12"/>
      <c r="CK89" s="12"/>
      <c r="CL89" s="12"/>
      <c r="CQ89" s="12"/>
      <c r="CR89" s="12"/>
      <c r="CW89" s="12"/>
      <c r="CX89" s="12"/>
      <c r="CZ89"/>
      <c r="DC89" s="12"/>
      <c r="DD89" s="12"/>
      <c r="DI89" s="12"/>
      <c r="DJ89" s="12"/>
      <c r="DO89" s="12"/>
      <c r="DP89" s="12"/>
      <c r="DU89" s="12"/>
      <c r="DV89" s="12"/>
      <c r="EA89" s="12"/>
      <c r="EB89" s="12"/>
    </row>
    <row r="90" spans="1:132" ht="15.75">
      <c r="A90" s="3" t="s">
        <v>614</v>
      </c>
      <c r="I90" s="129" t="s">
        <v>615</v>
      </c>
      <c r="N90" s="166"/>
      <c r="O90" s="77"/>
      <c r="P90" s="77"/>
      <c r="R90" s="3" t="s">
        <v>616</v>
      </c>
      <c r="S90" s="166"/>
      <c r="T90" s="166"/>
      <c r="U90" s="77"/>
      <c r="V90" s="77"/>
      <c r="AA90" s="12"/>
      <c r="AB90" s="12"/>
      <c r="AE90" s="12"/>
      <c r="AF90" s="12"/>
      <c r="AG90" s="12"/>
      <c r="AH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W90" s="12"/>
      <c r="BX90" s="12"/>
      <c r="CE90" s="12"/>
      <c r="CF90" s="12"/>
      <c r="CK90" s="12"/>
      <c r="CL90" s="12"/>
      <c r="CQ90" s="12"/>
      <c r="CR90" s="12"/>
      <c r="CW90" s="12"/>
      <c r="CX90" s="12"/>
      <c r="CZ90"/>
      <c r="DC90" s="12"/>
      <c r="DD90" s="12"/>
      <c r="DI90" s="12"/>
      <c r="DJ90" s="12"/>
      <c r="DO90" s="12"/>
      <c r="DP90" s="12"/>
      <c r="DU90" s="12"/>
      <c r="DV90" s="12"/>
      <c r="EA90" s="12"/>
      <c r="EB90" s="12"/>
    </row>
    <row r="91" spans="1:132" ht="15.75">
      <c r="A91" s="79" t="s">
        <v>347</v>
      </c>
      <c r="B91" s="80" t="s">
        <v>617</v>
      </c>
      <c r="C91" s="81" t="s">
        <v>618</v>
      </c>
      <c r="D91" s="80" t="s">
        <v>284</v>
      </c>
      <c r="E91" s="81" t="s">
        <v>344</v>
      </c>
      <c r="F91" s="80" t="s">
        <v>345</v>
      </c>
      <c r="G91" s="81" t="s">
        <v>346</v>
      </c>
      <c r="I91" s="82" t="s">
        <v>347</v>
      </c>
      <c r="J91" s="82" t="s">
        <v>619</v>
      </c>
      <c r="K91" s="82" t="s">
        <v>620</v>
      </c>
      <c r="L91" s="82" t="s">
        <v>621</v>
      </c>
      <c r="M91" s="82" t="s">
        <v>622</v>
      </c>
      <c r="N91" s="82" t="s">
        <v>623</v>
      </c>
      <c r="O91" s="82" t="s">
        <v>624</v>
      </c>
      <c r="P91" s="77"/>
      <c r="Q91" s="79" t="s">
        <v>347</v>
      </c>
      <c r="R91" s="80" t="s">
        <v>617</v>
      </c>
      <c r="S91" s="81" t="s">
        <v>618</v>
      </c>
      <c r="T91" s="80" t="s">
        <v>284</v>
      </c>
      <c r="U91" s="81" t="s">
        <v>344</v>
      </c>
      <c r="V91" s="80" t="s">
        <v>345</v>
      </c>
      <c r="W91" s="81" t="s">
        <v>346</v>
      </c>
      <c r="X91" s="12"/>
      <c r="Y91" s="12"/>
      <c r="Z91" s="3"/>
      <c r="AA91" s="3"/>
      <c r="AB91" s="12"/>
      <c r="AC91" s="12"/>
      <c r="AD91" s="12"/>
      <c r="AE91" s="12"/>
      <c r="AF91" s="3"/>
      <c r="AG91" s="3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W91" s="12"/>
      <c r="BX91" s="12"/>
      <c r="CE91" s="12"/>
      <c r="CF91" s="12"/>
      <c r="CK91" s="12"/>
      <c r="CL91" s="12"/>
      <c r="CQ91" s="12"/>
      <c r="CR91" s="12"/>
      <c r="CU91"/>
      <c r="CW91" s="12"/>
      <c r="CX91" s="12"/>
      <c r="DC91" s="12"/>
      <c r="DD91" s="12"/>
      <c r="DI91" s="12"/>
      <c r="DJ91" s="12"/>
      <c r="DO91" s="12"/>
      <c r="DP91" s="12"/>
      <c r="DU91" s="12"/>
      <c r="DV91" s="12"/>
      <c r="EA91" s="12"/>
      <c r="EB91" s="12"/>
    </row>
    <row r="92" spans="1:132">
      <c r="A92" s="83">
        <v>0</v>
      </c>
      <c r="B92" s="10">
        <v>0</v>
      </c>
      <c r="C92" s="14">
        <v>0</v>
      </c>
      <c r="D92" s="10">
        <v>0</v>
      </c>
      <c r="E92" s="14">
        <v>0</v>
      </c>
      <c r="F92" s="10">
        <v>0</v>
      </c>
      <c r="G92" s="14">
        <v>0</v>
      </c>
      <c r="I92" s="84"/>
      <c r="J92" s="84"/>
      <c r="K92" s="84"/>
      <c r="L92" s="84"/>
      <c r="M92" s="84"/>
      <c r="N92" s="84"/>
      <c r="O92" s="84"/>
      <c r="P92" s="77"/>
      <c r="Q92" s="83">
        <v>0</v>
      </c>
      <c r="R92" s="10">
        <f t="shared" ref="R92:W92" si="679">B92*3.6352772</f>
        <v>0</v>
      </c>
      <c r="S92" s="135">
        <f t="shared" si="679"/>
        <v>0</v>
      </c>
      <c r="T92" s="10">
        <f t="shared" si="679"/>
        <v>0</v>
      </c>
      <c r="U92" s="135">
        <f t="shared" si="679"/>
        <v>0</v>
      </c>
      <c r="V92" s="10">
        <f t="shared" si="679"/>
        <v>0</v>
      </c>
      <c r="W92" s="135">
        <f t="shared" si="679"/>
        <v>0</v>
      </c>
      <c r="X92" s="12"/>
      <c r="Y92" s="12"/>
      <c r="Z92" s="10"/>
      <c r="AA92" s="10"/>
      <c r="AB92" s="12"/>
      <c r="AC92" s="12"/>
      <c r="AD92" s="12"/>
      <c r="AE92" s="12"/>
      <c r="AF92" s="10"/>
      <c r="AG92" s="10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DC92" s="12"/>
      <c r="DD92" s="12"/>
      <c r="DI92" s="12"/>
      <c r="DJ92" s="12"/>
      <c r="DO92" s="12"/>
      <c r="DP92" s="12"/>
      <c r="DU92" s="12"/>
      <c r="DV92" s="12"/>
      <c r="EA92" s="12"/>
      <c r="EB92" s="12"/>
    </row>
    <row r="93" spans="1:132">
      <c r="A93" s="83">
        <v>1</v>
      </c>
      <c r="B93" s="10">
        <f>I15</f>
        <v>3.5975000000000019</v>
      </c>
      <c r="C93" s="14">
        <f>I16</f>
        <v>0.16440096888835079</v>
      </c>
      <c r="D93" s="10">
        <f>I28</f>
        <v>4.0449999999999946</v>
      </c>
      <c r="E93" s="14">
        <f>I29</f>
        <v>0.21414280949203751</v>
      </c>
      <c r="F93" s="10">
        <f>I42</f>
        <v>2.4437499999999979</v>
      </c>
      <c r="G93" s="14">
        <f>I43</f>
        <v>0.33147364417961467</v>
      </c>
      <c r="H93" s="3"/>
      <c r="I93" s="56">
        <v>1</v>
      </c>
      <c r="J93" s="56">
        <f>I15</f>
        <v>3.5975000000000019</v>
      </c>
      <c r="K93" s="56">
        <f>I16</f>
        <v>0.16440096888835079</v>
      </c>
      <c r="L93" s="56">
        <f>I28</f>
        <v>4.0449999999999946</v>
      </c>
      <c r="M93" s="56">
        <f>I29</f>
        <v>0.21414280949203751</v>
      </c>
      <c r="N93" s="56">
        <f>I42</f>
        <v>2.4437499999999979</v>
      </c>
      <c r="O93" s="56">
        <f>I43</f>
        <v>0.33147364417961467</v>
      </c>
      <c r="P93" s="3"/>
      <c r="Q93" s="83">
        <v>1</v>
      </c>
      <c r="R93" s="10">
        <f>$J$15</f>
        <v>13.077909887304607</v>
      </c>
      <c r="S93" s="14">
        <f>$J$16</f>
        <v>0.59764310118343889</v>
      </c>
      <c r="T93" s="10">
        <f>$J$28</f>
        <v>14.704696454245182</v>
      </c>
      <c r="U93" s="14">
        <f>$J$29</f>
        <v>0.77846848243255007</v>
      </c>
      <c r="V93" s="10">
        <f>$J$42</f>
        <v>8.8837087663934931</v>
      </c>
      <c r="W93" s="14">
        <f>$J$43</f>
        <v>1.2049985958575307</v>
      </c>
      <c r="X93" s="3"/>
      <c r="Y93" s="3"/>
      <c r="Z93" s="10"/>
      <c r="AA93" s="10"/>
      <c r="AB93" s="3"/>
      <c r="AC93" s="3"/>
      <c r="AD93" s="3"/>
      <c r="AE93" s="3"/>
      <c r="AF93" s="10"/>
      <c r="AG93" s="10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DC93" s="3"/>
      <c r="DD93" s="3"/>
      <c r="DI93" s="3"/>
      <c r="DJ93" s="3"/>
      <c r="DO93" s="3"/>
      <c r="DP93" s="3"/>
      <c r="DU93" s="3"/>
      <c r="DV93" s="3"/>
      <c r="EA93" s="3"/>
      <c r="EB93" s="3"/>
    </row>
    <row r="94" spans="1:132">
      <c r="A94" s="83">
        <v>2</v>
      </c>
      <c r="B94" s="10">
        <f>N15</f>
        <v>7.5650000000000013</v>
      </c>
      <c r="C94" s="14">
        <f>N16</f>
        <v>0.29785542993683456</v>
      </c>
      <c r="D94" s="12">
        <f>N28</f>
        <v>8.6750000000000043</v>
      </c>
      <c r="E94" s="50">
        <f>N29</f>
        <v>0.15401762422343032</v>
      </c>
      <c r="F94" s="12">
        <f>N42</f>
        <v>5.858749999999997</v>
      </c>
      <c r="G94" s="50">
        <f>N43</f>
        <v>0.48572639822081759</v>
      </c>
      <c r="I94" s="56">
        <v>2</v>
      </c>
      <c r="J94" s="84">
        <f>M15</f>
        <v>3.9674999999999994</v>
      </c>
      <c r="K94" s="84">
        <f>M16</f>
        <v>0.18572973836810597</v>
      </c>
      <c r="L94" s="84">
        <f>M28</f>
        <v>4.6300000000000097</v>
      </c>
      <c r="M94" s="84">
        <f>M29</f>
        <v>0.12202166084054769</v>
      </c>
      <c r="N94" s="84">
        <f>M42</f>
        <v>3.4149999999999991</v>
      </c>
      <c r="O94" s="84">
        <f>M43</f>
        <v>0.19323375925103017</v>
      </c>
      <c r="P94" s="77"/>
      <c r="Q94" s="83">
        <v>2</v>
      </c>
      <c r="R94" s="168">
        <f>$P$15</f>
        <v>27.500872355096405</v>
      </c>
      <c r="S94" s="14">
        <f>$P$16</f>
        <v>1.0827870666180173</v>
      </c>
      <c r="T94" s="10">
        <f>$P$28</f>
        <v>31.536030096558015</v>
      </c>
      <c r="U94" s="14">
        <f>$P$29</f>
        <v>0.55989676460062932</v>
      </c>
      <c r="V94" s="10">
        <f>$P$42</f>
        <v>21.298180556565889</v>
      </c>
      <c r="W94" s="14">
        <f>$P$43</f>
        <v>1.7657501225342278</v>
      </c>
      <c r="Z94" s="10"/>
      <c r="AA94" s="10"/>
      <c r="AF94" s="10"/>
      <c r="AG94" s="10"/>
    </row>
    <row r="95" spans="1:132">
      <c r="A95" s="83">
        <v>3</v>
      </c>
      <c r="B95" s="10">
        <f>T15</f>
        <v>11.483749999999999</v>
      </c>
      <c r="C95" s="14">
        <f>T16</f>
        <v>0.42881871585954395</v>
      </c>
      <c r="D95" s="10">
        <f>T28</f>
        <v>13.604999999999997</v>
      </c>
      <c r="E95" s="14">
        <f>T29</f>
        <v>0.34436795105568485</v>
      </c>
      <c r="F95" s="10">
        <f>T42</f>
        <v>9.5124999999999922</v>
      </c>
      <c r="G95" s="14">
        <f>T43</f>
        <v>0.64660031262419415</v>
      </c>
      <c r="I95" s="56">
        <v>3</v>
      </c>
      <c r="J95" s="84">
        <f>S15</f>
        <v>3.9187499999999975</v>
      </c>
      <c r="K95" s="84">
        <f>S16</f>
        <v>0.24048639328898175</v>
      </c>
      <c r="L95" s="84">
        <f>S28</f>
        <v>4.9299999999999926</v>
      </c>
      <c r="M95" s="84">
        <f>S29</f>
        <v>0.35902646142032979</v>
      </c>
      <c r="N95" s="84">
        <f>S42</f>
        <v>3.6537499999999952</v>
      </c>
      <c r="O95" s="84">
        <f>S43</f>
        <v>0.2668930865400137</v>
      </c>
      <c r="P95" s="77"/>
      <c r="Q95" s="83">
        <v>3</v>
      </c>
      <c r="R95" s="10">
        <f>$V$15</f>
        <v>41.746615057215891</v>
      </c>
      <c r="S95" s="14">
        <f>$V$16</f>
        <v>1.5588749198056406</v>
      </c>
      <c r="T95" s="10">
        <f>$V$28</f>
        <v>49.457946912238796</v>
      </c>
      <c r="U95" s="14">
        <f>$V$29</f>
        <v>1.251872976228483</v>
      </c>
      <c r="V95" s="10">
        <f>$V$42</f>
        <v>34.580574788876973</v>
      </c>
      <c r="W95" s="14">
        <f>$V$43</f>
        <v>2.3505714028081117</v>
      </c>
      <c r="Z95" s="10"/>
      <c r="AA95" s="10"/>
      <c r="AF95" s="10"/>
      <c r="AG95" s="10"/>
    </row>
    <row r="96" spans="1:132">
      <c r="A96" s="83">
        <v>4</v>
      </c>
      <c r="B96" s="10">
        <f>Z15</f>
        <v>15.484999999999996</v>
      </c>
      <c r="C96" s="14">
        <f>Z16</f>
        <v>0.70853722555699161</v>
      </c>
      <c r="D96" s="10">
        <f>Z28</f>
        <v>18.369999999999997</v>
      </c>
      <c r="E96" s="14">
        <f>Z29</f>
        <v>0.57470800039176062</v>
      </c>
      <c r="F96" s="10">
        <f>Z42</f>
        <v>13.357499999999991</v>
      </c>
      <c r="G96" s="14">
        <f>Z43</f>
        <v>0.80010880956458319</v>
      </c>
      <c r="I96" s="56">
        <v>4</v>
      </c>
      <c r="J96" s="84">
        <f>Y15</f>
        <v>4.0012499999999971</v>
      </c>
      <c r="K96" s="84">
        <f>Y16</f>
        <v>0.32603372689252408</v>
      </c>
      <c r="L96" s="84">
        <f>Y28</f>
        <v>4.7650000000000006</v>
      </c>
      <c r="M96" s="84">
        <f>Y29</f>
        <v>0.27189152248645254</v>
      </c>
      <c r="N96" s="84">
        <f>Y42</f>
        <v>3.8449999999999989</v>
      </c>
      <c r="O96" s="84">
        <f>Y43</f>
        <v>0.18247308999254999</v>
      </c>
      <c r="P96" s="77"/>
      <c r="Q96" s="83">
        <v>4</v>
      </c>
      <c r="R96" s="10">
        <f>$AB$15</f>
        <v>56.292268132011586</v>
      </c>
      <c r="S96" s="14">
        <f>$AB$16</f>
        <v>2.5757292529910192</v>
      </c>
      <c r="T96" s="10">
        <f>$AB$28</f>
        <v>66.780042982567181</v>
      </c>
      <c r="U96" s="14">
        <f>$AB$29</f>
        <v>2.0892229160907467</v>
      </c>
      <c r="V96" s="10">
        <f>$AB$42</f>
        <v>48.558215794210163</v>
      </c>
      <c r="W96" s="14">
        <f>$AB$43</f>
        <v>2.9086173485821263</v>
      </c>
      <c r="Z96" s="10"/>
      <c r="AA96" s="10"/>
      <c r="AF96" s="10"/>
      <c r="AG96" s="10"/>
    </row>
    <row r="97" spans="1:132">
      <c r="A97" s="83">
        <v>5</v>
      </c>
      <c r="B97" s="10">
        <f>AF15</f>
        <v>19.493749999999991</v>
      </c>
      <c r="C97" s="14">
        <f>AF16</f>
        <v>1.0328288779228796</v>
      </c>
      <c r="D97" s="10">
        <f>AF28</f>
        <v>23.098749999999992</v>
      </c>
      <c r="E97" s="14">
        <f>AF29</f>
        <v>0.85876039710903795</v>
      </c>
      <c r="F97" s="10">
        <f>AF42</f>
        <v>17.589999999999996</v>
      </c>
      <c r="G97" s="14">
        <f>AF43</f>
        <v>0.9993283458689376</v>
      </c>
      <c r="I97" s="56">
        <v>5</v>
      </c>
      <c r="J97" s="84">
        <f>AE15</f>
        <v>4.0087499999999974</v>
      </c>
      <c r="K97" s="84">
        <f>AE16</f>
        <v>0.46708991754417983</v>
      </c>
      <c r="L97" s="84">
        <f>AE28</f>
        <v>4.7287499999999945</v>
      </c>
      <c r="M97" s="84">
        <f>AE29</f>
        <v>0.33664541275438886</v>
      </c>
      <c r="N97" s="84">
        <f>AE42</f>
        <v>4.2325000000000061</v>
      </c>
      <c r="O97" s="84">
        <f>AE43</f>
        <v>0.24453855962375048</v>
      </c>
      <c r="P97" s="77"/>
      <c r="Q97" s="83">
        <v>5</v>
      </c>
      <c r="R97" s="10">
        <f>$AH$15</f>
        <v>70.865185786141481</v>
      </c>
      <c r="S97" s="14">
        <f>$AH$16</f>
        <v>3.7546193174374758</v>
      </c>
      <c r="T97" s="10">
        <f>$AH$28</f>
        <v>83.970360252780267</v>
      </c>
      <c r="U97" s="14">
        <f>$AH$29</f>
        <v>3.121832130139794</v>
      </c>
      <c r="V97" s="10">
        <f>$AH$42</f>
        <v>63.944526731810392</v>
      </c>
      <c r="W97" s="14">
        <f>$AH$43</f>
        <v>3.6328355955811302</v>
      </c>
      <c r="Z97" s="10"/>
      <c r="AA97" s="10"/>
      <c r="AF97" s="10"/>
      <c r="AG97" s="10"/>
    </row>
    <row r="98" spans="1:132">
      <c r="A98" s="83">
        <v>6</v>
      </c>
      <c r="B98" s="12">
        <f>AL15</f>
        <v>23.931249999999991</v>
      </c>
      <c r="C98" s="50">
        <f>AL16</f>
        <v>1.1133178173818992</v>
      </c>
      <c r="D98" s="12">
        <f>AL28</f>
        <v>27.877499999999976</v>
      </c>
      <c r="E98" s="50">
        <f>AL29</f>
        <v>1.2933922038025376</v>
      </c>
      <c r="F98" s="12">
        <f>AL42</f>
        <v>21.684999999999995</v>
      </c>
      <c r="G98" s="50">
        <f>AL43</f>
        <v>1.1258853658978201</v>
      </c>
      <c r="H98" s="10"/>
      <c r="I98" s="56">
        <v>6</v>
      </c>
      <c r="J98" s="84">
        <f>AK15</f>
        <v>4.4374999999999964</v>
      </c>
      <c r="K98" s="84">
        <f>AK16</f>
        <v>0.27406822664647229</v>
      </c>
      <c r="L98" s="84">
        <f>AK28</f>
        <v>4.7787499999999863</v>
      </c>
      <c r="M98" s="84">
        <f>AK29</f>
        <v>0.46363254192147724</v>
      </c>
      <c r="N98" s="84">
        <f>AK42</f>
        <v>4.0949999999999998</v>
      </c>
      <c r="O98" s="84">
        <f>AK43</f>
        <v>0.20757098613658495</v>
      </c>
      <c r="P98" s="10"/>
      <c r="Q98" s="83">
        <v>6</v>
      </c>
      <c r="R98" s="10">
        <f>$AN$15</f>
        <v>86.996728558876455</v>
      </c>
      <c r="S98" s="14">
        <f>$AN$16</f>
        <v>4.0472189274916479</v>
      </c>
      <c r="T98" s="10">
        <f>$AN$28</f>
        <v>101.34244138522131</v>
      </c>
      <c r="U98" s="14">
        <f>$AN$29</f>
        <v>4.7018392467747141</v>
      </c>
      <c r="V98" s="10">
        <f>$AN$42</f>
        <v>78.830987048283575</v>
      </c>
      <c r="W98" s="14">
        <f>$AN$43</f>
        <v>4.0929054506314815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DC98" s="10"/>
      <c r="DD98" s="10"/>
      <c r="DI98" s="10"/>
      <c r="DJ98" s="10"/>
      <c r="DO98" s="10"/>
      <c r="DP98" s="10"/>
      <c r="DU98" s="10"/>
      <c r="DV98" s="10"/>
      <c r="EA98" s="10"/>
      <c r="EB98" s="10"/>
    </row>
    <row r="99" spans="1:132">
      <c r="A99" s="83">
        <v>7</v>
      </c>
      <c r="B99" s="10">
        <f>AR15</f>
        <v>28.796249999999993</v>
      </c>
      <c r="C99" s="14">
        <f>AR16</f>
        <v>1.2253336826875183</v>
      </c>
      <c r="D99" s="10">
        <f>AR28</f>
        <v>32.14749999999998</v>
      </c>
      <c r="E99" s="14">
        <f>AR29</f>
        <v>1.6696168829148501</v>
      </c>
      <c r="F99" s="10">
        <f>AR42</f>
        <v>25.343749999999996</v>
      </c>
      <c r="G99" s="14">
        <f>AR43</f>
        <v>1.1815772411424146</v>
      </c>
      <c r="I99" s="56">
        <v>7</v>
      </c>
      <c r="J99" s="84">
        <f>AQ15</f>
        <v>4.865000000000002</v>
      </c>
      <c r="K99" s="84">
        <f>AQ16</f>
        <v>0.28725921594068443</v>
      </c>
      <c r="L99" s="84">
        <f>AQ28</f>
        <v>4.2700000000000022</v>
      </c>
      <c r="M99" s="84">
        <f>AQ29</f>
        <v>0.46381184608785958</v>
      </c>
      <c r="N99" s="84">
        <f>AQ42</f>
        <v>3.6587499999999995</v>
      </c>
      <c r="O99" s="84">
        <f>AQ43</f>
        <v>0.32367001218172309</v>
      </c>
      <c r="P99" s="77"/>
      <c r="Q99" s="83">
        <v>7</v>
      </c>
      <c r="R99" s="10">
        <f>$AT$15</f>
        <v>104.68235235366087</v>
      </c>
      <c r="S99" s="14">
        <f>$AT$16</f>
        <v>4.4544276536668512</v>
      </c>
      <c r="T99" s="10">
        <f>$AT$28</f>
        <v>116.86507521949252</v>
      </c>
      <c r="U99" s="14">
        <f>$AT$29</f>
        <v>6.0695202615935786</v>
      </c>
      <c r="V99" s="10">
        <f>$AT$42</f>
        <v>92.131557666817486</v>
      </c>
      <c r="W99" s="14">
        <f>$AT$43</f>
        <v>4.2953608574150035</v>
      </c>
      <c r="Z99" s="10"/>
      <c r="AA99" s="10"/>
      <c r="AF99" s="10"/>
      <c r="AG99" s="10"/>
    </row>
    <row r="100" spans="1:132" ht="12" customHeight="1">
      <c r="A100" s="83">
        <v>8</v>
      </c>
      <c r="B100" s="10">
        <f>AX15</f>
        <v>32.952499999999986</v>
      </c>
      <c r="C100" s="14">
        <f>AX16</f>
        <v>1.2695355590586186</v>
      </c>
      <c r="D100" s="10">
        <f>AX28</f>
        <v>36.316249999999975</v>
      </c>
      <c r="E100" s="14">
        <f>AX29</f>
        <v>1.6911333240294513</v>
      </c>
      <c r="F100" s="10">
        <f>AX42</f>
        <v>29.409999999999993</v>
      </c>
      <c r="G100" s="14">
        <f>AX43</f>
        <v>1.4478308898881347</v>
      </c>
      <c r="I100" s="56">
        <v>8</v>
      </c>
      <c r="J100" s="84">
        <f>AW15</f>
        <v>4.1562499999999947</v>
      </c>
      <c r="K100" s="84">
        <f>AW16</f>
        <v>0.16778959507158214</v>
      </c>
      <c r="L100" s="84">
        <f>AW28</f>
        <v>4.1687499999999993</v>
      </c>
      <c r="M100" s="84">
        <f>AW29</f>
        <v>0.21239650841224575</v>
      </c>
      <c r="N100" s="84">
        <f>AW42</f>
        <v>4.0662499999999966</v>
      </c>
      <c r="O100" s="84">
        <f>AW43</f>
        <v>0.32814923379898031</v>
      </c>
      <c r="P100" s="77"/>
      <c r="Q100" s="83">
        <v>8</v>
      </c>
      <c r="R100" s="10">
        <f>AZ15</f>
        <v>119.79147340136335</v>
      </c>
      <c r="S100" s="14">
        <f>AZ16</f>
        <v>4.6151137290055857</v>
      </c>
      <c r="T100" s="10">
        <f>AZ28</f>
        <v>132.01963723275202</v>
      </c>
      <c r="U100" s="14">
        <f>AZ29</f>
        <v>6.1477384903614052</v>
      </c>
      <c r="V100" s="10">
        <f t="shared" ref="V100" si="680">AZ42</f>
        <v>106.91350376250956</v>
      </c>
      <c r="W100" s="14">
        <f>AZ43</f>
        <v>5.2632666879814396</v>
      </c>
      <c r="Z100" s="10"/>
      <c r="AA100" s="10"/>
      <c r="AF100" s="10"/>
      <c r="AG100" s="10"/>
    </row>
    <row r="101" spans="1:132">
      <c r="A101" s="83">
        <v>9</v>
      </c>
      <c r="B101" s="10">
        <f>BD15</f>
        <v>37.507499999999993</v>
      </c>
      <c r="C101" s="14">
        <f>BD16</f>
        <v>1.2908161178107436</v>
      </c>
      <c r="D101" s="10">
        <f>BD28</f>
        <v>40.500937499999971</v>
      </c>
      <c r="E101" s="14">
        <f>BD29</f>
        <v>1.7021682560086355</v>
      </c>
      <c r="F101" s="10">
        <f>BD42</f>
        <v>33.414999999999992</v>
      </c>
      <c r="G101" s="14">
        <f>BD43</f>
        <v>1.6257295065820099</v>
      </c>
      <c r="I101" s="56">
        <v>9</v>
      </c>
      <c r="J101" s="84">
        <f>BC15</f>
        <v>4.5550000000000033</v>
      </c>
      <c r="K101" s="84">
        <f>BC16</f>
        <v>0.14963049727340175</v>
      </c>
      <c r="L101" s="84">
        <f>BC28</f>
        <v>4.1846874999999937</v>
      </c>
      <c r="M101" s="84">
        <f>BC29</f>
        <v>0.14418678787984443</v>
      </c>
      <c r="N101" s="84">
        <f>BC42</f>
        <v>4.0049999999999955</v>
      </c>
      <c r="O101" s="84">
        <f>BC43</f>
        <v>0.20812084401684819</v>
      </c>
      <c r="P101" s="77"/>
      <c r="Q101" s="83">
        <v>9</v>
      </c>
      <c r="R101" s="77">
        <f>BF15</f>
        <v>136.35016125033417</v>
      </c>
      <c r="S101" s="14">
        <f>BF16</f>
        <v>4.6924744599886754</v>
      </c>
      <c r="T101" s="77">
        <f>BF28</f>
        <v>147.2321364770967</v>
      </c>
      <c r="U101" s="14">
        <f>BF29</f>
        <v>6.1878535274804198</v>
      </c>
      <c r="V101" s="166">
        <f t="shared" ref="V101" si="681">BF42</f>
        <v>121.47278912697236</v>
      </c>
      <c r="W101" s="14">
        <f>BF43</f>
        <v>5.9099774810873962</v>
      </c>
      <c r="Z101" s="10"/>
      <c r="AA101" s="10"/>
      <c r="AF101" s="10"/>
      <c r="AG101" s="10"/>
    </row>
    <row r="102" spans="1:132">
      <c r="A102" s="83">
        <v>10</v>
      </c>
      <c r="B102" s="10">
        <f>BJ15</f>
        <v>41.873749999999987</v>
      </c>
      <c r="C102" s="14">
        <f>BJ16</f>
        <v>1.3174392605950156</v>
      </c>
      <c r="D102" s="10">
        <f>BJ28</f>
        <v>44.87312499999998</v>
      </c>
      <c r="E102" s="14">
        <f>BJ29</f>
        <v>1.7514827742464696</v>
      </c>
      <c r="F102" s="10">
        <f>BJ42</f>
        <v>37.239999999999981</v>
      </c>
      <c r="G102" s="14">
        <f>BJ43</f>
        <v>1.6357556139507696</v>
      </c>
      <c r="I102" s="56">
        <v>10</v>
      </c>
      <c r="J102" s="84">
        <f>BI15</f>
        <v>4.3662499999999991</v>
      </c>
      <c r="K102" s="84">
        <f>BI16</f>
        <v>0.14788916578689212</v>
      </c>
      <c r="L102" s="84">
        <f>BI28</f>
        <v>4.3721875000000017</v>
      </c>
      <c r="M102" s="84">
        <f>BI29</f>
        <v>0.18079279619567107</v>
      </c>
      <c r="N102" s="84">
        <f>BI42</f>
        <v>3.8249999999999922</v>
      </c>
      <c r="O102" s="84">
        <f>BI43</f>
        <v>0.15150436108762955</v>
      </c>
      <c r="P102" s="77"/>
      <c r="Q102" s="83">
        <v>10</v>
      </c>
      <c r="R102" s="77">
        <f>BL15</f>
        <v>152.22269051939426</v>
      </c>
      <c r="S102" s="14">
        <f>BL16</f>
        <v>4.7892569651310097</v>
      </c>
      <c r="T102" s="77">
        <f>BL28</f>
        <v>163.12625020479638</v>
      </c>
      <c r="U102" s="14">
        <f>BL29</f>
        <v>6.367125473457083</v>
      </c>
      <c r="V102" s="166">
        <f t="shared" ref="V102" si="682">BL42</f>
        <v>135.37772458741435</v>
      </c>
      <c r="W102" s="14">
        <f>BL43</f>
        <v>5.946425161056422</v>
      </c>
      <c r="Z102" s="10"/>
      <c r="AA102" s="10"/>
      <c r="AF102" s="10"/>
      <c r="AG102" s="10"/>
    </row>
    <row r="103" spans="1:132">
      <c r="A103" s="83">
        <v>11</v>
      </c>
      <c r="B103" s="10">
        <f>BP15</f>
        <v>46.738749999999982</v>
      </c>
      <c r="C103" s="14">
        <f>BP16</f>
        <v>1.3227804016810316</v>
      </c>
      <c r="D103" s="10">
        <f>BP28</f>
        <v>48.661562499999995</v>
      </c>
      <c r="E103" s="14">
        <f>BP29</f>
        <v>1.7781734042809185</v>
      </c>
      <c r="F103" s="10">
        <f>BP42</f>
        <v>40.853749999999998</v>
      </c>
      <c r="G103" s="14">
        <f>BP43</f>
        <v>1.8738900881588594</v>
      </c>
      <c r="I103" s="56">
        <v>11</v>
      </c>
      <c r="J103" s="84">
        <f>BO15</f>
        <v>4.8649999999999949</v>
      </c>
      <c r="K103" s="84">
        <f>BO16</f>
        <v>0.27696699132877739</v>
      </c>
      <c r="L103" s="84">
        <f>BO28</f>
        <v>3.7884375000000152</v>
      </c>
      <c r="M103" s="84">
        <f>BO29</f>
        <v>0.30736892440838209</v>
      </c>
      <c r="N103" s="84">
        <f>BO42</f>
        <v>3.6137500000000182</v>
      </c>
      <c r="O103" s="84">
        <f>BO43</f>
        <v>0.29191447805821769</v>
      </c>
      <c r="P103" s="77"/>
      <c r="Q103" s="83">
        <v>11</v>
      </c>
      <c r="R103" s="77">
        <f>BR15</f>
        <v>169.90831431417863</v>
      </c>
      <c r="S103" s="14">
        <f>BR16</f>
        <v>4.8086734937809892</v>
      </c>
      <c r="T103" s="77">
        <f>BR28</f>
        <v>176.8982708409842</v>
      </c>
      <c r="U103" s="14">
        <f>BR29</f>
        <v>6.4641533134642115</v>
      </c>
      <c r="V103" s="166">
        <f t="shared" ref="V103" si="683">BR42</f>
        <v>148.5147077299431</v>
      </c>
      <c r="W103" s="14">
        <f>BR43</f>
        <v>6.8121099962904657</v>
      </c>
      <c r="Z103" s="10"/>
      <c r="AA103" s="10"/>
      <c r="AF103" s="10"/>
      <c r="AG103" s="10"/>
    </row>
    <row r="104" spans="1:132">
      <c r="A104" s="83">
        <v>12</v>
      </c>
      <c r="B104" s="10">
        <f>BV15</f>
        <v>51.249999999999986</v>
      </c>
      <c r="C104" s="14">
        <f>BV16</f>
        <v>1.4866369044639944</v>
      </c>
      <c r="D104" s="10">
        <f>BV28</f>
        <v>52.383749999999985</v>
      </c>
      <c r="E104" s="14">
        <f>BV29</f>
        <v>2.2096298473952634</v>
      </c>
      <c r="F104" s="10">
        <f>BV42</f>
        <v>44.627499999999991</v>
      </c>
      <c r="G104" s="14">
        <f>BV43</f>
        <v>2.1555060310748404</v>
      </c>
      <c r="I104" s="56">
        <v>12</v>
      </c>
      <c r="J104" s="84">
        <f>BU15</f>
        <v>4.5112499999999986</v>
      </c>
      <c r="K104" s="84">
        <f>BU16</f>
        <v>0.21768618878035098</v>
      </c>
      <c r="L104" s="84">
        <f>BU28</f>
        <v>3.7221874999999951</v>
      </c>
      <c r="M104" s="84">
        <f>BU29</f>
        <v>0.57438582056883047</v>
      </c>
      <c r="N104" s="84">
        <f>BU42</f>
        <v>3.7737499999999891</v>
      </c>
      <c r="O104" s="84">
        <f>BU43</f>
        <v>0.30406729459588211</v>
      </c>
      <c r="P104" s="77"/>
      <c r="Q104" s="83">
        <v>12</v>
      </c>
      <c r="R104" s="77">
        <f>BX15</f>
        <v>186.30795878369995</v>
      </c>
      <c r="S104" s="14">
        <f>BX16</f>
        <v>5.404337309721079</v>
      </c>
      <c r="T104" s="77">
        <f>BX28</f>
        <v>190.42945435971984</v>
      </c>
      <c r="U104" s="14">
        <f>BX29</f>
        <v>8.0326171031367011</v>
      </c>
      <c r="V104" s="166">
        <f t="shared" ref="V104" si="684">BX42</f>
        <v>162.23333523160136</v>
      </c>
      <c r="W104" s="14">
        <f>BX43</f>
        <v>7.835862025278252</v>
      </c>
      <c r="Z104" s="10"/>
      <c r="AA104" s="10"/>
      <c r="AF104" s="10"/>
      <c r="AG104" s="10"/>
    </row>
    <row r="105" spans="1:132">
      <c r="A105" s="83">
        <v>13</v>
      </c>
      <c r="B105" s="10">
        <f>CD15</f>
        <v>56.374999999999993</v>
      </c>
      <c r="C105" s="14">
        <f>CD16</f>
        <v>1.5908746471225055</v>
      </c>
      <c r="D105" s="10">
        <f>CD28</f>
        <v>56.363749999999982</v>
      </c>
      <c r="E105" s="14">
        <f>CD29</f>
        <v>2.4180297007953939</v>
      </c>
      <c r="F105" s="10">
        <f>CD42</f>
        <v>48.621874999999996</v>
      </c>
      <c r="G105" s="14">
        <f>CD43</f>
        <v>2.2094157149208655</v>
      </c>
      <c r="I105" s="56">
        <v>13</v>
      </c>
      <c r="J105" s="84">
        <f>$CC$15</f>
        <v>5.1250000000000027</v>
      </c>
      <c r="K105" s="84">
        <f>$CC$16</f>
        <v>0.3801879234574097</v>
      </c>
      <c r="L105" s="84">
        <f>$CC$28</f>
        <v>3.9800000000000022</v>
      </c>
      <c r="M105" s="84">
        <f>$CC$29</f>
        <v>0.35344730866141921</v>
      </c>
      <c r="N105" s="84">
        <f>$CC$42</f>
        <v>3.9943750000000073</v>
      </c>
      <c r="O105" s="84">
        <f>$CC$43</f>
        <v>0.26171726412158181</v>
      </c>
      <c r="P105" s="77"/>
      <c r="Q105" s="83">
        <v>13</v>
      </c>
      <c r="R105" s="77">
        <f>CF15</f>
        <v>206.59893430337218</v>
      </c>
      <c r="S105" s="14">
        <f>CF16</f>
        <v>5.7554005253618907</v>
      </c>
      <c r="T105" s="77">
        <f>CF28</f>
        <v>206.17294935986456</v>
      </c>
      <c r="U105" s="14">
        <f>CF29</f>
        <v>8.8657504187084477</v>
      </c>
      <c r="V105" s="166">
        <f t="shared" ref="V105" si="685">CF42</f>
        <v>178.49433440309633</v>
      </c>
      <c r="W105" s="14">
        <f>CF43</f>
        <v>7.9988623222132311</v>
      </c>
      <c r="Z105" s="10"/>
      <c r="AA105" s="10"/>
      <c r="AF105" s="10"/>
      <c r="AG105" s="10"/>
    </row>
    <row r="106" spans="1:132">
      <c r="A106" s="83">
        <v>14</v>
      </c>
      <c r="B106" s="10">
        <f>CJ15</f>
        <v>60.216249999999988</v>
      </c>
      <c r="C106" s="14">
        <f>CJ16</f>
        <v>1.8378878963753118</v>
      </c>
      <c r="D106" s="10">
        <f>CJ28</f>
        <v>59.657499999999978</v>
      </c>
      <c r="E106" s="14">
        <f>CJ29</f>
        <v>2.8127234831844414</v>
      </c>
      <c r="F106" s="10">
        <f>CJ42</f>
        <v>51.86249999999999</v>
      </c>
      <c r="G106" s="14">
        <f>CJ43</f>
        <v>2.1279708225041096</v>
      </c>
      <c r="I106" s="56">
        <v>14</v>
      </c>
      <c r="J106" s="84">
        <f>CI15</f>
        <v>3.8412500000000023</v>
      </c>
      <c r="K106" s="84">
        <f>CI16</f>
        <v>0.31630363746158269</v>
      </c>
      <c r="L106" s="84">
        <f>CI28</f>
        <v>3.2937499999999988</v>
      </c>
      <c r="M106" s="84">
        <f>CI29</f>
        <v>0.51332229328728074</v>
      </c>
      <c r="N106" s="84">
        <f>CI42</f>
        <v>3.2406250000000085</v>
      </c>
      <c r="O106" s="84">
        <f>CI43</f>
        <v>0.25707565156000844</v>
      </c>
      <c r="P106" s="77"/>
      <c r="Q106" s="83">
        <v>14</v>
      </c>
      <c r="R106" s="77">
        <f>CL15</f>
        <v>220.56294301903824</v>
      </c>
      <c r="S106" s="14">
        <f>CL16</f>
        <v>6.6485557514038005</v>
      </c>
      <c r="T106" s="77">
        <f>CL28</f>
        <v>218.14664378413406</v>
      </c>
      <c r="U106" s="14">
        <f>CL29</f>
        <v>10.296717029295539</v>
      </c>
      <c r="V106" s="166">
        <f t="shared" ref="V106" si="686">CL42</f>
        <v>190.27490472374862</v>
      </c>
      <c r="W106" s="14">
        <f>CL43</f>
        <v>7.7087742649252764</v>
      </c>
      <c r="Z106" s="10"/>
      <c r="AA106" s="10"/>
      <c r="AF106" s="10"/>
      <c r="AG106" s="10"/>
    </row>
    <row r="107" spans="1:132">
      <c r="A107" s="83">
        <v>15</v>
      </c>
      <c r="B107" s="10">
        <f>CP15</f>
        <v>64.113749999999982</v>
      </c>
      <c r="C107" s="14">
        <f>CP16</f>
        <v>1.8952194911521121</v>
      </c>
      <c r="D107" s="10">
        <f>CP28</f>
        <v>63.754999999999995</v>
      </c>
      <c r="E107" s="14">
        <f>CP29</f>
        <v>3.0512977332838074</v>
      </c>
      <c r="F107" s="10">
        <f>CP42</f>
        <v>55.597499999999982</v>
      </c>
      <c r="G107" s="14">
        <f>CP43</f>
        <v>2.1315904106022301</v>
      </c>
      <c r="I107" s="56">
        <v>15</v>
      </c>
      <c r="J107" s="84">
        <f>CO15</f>
        <v>3.8019999999999952</v>
      </c>
      <c r="K107" s="84">
        <f>CO16</f>
        <v>0.17304334717058331</v>
      </c>
      <c r="L107" s="84">
        <f>CO28</f>
        <v>4.4500000000000224</v>
      </c>
      <c r="M107" s="84">
        <f>CO29</f>
        <v>0.29236962906567143</v>
      </c>
      <c r="N107" s="84">
        <f>CO42</f>
        <v>3.7349999999999781</v>
      </c>
      <c r="O107" s="84">
        <f>CO43</f>
        <v>0.11398621470535934</v>
      </c>
      <c r="P107" s="77"/>
      <c r="Q107" s="83">
        <v>15</v>
      </c>
      <c r="R107" s="77">
        <f>CR15</f>
        <v>234.73143607971085</v>
      </c>
      <c r="S107" s="14">
        <f>CR16</f>
        <v>6.8864307509830676</v>
      </c>
      <c r="T107" s="77">
        <f>CR28</f>
        <v>233.0421922937187</v>
      </c>
      <c r="U107" s="14">
        <f>CR29</f>
        <v>11.163172666080527</v>
      </c>
      <c r="V107" s="166">
        <f t="shared" ref="V107" si="687">CR42</f>
        <v>203.85266523218013</v>
      </c>
      <c r="W107" s="14">
        <f>CR43</f>
        <v>7.7212696718552047</v>
      </c>
      <c r="Z107" s="10"/>
      <c r="AA107" s="10"/>
      <c r="AF107" s="10"/>
      <c r="AG107" s="10"/>
    </row>
    <row r="108" spans="1:132">
      <c r="A108" s="83">
        <v>16</v>
      </c>
      <c r="B108" s="10">
        <f>CV15</f>
        <v>67.629999999999981</v>
      </c>
      <c r="C108" s="14">
        <f>CV16</f>
        <v>1.8425428857191644</v>
      </c>
      <c r="D108" s="10">
        <f>CV28</f>
        <v>68.296250000000001</v>
      </c>
      <c r="E108" s="14">
        <f>CV29</f>
        <v>3.3420598532192702</v>
      </c>
      <c r="F108" s="10">
        <f>CV42</f>
        <v>59.81124999999998</v>
      </c>
      <c r="G108" s="14">
        <f>CV43</f>
        <v>2.2104810703781181</v>
      </c>
      <c r="I108" s="56">
        <v>16</v>
      </c>
      <c r="J108" s="84">
        <f>CU15</f>
        <v>3.5162499999999994</v>
      </c>
      <c r="K108" s="84">
        <f>CU16</f>
        <v>0.17920396898506338</v>
      </c>
      <c r="L108" s="84">
        <f>CU28</f>
        <v>4.5412500000000007</v>
      </c>
      <c r="M108" s="84">
        <f>CU29</f>
        <v>0.33727075547695973</v>
      </c>
      <c r="N108" s="84">
        <f>CU42</f>
        <v>4.2137499999999974</v>
      </c>
      <c r="O108" s="84">
        <f>CU43</f>
        <v>0.21644809258969122</v>
      </c>
      <c r="P108" s="77"/>
      <c r="Q108" s="83">
        <v>16</v>
      </c>
      <c r="R108" s="77">
        <f>CX15</f>
        <v>247.51397969089496</v>
      </c>
      <c r="S108" s="14">
        <f>CX16</f>
        <v>6.7011590172640636</v>
      </c>
      <c r="T108" s="77">
        <f>CX28</f>
        <v>249.55089508057682</v>
      </c>
      <c r="U108" s="14">
        <f>CX29</f>
        <v>12.218228799881171</v>
      </c>
      <c r="V108" s="166">
        <f t="shared" ref="V108" si="688">CX42</f>
        <v>219.1708147214448</v>
      </c>
      <c r="W108" s="14">
        <f>CX43</f>
        <v>8.0075104265512032</v>
      </c>
      <c r="Z108" s="10"/>
      <c r="AA108" s="10"/>
      <c r="AF108" s="10"/>
      <c r="AG108" s="10"/>
    </row>
    <row r="109" spans="1:132">
      <c r="A109" s="83">
        <v>17</v>
      </c>
      <c r="B109" s="10">
        <f>DB15</f>
        <v>71.683749999999975</v>
      </c>
      <c r="C109" s="14">
        <f>DB16</f>
        <v>1.9863839521495232</v>
      </c>
      <c r="D109" s="10">
        <f>DB28</f>
        <v>72.016250000000014</v>
      </c>
      <c r="E109" s="14">
        <f>DB29</f>
        <v>3.3669962967755023</v>
      </c>
      <c r="F109" s="10">
        <f>DB42</f>
        <v>63.591249999999981</v>
      </c>
      <c r="G109" s="14">
        <f>DB43</f>
        <v>2.1976061956300095</v>
      </c>
      <c r="I109" s="56">
        <v>17</v>
      </c>
      <c r="J109" s="84">
        <f>$DA$15</f>
        <v>4.0537499999999973</v>
      </c>
      <c r="K109" s="84">
        <f>$DA$16</f>
        <v>0.25069145449564739</v>
      </c>
      <c r="L109" s="84">
        <f>$DA$28</f>
        <v>3.7200000000000082</v>
      </c>
      <c r="M109" s="84">
        <f>$DA$29</f>
        <v>0.44655826687486377</v>
      </c>
      <c r="N109" s="84">
        <f>$DA$42</f>
        <v>3.779999999999998</v>
      </c>
      <c r="O109" s="84">
        <f>$DA$43</f>
        <v>0.27707657528457874</v>
      </c>
      <c r="P109" s="77"/>
      <c r="Q109" s="83">
        <v>17</v>
      </c>
      <c r="R109" s="77">
        <f>DD15</f>
        <v>262.25048482103006</v>
      </c>
      <c r="S109" s="14">
        <f>DD16</f>
        <v>7.221414293552022</v>
      </c>
      <c r="T109" s="77">
        <f>DD28</f>
        <v>263.07412643034002</v>
      </c>
      <c r="U109" s="14">
        <f>DD29</f>
        <v>12.302803004781403</v>
      </c>
      <c r="V109" s="166">
        <f t="shared" ref="V109" si="689">DD42</f>
        <v>232.9121627058816</v>
      </c>
      <c r="W109" s="14">
        <f>DD43</f>
        <v>7.9625916161494947</v>
      </c>
      <c r="Z109" s="10"/>
      <c r="AA109" s="10"/>
      <c r="AF109" s="10"/>
      <c r="AG109" s="10"/>
    </row>
    <row r="110" spans="1:132">
      <c r="A110" s="83">
        <v>18</v>
      </c>
      <c r="B110" s="10">
        <f>DH15</f>
        <v>75.953749999999985</v>
      </c>
      <c r="C110" s="14">
        <f>DH16</f>
        <v>2.2734876743358776</v>
      </c>
      <c r="D110" s="10">
        <f>DH28</f>
        <v>75.800000000000026</v>
      </c>
      <c r="E110" s="14">
        <f>DH29</f>
        <v>3.5015756657335197</v>
      </c>
      <c r="F110" s="10">
        <f>DH42</f>
        <v>67.239999999999995</v>
      </c>
      <c r="G110" s="14">
        <f>DH43</f>
        <v>2.3444463251327732</v>
      </c>
      <c r="I110" s="56">
        <v>18</v>
      </c>
      <c r="J110" s="84">
        <f>DG15</f>
        <v>4.2700000000000014</v>
      </c>
      <c r="K110" s="84">
        <f>DG16</f>
        <v>0.35468799166108045</v>
      </c>
      <c r="L110" s="84">
        <f>DG28</f>
        <v>3.7837500000000115</v>
      </c>
      <c r="M110" s="84">
        <f>DG29</f>
        <v>0.33591526089178964</v>
      </c>
      <c r="N110" s="84">
        <f>DG42</f>
        <v>3.6487500000000073</v>
      </c>
      <c r="O110" s="84">
        <f>DG43</f>
        <v>0.27810864719180639</v>
      </c>
      <c r="P110" s="77"/>
      <c r="Q110" s="83">
        <v>18</v>
      </c>
      <c r="R110" s="77">
        <f>DJ15</f>
        <v>277.77311865530129</v>
      </c>
      <c r="S110" s="14">
        <f>DJ16</f>
        <v>8.265616956523175</v>
      </c>
      <c r="T110" s="77">
        <f>DJ28</f>
        <v>276.82910670444403</v>
      </c>
      <c r="U110" s="14">
        <f>DJ29</f>
        <v>12.793587347250321</v>
      </c>
      <c r="V110" s="166">
        <f t="shared" ref="V110" si="690">DJ42</f>
        <v>246.17638055196997</v>
      </c>
      <c r="W110" s="14">
        <f>DJ43</f>
        <v>8.5011514566599917</v>
      </c>
      <c r="Z110" s="10"/>
      <c r="AA110" s="10"/>
      <c r="AF110" s="10"/>
      <c r="AG110" s="10"/>
    </row>
    <row r="111" spans="1:132">
      <c r="A111" s="83">
        <v>19</v>
      </c>
      <c r="B111" s="10">
        <f>DN15</f>
        <v>80.489999999999981</v>
      </c>
      <c r="C111" s="14">
        <f>DN16</f>
        <v>2.4360953828382241</v>
      </c>
      <c r="D111" s="10">
        <f>DN28</f>
        <v>79.616875000000007</v>
      </c>
      <c r="E111" s="14">
        <f>DN29</f>
        <v>3.476606891771147</v>
      </c>
      <c r="F111" s="10">
        <f>DN42</f>
        <v>70.726250000000007</v>
      </c>
      <c r="G111" s="14">
        <f>DN43</f>
        <v>2.3216280752185199</v>
      </c>
      <c r="I111" s="56">
        <v>19</v>
      </c>
      <c r="J111" s="84">
        <f>DM15</f>
        <v>4.5362499999999999</v>
      </c>
      <c r="K111" s="84">
        <f>DM16</f>
        <v>0.19833177020192214</v>
      </c>
      <c r="L111" s="84">
        <f>DM28</f>
        <v>3.8168749999999876</v>
      </c>
      <c r="M111" s="84">
        <f>DM29</f>
        <v>0.19326364648731373</v>
      </c>
      <c r="N111" s="84">
        <f>DM42</f>
        <v>3.4862500000000085</v>
      </c>
      <c r="O111" s="84">
        <f>DM43</f>
        <v>0.1104202604985673</v>
      </c>
      <c r="P111" s="77"/>
      <c r="Q111" s="83">
        <v>19</v>
      </c>
      <c r="R111" s="77">
        <f>DP15</f>
        <v>294.26364505593654</v>
      </c>
      <c r="S111" s="86">
        <f>DP16</f>
        <v>8.8577499068117351</v>
      </c>
      <c r="T111" s="77">
        <f>DP28</f>
        <v>290.70450553727392</v>
      </c>
      <c r="U111" s="14">
        <f>DP29</f>
        <v>12.698449815278604</v>
      </c>
      <c r="V111" s="166">
        <f t="shared" ref="V111" si="691">DP42</f>
        <v>258.84986584581725</v>
      </c>
      <c r="W111" s="14">
        <f>DP43</f>
        <v>8.4171577019651362</v>
      </c>
      <c r="Z111" s="10"/>
      <c r="AA111" s="10"/>
      <c r="AF111" s="10"/>
      <c r="AG111" s="10"/>
    </row>
    <row r="112" spans="1:132">
      <c r="A112" s="83">
        <v>20</v>
      </c>
      <c r="B112" s="10">
        <f>DT15</f>
        <v>84.261249999999976</v>
      </c>
      <c r="C112" s="14">
        <f>DT16</f>
        <v>2.5712381935974489</v>
      </c>
      <c r="D112" s="10">
        <f>DT28</f>
        <v>83.206250000000011</v>
      </c>
      <c r="E112" s="14">
        <f>DT29</f>
        <v>3.5088535660831228</v>
      </c>
      <c r="F112" s="10">
        <f>DT42</f>
        <v>74.328749999999999</v>
      </c>
      <c r="G112" s="14">
        <f>DT43</f>
        <v>2.4248736620256555</v>
      </c>
      <c r="I112" s="56">
        <v>20</v>
      </c>
      <c r="J112" s="84">
        <f>DS15</f>
        <v>3.7712500000000002</v>
      </c>
      <c r="K112" s="84">
        <f>DS16</f>
        <v>0.24501776539088499</v>
      </c>
      <c r="L112" s="84">
        <f>DS28</f>
        <v>3.5893749999999986</v>
      </c>
      <c r="M112" s="86">
        <f>DS29</f>
        <v>0.14200238145639216</v>
      </c>
      <c r="N112" s="84">
        <f>DS42</f>
        <v>3.6025000000000009</v>
      </c>
      <c r="O112" s="86">
        <f>DS43</f>
        <v>0.20380093578924705</v>
      </c>
      <c r="P112" s="77"/>
      <c r="Q112" s="83">
        <v>20</v>
      </c>
      <c r="R112" s="77">
        <f>DV15</f>
        <v>307.97318436448342</v>
      </c>
      <c r="S112" s="86">
        <f>DV16</f>
        <v>9.3448586709924708</v>
      </c>
      <c r="T112" s="77">
        <f>DV28</f>
        <v>303.75287879696646</v>
      </c>
      <c r="U112" s="86">
        <f>DV29</f>
        <v>12.815831337184575</v>
      </c>
      <c r="V112" s="77">
        <f>DV42</f>
        <v>271.94595211934472</v>
      </c>
      <c r="W112" s="86">
        <f>DV43</f>
        <v>8.7931181689622466</v>
      </c>
      <c r="Z112" s="10"/>
      <c r="AA112" s="10"/>
      <c r="AF112" s="10"/>
      <c r="AG112" s="10"/>
    </row>
    <row r="113" spans="1:33">
      <c r="A113" s="42">
        <v>21</v>
      </c>
      <c r="B113" s="34">
        <f>$DZ$15</f>
        <v>88.207499999999968</v>
      </c>
      <c r="C113" s="36">
        <f>$DZ$16</f>
        <v>2.7954776936534973</v>
      </c>
      <c r="D113" s="34">
        <f>$DZ$28</f>
        <v>87.133750000000006</v>
      </c>
      <c r="E113" s="36">
        <f>$DZ$29</f>
        <v>3.5320269056874234</v>
      </c>
      <c r="F113" s="34">
        <f>$DZ$42</f>
        <v>78.126250000000013</v>
      </c>
      <c r="G113" s="36">
        <f>$DZ$43</f>
        <v>2.4561453085649743</v>
      </c>
      <c r="H113" s="94"/>
      <c r="I113" s="47">
        <v>21</v>
      </c>
      <c r="J113" s="85">
        <f>$DY$15</f>
        <v>3.9462499999999991</v>
      </c>
      <c r="K113" s="85">
        <f>$DY$16</f>
        <v>0.29795096372677521</v>
      </c>
      <c r="L113" s="85">
        <f>$DY$28</f>
        <v>3.9274999999999949</v>
      </c>
      <c r="M113" s="87">
        <f>$DY$29</f>
        <v>0.23686757903942418</v>
      </c>
      <c r="N113" s="85">
        <f>$DY$42</f>
        <v>3.7975000000000065</v>
      </c>
      <c r="O113" s="87">
        <f>$DY$43</f>
        <v>0.16199371680937591</v>
      </c>
      <c r="P113" s="77"/>
      <c r="Q113" s="42">
        <v>21</v>
      </c>
      <c r="R113" s="34">
        <f>EB15</f>
        <v>322.3188971908283</v>
      </c>
      <c r="S113" s="87">
        <f>EB16</f>
        <v>10.146992212742376</v>
      </c>
      <c r="T113" s="34">
        <f>EB28</f>
        <v>318.03043017497583</v>
      </c>
      <c r="U113" s="87">
        <f>EB29</f>
        <v>12.896921817846122</v>
      </c>
      <c r="V113" s="34">
        <f t="shared" ref="V113" si="692">EB42</f>
        <v>285.75091745556131</v>
      </c>
      <c r="W113" s="171">
        <f>EB43</f>
        <v>8.904301094074853</v>
      </c>
      <c r="Z113" s="10"/>
      <c r="AA113" s="10"/>
      <c r="AF113" s="10"/>
      <c r="AG113" s="10"/>
    </row>
    <row r="114" spans="1:33">
      <c r="A114" s="12"/>
      <c r="B114" s="10"/>
      <c r="C114" s="10"/>
      <c r="D114" s="10"/>
      <c r="E114" s="10"/>
      <c r="G114" s="12"/>
    </row>
    <row r="115" spans="1:33">
      <c r="A115" s="12"/>
    </row>
    <row r="117" spans="1:33">
      <c r="B117" s="31"/>
    </row>
  </sheetData>
  <phoneticPr fontId="10" type="noConversion"/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f
Effect of Meal Feeding and Grazing on food selection (Male SD Rats)
(Anish Kundu FYP)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114"/>
  <sheetViews>
    <sheetView topLeftCell="EC56" zoomScaleNormal="100" workbookViewId="0">
      <selection activeCell="EC56" sqref="EC56"/>
    </sheetView>
  </sheetViews>
  <sheetFormatPr defaultColWidth="9.5" defaultRowHeight="12.75"/>
  <cols>
    <col min="1" max="1" width="9.5" style="77" customWidth="1"/>
    <col min="2" max="2" width="13.625" style="77" customWidth="1"/>
    <col min="3" max="3" width="9.5" style="77" customWidth="1"/>
    <col min="4" max="4" width="10.125" style="77" customWidth="1"/>
    <col min="5" max="79" width="9.5" style="77" customWidth="1"/>
    <col min="80" max="80" width="9.625" style="77" bestFit="1" customWidth="1"/>
    <col min="81" max="84" width="9.5" style="77"/>
    <col min="85" max="86" width="9.625" style="77" bestFit="1" customWidth="1"/>
    <col min="87" max="90" width="9.5" style="77"/>
    <col min="91" max="92" width="9.625" style="77" bestFit="1" customWidth="1"/>
    <col min="93" max="96" width="9.5" style="77"/>
    <col min="97" max="98" width="9.625" style="77" bestFit="1" customWidth="1"/>
    <col min="99" max="102" width="9.5" style="77"/>
    <col min="103" max="103" width="9.625" style="77" bestFit="1" customWidth="1"/>
    <col min="104" max="108" width="9.5" style="77"/>
    <col min="109" max="110" width="9.625" style="77" bestFit="1" customWidth="1"/>
    <col min="111" max="115" width="9.5" style="77"/>
    <col min="116" max="116" width="9.625" style="77" bestFit="1" customWidth="1"/>
    <col min="117" max="121" width="9.5" style="77"/>
    <col min="122" max="122" width="9.625" style="77" bestFit="1" customWidth="1"/>
    <col min="123" max="16384" width="9.5" style="77"/>
  </cols>
  <sheetData>
    <row r="1" spans="1:132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3"/>
      <c r="I1" s="77" t="s">
        <v>416</v>
      </c>
      <c r="K1" s="77" t="s">
        <v>417</v>
      </c>
      <c r="M1" s="77" t="s">
        <v>418</v>
      </c>
      <c r="N1" s="77" t="s">
        <v>419</v>
      </c>
      <c r="Q1" s="77" t="s">
        <v>420</v>
      </c>
      <c r="R1" s="77">
        <v>239.00573600000001</v>
      </c>
      <c r="T1" s="77">
        <f>(15.21*R1)/1000</f>
        <v>3.6352772445600001</v>
      </c>
      <c r="W1" s="77" t="s">
        <v>421</v>
      </c>
    </row>
    <row r="2" spans="1:132">
      <c r="A2" s="3"/>
      <c r="B2" s="3"/>
      <c r="C2" s="3"/>
      <c r="D2" s="3"/>
      <c r="E2" s="3"/>
      <c r="F2" s="3"/>
      <c r="G2" s="3" t="s">
        <v>422</v>
      </c>
      <c r="R2" s="78"/>
      <c r="X2" s="78"/>
      <c r="AD2" s="78"/>
    </row>
    <row r="3" spans="1:132">
      <c r="A3" s="4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7" t="s">
        <v>195</v>
      </c>
      <c r="H3" s="5" t="s">
        <v>423</v>
      </c>
      <c r="I3" s="5" t="s">
        <v>424</v>
      </c>
      <c r="J3" s="167" t="s">
        <v>425</v>
      </c>
      <c r="K3" s="7" t="s">
        <v>426</v>
      </c>
      <c r="L3" s="5" t="s">
        <v>427</v>
      </c>
      <c r="M3" s="5" t="s">
        <v>428</v>
      </c>
      <c r="N3" s="8" t="s">
        <v>429</v>
      </c>
      <c r="O3" s="167" t="s">
        <v>430</v>
      </c>
      <c r="P3" s="167" t="s">
        <v>431</v>
      </c>
      <c r="Q3" s="7" t="s">
        <v>432</v>
      </c>
      <c r="R3" s="5" t="s">
        <v>433</v>
      </c>
      <c r="S3" s="5" t="s">
        <v>434</v>
      </c>
      <c r="T3" s="8" t="s">
        <v>435</v>
      </c>
      <c r="U3" s="167" t="s">
        <v>436</v>
      </c>
      <c r="V3" s="167" t="s">
        <v>437</v>
      </c>
      <c r="W3" s="7" t="s">
        <v>438</v>
      </c>
      <c r="X3" s="5" t="s">
        <v>439</v>
      </c>
      <c r="Y3" s="5" t="s">
        <v>440</v>
      </c>
      <c r="Z3" s="8" t="s">
        <v>441</v>
      </c>
      <c r="AA3" s="167" t="s">
        <v>442</v>
      </c>
      <c r="AB3" s="167" t="s">
        <v>443</v>
      </c>
      <c r="AC3" s="7" t="s">
        <v>444</v>
      </c>
      <c r="AD3" s="5" t="s">
        <v>445</v>
      </c>
      <c r="AE3" s="5" t="s">
        <v>446</v>
      </c>
      <c r="AF3" s="8" t="s">
        <v>447</v>
      </c>
      <c r="AG3" s="167" t="s">
        <v>448</v>
      </c>
      <c r="AH3" s="167" t="s">
        <v>449</v>
      </c>
      <c r="AI3" s="7" t="s">
        <v>450</v>
      </c>
      <c r="AJ3" s="5" t="s">
        <v>451</v>
      </c>
      <c r="AK3" s="5" t="s">
        <v>452</v>
      </c>
      <c r="AL3" s="8" t="s">
        <v>453</v>
      </c>
      <c r="AM3" s="167" t="s">
        <v>454</v>
      </c>
      <c r="AN3" s="167" t="s">
        <v>455</v>
      </c>
      <c r="AO3" s="7" t="s">
        <v>456</v>
      </c>
      <c r="AP3" s="5" t="s">
        <v>457</v>
      </c>
      <c r="AQ3" s="5" t="s">
        <v>458</v>
      </c>
      <c r="AR3" s="8" t="s">
        <v>459</v>
      </c>
      <c r="AS3" s="167" t="s">
        <v>460</v>
      </c>
      <c r="AT3" s="167" t="s">
        <v>461</v>
      </c>
      <c r="AU3" s="7" t="s">
        <v>462</v>
      </c>
      <c r="AV3" s="4" t="s">
        <v>463</v>
      </c>
      <c r="AW3" s="5" t="s">
        <v>464</v>
      </c>
      <c r="AX3" s="8" t="s">
        <v>465</v>
      </c>
      <c r="AY3" s="167" t="s">
        <v>466</v>
      </c>
      <c r="AZ3" s="167" t="s">
        <v>467</v>
      </c>
      <c r="BA3" s="7" t="s">
        <v>468</v>
      </c>
      <c r="BB3" s="5" t="s">
        <v>469</v>
      </c>
      <c r="BC3" s="5" t="s">
        <v>470</v>
      </c>
      <c r="BD3" s="8" t="s">
        <v>471</v>
      </c>
      <c r="BE3" s="167" t="s">
        <v>472</v>
      </c>
      <c r="BF3" s="167" t="s">
        <v>473</v>
      </c>
      <c r="BG3" s="7" t="s">
        <v>474</v>
      </c>
      <c r="BH3" s="5" t="s">
        <v>475</v>
      </c>
      <c r="BI3" s="5" t="s">
        <v>476</v>
      </c>
      <c r="BJ3" s="8" t="s">
        <v>477</v>
      </c>
      <c r="BK3" s="167" t="s">
        <v>478</v>
      </c>
      <c r="BL3" s="167" t="s">
        <v>479</v>
      </c>
      <c r="BM3" s="7" t="s">
        <v>480</v>
      </c>
      <c r="BN3" s="5" t="s">
        <v>481</v>
      </c>
      <c r="BO3" s="5" t="s">
        <v>482</v>
      </c>
      <c r="BP3" s="8" t="s">
        <v>483</v>
      </c>
      <c r="BQ3" s="167" t="s">
        <v>484</v>
      </c>
      <c r="BR3" s="167" t="s">
        <v>485</v>
      </c>
      <c r="BS3" s="7" t="s">
        <v>486</v>
      </c>
      <c r="BT3" s="5" t="s">
        <v>487</v>
      </c>
      <c r="BU3" s="5" t="s">
        <v>488</v>
      </c>
      <c r="BV3" s="8" t="s">
        <v>489</v>
      </c>
      <c r="BW3" s="167" t="s">
        <v>490</v>
      </c>
      <c r="BX3" s="167" t="s">
        <v>491</v>
      </c>
      <c r="BY3" s="7" t="s">
        <v>492</v>
      </c>
      <c r="BZ3" s="5" t="s">
        <v>493</v>
      </c>
      <c r="CA3" s="5" t="s">
        <v>494</v>
      </c>
      <c r="CB3" s="176" t="s">
        <v>495</v>
      </c>
      <c r="CC3" s="176" t="s">
        <v>496</v>
      </c>
      <c r="CD3" s="8" t="s">
        <v>497</v>
      </c>
      <c r="CE3" s="167" t="s">
        <v>498</v>
      </c>
      <c r="CF3" s="167" t="s">
        <v>499</v>
      </c>
      <c r="CG3" s="7" t="s">
        <v>500</v>
      </c>
      <c r="CH3" s="5" t="s">
        <v>501</v>
      </c>
      <c r="CI3" s="5" t="s">
        <v>502</v>
      </c>
      <c r="CJ3" s="8" t="s">
        <v>503</v>
      </c>
      <c r="CK3" s="167" t="s">
        <v>504</v>
      </c>
      <c r="CL3" s="167" t="s">
        <v>505</v>
      </c>
      <c r="CM3" s="7" t="s">
        <v>506</v>
      </c>
      <c r="CN3" s="4" t="s">
        <v>507</v>
      </c>
      <c r="CO3" s="5" t="s">
        <v>508</v>
      </c>
      <c r="CP3" s="8" t="s">
        <v>509</v>
      </c>
      <c r="CQ3" s="167" t="s">
        <v>510</v>
      </c>
      <c r="CR3" s="167" t="s">
        <v>511</v>
      </c>
      <c r="CS3" s="7" t="s">
        <v>512</v>
      </c>
      <c r="CT3" s="5" t="s">
        <v>513</v>
      </c>
      <c r="CU3" s="5" t="s">
        <v>514</v>
      </c>
      <c r="CV3" s="8" t="s">
        <v>515</v>
      </c>
      <c r="CW3" s="167" t="s">
        <v>516</v>
      </c>
      <c r="CX3" s="167" t="s">
        <v>517</v>
      </c>
      <c r="CY3" s="7" t="s">
        <v>518</v>
      </c>
      <c r="CZ3" s="5" t="s">
        <v>519</v>
      </c>
      <c r="DA3" s="5" t="s">
        <v>520</v>
      </c>
      <c r="DB3" s="8" t="s">
        <v>521</v>
      </c>
      <c r="DC3" s="167" t="s">
        <v>522</v>
      </c>
      <c r="DD3" s="167" t="s">
        <v>523</v>
      </c>
      <c r="DE3" s="7" t="s">
        <v>524</v>
      </c>
      <c r="DF3" s="5" t="s">
        <v>525</v>
      </c>
      <c r="DG3" s="5" t="s">
        <v>526</v>
      </c>
      <c r="DH3" s="8" t="s">
        <v>527</v>
      </c>
      <c r="DI3" s="167" t="s">
        <v>528</v>
      </c>
      <c r="DJ3" s="167" t="s">
        <v>529</v>
      </c>
      <c r="DK3" s="7" t="s">
        <v>530</v>
      </c>
      <c r="DL3" s="5" t="s">
        <v>531</v>
      </c>
      <c r="DM3" s="5" t="s">
        <v>532</v>
      </c>
      <c r="DN3" s="53" t="s">
        <v>533</v>
      </c>
      <c r="DO3" s="167" t="s">
        <v>534</v>
      </c>
      <c r="DP3" s="167" t="s">
        <v>535</v>
      </c>
      <c r="DQ3" s="328" t="s">
        <v>536</v>
      </c>
      <c r="DR3" s="5" t="s">
        <v>537</v>
      </c>
      <c r="DS3" s="5" t="s">
        <v>538</v>
      </c>
      <c r="DT3" s="53" t="s">
        <v>539</v>
      </c>
      <c r="DU3" s="167" t="s">
        <v>540</v>
      </c>
      <c r="DV3" s="167" t="s">
        <v>541</v>
      </c>
      <c r="DW3" s="7" t="s">
        <v>536</v>
      </c>
      <c r="DX3" s="5" t="s">
        <v>542</v>
      </c>
      <c r="DY3" s="5" t="s">
        <v>543</v>
      </c>
      <c r="DZ3" s="8" t="s">
        <v>544</v>
      </c>
      <c r="EA3" s="167" t="s">
        <v>545</v>
      </c>
      <c r="EB3" s="178" t="s">
        <v>546</v>
      </c>
    </row>
    <row r="4" spans="1:132" ht="12" customHeight="1">
      <c r="A4" s="131" t="s">
        <v>355</v>
      </c>
      <c r="B4" s="118" t="s">
        <v>356</v>
      </c>
      <c r="C4" s="138">
        <v>42548</v>
      </c>
      <c r="D4" s="12" t="s">
        <v>22</v>
      </c>
      <c r="E4" s="10" t="s">
        <v>262</v>
      </c>
      <c r="F4" s="11">
        <v>42587</v>
      </c>
      <c r="G4" s="15">
        <v>106.63</v>
      </c>
      <c r="H4" s="10">
        <v>103.38</v>
      </c>
      <c r="I4" s="10">
        <f>G4-H4</f>
        <v>3.25</v>
      </c>
      <c r="J4" s="168">
        <f>I4*$T$1</f>
        <v>11.81465104482</v>
      </c>
      <c r="K4" s="15">
        <v>104.8</v>
      </c>
      <c r="L4" s="150">
        <v>100.65</v>
      </c>
      <c r="M4" s="10">
        <f>K4-L4</f>
        <v>4.1499999999999915</v>
      </c>
      <c r="N4" s="10">
        <f>I4+M4</f>
        <v>7.3999999999999915</v>
      </c>
      <c r="O4" s="168">
        <f>M4*$T$1</f>
        <v>15.08640056492397</v>
      </c>
      <c r="P4" s="168">
        <f>J4+O4</f>
        <v>26.90105160974397</v>
      </c>
      <c r="Q4" s="15">
        <v>107.21</v>
      </c>
      <c r="R4" s="150">
        <v>102.1</v>
      </c>
      <c r="S4" s="10">
        <f>Q4-R4</f>
        <v>5.1099999999999994</v>
      </c>
      <c r="T4" s="10">
        <f>N4+S4</f>
        <v>12.509999999999991</v>
      </c>
      <c r="U4" s="168">
        <f>S4*$T$1</f>
        <v>18.5762667197016</v>
      </c>
      <c r="V4" s="168">
        <f>P4+U4</f>
        <v>45.477318329445566</v>
      </c>
      <c r="W4" s="15">
        <v>102.38</v>
      </c>
      <c r="X4" s="10">
        <v>97.08</v>
      </c>
      <c r="Y4" s="10">
        <f>W4-X4</f>
        <v>5.2999999999999972</v>
      </c>
      <c r="Z4" s="10">
        <f>T4+Y4</f>
        <v>17.809999999999988</v>
      </c>
      <c r="AA4" s="168">
        <f>Y4*$T$1</f>
        <v>19.26696939616799</v>
      </c>
      <c r="AB4" s="168">
        <f>V4+AA4</f>
        <v>64.74428772561356</v>
      </c>
      <c r="AC4" s="15">
        <v>102.11</v>
      </c>
      <c r="AD4" s="10">
        <v>97.29</v>
      </c>
      <c r="AE4" s="10">
        <f>AC4-AD4</f>
        <v>4.8199999999999932</v>
      </c>
      <c r="AF4" s="10">
        <f>Z4+AE4</f>
        <v>22.629999999999981</v>
      </c>
      <c r="AG4" s="168">
        <f>AE4*$T$1</f>
        <v>17.522036318779175</v>
      </c>
      <c r="AH4" s="168">
        <f>AB4+AG4</f>
        <v>82.266324044392732</v>
      </c>
      <c r="AI4" s="15">
        <v>106.84</v>
      </c>
      <c r="AJ4" s="10">
        <v>102.59</v>
      </c>
      <c r="AK4" s="10">
        <f>AI4-AJ4</f>
        <v>4.25</v>
      </c>
      <c r="AL4" s="10">
        <f>AF4+AK4</f>
        <v>26.879999999999981</v>
      </c>
      <c r="AM4" s="168">
        <f>AK4*$T$1</f>
        <v>15.449928289380001</v>
      </c>
      <c r="AN4" s="168">
        <f>AH4+AM4</f>
        <v>97.716252333772729</v>
      </c>
      <c r="AO4" s="15">
        <v>104.34</v>
      </c>
      <c r="AP4" s="10">
        <v>98.93</v>
      </c>
      <c r="AQ4" s="10">
        <f>AO4-AP4</f>
        <v>5.4099999999999966</v>
      </c>
      <c r="AR4" s="10">
        <f>AL4+AQ4</f>
        <v>32.289999999999978</v>
      </c>
      <c r="AS4" s="168">
        <f>AQ4*$T$1</f>
        <v>19.666849893069589</v>
      </c>
      <c r="AT4" s="168">
        <f>AN4+AS4</f>
        <v>117.38310222684231</v>
      </c>
      <c r="AU4" s="15">
        <v>107.61</v>
      </c>
      <c r="AV4" s="13">
        <v>102.97</v>
      </c>
      <c r="AW4" s="10">
        <f>AU4-AV4</f>
        <v>4.6400000000000006</v>
      </c>
      <c r="AX4" s="10">
        <f>AR4+AW4</f>
        <v>36.929999999999978</v>
      </c>
      <c r="AY4" s="168">
        <f>AW4*$T$1</f>
        <v>16.867686414758403</v>
      </c>
      <c r="AZ4" s="168">
        <f>AT4+AY4</f>
        <v>134.25078864160071</v>
      </c>
      <c r="BA4" s="15">
        <v>106.91</v>
      </c>
      <c r="BB4" s="10">
        <v>101.23</v>
      </c>
      <c r="BC4" s="10">
        <f>BA4-BB4</f>
        <v>5.6799999999999926</v>
      </c>
      <c r="BD4" s="10">
        <f>AX4+BC4</f>
        <v>42.609999999999971</v>
      </c>
      <c r="BE4" s="168">
        <f>BC4*$T$1</f>
        <v>20.648374749100775</v>
      </c>
      <c r="BF4" s="168">
        <f>AZ4+BE4</f>
        <v>154.89916339070149</v>
      </c>
      <c r="BG4" s="15">
        <v>108.69</v>
      </c>
      <c r="BH4" s="10">
        <v>104.48</v>
      </c>
      <c r="BI4" s="10">
        <f>BG4-BH4</f>
        <v>4.2099999999999937</v>
      </c>
      <c r="BJ4" s="10">
        <f>BD4+BI4</f>
        <v>46.819999999999965</v>
      </c>
      <c r="BK4" s="168">
        <f>BI4*$T$1</f>
        <v>15.304517199597578</v>
      </c>
      <c r="BL4" s="168">
        <f>BF4+BK4</f>
        <v>170.20368059029906</v>
      </c>
      <c r="BM4" s="15">
        <v>107.66</v>
      </c>
      <c r="BN4" s="10">
        <v>102.72</v>
      </c>
      <c r="BO4" s="10">
        <f>BM4-BN4</f>
        <v>4.9399999999999977</v>
      </c>
      <c r="BP4" s="10">
        <f>BJ4+BO4</f>
        <v>51.759999999999962</v>
      </c>
      <c r="BQ4" s="168">
        <f>BO4*$T$1</f>
        <v>17.958269588126392</v>
      </c>
      <c r="BR4" s="168">
        <f>BL4+BQ4</f>
        <v>188.16195017842546</v>
      </c>
      <c r="BS4" s="15">
        <v>109.59</v>
      </c>
      <c r="BT4" s="10">
        <v>104.49</v>
      </c>
      <c r="BU4" s="10">
        <f>BS4-BT4</f>
        <v>5.1000000000000085</v>
      </c>
      <c r="BV4" s="10">
        <f>BP4+BU4</f>
        <v>56.859999999999971</v>
      </c>
      <c r="BW4" s="168">
        <f>BU4*$T$1</f>
        <v>18.539913947256032</v>
      </c>
      <c r="BX4" s="168">
        <f>BR4+BW4</f>
        <v>206.70186412568148</v>
      </c>
      <c r="BY4" s="15">
        <v>107.94</v>
      </c>
      <c r="BZ4" s="10">
        <v>104.16</v>
      </c>
      <c r="CA4" s="10">
        <f>BY4-BZ4</f>
        <v>3.7800000000000011</v>
      </c>
      <c r="CB4" s="172">
        <v>1.7</v>
      </c>
      <c r="CC4" s="172">
        <f>CA4+CB4</f>
        <v>5.4800000000000013</v>
      </c>
      <c r="CD4" s="10">
        <f>BV4+CC4</f>
        <v>62.339999999999975</v>
      </c>
      <c r="CE4" s="369">
        <f>(CA4*$T$1)+7.4342</f>
        <v>21.175547984436804</v>
      </c>
      <c r="CF4" s="168">
        <f>BX4+CE4</f>
        <v>227.87741211011829</v>
      </c>
      <c r="CG4" s="15">
        <v>107.59</v>
      </c>
      <c r="CH4" s="10">
        <v>102.88</v>
      </c>
      <c r="CI4" s="10">
        <f>CG4-CH4</f>
        <v>4.710000000000008</v>
      </c>
      <c r="CJ4" s="10">
        <f>CD4+CI4</f>
        <v>67.049999999999983</v>
      </c>
      <c r="CK4" s="168">
        <f>CI4*$T$1</f>
        <v>17.12215582187763</v>
      </c>
      <c r="CL4" s="168">
        <f>CF4+CK4</f>
        <v>244.99956793199593</v>
      </c>
      <c r="CM4" s="15">
        <v>108.73</v>
      </c>
      <c r="CN4" s="13">
        <v>105.13</v>
      </c>
      <c r="CO4" s="10">
        <f>CM4-CN4</f>
        <v>3.6000000000000085</v>
      </c>
      <c r="CP4" s="10">
        <f>CJ4+CO4</f>
        <v>70.649999999999991</v>
      </c>
      <c r="CQ4" s="168">
        <f>CO4*$T$1</f>
        <v>13.086998080416031</v>
      </c>
      <c r="CR4" s="168">
        <f>CL4+CQ4</f>
        <v>258.08656601241194</v>
      </c>
      <c r="CS4" s="15">
        <v>108.47</v>
      </c>
      <c r="CT4" s="10">
        <v>104.49</v>
      </c>
      <c r="CU4" s="10">
        <f>CS4-CT4</f>
        <v>3.980000000000004</v>
      </c>
      <c r="CV4" s="10">
        <f>CP4+CU4</f>
        <v>74.63</v>
      </c>
      <c r="CW4" s="168">
        <f>CU4*$T$1</f>
        <v>14.468403433348815</v>
      </c>
      <c r="CX4" s="168">
        <f>CR4+CW4</f>
        <v>272.55496944576078</v>
      </c>
      <c r="CY4" s="15">
        <v>106.87</v>
      </c>
      <c r="CZ4" s="10">
        <v>102.21</v>
      </c>
      <c r="DA4" s="10">
        <f>CY4-CZ4</f>
        <v>4.6600000000000108</v>
      </c>
      <c r="DB4" s="10">
        <f>CV4+DA4</f>
        <v>79.290000000000006</v>
      </c>
      <c r="DC4" s="168">
        <f>DA4*$T$1</f>
        <v>16.940391959649642</v>
      </c>
      <c r="DD4" s="168">
        <f>CX4+DC4</f>
        <v>289.49536140541039</v>
      </c>
      <c r="DE4" s="15">
        <v>107.72</v>
      </c>
      <c r="DF4" s="150">
        <v>103.21</v>
      </c>
      <c r="DG4" s="10">
        <f>DE4-DF4</f>
        <v>4.5100000000000051</v>
      </c>
      <c r="DH4" s="10">
        <f>DB4+DG4</f>
        <v>83.800000000000011</v>
      </c>
      <c r="DI4" s="168">
        <f>DG4*$T$1</f>
        <v>16.395100372965619</v>
      </c>
      <c r="DJ4" s="168">
        <f>DD4+DI4</f>
        <v>305.89046177837599</v>
      </c>
      <c r="DK4" s="15">
        <v>106</v>
      </c>
      <c r="DL4" s="10">
        <v>101.29</v>
      </c>
      <c r="DM4" s="211">
        <f>(DK4-DL4)-0.23</f>
        <v>4.4799999999999933</v>
      </c>
      <c r="DN4" s="10">
        <f>DH4+DM4</f>
        <v>88.28</v>
      </c>
      <c r="DO4" s="168">
        <f>DM4*$T$1</f>
        <v>16.286042055628776</v>
      </c>
      <c r="DP4" s="168">
        <f>DJ4+DO4</f>
        <v>322.17650383400479</v>
      </c>
      <c r="DQ4" s="202">
        <v>107.46</v>
      </c>
      <c r="DR4" s="150">
        <v>103.79</v>
      </c>
      <c r="DS4" s="211">
        <f>(DQ4-DR4)-0.19</f>
        <v>3.4799999999999875</v>
      </c>
      <c r="DT4" s="10">
        <f>DN4+DS4</f>
        <v>91.759999999999991</v>
      </c>
      <c r="DU4" s="168">
        <f>DS4*$T$1</f>
        <v>12.650764811068756</v>
      </c>
      <c r="DV4" s="168">
        <f>DP4+DU4</f>
        <v>334.82726864507356</v>
      </c>
      <c r="DW4" s="15">
        <v>105.13</v>
      </c>
      <c r="DX4" s="10">
        <v>100.59</v>
      </c>
      <c r="DY4" s="10">
        <f>DW4-DX4</f>
        <v>4.539999999999992</v>
      </c>
      <c r="DZ4" s="10">
        <f>DT4+DY4</f>
        <v>96.299999999999983</v>
      </c>
      <c r="EA4" s="168">
        <f>DY4*$T$1</f>
        <v>16.504158690302372</v>
      </c>
      <c r="EB4" s="179">
        <f>DV4+EA4</f>
        <v>351.33142733537591</v>
      </c>
    </row>
    <row r="5" spans="1:132" ht="12" customHeight="1">
      <c r="A5" s="9" t="s">
        <v>357</v>
      </c>
      <c r="B5" s="116" t="s">
        <v>358</v>
      </c>
      <c r="C5" s="138">
        <v>42548</v>
      </c>
      <c r="D5" s="12" t="s">
        <v>22</v>
      </c>
      <c r="E5" s="10" t="s">
        <v>262</v>
      </c>
      <c r="F5" s="11">
        <v>42587</v>
      </c>
      <c r="G5" s="15">
        <v>106.44</v>
      </c>
      <c r="H5" s="10">
        <v>103.67</v>
      </c>
      <c r="I5" s="10">
        <f t="shared" ref="I5:I6" si="0">G5-H5</f>
        <v>2.769999999999996</v>
      </c>
      <c r="J5" s="168">
        <f t="shared" ref="J5:J6" si="1">I5*$T$1</f>
        <v>10.069717967431187</v>
      </c>
      <c r="K5" s="15">
        <v>106.68</v>
      </c>
      <c r="L5" s="150">
        <v>102.55</v>
      </c>
      <c r="M5" s="10">
        <f>K5-L5</f>
        <v>4.1300000000000097</v>
      </c>
      <c r="N5" s="10">
        <f>I5+M5</f>
        <v>6.9000000000000057</v>
      </c>
      <c r="O5" s="168">
        <f>M5*$T$1</f>
        <v>15.013695020032836</v>
      </c>
      <c r="P5" s="168">
        <f t="shared" ref="P5:P6" si="2">J5+O5</f>
        <v>25.083412987464023</v>
      </c>
      <c r="Q5" s="151">
        <v>107.45</v>
      </c>
      <c r="R5" s="10">
        <v>103.49</v>
      </c>
      <c r="S5" s="10">
        <f t="shared" ref="S5:S6" si="3">Q5-R5</f>
        <v>3.960000000000008</v>
      </c>
      <c r="T5" s="10">
        <f t="shared" ref="T5:T6" si="4">N5+S5</f>
        <v>10.860000000000014</v>
      </c>
      <c r="U5" s="168">
        <f>S5*$T$1</f>
        <v>14.395697888457629</v>
      </c>
      <c r="V5" s="168">
        <f t="shared" ref="V5:V6" si="5">P5+U5</f>
        <v>39.479110875921648</v>
      </c>
      <c r="W5" s="15">
        <v>106.5</v>
      </c>
      <c r="X5" s="10">
        <v>102.2</v>
      </c>
      <c r="Y5" s="10">
        <f>W5-X5</f>
        <v>4.2999999999999972</v>
      </c>
      <c r="Z5" s="10">
        <f>T5+Y5</f>
        <v>15.160000000000011</v>
      </c>
      <c r="AA5" s="168">
        <f>Y5*$T$1</f>
        <v>15.631692151607989</v>
      </c>
      <c r="AB5" s="168">
        <f t="shared" ref="AB5:AB6" si="6">V5+AA5</f>
        <v>55.110803027529641</v>
      </c>
      <c r="AC5" s="15">
        <v>104.79</v>
      </c>
      <c r="AD5" s="150">
        <v>99.26</v>
      </c>
      <c r="AE5" s="10">
        <f t="shared" ref="AE5:AE6" si="7">AC5-AD5</f>
        <v>5.5300000000000011</v>
      </c>
      <c r="AF5" s="10">
        <f t="shared" ref="AF5:AF6" si="8">Z5+AE5</f>
        <v>20.690000000000012</v>
      </c>
      <c r="AG5" s="168">
        <f>AE5*$T$1</f>
        <v>20.103083162416805</v>
      </c>
      <c r="AH5" s="168">
        <f t="shared" ref="AH5:AH6" si="9">AB5+AG5</f>
        <v>75.21388618994645</v>
      </c>
      <c r="AI5" s="15">
        <v>109.56</v>
      </c>
      <c r="AJ5" s="10">
        <v>105.17</v>
      </c>
      <c r="AK5" s="10">
        <f t="shared" ref="AK5:AK6" si="10">AI5-AJ5</f>
        <v>4.3900000000000006</v>
      </c>
      <c r="AL5" s="10">
        <f t="shared" ref="AL5:AL6" si="11">AF5+AK5</f>
        <v>25.080000000000013</v>
      </c>
      <c r="AM5" s="168">
        <f>AK5*$T$1</f>
        <v>15.958867103618402</v>
      </c>
      <c r="AN5" s="168">
        <f t="shared" ref="AN5:AN6" si="12">AH5+AM5</f>
        <v>91.172753293564853</v>
      </c>
      <c r="AO5" s="15">
        <v>107.53</v>
      </c>
      <c r="AP5" s="10">
        <v>102.26</v>
      </c>
      <c r="AQ5" s="10">
        <f t="shared" ref="AQ5:AQ6" si="13">AO5-AP5</f>
        <v>5.269999999999996</v>
      </c>
      <c r="AR5" s="10">
        <f t="shared" ref="AR5:AR6" si="14">AL5+AQ5</f>
        <v>30.350000000000009</v>
      </c>
      <c r="AS5" s="168">
        <f>AQ5*$T$1</f>
        <v>19.157911078831187</v>
      </c>
      <c r="AT5" s="168">
        <f t="shared" ref="AT5:AT6" si="15">AN5+AS5</f>
        <v>110.33066437239604</v>
      </c>
      <c r="AU5" s="15">
        <v>110.7</v>
      </c>
      <c r="AV5" s="13">
        <v>105.48</v>
      </c>
      <c r="AW5" s="10">
        <f t="shared" ref="AW5:AW6" si="16">AU5-AV5</f>
        <v>5.2199999999999989</v>
      </c>
      <c r="AX5" s="10">
        <f t="shared" ref="AX5:AX6" si="17">AR5+AW5</f>
        <v>35.570000000000007</v>
      </c>
      <c r="AY5" s="168">
        <f>AW5*$T$1</f>
        <v>18.976147216603195</v>
      </c>
      <c r="AZ5" s="168">
        <f t="shared" ref="AZ5:AZ6" si="18">AT5+AY5</f>
        <v>129.30681158899924</v>
      </c>
      <c r="BA5" s="15">
        <v>110.47</v>
      </c>
      <c r="BB5" s="150">
        <v>104.2</v>
      </c>
      <c r="BC5" s="10">
        <f>BA5-BB5</f>
        <v>6.269999999999996</v>
      </c>
      <c r="BD5" s="10">
        <f>AX5+BC5</f>
        <v>41.84</v>
      </c>
      <c r="BE5" s="168">
        <f>BC5*$T$1</f>
        <v>22.793188323391185</v>
      </c>
      <c r="BF5" s="168">
        <f t="shared" ref="BF5:BF6" si="19">AZ5+BE5</f>
        <v>152.09999991239042</v>
      </c>
      <c r="BG5" s="15">
        <v>110.89</v>
      </c>
      <c r="BH5" s="10">
        <v>105.63</v>
      </c>
      <c r="BI5" s="10">
        <f t="shared" ref="BI5:BI6" si="20">BG5-BH5</f>
        <v>5.2600000000000051</v>
      </c>
      <c r="BJ5" s="10">
        <f t="shared" ref="BJ5:BJ6" si="21">BD5+BI5</f>
        <v>47.100000000000009</v>
      </c>
      <c r="BK5" s="168">
        <f>BI5*$T$1</f>
        <v>19.121558306385619</v>
      </c>
      <c r="BL5" s="168">
        <f t="shared" ref="BL5:BL6" si="22">BF5+BK5</f>
        <v>171.22155821877604</v>
      </c>
      <c r="BM5" s="15">
        <v>107.92</v>
      </c>
      <c r="BN5" s="150">
        <v>102.02</v>
      </c>
      <c r="BO5" s="10">
        <f>BM5-BN5</f>
        <v>5.9000000000000057</v>
      </c>
      <c r="BP5" s="10">
        <f>BJ5+BO5</f>
        <v>53.000000000000014</v>
      </c>
      <c r="BQ5" s="168">
        <f>BO5*$T$1</f>
        <v>21.448135742904022</v>
      </c>
      <c r="BR5" s="168">
        <f t="shared" ref="BR5:BR6" si="23">BL5+BQ5</f>
        <v>192.66969396168005</v>
      </c>
      <c r="BS5" s="15">
        <v>112.72</v>
      </c>
      <c r="BT5" s="10">
        <v>107.55</v>
      </c>
      <c r="BU5" s="10">
        <f>BS5-BT5</f>
        <v>5.1700000000000017</v>
      </c>
      <c r="BV5" s="10">
        <f>BP5+BU5</f>
        <v>58.170000000000016</v>
      </c>
      <c r="BW5" s="168">
        <f>BU5*$T$1</f>
        <v>18.794383354375206</v>
      </c>
      <c r="BX5" s="168">
        <f t="shared" ref="BX5:BX6" si="24">BR5+BW5</f>
        <v>211.46407731605527</v>
      </c>
      <c r="BY5" s="15">
        <v>108.85</v>
      </c>
      <c r="BZ5" s="10">
        <v>105.11</v>
      </c>
      <c r="CA5" s="10">
        <f>BY5-BZ5</f>
        <v>3.7399999999999949</v>
      </c>
      <c r="CB5" s="172">
        <v>4.26</v>
      </c>
      <c r="CC5" s="172">
        <f>CA5+CB5</f>
        <v>7.9999999999999947</v>
      </c>
      <c r="CD5" s="10">
        <f>BV5+CC5</f>
        <v>66.170000000000016</v>
      </c>
      <c r="CE5" s="369">
        <f>(CA5*$T$1)+19.1856</f>
        <v>32.78153689465438</v>
      </c>
      <c r="CF5" s="168">
        <f>BX5+CE5</f>
        <v>244.24561421070965</v>
      </c>
      <c r="CG5" s="15">
        <v>110.25</v>
      </c>
      <c r="CH5" s="10">
        <v>104.61</v>
      </c>
      <c r="CI5" s="10">
        <f>CG5-CH5</f>
        <v>5.6400000000000006</v>
      </c>
      <c r="CJ5" s="10">
        <f>CD5+CI5</f>
        <v>71.810000000000016</v>
      </c>
      <c r="CK5" s="168">
        <f>CI5*$T$1</f>
        <v>20.502963659318404</v>
      </c>
      <c r="CL5" s="168">
        <f t="shared" ref="CL5:CL6" si="25">CF5+CK5</f>
        <v>264.74857787002804</v>
      </c>
      <c r="CM5" s="15">
        <v>110.56</v>
      </c>
      <c r="CN5" s="163">
        <v>105.57</v>
      </c>
      <c r="CO5" s="10">
        <f>CM5-CN5</f>
        <v>4.9900000000000091</v>
      </c>
      <c r="CP5" s="10">
        <f>CJ5+CO5</f>
        <v>76.800000000000026</v>
      </c>
      <c r="CQ5" s="168">
        <f>CO5*$T$1</f>
        <v>18.140033450354434</v>
      </c>
      <c r="CR5" s="168">
        <f t="shared" ref="CR5:CR6" si="26">CL5+CQ5</f>
        <v>282.88861132038249</v>
      </c>
      <c r="CS5" s="15">
        <v>109.93</v>
      </c>
      <c r="CT5" s="10">
        <v>105.25</v>
      </c>
      <c r="CU5" s="10">
        <f>CS5-CT5</f>
        <v>4.6800000000000068</v>
      </c>
      <c r="CV5" s="10">
        <f>CP5+CU5</f>
        <v>81.480000000000032</v>
      </c>
      <c r="CW5" s="168">
        <f>CU5*$T$1</f>
        <v>17.013097504540827</v>
      </c>
      <c r="CX5" s="168">
        <f t="shared" ref="CX5:CX6" si="27">CR5+CW5</f>
        <v>299.90170882492333</v>
      </c>
      <c r="CY5" s="15">
        <v>107.63</v>
      </c>
      <c r="CZ5" s="10">
        <v>102.17</v>
      </c>
      <c r="DA5" s="10">
        <f t="shared" ref="DA5:DA6" si="28">CY5-CZ5</f>
        <v>5.4599999999999937</v>
      </c>
      <c r="DB5" s="10">
        <f t="shared" ref="DB5:DB6" si="29">CV5+DA5</f>
        <v>86.940000000000026</v>
      </c>
      <c r="DC5" s="168">
        <f>DA5*$T$1</f>
        <v>19.848613755297578</v>
      </c>
      <c r="DD5" s="168">
        <f t="shared" ref="DD5:DD6" si="30">CX5+DC5</f>
        <v>319.75032258022088</v>
      </c>
      <c r="DE5" s="15">
        <v>108.25</v>
      </c>
      <c r="DF5" s="150">
        <v>102.11</v>
      </c>
      <c r="DG5" s="10">
        <f t="shared" ref="DG5:DG6" si="31">DE5-DF5</f>
        <v>6.1400000000000006</v>
      </c>
      <c r="DH5" s="10">
        <f t="shared" ref="DH5:DH6" si="32">DB5+DG5</f>
        <v>93.080000000000027</v>
      </c>
      <c r="DI5" s="168">
        <f>DG5*$T$1</f>
        <v>22.320602281598404</v>
      </c>
      <c r="DJ5" s="168">
        <f t="shared" ref="DJ5:DJ6" si="33">DD5+DI5</f>
        <v>342.07092486181926</v>
      </c>
      <c r="DK5" s="15">
        <v>106.46</v>
      </c>
      <c r="DL5" s="10">
        <v>100.59</v>
      </c>
      <c r="DM5" s="211">
        <f>(DK5-DL5)-0.35</f>
        <v>5.5199999999999907</v>
      </c>
      <c r="DN5" s="10">
        <f>DH5+DM5</f>
        <v>98.600000000000023</v>
      </c>
      <c r="DO5" s="168">
        <f>DM5*$T$1</f>
        <v>20.066730389971166</v>
      </c>
      <c r="DP5" s="168">
        <f t="shared" ref="DP5:DP6" si="34">DJ5+DO5</f>
        <v>362.13765525179042</v>
      </c>
      <c r="DQ5" s="202">
        <v>106.58</v>
      </c>
      <c r="DR5" s="10">
        <v>100.92</v>
      </c>
      <c r="DS5" s="211">
        <f>(DQ5-DR5)-0.18</f>
        <v>5.4799999999999969</v>
      </c>
      <c r="DT5" s="10">
        <f t="shared" ref="DT5:DT6" si="35">DN5+DS5</f>
        <v>104.08000000000001</v>
      </c>
      <c r="DU5" s="168">
        <f>DS5*$T$1</f>
        <v>19.921319300188788</v>
      </c>
      <c r="DV5" s="168">
        <f t="shared" ref="DV5:DV6" si="36">DP5+DU5</f>
        <v>382.05897455197919</v>
      </c>
      <c r="DW5" s="15">
        <v>105.47</v>
      </c>
      <c r="DX5" s="10">
        <v>99.62</v>
      </c>
      <c r="DY5" s="10">
        <f>DW5-DX5</f>
        <v>5.8499999999999943</v>
      </c>
      <c r="DZ5" s="10">
        <f>DT5+DY5</f>
        <v>109.93</v>
      </c>
      <c r="EA5" s="168">
        <f>DY5*$T$1</f>
        <v>21.26637188067598</v>
      </c>
      <c r="EB5" s="179">
        <f t="shared" ref="EB5:EB6" si="37">DV5+EA5</f>
        <v>403.32534643265518</v>
      </c>
    </row>
    <row r="6" spans="1:132" ht="12" customHeight="1">
      <c r="A6" s="9" t="s">
        <v>359</v>
      </c>
      <c r="B6" s="116" t="s">
        <v>360</v>
      </c>
      <c r="C6" s="142">
        <v>42550</v>
      </c>
      <c r="D6" s="12" t="s">
        <v>22</v>
      </c>
      <c r="E6" s="10" t="s">
        <v>262</v>
      </c>
      <c r="F6" s="11">
        <v>42587</v>
      </c>
      <c r="G6" s="15">
        <v>107.44</v>
      </c>
      <c r="H6" s="10">
        <v>104.98</v>
      </c>
      <c r="I6" s="10">
        <f t="shared" si="0"/>
        <v>2.4599999999999937</v>
      </c>
      <c r="J6" s="168">
        <f t="shared" si="1"/>
        <v>8.9427820216175782</v>
      </c>
      <c r="K6" s="15">
        <v>108.62</v>
      </c>
      <c r="L6" s="150">
        <v>103.45</v>
      </c>
      <c r="M6" s="10">
        <f>K6-L6</f>
        <v>5.1700000000000017</v>
      </c>
      <c r="N6" s="10">
        <f>I6+M6</f>
        <v>7.6299999999999955</v>
      </c>
      <c r="O6" s="168">
        <f>M6*$T$1</f>
        <v>18.794383354375206</v>
      </c>
      <c r="P6" s="168">
        <f t="shared" si="2"/>
        <v>27.737165375992785</v>
      </c>
      <c r="Q6" s="15">
        <v>108.32</v>
      </c>
      <c r="R6" s="150">
        <v>105.32</v>
      </c>
      <c r="S6" s="10">
        <f t="shared" si="3"/>
        <v>3</v>
      </c>
      <c r="T6" s="10">
        <f t="shared" si="4"/>
        <v>10.629999999999995</v>
      </c>
      <c r="U6" s="168">
        <f>S6*$T$1</f>
        <v>10.905831733679999</v>
      </c>
      <c r="V6" s="168">
        <f t="shared" si="5"/>
        <v>38.642997109672784</v>
      </c>
      <c r="W6" s="15">
        <v>103.11</v>
      </c>
      <c r="X6" s="10">
        <v>99.02</v>
      </c>
      <c r="Y6" s="10">
        <f>W6-X6</f>
        <v>4.0900000000000034</v>
      </c>
      <c r="Z6" s="10">
        <f>T6+Y6</f>
        <v>14.719999999999999</v>
      </c>
      <c r="AA6" s="168">
        <f>Y6*$T$1</f>
        <v>14.868283930250414</v>
      </c>
      <c r="AB6" s="168">
        <f t="shared" si="6"/>
        <v>53.511281039923198</v>
      </c>
      <c r="AC6" s="15">
        <v>101.22</v>
      </c>
      <c r="AD6" s="10">
        <v>96.55</v>
      </c>
      <c r="AE6" s="10">
        <f t="shared" si="7"/>
        <v>4.6700000000000017</v>
      </c>
      <c r="AF6" s="10">
        <f t="shared" si="8"/>
        <v>19.39</v>
      </c>
      <c r="AG6" s="168">
        <f>AE6*$T$1</f>
        <v>16.976744732095206</v>
      </c>
      <c r="AH6" s="168">
        <f t="shared" si="9"/>
        <v>70.488025772018403</v>
      </c>
      <c r="AI6" s="15">
        <v>101.77</v>
      </c>
      <c r="AJ6" s="10">
        <v>97.24</v>
      </c>
      <c r="AK6" s="10">
        <f t="shared" si="10"/>
        <v>4.5300000000000011</v>
      </c>
      <c r="AL6" s="10">
        <f t="shared" si="11"/>
        <v>23.92</v>
      </c>
      <c r="AM6" s="168">
        <f>AK6*$T$1</f>
        <v>16.467805917856804</v>
      </c>
      <c r="AN6" s="168">
        <f t="shared" si="12"/>
        <v>86.955831689875211</v>
      </c>
      <c r="AO6" s="15">
        <v>101.13</v>
      </c>
      <c r="AP6" s="10">
        <v>96.9</v>
      </c>
      <c r="AQ6" s="10">
        <f t="shared" si="13"/>
        <v>4.2299999999999898</v>
      </c>
      <c r="AR6" s="10">
        <f t="shared" si="14"/>
        <v>28.149999999999991</v>
      </c>
      <c r="AS6" s="168">
        <f>AQ6*$T$1</f>
        <v>15.377222744488764</v>
      </c>
      <c r="AT6" s="168">
        <f t="shared" si="15"/>
        <v>102.33305443436397</v>
      </c>
      <c r="AU6" s="15">
        <v>107.3</v>
      </c>
      <c r="AV6" s="150">
        <v>104.67</v>
      </c>
      <c r="AW6" s="10">
        <f t="shared" si="16"/>
        <v>2.6299999999999955</v>
      </c>
      <c r="AX6" s="10">
        <f t="shared" si="17"/>
        <v>30.779999999999987</v>
      </c>
      <c r="AY6" s="168">
        <f>AW6*$T$1</f>
        <v>9.560779153192783</v>
      </c>
      <c r="AZ6" s="168">
        <f t="shared" si="18"/>
        <v>111.89383358755676</v>
      </c>
      <c r="BA6" s="15">
        <v>107.45</v>
      </c>
      <c r="BB6" s="10">
        <v>103.82</v>
      </c>
      <c r="BC6" s="10">
        <f>BA6-BB6</f>
        <v>3.6300000000000097</v>
      </c>
      <c r="BD6" s="10">
        <f>AX6+BC6</f>
        <v>34.409999999999997</v>
      </c>
      <c r="BE6" s="168">
        <f>BC6*$T$1</f>
        <v>13.196056397752836</v>
      </c>
      <c r="BF6" s="168">
        <f t="shared" si="19"/>
        <v>125.0898899853096</v>
      </c>
      <c r="BG6" s="15">
        <v>110.97</v>
      </c>
      <c r="BH6" s="150">
        <v>108.05</v>
      </c>
      <c r="BI6" s="10">
        <f t="shared" si="20"/>
        <v>2.9200000000000017</v>
      </c>
      <c r="BJ6" s="10">
        <f t="shared" si="21"/>
        <v>37.33</v>
      </c>
      <c r="BK6" s="168">
        <f>BI6*$T$1</f>
        <v>10.615009554115206</v>
      </c>
      <c r="BL6" s="168">
        <f t="shared" si="22"/>
        <v>135.70489953942482</v>
      </c>
      <c r="BM6" s="15">
        <v>108.44</v>
      </c>
      <c r="BN6" s="150">
        <v>104.84</v>
      </c>
      <c r="BO6" s="10">
        <f>BM6-BN6</f>
        <v>3.5999999999999943</v>
      </c>
      <c r="BP6" s="10">
        <f>BJ6+BO6</f>
        <v>40.929999999999993</v>
      </c>
      <c r="BQ6" s="168">
        <f>BO6*$T$1</f>
        <v>13.086998080415979</v>
      </c>
      <c r="BR6" s="168">
        <f t="shared" si="23"/>
        <v>148.7918976198408</v>
      </c>
      <c r="BS6" s="15">
        <v>109.54</v>
      </c>
      <c r="BT6" s="10">
        <v>104.94</v>
      </c>
      <c r="BU6" s="10">
        <f>BS6-BT6</f>
        <v>4.6000000000000085</v>
      </c>
      <c r="BV6" s="10">
        <f>BP6+BU6</f>
        <v>45.53</v>
      </c>
      <c r="BW6" s="168">
        <f>BU6*$T$1</f>
        <v>16.722275324976032</v>
      </c>
      <c r="BX6" s="168">
        <f t="shared" si="24"/>
        <v>165.51417294481683</v>
      </c>
      <c r="BY6" s="15">
        <v>106.45</v>
      </c>
      <c r="BZ6" s="10">
        <v>103.75</v>
      </c>
      <c r="CA6" s="10">
        <f>BY6-BZ6</f>
        <v>2.7000000000000028</v>
      </c>
      <c r="CB6" s="172">
        <v>4.25</v>
      </c>
      <c r="CC6" s="172">
        <f>CA6+CB6</f>
        <v>6.9500000000000028</v>
      </c>
      <c r="CD6" s="10">
        <f>BV6+CC6</f>
        <v>52.480000000000004</v>
      </c>
      <c r="CE6" s="369">
        <f>(CA6*$T$1)+18.7188</f>
        <v>28.534048560312012</v>
      </c>
      <c r="CF6" s="168">
        <f>BX6+CE6</f>
        <v>194.04822150512885</v>
      </c>
      <c r="CG6" s="15">
        <v>111.75</v>
      </c>
      <c r="CH6" s="10">
        <v>107.92</v>
      </c>
      <c r="CI6" s="10">
        <f>CG6-CH6</f>
        <v>3.8299999999999983</v>
      </c>
      <c r="CJ6" s="10">
        <f>CD6+CI6</f>
        <v>56.31</v>
      </c>
      <c r="CK6" s="168">
        <f>CI6*$T$1</f>
        <v>13.923111846664794</v>
      </c>
      <c r="CL6" s="168">
        <f t="shared" si="25"/>
        <v>207.97133335179365</v>
      </c>
      <c r="CM6" s="15">
        <v>109.22</v>
      </c>
      <c r="CN6" s="13">
        <v>103.97</v>
      </c>
      <c r="CO6" s="10">
        <f>CM6-CN6</f>
        <v>5.25</v>
      </c>
      <c r="CP6" s="10">
        <f>CJ6+CO6</f>
        <v>61.56</v>
      </c>
      <c r="CQ6" s="168">
        <f>CO6*$T$1</f>
        <v>19.085205533940002</v>
      </c>
      <c r="CR6" s="168">
        <f t="shared" si="26"/>
        <v>227.05653888573366</v>
      </c>
      <c r="CS6" s="15">
        <v>107.21</v>
      </c>
      <c r="CT6" s="10">
        <v>102.86</v>
      </c>
      <c r="CU6" s="10">
        <f>CS6-CT6</f>
        <v>4.3499999999999943</v>
      </c>
      <c r="CV6" s="10">
        <f>CP6+CU6</f>
        <v>65.91</v>
      </c>
      <c r="CW6" s="168">
        <f>CU6*$T$1</f>
        <v>15.81345601383598</v>
      </c>
      <c r="CX6" s="168">
        <f t="shared" si="27"/>
        <v>242.86999489956963</v>
      </c>
      <c r="CY6" s="15">
        <v>108.03</v>
      </c>
      <c r="CZ6" s="10">
        <v>103.31</v>
      </c>
      <c r="DA6" s="10">
        <f t="shared" si="28"/>
        <v>4.7199999999999989</v>
      </c>
      <c r="DB6" s="10">
        <f t="shared" si="29"/>
        <v>70.63</v>
      </c>
      <c r="DC6" s="168">
        <f>DA6*$T$1</f>
        <v>17.158508594323198</v>
      </c>
      <c r="DD6" s="168">
        <f t="shared" si="30"/>
        <v>260.02850349389286</v>
      </c>
      <c r="DE6" s="15">
        <v>109.67</v>
      </c>
      <c r="DF6" s="10">
        <v>103.8</v>
      </c>
      <c r="DG6" s="10">
        <f t="shared" si="31"/>
        <v>5.8700000000000045</v>
      </c>
      <c r="DH6" s="10">
        <f t="shared" si="32"/>
        <v>76.5</v>
      </c>
      <c r="DI6" s="168">
        <f>DG6*$T$1</f>
        <v>21.339077425567218</v>
      </c>
      <c r="DJ6" s="168">
        <f t="shared" si="33"/>
        <v>281.36758091946007</v>
      </c>
      <c r="DK6" s="15">
        <v>107.59</v>
      </c>
      <c r="DL6" s="10">
        <v>102.9</v>
      </c>
      <c r="DM6" s="211">
        <f>(DK6-DL6)-0.21</f>
        <v>4.4799999999999978</v>
      </c>
      <c r="DN6" s="10">
        <f>DH6+DM6</f>
        <v>80.98</v>
      </c>
      <c r="DO6" s="168">
        <f>DM6*$T$1</f>
        <v>16.286042055628794</v>
      </c>
      <c r="DP6" s="168">
        <f t="shared" si="34"/>
        <v>297.65362297508887</v>
      </c>
      <c r="DQ6" s="202">
        <v>108.68</v>
      </c>
      <c r="DR6" s="10">
        <v>104.87</v>
      </c>
      <c r="DS6" s="211">
        <f>(DQ6-DR6)-0.58</f>
        <v>3.2300000000000022</v>
      </c>
      <c r="DT6" s="10">
        <f t="shared" si="35"/>
        <v>84.210000000000008</v>
      </c>
      <c r="DU6" s="168">
        <f>DS6*$T$1</f>
        <v>11.741945499928809</v>
      </c>
      <c r="DV6" s="168">
        <f t="shared" si="36"/>
        <v>309.39556847501768</v>
      </c>
      <c r="DW6" s="15">
        <v>108.5</v>
      </c>
      <c r="DX6" s="10">
        <v>104.7</v>
      </c>
      <c r="DY6" s="10">
        <f>DW6-DX6</f>
        <v>3.7999999999999972</v>
      </c>
      <c r="DZ6" s="10">
        <f>DT6+DY6</f>
        <v>88.01</v>
      </c>
      <c r="EA6" s="168">
        <f>DY6*$T$1</f>
        <v>13.814053529327991</v>
      </c>
      <c r="EB6" s="179">
        <f t="shared" si="37"/>
        <v>323.20962200434565</v>
      </c>
    </row>
    <row r="7" spans="1:132" ht="12" customHeight="1">
      <c r="A7" s="133" t="s">
        <v>361</v>
      </c>
      <c r="B7" s="116" t="s">
        <v>362</v>
      </c>
      <c r="C7" s="142">
        <v>42559</v>
      </c>
      <c r="D7" s="12" t="s">
        <v>22</v>
      </c>
      <c r="E7" s="10" t="s">
        <v>262</v>
      </c>
      <c r="F7" s="11" t="s">
        <v>271</v>
      </c>
      <c r="G7" s="15">
        <v>105.96</v>
      </c>
      <c r="H7" s="10">
        <v>102.96</v>
      </c>
      <c r="I7" s="10">
        <f t="shared" ref="I7:I8" si="38">G7-H7</f>
        <v>3</v>
      </c>
      <c r="J7" s="168">
        <f t="shared" ref="J7:J8" si="39">I7*$T$1</f>
        <v>10.905831733679999</v>
      </c>
      <c r="K7" s="15">
        <v>104.83</v>
      </c>
      <c r="L7" s="10">
        <v>101.23</v>
      </c>
      <c r="M7" s="10">
        <f t="shared" ref="M7:M8" si="40">K7-L7</f>
        <v>3.5999999999999943</v>
      </c>
      <c r="N7" s="10">
        <f t="shared" ref="N7:N8" si="41">I7+M7</f>
        <v>6.5999999999999943</v>
      </c>
      <c r="O7" s="168">
        <f t="shared" ref="O7:O8" si="42">M7*$T$1</f>
        <v>13.086998080415979</v>
      </c>
      <c r="P7" s="168">
        <f t="shared" ref="P7:P8" si="43">J7+O7</f>
        <v>23.992829814095977</v>
      </c>
      <c r="Q7" s="15">
        <v>104.88</v>
      </c>
      <c r="R7" s="10">
        <v>101.32</v>
      </c>
      <c r="S7" s="10">
        <f t="shared" ref="S7:S8" si="44">Q7-R7</f>
        <v>3.5600000000000023</v>
      </c>
      <c r="T7" s="10">
        <f t="shared" ref="T7:T8" si="45">N7+S7</f>
        <v>10.159999999999997</v>
      </c>
      <c r="U7" s="168">
        <f t="shared" ref="U7:U8" si="46">S7*$T$1</f>
        <v>12.941586990633608</v>
      </c>
      <c r="V7" s="168">
        <f t="shared" ref="V7:V8" si="47">P7+U7</f>
        <v>36.934416804729587</v>
      </c>
      <c r="W7" s="15">
        <v>105.14</v>
      </c>
      <c r="X7" s="10">
        <v>101.82</v>
      </c>
      <c r="Y7" s="10">
        <f t="shared" ref="Y7:Y11" si="48">W7-X7</f>
        <v>3.3200000000000074</v>
      </c>
      <c r="Z7" s="10">
        <f t="shared" ref="Z7:Z11" si="49">T7+Y7</f>
        <v>13.480000000000004</v>
      </c>
      <c r="AA7" s="168">
        <f t="shared" ref="AA7:AA11" si="50">Y7*$T$1</f>
        <v>12.069120451939227</v>
      </c>
      <c r="AB7" s="168">
        <f t="shared" ref="AB7:AB11" si="51">V7+AA7</f>
        <v>49.003537256668814</v>
      </c>
      <c r="AC7" s="15">
        <v>105.24</v>
      </c>
      <c r="AD7" s="10">
        <v>101.83</v>
      </c>
      <c r="AE7" s="10">
        <f t="shared" ref="AE7:AE8" si="52">AC7-AD7</f>
        <v>3.4099999999999966</v>
      </c>
      <c r="AF7" s="10">
        <f t="shared" ref="AF7:AF8" si="53">Z7+AE7</f>
        <v>16.89</v>
      </c>
      <c r="AG7" s="168">
        <f t="shared" ref="AG7:AG8" si="54">AE7*$T$1</f>
        <v>12.396295403949589</v>
      </c>
      <c r="AH7" s="168">
        <f t="shared" ref="AH7:AH8" si="55">AB7+AG7</f>
        <v>61.399832660618401</v>
      </c>
      <c r="AI7" s="15">
        <v>104.27</v>
      </c>
      <c r="AJ7" s="10">
        <v>100.38</v>
      </c>
      <c r="AK7" s="10">
        <f t="shared" ref="AK7:AK11" si="56">AI7-AJ7</f>
        <v>3.8900000000000006</v>
      </c>
      <c r="AL7" s="10">
        <f t="shared" ref="AL7:AL11" si="57">AF7+AK7</f>
        <v>20.78</v>
      </c>
      <c r="AM7" s="168">
        <f t="shared" ref="AM7:AM11" si="58">AK7*$T$1</f>
        <v>14.141228481338402</v>
      </c>
      <c r="AN7" s="168">
        <f t="shared" ref="AN7:AN11" si="59">AH7+AM7</f>
        <v>75.541061141956803</v>
      </c>
      <c r="AO7" s="15">
        <v>104.17</v>
      </c>
      <c r="AP7" s="10">
        <v>99.55</v>
      </c>
      <c r="AQ7" s="10">
        <f t="shared" ref="AQ7:AQ8" si="60">AO7-AP7</f>
        <v>4.6200000000000045</v>
      </c>
      <c r="AR7" s="10">
        <f t="shared" ref="AR7:AR8" si="61">AL7+AQ7</f>
        <v>25.400000000000006</v>
      </c>
      <c r="AS7" s="168">
        <f t="shared" ref="AS7:AS8" si="62">AQ7*$T$1</f>
        <v>16.794980869867217</v>
      </c>
      <c r="AT7" s="168">
        <f t="shared" ref="AT7:AT8" si="63">AN7+AS7</f>
        <v>92.33604201182402</v>
      </c>
      <c r="AU7" s="15">
        <v>109.02</v>
      </c>
      <c r="AV7" s="13">
        <v>104.6</v>
      </c>
      <c r="AW7" s="10">
        <f t="shared" ref="AW7:AW8" si="64">AU7-AV7</f>
        <v>4.4200000000000017</v>
      </c>
      <c r="AX7" s="10">
        <f t="shared" ref="AX7:AX8" si="65">AR7+AW7</f>
        <v>29.820000000000007</v>
      </c>
      <c r="AY7" s="168">
        <f t="shared" ref="AY7:AY8" si="66">AW7*$T$1</f>
        <v>16.067925420955206</v>
      </c>
      <c r="AZ7" s="168">
        <f t="shared" ref="AZ7:AZ8" si="67">AT7+AY7</f>
        <v>108.40396743277923</v>
      </c>
      <c r="BA7" s="15">
        <v>107.96</v>
      </c>
      <c r="BB7" s="10">
        <v>104.21</v>
      </c>
      <c r="BC7" s="10">
        <f t="shared" ref="BC7:BC11" si="68">BA7-BB7</f>
        <v>3.75</v>
      </c>
      <c r="BD7" s="10">
        <f t="shared" ref="BD7:BD11" si="69">AX7+BC7</f>
        <v>33.570000000000007</v>
      </c>
      <c r="BE7" s="168">
        <f t="shared" ref="BE7:BE11" si="70">BC7*$T$1</f>
        <v>13.6322896671</v>
      </c>
      <c r="BF7" s="168">
        <f t="shared" ref="BF7:BF11" si="71">AZ7+BE7</f>
        <v>122.03625709987922</v>
      </c>
      <c r="BG7" s="15">
        <v>106.6</v>
      </c>
      <c r="BH7" s="150">
        <v>102.56</v>
      </c>
      <c r="BI7" s="10">
        <f t="shared" ref="BI7:BI8" si="72">BG7-BH7</f>
        <v>4.039999999999992</v>
      </c>
      <c r="BJ7" s="10">
        <f t="shared" ref="BJ7:BJ8" si="73">BD7+BI7</f>
        <v>37.61</v>
      </c>
      <c r="BK7" s="168">
        <f t="shared" ref="BK7:BK8" si="74">BI7*$T$1</f>
        <v>14.686520068022372</v>
      </c>
      <c r="BL7" s="168">
        <f t="shared" ref="BL7:BL8" si="75">BF7+BK7</f>
        <v>136.7227771679016</v>
      </c>
      <c r="BM7" s="15">
        <v>106.21</v>
      </c>
      <c r="BN7" s="10">
        <v>101.84</v>
      </c>
      <c r="BO7" s="10">
        <f t="shared" ref="BO7:BO11" si="76">BM7-BN7</f>
        <v>4.3699999999999903</v>
      </c>
      <c r="BP7" s="10">
        <f t="shared" ref="BP7:BP11" si="77">BJ7+BO7</f>
        <v>41.97999999999999</v>
      </c>
      <c r="BQ7" s="168">
        <f t="shared" ref="BQ7:BQ11" si="78">BO7*$T$1</f>
        <v>15.886161558727165</v>
      </c>
      <c r="BR7" s="168">
        <f t="shared" ref="BR7:BR11" si="79">BL7+BQ7</f>
        <v>152.60893872662876</v>
      </c>
      <c r="BS7" s="15">
        <v>105.66</v>
      </c>
      <c r="BT7" s="10">
        <v>101.78</v>
      </c>
      <c r="BU7" s="10">
        <f t="shared" ref="BU7:BU8" si="80">BS7-BT7</f>
        <v>3.8799999999999955</v>
      </c>
      <c r="BV7" s="10">
        <f t="shared" ref="BV7:BV8" si="81">BP7+BU7</f>
        <v>45.859999999999985</v>
      </c>
      <c r="BW7" s="168">
        <f t="shared" ref="BW7:BW8" si="82">BU7*$T$1</f>
        <v>14.104875708892784</v>
      </c>
      <c r="BX7" s="168">
        <f t="shared" ref="BX7:BX8" si="83">BR7+BW7</f>
        <v>166.71381443552156</v>
      </c>
      <c r="BY7" s="15">
        <v>106.66</v>
      </c>
      <c r="BZ7" s="10">
        <v>103.63</v>
      </c>
      <c r="CA7" s="10">
        <f t="shared" ref="CA7:CA12" si="84">BY7-BZ7</f>
        <v>3.0300000000000011</v>
      </c>
      <c r="CB7" s="172">
        <v>1.47</v>
      </c>
      <c r="CC7" s="172">
        <f>CA7+CB7</f>
        <v>4.5000000000000009</v>
      </c>
      <c r="CD7" s="10">
        <f t="shared" ref="CD7:CD10" si="85">BV7+CC7</f>
        <v>50.359999999999985</v>
      </c>
      <c r="CE7" s="369">
        <f>(CA7*$T$1)+5.9514</f>
        <v>16.966290051016806</v>
      </c>
      <c r="CF7" s="168">
        <f t="shared" ref="CF7:CF11" si="86">BX7+CE7</f>
        <v>183.68010448653837</v>
      </c>
      <c r="CG7" s="15">
        <v>108.22</v>
      </c>
      <c r="CH7" s="10">
        <v>105.27</v>
      </c>
      <c r="CI7" s="10">
        <f t="shared" ref="CI7:CI8" si="87">CG7-CH7</f>
        <v>2.9500000000000028</v>
      </c>
      <c r="CJ7" s="10">
        <f t="shared" ref="CJ7:CJ8" si="88">CD7+CI7</f>
        <v>53.309999999999988</v>
      </c>
      <c r="CK7" s="168">
        <f t="shared" ref="CK7:CK8" si="89">CI7*$T$1</f>
        <v>10.724067871452011</v>
      </c>
      <c r="CL7" s="168">
        <f t="shared" ref="CL7:CL8" si="90">CF7+CK7</f>
        <v>194.40417235799038</v>
      </c>
      <c r="CM7" s="15">
        <v>108.2</v>
      </c>
      <c r="CN7" s="13">
        <v>103.75</v>
      </c>
      <c r="CO7" s="10">
        <f t="shared" ref="CO7:CO8" si="91">CM7-CN7</f>
        <v>4.4500000000000028</v>
      </c>
      <c r="CP7" s="10">
        <f t="shared" ref="CP7:CP8" si="92">CJ7+CO7</f>
        <v>57.759999999999991</v>
      </c>
      <c r="CQ7" s="168">
        <f t="shared" ref="CQ7:CQ8" si="93">CO7*$T$1</f>
        <v>16.176983738292012</v>
      </c>
      <c r="CR7" s="168">
        <f t="shared" ref="CR7:CR8" si="94">CL7+CQ7</f>
        <v>210.5811560962824</v>
      </c>
      <c r="CS7" s="15">
        <v>107.85</v>
      </c>
      <c r="CT7" s="10">
        <v>104.7</v>
      </c>
      <c r="CU7" s="10">
        <f t="shared" ref="CU7:CU8" si="95">CS7-CT7</f>
        <v>3.1499999999999915</v>
      </c>
      <c r="CV7" s="10">
        <f t="shared" ref="CV7:CV8" si="96">CP7+CU7</f>
        <v>60.909999999999982</v>
      </c>
      <c r="CW7" s="168">
        <f t="shared" ref="CW7:CW8" si="97">CU7*$T$1</f>
        <v>11.451123320363969</v>
      </c>
      <c r="CX7" s="168">
        <f t="shared" ref="CX7:CX8" si="98">CR7+CW7</f>
        <v>222.03227941664636</v>
      </c>
      <c r="CY7" s="15">
        <v>105.49</v>
      </c>
      <c r="CZ7" s="10">
        <v>101.75</v>
      </c>
      <c r="DA7" s="10">
        <f t="shared" ref="DA7:DA8" si="99">CY7-CZ7</f>
        <v>3.7399999999999949</v>
      </c>
      <c r="DB7" s="10">
        <f t="shared" ref="DB7:DB8" si="100">CV7+DA7</f>
        <v>64.649999999999977</v>
      </c>
      <c r="DC7" s="168">
        <f t="shared" ref="DC7:DC8" si="101">DA7*$T$1</f>
        <v>13.595936894654383</v>
      </c>
      <c r="DD7" s="168">
        <f t="shared" ref="DD7:DD8" si="102">CX7+DC7</f>
        <v>235.62821631130075</v>
      </c>
      <c r="DE7" s="15">
        <v>109.73</v>
      </c>
      <c r="DF7" s="10">
        <v>104.63</v>
      </c>
      <c r="DG7" s="10">
        <f t="shared" ref="DG7:DG8" si="103">DE7-DF7</f>
        <v>5.1000000000000085</v>
      </c>
      <c r="DH7" s="10">
        <f t="shared" ref="DH7:DH8" si="104">DB7+DG7</f>
        <v>69.749999999999986</v>
      </c>
      <c r="DI7" s="168">
        <f t="shared" ref="DI7:DI8" si="105">DG7*$T$1</f>
        <v>18.539913947256032</v>
      </c>
      <c r="DJ7" s="168">
        <f t="shared" ref="DJ7:DJ8" si="106">DD7+DI7</f>
        <v>254.16813025855677</v>
      </c>
      <c r="DK7" s="15">
        <v>108.62</v>
      </c>
      <c r="DL7" s="10">
        <v>103.45</v>
      </c>
      <c r="DM7" s="10">
        <f>(DK7-DL7)</f>
        <v>5.1700000000000017</v>
      </c>
      <c r="DN7" s="10">
        <f t="shared" ref="DN7:DN8" si="107">DH7+DM7</f>
        <v>74.919999999999987</v>
      </c>
      <c r="DO7" s="168">
        <f t="shared" ref="DO7:DO8" si="108">DM7*$T$1</f>
        <v>18.794383354375206</v>
      </c>
      <c r="DP7" s="168">
        <f t="shared" ref="DP7:DP8" si="109">DJ7+DO7</f>
        <v>272.96251361293196</v>
      </c>
      <c r="DQ7" s="202">
        <v>107.8</v>
      </c>
      <c r="DR7" s="10">
        <v>104.06</v>
      </c>
      <c r="DS7" s="10">
        <f>(DQ7-DR7)</f>
        <v>3.7399999999999949</v>
      </c>
      <c r="DT7" s="10">
        <f t="shared" ref="DT7:DT8" si="110">DN7+DS7</f>
        <v>78.659999999999982</v>
      </c>
      <c r="DU7" s="168">
        <f>DS7*$T$1</f>
        <v>13.595936894654383</v>
      </c>
      <c r="DV7" s="168">
        <f t="shared" ref="DV7:DV8" si="111">DP7+DU7</f>
        <v>286.55845050758631</v>
      </c>
      <c r="DW7" s="15">
        <v>108.6</v>
      </c>
      <c r="DX7" s="10">
        <v>105.39</v>
      </c>
      <c r="DY7" s="10">
        <f t="shared" ref="DY7:DY8" si="112">DW7-DX7</f>
        <v>3.2099999999999937</v>
      </c>
      <c r="DZ7" s="10">
        <f t="shared" ref="DZ7:DZ8" si="113">DT7+DY7</f>
        <v>81.869999999999976</v>
      </c>
      <c r="EA7" s="168">
        <f t="shared" ref="EA7:EA8" si="114">DY7*$T$1</f>
        <v>11.669239955037577</v>
      </c>
      <c r="EB7" s="179">
        <f t="shared" ref="EB7:EB8" si="115">DV7+EA7</f>
        <v>298.22769046262391</v>
      </c>
    </row>
    <row r="8" spans="1:132" ht="12" customHeight="1">
      <c r="A8" s="133" t="s">
        <v>363</v>
      </c>
      <c r="B8" s="116" t="s">
        <v>364</v>
      </c>
      <c r="C8" s="142">
        <v>42559</v>
      </c>
      <c r="D8" s="12" t="s">
        <v>22</v>
      </c>
      <c r="E8" s="10" t="s">
        <v>262</v>
      </c>
      <c r="F8" s="11" t="s">
        <v>271</v>
      </c>
      <c r="G8" s="15">
        <v>106.13</v>
      </c>
      <c r="H8" s="10">
        <v>102.78</v>
      </c>
      <c r="I8" s="10">
        <f t="shared" si="38"/>
        <v>3.3499999999999943</v>
      </c>
      <c r="J8" s="168">
        <f t="shared" si="39"/>
        <v>12.178178769275979</v>
      </c>
      <c r="K8" s="15">
        <v>103.6</v>
      </c>
      <c r="L8" s="150">
        <v>99.97</v>
      </c>
      <c r="M8" s="10">
        <f t="shared" si="40"/>
        <v>3.6299999999999955</v>
      </c>
      <c r="N8" s="10">
        <f t="shared" si="41"/>
        <v>6.9799999999999898</v>
      </c>
      <c r="O8" s="168">
        <f t="shared" si="42"/>
        <v>13.196056397752784</v>
      </c>
      <c r="P8" s="168">
        <f t="shared" si="43"/>
        <v>25.374235167028765</v>
      </c>
      <c r="Q8" s="15">
        <v>101.93</v>
      </c>
      <c r="R8" s="150">
        <v>98.75</v>
      </c>
      <c r="S8" s="10">
        <f t="shared" si="44"/>
        <v>3.1800000000000068</v>
      </c>
      <c r="T8" s="10">
        <f t="shared" si="45"/>
        <v>10.159999999999997</v>
      </c>
      <c r="U8" s="168">
        <f t="shared" si="46"/>
        <v>11.560181637700826</v>
      </c>
      <c r="V8" s="168">
        <f t="shared" si="47"/>
        <v>36.934416804729594</v>
      </c>
      <c r="W8" s="15">
        <v>100.8</v>
      </c>
      <c r="X8" s="10">
        <v>96.3</v>
      </c>
      <c r="Y8" s="10">
        <f t="shared" si="48"/>
        <v>4.5</v>
      </c>
      <c r="Z8" s="10">
        <f t="shared" si="49"/>
        <v>14.659999999999997</v>
      </c>
      <c r="AA8" s="168">
        <f t="shared" si="50"/>
        <v>16.358747600520001</v>
      </c>
      <c r="AB8" s="168">
        <f t="shared" si="51"/>
        <v>53.293164405249598</v>
      </c>
      <c r="AC8" s="15">
        <v>103.16</v>
      </c>
      <c r="AD8" s="150">
        <v>100.96</v>
      </c>
      <c r="AE8" s="10">
        <f t="shared" si="52"/>
        <v>2.2000000000000028</v>
      </c>
      <c r="AF8" s="10">
        <f t="shared" si="53"/>
        <v>16.86</v>
      </c>
      <c r="AG8" s="168">
        <f t="shared" si="54"/>
        <v>7.9976099380320109</v>
      </c>
      <c r="AH8" s="168">
        <f t="shared" si="55"/>
        <v>61.290774343281612</v>
      </c>
      <c r="AI8" s="15">
        <v>101.7</v>
      </c>
      <c r="AJ8" s="150">
        <v>96.97</v>
      </c>
      <c r="AK8" s="10">
        <f t="shared" si="56"/>
        <v>4.730000000000004</v>
      </c>
      <c r="AL8" s="10">
        <f t="shared" si="57"/>
        <v>21.590000000000003</v>
      </c>
      <c r="AM8" s="168">
        <f t="shared" si="58"/>
        <v>17.194861366768816</v>
      </c>
      <c r="AN8" s="168">
        <f t="shared" si="59"/>
        <v>78.485635710050431</v>
      </c>
      <c r="AO8" s="15">
        <v>101.87</v>
      </c>
      <c r="AP8" s="10">
        <v>97.32</v>
      </c>
      <c r="AQ8" s="10">
        <f t="shared" si="60"/>
        <v>4.5500000000000114</v>
      </c>
      <c r="AR8" s="10">
        <f t="shared" si="61"/>
        <v>26.140000000000015</v>
      </c>
      <c r="AS8" s="168">
        <f t="shared" si="62"/>
        <v>16.540511462748043</v>
      </c>
      <c r="AT8" s="168">
        <f t="shared" si="63"/>
        <v>95.026147172798474</v>
      </c>
      <c r="AU8" s="15">
        <v>104.47</v>
      </c>
      <c r="AV8" s="150">
        <v>101.08</v>
      </c>
      <c r="AW8" s="10">
        <f t="shared" si="64"/>
        <v>3.3900000000000006</v>
      </c>
      <c r="AX8" s="10">
        <f t="shared" si="65"/>
        <v>29.530000000000015</v>
      </c>
      <c r="AY8" s="168">
        <f t="shared" si="66"/>
        <v>12.323589859058403</v>
      </c>
      <c r="AZ8" s="168">
        <f t="shared" si="67"/>
        <v>107.34973703185688</v>
      </c>
      <c r="BA8" s="15">
        <v>107.01</v>
      </c>
      <c r="BB8" s="10">
        <v>103.77</v>
      </c>
      <c r="BC8" s="10">
        <f t="shared" si="68"/>
        <v>3.2400000000000091</v>
      </c>
      <c r="BD8" s="10">
        <f t="shared" si="69"/>
        <v>32.770000000000024</v>
      </c>
      <c r="BE8" s="168">
        <f t="shared" si="70"/>
        <v>11.778298272374434</v>
      </c>
      <c r="BF8" s="168">
        <f t="shared" si="71"/>
        <v>119.1280353042313</v>
      </c>
      <c r="BG8" s="15">
        <v>106.8</v>
      </c>
      <c r="BH8" s="150">
        <v>102.76</v>
      </c>
      <c r="BI8" s="10">
        <f t="shared" si="72"/>
        <v>4.039999999999992</v>
      </c>
      <c r="BJ8" s="10">
        <f t="shared" si="73"/>
        <v>36.810000000000016</v>
      </c>
      <c r="BK8" s="168">
        <f t="shared" si="74"/>
        <v>14.686520068022372</v>
      </c>
      <c r="BL8" s="168">
        <f t="shared" si="75"/>
        <v>133.81455537225366</v>
      </c>
      <c r="BM8" s="15">
        <v>105.86</v>
      </c>
      <c r="BN8" s="150">
        <v>101.88</v>
      </c>
      <c r="BO8" s="10">
        <f t="shared" si="76"/>
        <v>3.980000000000004</v>
      </c>
      <c r="BP8" s="10">
        <f t="shared" si="77"/>
        <v>40.79000000000002</v>
      </c>
      <c r="BQ8" s="168">
        <f t="shared" si="78"/>
        <v>14.468403433348815</v>
      </c>
      <c r="BR8" s="168">
        <f t="shared" si="79"/>
        <v>148.28295880560248</v>
      </c>
      <c r="BS8" s="15">
        <v>106.34</v>
      </c>
      <c r="BT8" s="150">
        <v>103.18</v>
      </c>
      <c r="BU8" s="10">
        <f t="shared" si="80"/>
        <v>3.1599999999999966</v>
      </c>
      <c r="BV8" s="10">
        <f t="shared" si="81"/>
        <v>43.950000000000017</v>
      </c>
      <c r="BW8" s="168">
        <f t="shared" si="82"/>
        <v>11.487476092809588</v>
      </c>
      <c r="BX8" s="168">
        <f t="shared" si="83"/>
        <v>159.77043489841208</v>
      </c>
      <c r="BY8" s="15">
        <v>103.77</v>
      </c>
      <c r="BZ8" s="10">
        <v>101.07</v>
      </c>
      <c r="CA8" s="10">
        <f t="shared" si="84"/>
        <v>2.7000000000000028</v>
      </c>
      <c r="CB8" s="172">
        <v>1.8</v>
      </c>
      <c r="CC8" s="172">
        <f>CA8+CB8</f>
        <v>4.5000000000000027</v>
      </c>
      <c r="CD8" s="10">
        <f t="shared" si="85"/>
        <v>48.450000000000017</v>
      </c>
      <c r="CE8" s="369">
        <f>(CA8*$T$1)+8.172</f>
        <v>17.987248560312011</v>
      </c>
      <c r="CF8" s="168">
        <f t="shared" si="86"/>
        <v>177.7576834587241</v>
      </c>
      <c r="CG8" s="15">
        <v>106.84</v>
      </c>
      <c r="CH8" s="10">
        <v>102.49</v>
      </c>
      <c r="CI8" s="10">
        <f t="shared" si="87"/>
        <v>4.3500000000000085</v>
      </c>
      <c r="CJ8" s="10">
        <f t="shared" si="88"/>
        <v>52.800000000000026</v>
      </c>
      <c r="CK8" s="168">
        <f t="shared" si="89"/>
        <v>15.813456013836031</v>
      </c>
      <c r="CL8" s="168">
        <f t="shared" si="90"/>
        <v>193.57113947256013</v>
      </c>
      <c r="CM8" s="15">
        <v>109.67</v>
      </c>
      <c r="CN8" s="13">
        <v>104.24</v>
      </c>
      <c r="CO8" s="10">
        <f t="shared" si="91"/>
        <v>5.4300000000000068</v>
      </c>
      <c r="CP8" s="10">
        <f t="shared" si="92"/>
        <v>58.230000000000032</v>
      </c>
      <c r="CQ8" s="168">
        <f t="shared" si="93"/>
        <v>19.739555437960824</v>
      </c>
      <c r="CR8" s="168">
        <f t="shared" si="94"/>
        <v>213.31069491052097</v>
      </c>
      <c r="CS8" s="15">
        <v>106.43</v>
      </c>
      <c r="CT8" s="10">
        <v>101.99</v>
      </c>
      <c r="CU8" s="10">
        <f t="shared" si="95"/>
        <v>4.4400000000000119</v>
      </c>
      <c r="CV8" s="10">
        <f t="shared" si="96"/>
        <v>62.670000000000044</v>
      </c>
      <c r="CW8" s="168">
        <f t="shared" si="97"/>
        <v>16.140630965846444</v>
      </c>
      <c r="CX8" s="168">
        <f t="shared" si="98"/>
        <v>229.45132587636741</v>
      </c>
      <c r="CY8" s="15">
        <v>105.46</v>
      </c>
      <c r="CZ8" s="10">
        <v>100.93</v>
      </c>
      <c r="DA8" s="10">
        <f t="shared" si="99"/>
        <v>4.5299999999999869</v>
      </c>
      <c r="DB8" s="10">
        <f t="shared" si="100"/>
        <v>67.200000000000031</v>
      </c>
      <c r="DC8" s="168">
        <f t="shared" si="101"/>
        <v>16.467805917856754</v>
      </c>
      <c r="DD8" s="168">
        <f t="shared" si="102"/>
        <v>245.91913179422417</v>
      </c>
      <c r="DE8" s="15">
        <v>105.25</v>
      </c>
      <c r="DF8" s="150">
        <v>99.77</v>
      </c>
      <c r="DG8" s="10">
        <f t="shared" si="103"/>
        <v>5.480000000000004</v>
      </c>
      <c r="DH8" s="10">
        <f t="shared" si="104"/>
        <v>72.680000000000035</v>
      </c>
      <c r="DI8" s="168">
        <f t="shared" si="105"/>
        <v>19.921319300188816</v>
      </c>
      <c r="DJ8" s="168">
        <f t="shared" si="106"/>
        <v>265.84045109441297</v>
      </c>
      <c r="DK8" s="15">
        <v>106.89</v>
      </c>
      <c r="DL8" s="150">
        <v>102.38</v>
      </c>
      <c r="DM8" s="10">
        <f>(DK8-DL8)</f>
        <v>4.5100000000000051</v>
      </c>
      <c r="DN8" s="10">
        <f t="shared" si="107"/>
        <v>77.19000000000004</v>
      </c>
      <c r="DO8" s="168">
        <f t="shared" si="108"/>
        <v>16.395100372965619</v>
      </c>
      <c r="DP8" s="168">
        <f t="shared" si="109"/>
        <v>282.23555146737857</v>
      </c>
      <c r="DQ8" s="202">
        <v>106.51</v>
      </c>
      <c r="DR8" s="10">
        <v>102.71</v>
      </c>
      <c r="DS8" s="10">
        <f>(DQ8-DR8)</f>
        <v>3.8000000000000114</v>
      </c>
      <c r="DT8" s="10">
        <f t="shared" si="110"/>
        <v>80.990000000000052</v>
      </c>
      <c r="DU8" s="168">
        <f>DS8*$T$1</f>
        <v>13.814053529328042</v>
      </c>
      <c r="DV8" s="168">
        <f t="shared" si="111"/>
        <v>296.04960499670659</v>
      </c>
      <c r="DW8" s="15">
        <v>108.27</v>
      </c>
      <c r="DX8" s="10">
        <v>104.49</v>
      </c>
      <c r="DY8" s="10">
        <f t="shared" si="112"/>
        <v>3.7800000000000011</v>
      </c>
      <c r="DZ8" s="10">
        <f t="shared" si="113"/>
        <v>84.770000000000053</v>
      </c>
      <c r="EA8" s="168">
        <f t="shared" si="114"/>
        <v>13.741347984436805</v>
      </c>
      <c r="EB8" s="179">
        <f t="shared" si="115"/>
        <v>309.79095298114339</v>
      </c>
    </row>
    <row r="9" spans="1:132" ht="12" customHeight="1">
      <c r="A9" s="133" t="s">
        <v>365</v>
      </c>
      <c r="B9" s="62" t="s">
        <v>366</v>
      </c>
      <c r="C9" s="62"/>
      <c r="D9" s="12" t="s">
        <v>22</v>
      </c>
      <c r="E9" s="10" t="s">
        <v>262</v>
      </c>
      <c r="F9" s="11">
        <v>42411</v>
      </c>
      <c r="G9" s="202">
        <v>108.76</v>
      </c>
      <c r="H9" s="150">
        <v>104.89</v>
      </c>
      <c r="I9" s="10">
        <f t="shared" ref="I9:I12" si="116">G9-H9</f>
        <v>3.8700000000000045</v>
      </c>
      <c r="J9" s="168">
        <f t="shared" ref="J9:J12" si="117">I9*$T$1</f>
        <v>14.068522936447216</v>
      </c>
      <c r="K9" s="15">
        <v>106.86</v>
      </c>
      <c r="L9" s="150">
        <v>102.32</v>
      </c>
      <c r="M9" s="10">
        <f t="shared" ref="M9:M11" si="118">K9-L9</f>
        <v>4.5400000000000063</v>
      </c>
      <c r="N9" s="10">
        <f t="shared" ref="N9:N11" si="119">I9+M9</f>
        <v>8.4100000000000108</v>
      </c>
      <c r="O9" s="168">
        <f t="shared" ref="O9:O11" si="120">M9*$T$1</f>
        <v>16.504158690302422</v>
      </c>
      <c r="P9" s="168">
        <f t="shared" ref="P9:P11" si="121">J9+O9</f>
        <v>30.572681626749638</v>
      </c>
      <c r="Q9" s="15">
        <v>107.25</v>
      </c>
      <c r="R9" s="150">
        <v>103.22</v>
      </c>
      <c r="S9" s="10">
        <f t="shared" ref="S9:S12" si="122">Q9-R9</f>
        <v>4.0300000000000011</v>
      </c>
      <c r="T9" s="10">
        <f t="shared" ref="T9:T12" si="123">N9+S9</f>
        <v>12.440000000000012</v>
      </c>
      <c r="U9" s="168">
        <f t="shared" ref="U9:U12" si="124">S9*$T$1</f>
        <v>14.650167295576805</v>
      </c>
      <c r="V9" s="168">
        <f t="shared" ref="V9:V12" si="125">P9+U9</f>
        <v>45.222848922326442</v>
      </c>
      <c r="W9" s="15">
        <v>109.2</v>
      </c>
      <c r="X9" s="10">
        <v>104.64</v>
      </c>
      <c r="Y9" s="10">
        <f t="shared" si="48"/>
        <v>4.5600000000000023</v>
      </c>
      <c r="Z9" s="10">
        <f t="shared" si="49"/>
        <v>17.000000000000014</v>
      </c>
      <c r="AA9" s="168">
        <f t="shared" si="50"/>
        <v>16.576864235193607</v>
      </c>
      <c r="AB9" s="168">
        <f t="shared" si="51"/>
        <v>61.799713157520046</v>
      </c>
      <c r="AC9" s="15">
        <v>107.78</v>
      </c>
      <c r="AD9" s="150">
        <v>103.45</v>
      </c>
      <c r="AE9" s="10">
        <f t="shared" ref="AE9:AE11" si="126">AC9-AD9</f>
        <v>4.3299999999999983</v>
      </c>
      <c r="AF9" s="10">
        <f t="shared" ref="AF9:AF11" si="127">Z9+AE9</f>
        <v>21.330000000000013</v>
      </c>
      <c r="AG9" s="168">
        <f t="shared" ref="AG9:AG11" si="128">AE9*$T$1</f>
        <v>15.740750468944794</v>
      </c>
      <c r="AH9" s="168">
        <f t="shared" ref="AH9:AH11" si="129">AB9+AG9</f>
        <v>77.540463626464842</v>
      </c>
      <c r="AI9" s="15">
        <v>106.8</v>
      </c>
      <c r="AJ9" s="150">
        <v>101.74</v>
      </c>
      <c r="AK9" s="10">
        <f t="shared" si="56"/>
        <v>5.0600000000000023</v>
      </c>
      <c r="AL9" s="10">
        <f t="shared" si="57"/>
        <v>26.390000000000015</v>
      </c>
      <c r="AM9" s="168">
        <f t="shared" si="58"/>
        <v>18.394502857473608</v>
      </c>
      <c r="AN9" s="168">
        <f t="shared" si="59"/>
        <v>95.934966483938453</v>
      </c>
      <c r="AO9" s="15">
        <v>106.59</v>
      </c>
      <c r="AP9" s="10">
        <v>102.02</v>
      </c>
      <c r="AQ9" s="10">
        <f t="shared" ref="AQ9:AQ11" si="130">AO9-AP9</f>
        <v>4.5700000000000074</v>
      </c>
      <c r="AR9" s="10">
        <f t="shared" ref="AR9:AR11" si="131">AL9+AQ9</f>
        <v>30.960000000000022</v>
      </c>
      <c r="AS9" s="168">
        <f t="shared" ref="AS9:AS11" si="132">AQ9*$T$1</f>
        <v>16.613217007639228</v>
      </c>
      <c r="AT9" s="168">
        <f t="shared" ref="AT9:AT11" si="133">AN9+AS9</f>
        <v>112.54818349157767</v>
      </c>
      <c r="AU9" s="15">
        <v>107.5</v>
      </c>
      <c r="AV9" s="150">
        <v>103.41</v>
      </c>
      <c r="AW9" s="10">
        <f t="shared" ref="AW9:AW11" si="134">AU9-AV9</f>
        <v>4.0900000000000034</v>
      </c>
      <c r="AX9" s="10">
        <f t="shared" ref="AX9:AX11" si="135">AR9+AW9</f>
        <v>35.050000000000026</v>
      </c>
      <c r="AY9" s="168">
        <f t="shared" ref="AY9:AY11" si="136">AW9*$T$1</f>
        <v>14.868283930250414</v>
      </c>
      <c r="AZ9" s="168">
        <f t="shared" ref="AZ9:AZ11" si="137">AT9+AY9</f>
        <v>127.41646742182809</v>
      </c>
      <c r="BA9" s="15">
        <v>108.4</v>
      </c>
      <c r="BB9" s="10">
        <v>103.47</v>
      </c>
      <c r="BC9" s="10">
        <f t="shared" si="68"/>
        <v>4.9300000000000068</v>
      </c>
      <c r="BD9" s="10">
        <f t="shared" si="69"/>
        <v>39.980000000000032</v>
      </c>
      <c r="BE9" s="168">
        <f t="shared" si="70"/>
        <v>17.921916815680824</v>
      </c>
      <c r="BF9" s="168">
        <f t="shared" si="71"/>
        <v>145.3383842375089</v>
      </c>
      <c r="BG9" s="15">
        <v>105.67</v>
      </c>
      <c r="BH9" s="10">
        <v>100.83</v>
      </c>
      <c r="BI9" s="10">
        <f t="shared" ref="BI9:BI10" si="138">BG9-BH9</f>
        <v>4.8400000000000034</v>
      </c>
      <c r="BJ9" s="10">
        <f t="shared" ref="BJ9:BJ12" si="139">BD9+BI9</f>
        <v>44.820000000000036</v>
      </c>
      <c r="BK9" s="168">
        <f t="shared" ref="BK9:BK12" si="140">BI9*$T$1</f>
        <v>17.594741863670414</v>
      </c>
      <c r="BL9" s="168">
        <f t="shared" ref="BL9:BL12" si="141">BF9+BK9</f>
        <v>162.93312610117931</v>
      </c>
      <c r="BM9" s="15">
        <v>105.83</v>
      </c>
      <c r="BN9" s="150">
        <v>102.38</v>
      </c>
      <c r="BO9" s="10">
        <f t="shared" si="76"/>
        <v>3.4500000000000028</v>
      </c>
      <c r="BP9" s="10">
        <f t="shared" si="77"/>
        <v>48.270000000000039</v>
      </c>
      <c r="BQ9" s="168">
        <f t="shared" si="78"/>
        <v>12.541706493732011</v>
      </c>
      <c r="BR9" s="168">
        <f t="shared" si="79"/>
        <v>175.47483259491133</v>
      </c>
      <c r="BS9" s="15">
        <v>108.68</v>
      </c>
      <c r="BT9" s="10">
        <v>102.7</v>
      </c>
      <c r="BU9" s="10">
        <f t="shared" ref="BU9:BU11" si="142">BS9-BT9</f>
        <v>5.980000000000004</v>
      </c>
      <c r="BV9" s="10">
        <f t="shared" ref="BV9:BV11" si="143">BP9+BU9</f>
        <v>54.250000000000043</v>
      </c>
      <c r="BW9" s="168">
        <f t="shared" ref="BW9:BW11" si="144">BU9*$T$1</f>
        <v>21.738957922468813</v>
      </c>
      <c r="BX9" s="168">
        <f t="shared" ref="BX9:BX11" si="145">BR9+BW9</f>
        <v>197.21379051738015</v>
      </c>
      <c r="BY9" s="15">
        <v>105.9</v>
      </c>
      <c r="BZ9" s="10">
        <v>101.91</v>
      </c>
      <c r="CA9" s="10">
        <f t="shared" si="84"/>
        <v>3.9900000000000091</v>
      </c>
      <c r="CB9" s="172">
        <v>2.69</v>
      </c>
      <c r="CC9" s="172">
        <f t="shared" ref="CC9:CC12" si="146">CA9+CB9</f>
        <v>6.6800000000000086</v>
      </c>
      <c r="CD9" s="10">
        <f t="shared" si="85"/>
        <v>60.930000000000049</v>
      </c>
      <c r="CE9" s="369">
        <f>(CA9*$T$1)+12.2126</f>
        <v>26.717356205794434</v>
      </c>
      <c r="CF9" s="168">
        <f t="shared" si="86"/>
        <v>223.93114672317458</v>
      </c>
      <c r="CG9" s="15">
        <v>106.51</v>
      </c>
      <c r="CH9" s="150">
        <v>100.33</v>
      </c>
      <c r="CI9" s="10">
        <f t="shared" ref="CI9:CI11" si="147">CG9-CH9</f>
        <v>6.1800000000000068</v>
      </c>
      <c r="CJ9" s="10">
        <f t="shared" ref="CJ9:CJ11" si="148">CD9+CI9</f>
        <v>67.110000000000056</v>
      </c>
      <c r="CK9" s="168">
        <f t="shared" ref="CK9:CK11" si="149">CI9*$T$1</f>
        <v>22.466013371380825</v>
      </c>
      <c r="CL9" s="168">
        <f t="shared" ref="CL9:CL11" si="150">CF9+CK9</f>
        <v>246.3971600945554</v>
      </c>
      <c r="CM9" s="15">
        <v>109.15</v>
      </c>
      <c r="CN9" s="13">
        <v>103.83</v>
      </c>
      <c r="CO9" s="10">
        <f t="shared" ref="CO9:CO11" si="151">CM9-CN9</f>
        <v>5.3200000000000074</v>
      </c>
      <c r="CP9" s="10">
        <f t="shared" ref="CP9:CP11" si="152">CJ9+CO9</f>
        <v>72.430000000000064</v>
      </c>
      <c r="CQ9" s="168">
        <f t="shared" ref="CQ9:CQ11" si="153">CO9*$T$1</f>
        <v>19.339674941059229</v>
      </c>
      <c r="CR9" s="168">
        <f t="shared" ref="CR9:CR11" si="154">CL9+CQ9</f>
        <v>265.7368350356146</v>
      </c>
      <c r="CS9" s="15">
        <v>108.5</v>
      </c>
      <c r="CT9" s="10">
        <v>102.9</v>
      </c>
      <c r="CU9" s="10">
        <f t="shared" ref="CU9:CU11" si="155">CS9-CT9</f>
        <v>5.5999999999999943</v>
      </c>
      <c r="CV9" s="10">
        <f t="shared" ref="CV9:CV11" si="156">CP9+CU9</f>
        <v>78.030000000000058</v>
      </c>
      <c r="CW9" s="168">
        <f t="shared" ref="CW9:CW11" si="157">CU9*$T$1</f>
        <v>20.357552569535979</v>
      </c>
      <c r="CX9" s="168">
        <f t="shared" ref="CX9:CX11" si="158">CR9+CW9</f>
        <v>286.09438760515059</v>
      </c>
      <c r="CY9" s="15">
        <v>107.01</v>
      </c>
      <c r="CZ9" s="10">
        <v>101.67</v>
      </c>
      <c r="DA9" s="10">
        <f t="shared" ref="DA9:DA12" si="159">CY9-CZ9</f>
        <v>5.3400000000000034</v>
      </c>
      <c r="DB9" s="10">
        <f t="shared" ref="DB9:DB12" si="160">CV9+DA9</f>
        <v>83.370000000000061</v>
      </c>
      <c r="DC9" s="168">
        <f t="shared" ref="DC9:DC12" si="161">DA9*$T$1</f>
        <v>19.412380485950415</v>
      </c>
      <c r="DD9" s="168">
        <f t="shared" ref="DD9:DD12" si="162">CX9+DC9</f>
        <v>305.50676809110098</v>
      </c>
      <c r="DE9" s="15">
        <v>109.07</v>
      </c>
      <c r="DF9" s="10">
        <v>105.25</v>
      </c>
      <c r="DG9" s="10">
        <f t="shared" ref="DG9:DG11" si="163">DE9-DF9</f>
        <v>3.8199999999999932</v>
      </c>
      <c r="DH9" s="10">
        <f t="shared" ref="DH9:DH11" si="164">DB9+DG9</f>
        <v>87.190000000000055</v>
      </c>
      <c r="DI9" s="168">
        <f t="shared" ref="DI9:DI11" si="165">DG9*$T$1</f>
        <v>13.886759074219176</v>
      </c>
      <c r="DJ9" s="168">
        <f t="shared" ref="DJ9:DJ11" si="166">DD9+DI9</f>
        <v>319.39352716532017</v>
      </c>
      <c r="DK9" s="15">
        <v>108.96</v>
      </c>
      <c r="DL9" s="10">
        <v>102.14</v>
      </c>
      <c r="DM9" s="10">
        <f t="shared" ref="DM9:DM11" si="167">(DK9-DL9)</f>
        <v>6.8199999999999932</v>
      </c>
      <c r="DN9" s="10">
        <f t="shared" ref="DN9:DN11" si="168">DH9+DM9</f>
        <v>94.010000000000048</v>
      </c>
      <c r="DO9" s="168">
        <f t="shared" ref="DO9:DO11" si="169">DM9*$T$1</f>
        <v>24.792590807899177</v>
      </c>
      <c r="DP9" s="168">
        <f t="shared" ref="DP9:DP11" si="170">DJ9+DO9</f>
        <v>344.18611797321932</v>
      </c>
      <c r="DQ9" s="202">
        <v>105.52</v>
      </c>
      <c r="DR9" s="10">
        <v>100.54</v>
      </c>
      <c r="DS9" s="10">
        <f t="shared" ref="DS9:DS10" si="171">(DQ9-DR9)</f>
        <v>4.9799999999999898</v>
      </c>
      <c r="DT9" s="10">
        <f t="shared" ref="DT9:DT11" si="172">DN9+DS9</f>
        <v>98.990000000000038</v>
      </c>
      <c r="DU9" s="168">
        <f t="shared" ref="DU9:DU11" si="173">DS9*$T$1</f>
        <v>18.103680677908763</v>
      </c>
      <c r="DV9" s="168">
        <f t="shared" ref="DV9:DV11" si="174">DP9+DU9</f>
        <v>362.28979865112808</v>
      </c>
      <c r="DW9" s="15">
        <v>105.24</v>
      </c>
      <c r="DX9" s="10">
        <v>100.86</v>
      </c>
      <c r="DY9" s="10">
        <f t="shared" ref="DY9:DY12" si="175">DW9-DX9</f>
        <v>4.3799999999999955</v>
      </c>
      <c r="DZ9" s="10">
        <f t="shared" ref="DZ9:DZ12" si="176">DT9+DY9</f>
        <v>103.37000000000003</v>
      </c>
      <c r="EA9" s="168">
        <f t="shared" ref="EA9:EA12" si="177">DY9*$T$1</f>
        <v>15.922514331172785</v>
      </c>
      <c r="EB9" s="179">
        <f t="shared" ref="EB9:EB12" si="178">DV9+EA9</f>
        <v>378.21231298230089</v>
      </c>
    </row>
    <row r="10" spans="1:132" ht="12" customHeight="1">
      <c r="A10" s="133" t="s">
        <v>367</v>
      </c>
      <c r="B10" s="62" t="s">
        <v>368</v>
      </c>
      <c r="C10" s="11"/>
      <c r="D10" s="12" t="s">
        <v>22</v>
      </c>
      <c r="E10" s="10" t="s">
        <v>262</v>
      </c>
      <c r="F10" s="11">
        <v>42411</v>
      </c>
      <c r="G10" s="202">
        <v>112.02</v>
      </c>
      <c r="H10" s="150">
        <v>109.16</v>
      </c>
      <c r="I10" s="10">
        <f t="shared" si="116"/>
        <v>2.8599999999999994</v>
      </c>
      <c r="J10" s="168">
        <f t="shared" si="117"/>
        <v>10.396892919441598</v>
      </c>
      <c r="K10" s="15">
        <v>105.47</v>
      </c>
      <c r="L10" s="150">
        <v>102.23</v>
      </c>
      <c r="M10" s="10">
        <f t="shared" si="118"/>
        <v>3.2399999999999949</v>
      </c>
      <c r="N10" s="10">
        <f t="shared" si="119"/>
        <v>6.0999999999999943</v>
      </c>
      <c r="O10" s="168">
        <f t="shared" si="120"/>
        <v>11.778298272374382</v>
      </c>
      <c r="P10" s="168">
        <f t="shared" si="121"/>
        <v>22.17519119181598</v>
      </c>
      <c r="Q10" s="15">
        <v>106.25</v>
      </c>
      <c r="R10" s="150">
        <v>102.54</v>
      </c>
      <c r="S10" s="10">
        <f t="shared" si="122"/>
        <v>3.7099999999999937</v>
      </c>
      <c r="T10" s="10">
        <f t="shared" si="123"/>
        <v>9.8099999999999881</v>
      </c>
      <c r="U10" s="168">
        <f t="shared" si="124"/>
        <v>13.486878577317578</v>
      </c>
      <c r="V10" s="168">
        <f t="shared" si="125"/>
        <v>35.662069769133559</v>
      </c>
      <c r="W10" s="15">
        <v>104.5</v>
      </c>
      <c r="X10" s="150">
        <v>99.18</v>
      </c>
      <c r="Y10" s="10">
        <f t="shared" si="48"/>
        <v>5.3199999999999932</v>
      </c>
      <c r="Z10" s="10">
        <f t="shared" si="49"/>
        <v>15.129999999999981</v>
      </c>
      <c r="AA10" s="168">
        <f t="shared" si="50"/>
        <v>19.339674941059176</v>
      </c>
      <c r="AB10" s="168">
        <f t="shared" si="51"/>
        <v>55.001744710192739</v>
      </c>
      <c r="AC10" s="15">
        <v>106.52</v>
      </c>
      <c r="AD10" s="150">
        <v>99.41</v>
      </c>
      <c r="AE10" s="10">
        <f t="shared" si="126"/>
        <v>7.1099999999999994</v>
      </c>
      <c r="AF10" s="10">
        <f t="shared" si="127"/>
        <v>22.239999999999981</v>
      </c>
      <c r="AG10" s="168">
        <f t="shared" si="128"/>
        <v>25.846821208821599</v>
      </c>
      <c r="AH10" s="168">
        <f t="shared" si="129"/>
        <v>80.848565919014334</v>
      </c>
      <c r="AI10" s="15">
        <v>106.81</v>
      </c>
      <c r="AJ10" s="150">
        <v>100.4</v>
      </c>
      <c r="AK10" s="10">
        <f t="shared" si="56"/>
        <v>6.4099999999999966</v>
      </c>
      <c r="AL10" s="10">
        <f t="shared" si="57"/>
        <v>28.649999999999977</v>
      </c>
      <c r="AM10" s="168">
        <f t="shared" si="58"/>
        <v>23.30212713762959</v>
      </c>
      <c r="AN10" s="168">
        <f t="shared" si="59"/>
        <v>104.15069305664392</v>
      </c>
      <c r="AO10" s="15">
        <v>108.15</v>
      </c>
      <c r="AP10" s="10">
        <v>103.62</v>
      </c>
      <c r="AQ10" s="10">
        <f t="shared" si="130"/>
        <v>4.5300000000000011</v>
      </c>
      <c r="AR10" s="10">
        <f t="shared" si="131"/>
        <v>33.179999999999978</v>
      </c>
      <c r="AS10" s="168">
        <f t="shared" si="132"/>
        <v>16.467805917856804</v>
      </c>
      <c r="AT10" s="168">
        <f t="shared" si="133"/>
        <v>120.61849897450072</v>
      </c>
      <c r="AU10" s="15">
        <v>107.51</v>
      </c>
      <c r="AV10" s="150">
        <v>102.92</v>
      </c>
      <c r="AW10" s="10">
        <f t="shared" si="134"/>
        <v>4.5900000000000034</v>
      </c>
      <c r="AX10" s="10">
        <f t="shared" si="135"/>
        <v>37.769999999999982</v>
      </c>
      <c r="AY10" s="168">
        <f t="shared" si="136"/>
        <v>16.685922552530414</v>
      </c>
      <c r="AZ10" s="168">
        <f t="shared" si="137"/>
        <v>137.30442152703114</v>
      </c>
      <c r="BA10" s="15">
        <v>109.93</v>
      </c>
      <c r="BB10" s="10">
        <v>104.99</v>
      </c>
      <c r="BC10" s="10">
        <f t="shared" si="68"/>
        <v>4.9400000000000119</v>
      </c>
      <c r="BD10" s="10">
        <f t="shared" si="69"/>
        <v>42.709999999999994</v>
      </c>
      <c r="BE10" s="168">
        <f t="shared" si="70"/>
        <v>17.958269588126445</v>
      </c>
      <c r="BF10" s="168">
        <f t="shared" si="71"/>
        <v>155.26269111515759</v>
      </c>
      <c r="BG10" s="15">
        <v>108.78</v>
      </c>
      <c r="BH10" s="10">
        <v>104.14</v>
      </c>
      <c r="BI10" s="10">
        <f t="shared" si="138"/>
        <v>4.6400000000000006</v>
      </c>
      <c r="BJ10" s="10">
        <f t="shared" si="139"/>
        <v>47.349999999999994</v>
      </c>
      <c r="BK10" s="168">
        <f t="shared" si="140"/>
        <v>16.867686414758403</v>
      </c>
      <c r="BL10" s="168">
        <f t="shared" si="141"/>
        <v>172.13037752991599</v>
      </c>
      <c r="BM10" s="15">
        <v>106.24</v>
      </c>
      <c r="BN10" s="150">
        <v>100.38</v>
      </c>
      <c r="BO10" s="10">
        <f t="shared" si="76"/>
        <v>5.8599999999999994</v>
      </c>
      <c r="BP10" s="10">
        <f t="shared" si="77"/>
        <v>53.209999999999994</v>
      </c>
      <c r="BQ10" s="168">
        <f t="shared" si="78"/>
        <v>21.302724653121597</v>
      </c>
      <c r="BR10" s="168">
        <f t="shared" si="79"/>
        <v>193.43310218303759</v>
      </c>
      <c r="BS10" s="15">
        <v>106.89</v>
      </c>
      <c r="BT10" s="10">
        <v>101.15</v>
      </c>
      <c r="BU10" s="10">
        <f t="shared" si="142"/>
        <v>5.7399999999999949</v>
      </c>
      <c r="BV10" s="10">
        <f t="shared" si="143"/>
        <v>58.949999999999989</v>
      </c>
      <c r="BW10" s="168">
        <f t="shared" si="144"/>
        <v>20.866491383774381</v>
      </c>
      <c r="BX10" s="168">
        <f t="shared" si="145"/>
        <v>214.29959356681198</v>
      </c>
      <c r="BY10" s="15">
        <v>107.23</v>
      </c>
      <c r="BZ10" s="10">
        <v>102.94</v>
      </c>
      <c r="CA10" s="10">
        <f t="shared" si="84"/>
        <v>4.2900000000000063</v>
      </c>
      <c r="CB10" s="172">
        <v>2.93</v>
      </c>
      <c r="CC10" s="172">
        <f t="shared" si="146"/>
        <v>7.220000000000006</v>
      </c>
      <c r="CD10" s="10">
        <f t="shared" si="85"/>
        <v>66.169999999999987</v>
      </c>
      <c r="CE10" s="369">
        <f>(CA10*$T$1)+13.2678</f>
        <v>28.863139379162423</v>
      </c>
      <c r="CF10" s="168">
        <f t="shared" si="86"/>
        <v>243.1627329459744</v>
      </c>
      <c r="CG10" s="15">
        <v>109.61</v>
      </c>
      <c r="CH10" s="10">
        <v>104.26</v>
      </c>
      <c r="CI10" s="10">
        <f t="shared" si="147"/>
        <v>5.3499999999999943</v>
      </c>
      <c r="CJ10" s="10">
        <f t="shared" si="148"/>
        <v>71.519999999999982</v>
      </c>
      <c r="CK10" s="168">
        <f t="shared" si="149"/>
        <v>19.448733258395979</v>
      </c>
      <c r="CL10" s="168">
        <f t="shared" si="150"/>
        <v>262.6114662043704</v>
      </c>
      <c r="CM10" s="15">
        <v>109.52</v>
      </c>
      <c r="CN10" s="13">
        <v>105.68</v>
      </c>
      <c r="CO10" s="10">
        <f t="shared" si="151"/>
        <v>3.8399999999999892</v>
      </c>
      <c r="CP10" s="10">
        <f t="shared" si="152"/>
        <v>75.359999999999971</v>
      </c>
      <c r="CQ10" s="168">
        <f t="shared" si="153"/>
        <v>13.959464619110362</v>
      </c>
      <c r="CR10" s="168">
        <f t="shared" si="154"/>
        <v>276.57093082348075</v>
      </c>
      <c r="CS10" s="15">
        <v>109.82</v>
      </c>
      <c r="CT10" s="10">
        <v>105.42</v>
      </c>
      <c r="CU10" s="10">
        <f t="shared" si="155"/>
        <v>4.3999999999999915</v>
      </c>
      <c r="CV10" s="10">
        <f t="shared" si="156"/>
        <v>79.759999999999962</v>
      </c>
      <c r="CW10" s="168">
        <f t="shared" si="157"/>
        <v>15.99521987606397</v>
      </c>
      <c r="CX10" s="168">
        <f t="shared" si="158"/>
        <v>292.56615069954472</v>
      </c>
      <c r="CY10" s="15">
        <v>107.02</v>
      </c>
      <c r="CZ10" s="10">
        <v>102.9</v>
      </c>
      <c r="DA10" s="10">
        <f t="shared" si="159"/>
        <v>4.1199999999999903</v>
      </c>
      <c r="DB10" s="10">
        <f t="shared" si="160"/>
        <v>83.879999999999953</v>
      </c>
      <c r="DC10" s="168">
        <f t="shared" si="161"/>
        <v>14.977342247587165</v>
      </c>
      <c r="DD10" s="168">
        <f t="shared" si="162"/>
        <v>307.54349294713188</v>
      </c>
      <c r="DE10" s="15">
        <v>109.07</v>
      </c>
      <c r="DF10" s="10">
        <v>105.51</v>
      </c>
      <c r="DG10" s="10">
        <f t="shared" si="163"/>
        <v>3.5599999999999881</v>
      </c>
      <c r="DH10" s="10">
        <f t="shared" si="164"/>
        <v>87.439999999999941</v>
      </c>
      <c r="DI10" s="168">
        <f t="shared" si="165"/>
        <v>12.941586990633557</v>
      </c>
      <c r="DJ10" s="168">
        <f t="shared" si="166"/>
        <v>320.48507993776542</v>
      </c>
      <c r="DK10" s="15">
        <v>108.58</v>
      </c>
      <c r="DL10" s="150">
        <v>102.53</v>
      </c>
      <c r="DM10" s="10">
        <f t="shared" si="167"/>
        <v>6.0499999999999972</v>
      </c>
      <c r="DN10" s="10">
        <f t="shared" si="168"/>
        <v>93.489999999999938</v>
      </c>
      <c r="DO10" s="168">
        <f t="shared" si="169"/>
        <v>21.993427329587991</v>
      </c>
      <c r="DP10" s="168">
        <f t="shared" si="170"/>
        <v>342.47850726735339</v>
      </c>
      <c r="DQ10" s="202">
        <v>105.55</v>
      </c>
      <c r="DR10" s="150">
        <v>102.88</v>
      </c>
      <c r="DS10" s="10">
        <f t="shared" si="171"/>
        <v>2.6700000000000017</v>
      </c>
      <c r="DT10" s="10">
        <f t="shared" si="172"/>
        <v>96.15999999999994</v>
      </c>
      <c r="DU10" s="168">
        <f t="shared" si="173"/>
        <v>9.7061902429752074</v>
      </c>
      <c r="DV10" s="168">
        <f t="shared" si="174"/>
        <v>352.18469751032859</v>
      </c>
      <c r="DW10" s="15">
        <v>107.97</v>
      </c>
      <c r="DX10" s="10">
        <v>105.27</v>
      </c>
      <c r="DY10" s="10">
        <f t="shared" si="175"/>
        <v>2.7000000000000028</v>
      </c>
      <c r="DZ10" s="10">
        <f t="shared" si="176"/>
        <v>98.859999999999943</v>
      </c>
      <c r="EA10" s="168">
        <f t="shared" si="177"/>
        <v>9.8152485603120105</v>
      </c>
      <c r="EB10" s="179">
        <f t="shared" si="178"/>
        <v>361.99994607064059</v>
      </c>
    </row>
    <row r="11" spans="1:132" ht="12" customHeight="1">
      <c r="A11" s="9" t="s">
        <v>369</v>
      </c>
      <c r="B11" s="62" t="s">
        <v>370</v>
      </c>
      <c r="C11" s="11"/>
      <c r="D11" s="12" t="s">
        <v>22</v>
      </c>
      <c r="E11" s="10" t="s">
        <v>262</v>
      </c>
      <c r="F11" s="11">
        <v>42411</v>
      </c>
      <c r="G11" s="202">
        <v>109.92</v>
      </c>
      <c r="H11" s="150">
        <v>106.58</v>
      </c>
      <c r="I11" s="10">
        <f t="shared" si="116"/>
        <v>3.3400000000000034</v>
      </c>
      <c r="J11" s="168">
        <f t="shared" si="117"/>
        <v>12.141825996830413</v>
      </c>
      <c r="K11" s="15">
        <v>109.68</v>
      </c>
      <c r="L11" s="150">
        <v>105.62</v>
      </c>
      <c r="M11" s="10">
        <f t="shared" si="118"/>
        <v>4.0600000000000023</v>
      </c>
      <c r="N11" s="10">
        <f t="shared" si="119"/>
        <v>7.4000000000000057</v>
      </c>
      <c r="O11" s="168">
        <f t="shared" si="120"/>
        <v>14.759225612913609</v>
      </c>
      <c r="P11" s="168">
        <f t="shared" si="121"/>
        <v>26.901051609744023</v>
      </c>
      <c r="Q11" s="15">
        <v>107.38</v>
      </c>
      <c r="R11" s="150">
        <v>103.63</v>
      </c>
      <c r="S11" s="10">
        <f t="shared" si="122"/>
        <v>3.75</v>
      </c>
      <c r="T11" s="10">
        <f t="shared" si="123"/>
        <v>11.150000000000006</v>
      </c>
      <c r="U11" s="168">
        <f t="shared" si="124"/>
        <v>13.6322896671</v>
      </c>
      <c r="V11" s="168">
        <f t="shared" si="125"/>
        <v>40.533341276844027</v>
      </c>
      <c r="W11" s="15">
        <v>106.92</v>
      </c>
      <c r="X11" s="150">
        <v>102.26</v>
      </c>
      <c r="Y11" s="10">
        <f t="shared" si="48"/>
        <v>4.6599999999999966</v>
      </c>
      <c r="Z11" s="10">
        <f t="shared" si="49"/>
        <v>15.810000000000002</v>
      </c>
      <c r="AA11" s="168">
        <f t="shared" si="50"/>
        <v>16.940391959649588</v>
      </c>
      <c r="AB11" s="168">
        <f t="shared" si="51"/>
        <v>57.473733236493615</v>
      </c>
      <c r="AC11" s="15">
        <v>106.86</v>
      </c>
      <c r="AD11" s="150">
        <v>101.62</v>
      </c>
      <c r="AE11" s="10">
        <f t="shared" si="126"/>
        <v>5.2399999999999949</v>
      </c>
      <c r="AF11" s="10">
        <f t="shared" si="127"/>
        <v>21.049999999999997</v>
      </c>
      <c r="AG11" s="168">
        <f t="shared" si="128"/>
        <v>19.048852761494381</v>
      </c>
      <c r="AH11" s="168">
        <f t="shared" si="129"/>
        <v>76.522585997987989</v>
      </c>
      <c r="AI11" s="15">
        <v>107.65</v>
      </c>
      <c r="AJ11" s="150">
        <v>103.45</v>
      </c>
      <c r="AK11" s="10">
        <f t="shared" si="56"/>
        <v>4.2000000000000028</v>
      </c>
      <c r="AL11" s="10">
        <f t="shared" si="57"/>
        <v>25.25</v>
      </c>
      <c r="AM11" s="168">
        <f t="shared" si="58"/>
        <v>15.26816442715201</v>
      </c>
      <c r="AN11" s="168">
        <f t="shared" si="59"/>
        <v>91.790750425140004</v>
      </c>
      <c r="AO11" s="15">
        <v>107.68</v>
      </c>
      <c r="AP11" s="10">
        <v>103.31</v>
      </c>
      <c r="AQ11" s="10">
        <f t="shared" si="130"/>
        <v>4.3700000000000045</v>
      </c>
      <c r="AR11" s="10">
        <f t="shared" si="131"/>
        <v>29.620000000000005</v>
      </c>
      <c r="AS11" s="168">
        <f t="shared" si="132"/>
        <v>15.886161558727217</v>
      </c>
      <c r="AT11" s="168">
        <f t="shared" si="133"/>
        <v>107.67691198386723</v>
      </c>
      <c r="AU11" s="15">
        <v>106.95</v>
      </c>
      <c r="AV11" s="150">
        <v>101.65</v>
      </c>
      <c r="AW11" s="10">
        <f t="shared" si="134"/>
        <v>5.2999999999999972</v>
      </c>
      <c r="AX11" s="10">
        <f t="shared" si="135"/>
        <v>34.92</v>
      </c>
      <c r="AY11" s="168">
        <f t="shared" si="136"/>
        <v>19.26696939616799</v>
      </c>
      <c r="AZ11" s="168">
        <f t="shared" si="137"/>
        <v>126.94388138003522</v>
      </c>
      <c r="BA11" s="15">
        <v>108.03</v>
      </c>
      <c r="BB11" s="150">
        <v>103.32</v>
      </c>
      <c r="BC11" s="10">
        <f t="shared" si="68"/>
        <v>4.710000000000008</v>
      </c>
      <c r="BD11" s="10">
        <f t="shared" si="69"/>
        <v>39.63000000000001</v>
      </c>
      <c r="BE11" s="168">
        <f t="shared" si="70"/>
        <v>17.12215582187763</v>
      </c>
      <c r="BF11" s="168">
        <f t="shared" si="71"/>
        <v>144.06603720191285</v>
      </c>
      <c r="BG11" s="15">
        <v>107.22</v>
      </c>
      <c r="BH11" s="10">
        <v>102.48</v>
      </c>
      <c r="BI11" s="10">
        <f>BG11-BH11</f>
        <v>4.7399999999999949</v>
      </c>
      <c r="BJ11" s="10">
        <f t="shared" si="139"/>
        <v>44.370000000000005</v>
      </c>
      <c r="BK11" s="168">
        <f t="shared" si="140"/>
        <v>17.231214139214384</v>
      </c>
      <c r="BL11" s="168">
        <f t="shared" si="141"/>
        <v>161.29725134112724</v>
      </c>
      <c r="BM11" s="15">
        <v>110.62</v>
      </c>
      <c r="BN11" s="150">
        <v>105.48</v>
      </c>
      <c r="BO11" s="10">
        <f t="shared" si="76"/>
        <v>5.1400000000000006</v>
      </c>
      <c r="BP11" s="10">
        <f t="shared" si="77"/>
        <v>49.510000000000005</v>
      </c>
      <c r="BQ11" s="168">
        <f t="shared" si="78"/>
        <v>18.685325037038403</v>
      </c>
      <c r="BR11" s="168">
        <f t="shared" si="79"/>
        <v>179.98257637816565</v>
      </c>
      <c r="BS11" s="15">
        <v>108.66</v>
      </c>
      <c r="BT11" s="10">
        <v>102.68</v>
      </c>
      <c r="BU11" s="10">
        <f t="shared" si="142"/>
        <v>5.9799999999999898</v>
      </c>
      <c r="BV11" s="10">
        <f t="shared" si="143"/>
        <v>55.489999999999995</v>
      </c>
      <c r="BW11" s="168">
        <f t="shared" si="144"/>
        <v>21.738957922468764</v>
      </c>
      <c r="BX11" s="168">
        <f t="shared" si="145"/>
        <v>201.7215343006344</v>
      </c>
      <c r="BY11" s="15">
        <v>109.74</v>
      </c>
      <c r="BZ11" s="150">
        <v>103.82</v>
      </c>
      <c r="CA11" s="10">
        <f t="shared" si="84"/>
        <v>5.9200000000000017</v>
      </c>
      <c r="CB11" s="172">
        <v>0</v>
      </c>
      <c r="CC11" s="172">
        <f t="shared" si="146"/>
        <v>5.9200000000000017</v>
      </c>
      <c r="CD11" s="10">
        <f>BV11+CC11</f>
        <v>61.41</v>
      </c>
      <c r="CE11" s="369">
        <f>(CA11*$T$1)+0</f>
        <v>21.520841287795207</v>
      </c>
      <c r="CF11" s="168">
        <f t="shared" si="86"/>
        <v>223.24237558842961</v>
      </c>
      <c r="CG11" s="15">
        <v>108.65</v>
      </c>
      <c r="CH11" s="150">
        <v>103.44</v>
      </c>
      <c r="CI11" s="10">
        <f t="shared" si="147"/>
        <v>5.210000000000008</v>
      </c>
      <c r="CJ11" s="10">
        <f t="shared" si="148"/>
        <v>66.62</v>
      </c>
      <c r="CK11" s="168">
        <f t="shared" si="149"/>
        <v>18.939794444157631</v>
      </c>
      <c r="CL11" s="168">
        <f t="shared" si="150"/>
        <v>242.18217003258724</v>
      </c>
      <c r="CM11" s="15">
        <v>108.62</v>
      </c>
      <c r="CN11" s="13">
        <v>104.19</v>
      </c>
      <c r="CO11" s="10">
        <f t="shared" si="151"/>
        <v>4.4300000000000068</v>
      </c>
      <c r="CP11" s="10">
        <f t="shared" si="152"/>
        <v>71.050000000000011</v>
      </c>
      <c r="CQ11" s="168">
        <f t="shared" si="153"/>
        <v>16.104278193400827</v>
      </c>
      <c r="CR11" s="168">
        <f t="shared" si="154"/>
        <v>258.28644822598807</v>
      </c>
      <c r="CS11" s="15">
        <v>108.07</v>
      </c>
      <c r="CT11" s="10">
        <v>103.46</v>
      </c>
      <c r="CU11" s="10">
        <f t="shared" si="155"/>
        <v>4.6099999999999994</v>
      </c>
      <c r="CV11" s="10">
        <f t="shared" si="156"/>
        <v>75.660000000000011</v>
      </c>
      <c r="CW11" s="168">
        <f t="shared" si="157"/>
        <v>16.7586280974216</v>
      </c>
      <c r="CX11" s="168">
        <f t="shared" si="158"/>
        <v>275.04507632340966</v>
      </c>
      <c r="CY11" s="15">
        <v>107.53</v>
      </c>
      <c r="CZ11" s="10">
        <v>103.21</v>
      </c>
      <c r="DA11" s="10">
        <f t="shared" si="159"/>
        <v>4.3200000000000074</v>
      </c>
      <c r="DB11" s="10">
        <f t="shared" si="160"/>
        <v>79.980000000000018</v>
      </c>
      <c r="DC11" s="168">
        <f t="shared" si="161"/>
        <v>15.704397696499228</v>
      </c>
      <c r="DD11" s="168">
        <f t="shared" si="162"/>
        <v>290.74947401990892</v>
      </c>
      <c r="DE11" s="15">
        <v>109.07</v>
      </c>
      <c r="DF11" s="10">
        <v>104.68</v>
      </c>
      <c r="DG11" s="10">
        <f t="shared" si="163"/>
        <v>4.3899999999999864</v>
      </c>
      <c r="DH11" s="10">
        <f t="shared" si="164"/>
        <v>84.37</v>
      </c>
      <c r="DI11" s="168">
        <f t="shared" si="165"/>
        <v>15.958867103618351</v>
      </c>
      <c r="DJ11" s="168">
        <f t="shared" si="166"/>
        <v>306.70834112352725</v>
      </c>
      <c r="DK11" s="15">
        <v>110.95</v>
      </c>
      <c r="DL11" s="150">
        <v>104.12</v>
      </c>
      <c r="DM11" s="10">
        <f t="shared" si="167"/>
        <v>6.8299999999999983</v>
      </c>
      <c r="DN11" s="10">
        <f t="shared" si="168"/>
        <v>91.2</v>
      </c>
      <c r="DO11" s="168">
        <f t="shared" si="169"/>
        <v>24.828943580344795</v>
      </c>
      <c r="DP11" s="168">
        <f t="shared" si="170"/>
        <v>331.53728470387205</v>
      </c>
      <c r="DQ11" s="202">
        <v>107.95</v>
      </c>
      <c r="DR11" s="150">
        <v>102.57</v>
      </c>
      <c r="DS11" s="10">
        <f>(DQ11-DR11)</f>
        <v>5.3800000000000097</v>
      </c>
      <c r="DT11" s="10">
        <f t="shared" si="172"/>
        <v>96.580000000000013</v>
      </c>
      <c r="DU11" s="168">
        <f t="shared" si="173"/>
        <v>19.557791575732836</v>
      </c>
      <c r="DV11" s="168">
        <f t="shared" si="174"/>
        <v>351.09507627960488</v>
      </c>
      <c r="DW11" s="15">
        <v>107.99</v>
      </c>
      <c r="DX11" s="10">
        <v>104.68</v>
      </c>
      <c r="DY11" s="10">
        <f t="shared" si="175"/>
        <v>3.3099999999999881</v>
      </c>
      <c r="DZ11" s="10">
        <f t="shared" si="176"/>
        <v>99.89</v>
      </c>
      <c r="EA11" s="168">
        <f t="shared" si="177"/>
        <v>12.032767679493556</v>
      </c>
      <c r="EB11" s="179">
        <f t="shared" si="178"/>
        <v>363.12784395909841</v>
      </c>
    </row>
    <row r="12" spans="1:132" ht="12" customHeight="1">
      <c r="A12" s="9" t="s">
        <v>371</v>
      </c>
      <c r="B12" s="62" t="s">
        <v>372</v>
      </c>
      <c r="C12" s="11"/>
      <c r="D12" s="12" t="s">
        <v>22</v>
      </c>
      <c r="E12" s="10" t="s">
        <v>262</v>
      </c>
      <c r="F12" s="11">
        <v>43742</v>
      </c>
      <c r="G12" s="202">
        <v>106.93</v>
      </c>
      <c r="H12" s="10">
        <v>103.11</v>
      </c>
      <c r="I12" s="10">
        <f t="shared" si="116"/>
        <v>3.8200000000000074</v>
      </c>
      <c r="J12" s="168">
        <f t="shared" si="117"/>
        <v>13.886759074219228</v>
      </c>
      <c r="K12" s="15">
        <v>104.76</v>
      </c>
      <c r="L12" s="10">
        <v>100.94</v>
      </c>
      <c r="M12" s="10">
        <f t="shared" ref="M12" si="179">K12-L12</f>
        <v>3.8200000000000074</v>
      </c>
      <c r="N12" s="10">
        <f t="shared" ref="N12" si="180">I12+M12</f>
        <v>7.6400000000000148</v>
      </c>
      <c r="O12" s="168">
        <f t="shared" ref="O12" si="181">M12*$T$1</f>
        <v>13.886759074219228</v>
      </c>
      <c r="P12" s="168">
        <f t="shared" ref="P12" si="182">J12+O12</f>
        <v>27.773518148438455</v>
      </c>
      <c r="Q12" s="15">
        <v>105.28</v>
      </c>
      <c r="R12" s="150">
        <v>100.91</v>
      </c>
      <c r="S12" s="10">
        <f t="shared" si="122"/>
        <v>4.3700000000000045</v>
      </c>
      <c r="T12" s="10">
        <f t="shared" si="123"/>
        <v>12.010000000000019</v>
      </c>
      <c r="U12" s="168">
        <f t="shared" si="124"/>
        <v>15.886161558727217</v>
      </c>
      <c r="V12" s="168">
        <f t="shared" si="125"/>
        <v>43.659679707165672</v>
      </c>
      <c r="W12" s="15">
        <v>104.55</v>
      </c>
      <c r="X12" s="10">
        <v>100</v>
      </c>
      <c r="Y12" s="10">
        <f t="shared" ref="Y12" si="183">W12-X12</f>
        <v>4.5499999999999972</v>
      </c>
      <c r="Z12" s="10">
        <f t="shared" ref="Z12" si="184">T12+Y12</f>
        <v>16.560000000000016</v>
      </c>
      <c r="AA12" s="168">
        <f t="shared" ref="AA12" si="185">Y12*$T$1</f>
        <v>16.54051146274799</v>
      </c>
      <c r="AB12" s="168">
        <f t="shared" ref="AB12" si="186">V12+AA12</f>
        <v>60.200191169913666</v>
      </c>
      <c r="AC12" s="15">
        <v>104.62</v>
      </c>
      <c r="AD12" s="150">
        <v>101.42</v>
      </c>
      <c r="AE12" s="10">
        <f t="shared" ref="AE12" si="187">AC12-AD12</f>
        <v>3.2000000000000028</v>
      </c>
      <c r="AF12" s="10">
        <f t="shared" ref="AF12" si="188">Z12+AE12</f>
        <v>19.760000000000019</v>
      </c>
      <c r="AG12" s="168">
        <f t="shared" ref="AG12" si="189">AE12*$T$1</f>
        <v>11.632887182592011</v>
      </c>
      <c r="AH12" s="168">
        <f t="shared" ref="AH12" si="190">AB12+AG12</f>
        <v>71.83307835250568</v>
      </c>
      <c r="AI12" s="15">
        <v>105.24</v>
      </c>
      <c r="AJ12" s="10">
        <v>102.31</v>
      </c>
      <c r="AK12" s="10">
        <f t="shared" ref="AK12" si="191">AI12-AJ12</f>
        <v>2.9299999999999926</v>
      </c>
      <c r="AL12" s="10">
        <f t="shared" ref="AL12" si="192">AF12+AK12</f>
        <v>22.690000000000012</v>
      </c>
      <c r="AM12" s="168">
        <f t="shared" ref="AM12" si="193">AK12*$T$1</f>
        <v>10.651362326560774</v>
      </c>
      <c r="AN12" s="168">
        <f t="shared" ref="AN12" si="194">AH12+AM12</f>
        <v>82.484440679066452</v>
      </c>
      <c r="AO12" s="399">
        <v>247.84</v>
      </c>
      <c r="AP12" s="10">
        <v>244.02</v>
      </c>
      <c r="AQ12" s="10">
        <f t="shared" ref="AQ12" si="195">AO12-AP12</f>
        <v>3.8199999999999932</v>
      </c>
      <c r="AR12" s="10">
        <f t="shared" ref="AR12" si="196">AL12+AQ12</f>
        <v>26.510000000000005</v>
      </c>
      <c r="AS12" s="168">
        <f t="shared" ref="AS12" si="197">AQ12*$T$1</f>
        <v>13.886759074219176</v>
      </c>
      <c r="AT12" s="168">
        <f t="shared" ref="AT12" si="198">AN12+AS12</f>
        <v>96.371199753285623</v>
      </c>
      <c r="AU12" s="15">
        <v>254.97</v>
      </c>
      <c r="AV12" s="13">
        <v>250.97</v>
      </c>
      <c r="AW12" s="10">
        <f t="shared" ref="AW12" si="199">AU12-AV12</f>
        <v>4</v>
      </c>
      <c r="AX12" s="10">
        <f t="shared" ref="AX12" si="200">AR12+AW12</f>
        <v>30.510000000000005</v>
      </c>
      <c r="AY12" s="168">
        <f t="shared" ref="AY12" si="201">AW12*$T$1</f>
        <v>14.54110897824</v>
      </c>
      <c r="AZ12" s="168">
        <f t="shared" ref="AZ12" si="202">AT12+AY12</f>
        <v>110.91230873152563</v>
      </c>
      <c r="BA12" s="15">
        <v>250.75</v>
      </c>
      <c r="BB12" s="10">
        <v>246.19</v>
      </c>
      <c r="BC12" s="10">
        <f t="shared" ref="BC12" si="203">BA12-BB12</f>
        <v>4.5600000000000023</v>
      </c>
      <c r="BD12" s="10">
        <f t="shared" ref="BD12" si="204">AX12+BC12</f>
        <v>35.070000000000007</v>
      </c>
      <c r="BE12" s="168">
        <f t="shared" ref="BE12" si="205">BC12*$T$1</f>
        <v>16.576864235193607</v>
      </c>
      <c r="BF12" s="168">
        <f t="shared" ref="BF12" si="206">AZ12+BE12</f>
        <v>127.48917296671924</v>
      </c>
      <c r="BG12" s="15">
        <v>254.98</v>
      </c>
      <c r="BH12" s="10">
        <v>250.65</v>
      </c>
      <c r="BI12" s="10">
        <f>BG12-BH12</f>
        <v>4.3299999999999841</v>
      </c>
      <c r="BJ12" s="10">
        <f t="shared" si="139"/>
        <v>39.399999999999991</v>
      </c>
      <c r="BK12" s="168">
        <f t="shared" si="140"/>
        <v>15.740750468944743</v>
      </c>
      <c r="BL12" s="168">
        <f t="shared" si="141"/>
        <v>143.22992343566398</v>
      </c>
      <c r="BM12" s="15">
        <v>249.27</v>
      </c>
      <c r="BN12" s="10">
        <v>244.5</v>
      </c>
      <c r="BO12" s="10">
        <f t="shared" ref="BO12" si="207">BM12-BN12</f>
        <v>4.7700000000000102</v>
      </c>
      <c r="BP12" s="10">
        <f t="shared" ref="BP12" si="208">BJ12+BO12</f>
        <v>44.17</v>
      </c>
      <c r="BQ12" s="168">
        <f t="shared" ref="BQ12" si="209">BO12*$T$1</f>
        <v>17.340272456551237</v>
      </c>
      <c r="BR12" s="168">
        <f t="shared" ref="BR12" si="210">BL12+BQ12</f>
        <v>160.57019589221522</v>
      </c>
      <c r="BS12" s="15">
        <v>254.03</v>
      </c>
      <c r="BT12" s="10">
        <v>250.38</v>
      </c>
      <c r="BU12" s="10">
        <f t="shared" ref="BU12" si="211">BS12-BT12</f>
        <v>3.6500000000000057</v>
      </c>
      <c r="BV12" s="10">
        <f t="shared" ref="BV12" si="212">BP12+BU12</f>
        <v>47.820000000000007</v>
      </c>
      <c r="BW12" s="168">
        <f t="shared" ref="BW12" si="213">BU12*$T$1</f>
        <v>13.268761942644021</v>
      </c>
      <c r="BX12" s="168">
        <f t="shared" ref="BX12" si="214">BR12+BW12</f>
        <v>173.83895783485926</v>
      </c>
      <c r="BY12" s="15">
        <v>250.3</v>
      </c>
      <c r="BZ12" s="10">
        <v>247.81</v>
      </c>
      <c r="CA12" s="10">
        <f t="shared" si="84"/>
        <v>2.4900000000000091</v>
      </c>
      <c r="CB12" s="172">
        <v>3.72</v>
      </c>
      <c r="CC12" s="172">
        <f t="shared" si="146"/>
        <v>6.2100000000000097</v>
      </c>
      <c r="CD12" s="10">
        <f>BV12+CC12</f>
        <v>54.030000000000015</v>
      </c>
      <c r="CE12" s="369">
        <f>(CA12*$T$1)+16.75</f>
        <v>25.801840338954435</v>
      </c>
      <c r="CF12" s="168">
        <f t="shared" ref="CF12" si="215">BX12+CE12</f>
        <v>199.64079817381369</v>
      </c>
      <c r="CG12" s="15">
        <v>250.82</v>
      </c>
      <c r="CH12" s="10">
        <v>247.65</v>
      </c>
      <c r="CI12" s="10">
        <f t="shared" ref="CI12" si="216">CG12-CH12</f>
        <v>3.1699999999999875</v>
      </c>
      <c r="CJ12" s="10">
        <f t="shared" ref="CJ12" si="217">CD12+CI12</f>
        <v>57.2</v>
      </c>
      <c r="CK12" s="168">
        <f t="shared" ref="CK12" si="218">CI12*$T$1</f>
        <v>11.523828865255155</v>
      </c>
      <c r="CL12" s="168">
        <f t="shared" ref="CL12" si="219">CF12+CK12</f>
        <v>211.16462703906885</v>
      </c>
      <c r="CM12" s="15">
        <v>252.56</v>
      </c>
      <c r="CN12" s="13">
        <v>248.85</v>
      </c>
      <c r="CO12" s="10">
        <f t="shared" ref="CO12" si="220">CM12-CN12</f>
        <v>3.710000000000008</v>
      </c>
      <c r="CP12" s="10">
        <f t="shared" ref="CP12" si="221">CJ12+CO12</f>
        <v>60.910000000000011</v>
      </c>
      <c r="CQ12" s="168">
        <f t="shared" ref="CQ12" si="222">CO12*$T$1</f>
        <v>13.486878577317629</v>
      </c>
      <c r="CR12" s="168">
        <f t="shared" ref="CR12" si="223">CL12+CQ12</f>
        <v>224.65150561638649</v>
      </c>
      <c r="CS12" s="15">
        <v>256.3</v>
      </c>
      <c r="CT12" s="10">
        <v>252.51</v>
      </c>
      <c r="CU12" s="10">
        <f t="shared" ref="CU12" si="224">CS12-CT12</f>
        <v>3.7900000000000205</v>
      </c>
      <c r="CV12" s="10">
        <f t="shared" ref="CV12" si="225">CP12+CU12</f>
        <v>64.700000000000031</v>
      </c>
      <c r="CW12" s="168">
        <f t="shared" ref="CW12" si="226">CU12*$T$1</f>
        <v>13.777700756882474</v>
      </c>
      <c r="CX12" s="168">
        <f t="shared" ref="CX12" si="227">CR12+CW12</f>
        <v>238.42920637326895</v>
      </c>
      <c r="CY12" s="15">
        <v>258.37</v>
      </c>
      <c r="CZ12" s="10">
        <v>255.07</v>
      </c>
      <c r="DA12" s="10">
        <f t="shared" si="159"/>
        <v>3.3000000000000114</v>
      </c>
      <c r="DB12" s="10">
        <f t="shared" si="160"/>
        <v>68.000000000000043</v>
      </c>
      <c r="DC12" s="168">
        <f t="shared" si="161"/>
        <v>11.996414907048042</v>
      </c>
      <c r="DD12" s="168">
        <f t="shared" si="162"/>
        <v>250.42562128031699</v>
      </c>
      <c r="DE12" s="15">
        <v>254.33</v>
      </c>
      <c r="DF12" s="10">
        <v>250.54</v>
      </c>
      <c r="DG12" s="10">
        <f t="shared" ref="DG12" si="228">DE12-DF12</f>
        <v>3.7900000000000205</v>
      </c>
      <c r="DH12" s="10">
        <f t="shared" ref="DH12" si="229">DB12+DG12</f>
        <v>71.790000000000063</v>
      </c>
      <c r="DI12" s="168">
        <f t="shared" ref="DI12" si="230">DG12*$T$1</f>
        <v>13.777700756882474</v>
      </c>
      <c r="DJ12" s="168">
        <f t="shared" ref="DJ12" si="231">DD12+DI12</f>
        <v>264.20332203719948</v>
      </c>
      <c r="DK12" s="15">
        <v>254.99</v>
      </c>
      <c r="DL12" s="10">
        <v>251.31</v>
      </c>
      <c r="DM12" s="10">
        <f t="shared" ref="DM12" si="232">(DK12-DL12)</f>
        <v>3.6800000000000068</v>
      </c>
      <c r="DN12" s="10">
        <f t="shared" ref="DN12" si="233">DH12+DM12</f>
        <v>75.47000000000007</v>
      </c>
      <c r="DO12" s="168">
        <f t="shared" ref="DO12" si="234">DM12*$T$1</f>
        <v>13.377820259980826</v>
      </c>
      <c r="DP12" s="168">
        <f t="shared" ref="DP12" si="235">DJ12+DO12</f>
        <v>277.58114229718029</v>
      </c>
      <c r="DQ12" s="202">
        <v>257.33999999999997</v>
      </c>
      <c r="DR12" s="10">
        <v>252.95</v>
      </c>
      <c r="DS12" s="10">
        <f>(DQ12-DR12)</f>
        <v>4.3899999999999864</v>
      </c>
      <c r="DT12" s="10">
        <f t="shared" ref="DT12" si="236">DN12+DS12</f>
        <v>79.860000000000056</v>
      </c>
      <c r="DU12" s="168">
        <f t="shared" ref="DU12" si="237">DS12*$T$1</f>
        <v>15.958867103618351</v>
      </c>
      <c r="DV12" s="168">
        <f t="shared" ref="DV12" si="238">DP12+DU12</f>
        <v>293.54000940079862</v>
      </c>
      <c r="DW12" s="15">
        <v>252.74</v>
      </c>
      <c r="DX12" s="10">
        <v>249.66</v>
      </c>
      <c r="DY12" s="10">
        <f t="shared" si="175"/>
        <v>3.0800000000000125</v>
      </c>
      <c r="DZ12" s="10">
        <f t="shared" si="176"/>
        <v>82.940000000000069</v>
      </c>
      <c r="EA12" s="168">
        <f t="shared" si="177"/>
        <v>11.196653913244846</v>
      </c>
      <c r="EB12" s="179">
        <f t="shared" si="178"/>
        <v>304.73666331404348</v>
      </c>
    </row>
    <row r="13" spans="1:132" ht="12" customHeight="1">
      <c r="A13" s="9"/>
      <c r="B13" s="62"/>
      <c r="C13" s="11"/>
      <c r="D13" s="12"/>
      <c r="E13" s="10"/>
      <c r="F13" s="11"/>
      <c r="G13" s="15"/>
      <c r="H13" s="10"/>
      <c r="I13" s="10"/>
      <c r="J13" s="168"/>
      <c r="K13" s="15"/>
      <c r="L13" s="10"/>
      <c r="M13" s="10"/>
      <c r="N13" s="10"/>
      <c r="O13" s="168"/>
      <c r="P13" s="168"/>
      <c r="Q13" s="15"/>
      <c r="R13" s="10"/>
      <c r="S13" s="10"/>
      <c r="T13" s="10"/>
      <c r="U13" s="168"/>
      <c r="V13" s="168"/>
      <c r="W13" s="15"/>
      <c r="X13" s="10"/>
      <c r="Y13" s="10"/>
      <c r="Z13" s="10"/>
      <c r="AA13" s="168"/>
      <c r="AB13" s="168"/>
      <c r="AC13" s="15"/>
      <c r="AD13" s="10"/>
      <c r="AE13" s="10"/>
      <c r="AF13" s="10"/>
      <c r="AG13" s="168"/>
      <c r="AH13" s="168"/>
      <c r="AI13" s="15"/>
      <c r="AJ13" s="10"/>
      <c r="AK13" s="10"/>
      <c r="AL13" s="10"/>
      <c r="AM13" s="168"/>
      <c r="AN13" s="168"/>
      <c r="AO13" s="15"/>
      <c r="AP13" s="10"/>
      <c r="AQ13" s="10"/>
      <c r="AR13" s="10"/>
      <c r="AS13" s="168"/>
      <c r="AT13" s="168"/>
      <c r="AU13" s="15"/>
      <c r="AV13" s="13"/>
      <c r="AW13" s="10"/>
      <c r="AX13" s="10"/>
      <c r="AY13" s="168"/>
      <c r="AZ13" s="168"/>
      <c r="BA13" s="15"/>
      <c r="BB13" s="10"/>
      <c r="BC13" s="10"/>
      <c r="BD13" s="10"/>
      <c r="BE13" s="168"/>
      <c r="BF13" s="168"/>
      <c r="BG13" s="15"/>
      <c r="BH13" s="10"/>
      <c r="BI13" s="10"/>
      <c r="BJ13" s="10"/>
      <c r="BK13" s="168"/>
      <c r="BL13" s="168"/>
      <c r="BM13" s="15"/>
      <c r="BN13" s="10"/>
      <c r="BO13" s="10"/>
      <c r="BP13" s="10"/>
      <c r="BQ13" s="168"/>
      <c r="BR13" s="168"/>
      <c r="BS13" s="15"/>
      <c r="BT13" s="10"/>
      <c r="BU13" s="10"/>
      <c r="BV13" s="10"/>
      <c r="BW13" s="168"/>
      <c r="BX13" s="168"/>
      <c r="BY13" s="15"/>
      <c r="BZ13" s="10"/>
      <c r="CA13" s="10"/>
      <c r="CB13" s="172"/>
      <c r="CC13" s="172"/>
      <c r="CD13" s="10"/>
      <c r="CE13" s="369"/>
      <c r="CF13" s="168"/>
      <c r="CG13" s="15"/>
      <c r="CH13" s="10"/>
      <c r="CI13" s="10"/>
      <c r="CJ13" s="10"/>
      <c r="CK13" s="168"/>
      <c r="CL13" s="168"/>
      <c r="CM13" s="15"/>
      <c r="CN13" s="13"/>
      <c r="CO13" s="10"/>
      <c r="CP13" s="10"/>
      <c r="CQ13" s="168"/>
      <c r="CR13" s="168"/>
      <c r="CS13" s="15"/>
      <c r="CT13" s="10"/>
      <c r="CU13" s="10"/>
      <c r="CV13" s="10"/>
      <c r="CW13" s="168"/>
      <c r="CX13" s="168"/>
      <c r="CY13" s="15"/>
      <c r="CZ13" s="10"/>
      <c r="DA13" s="10"/>
      <c r="DB13" s="10"/>
      <c r="DC13" s="168"/>
      <c r="DD13" s="168"/>
      <c r="DE13" s="15"/>
      <c r="DF13" s="10"/>
      <c r="DG13" s="10"/>
      <c r="DH13" s="10"/>
      <c r="DI13" s="168"/>
      <c r="DJ13" s="168"/>
      <c r="DK13" s="15"/>
      <c r="DL13" s="10"/>
      <c r="DM13" s="10"/>
      <c r="DN13" s="10"/>
      <c r="DO13" s="168"/>
      <c r="DP13" s="168"/>
      <c r="DQ13" s="202"/>
      <c r="DR13" s="10"/>
      <c r="DS13" s="10"/>
      <c r="DT13" s="10"/>
      <c r="DU13" s="168"/>
      <c r="DV13" s="168"/>
      <c r="DW13" s="15"/>
      <c r="DX13" s="10"/>
      <c r="DY13" s="10"/>
      <c r="DZ13" s="10"/>
      <c r="EA13" s="168"/>
      <c r="EB13" s="179"/>
    </row>
    <row r="14" spans="1:132" ht="12" customHeight="1">
      <c r="A14" s="9"/>
      <c r="B14" s="62"/>
      <c r="C14" s="11"/>
      <c r="D14" s="12"/>
      <c r="E14" s="10"/>
      <c r="F14" s="11"/>
      <c r="G14" s="15"/>
      <c r="H14" s="10"/>
      <c r="I14" s="10"/>
      <c r="J14" s="168"/>
      <c r="K14" s="15"/>
      <c r="L14" s="10"/>
      <c r="M14" s="10"/>
      <c r="N14" s="10"/>
      <c r="O14" s="168"/>
      <c r="P14" s="168"/>
      <c r="Q14" s="15"/>
      <c r="R14" s="10"/>
      <c r="S14" s="10"/>
      <c r="T14" s="10"/>
      <c r="U14" s="168"/>
      <c r="V14" s="168"/>
      <c r="W14" s="15"/>
      <c r="X14" s="10"/>
      <c r="Y14" s="10"/>
      <c r="Z14" s="10"/>
      <c r="AA14" s="168"/>
      <c r="AB14" s="168"/>
      <c r="AC14" s="15"/>
      <c r="AD14" s="10"/>
      <c r="AE14" s="10"/>
      <c r="AF14" s="10"/>
      <c r="AG14" s="168"/>
      <c r="AH14" s="168"/>
      <c r="AI14" s="15"/>
      <c r="AJ14" s="10"/>
      <c r="AK14" s="10"/>
      <c r="AL14" s="10"/>
      <c r="AM14" s="168"/>
      <c r="AN14" s="168"/>
      <c r="AO14" s="15"/>
      <c r="AP14" s="10"/>
      <c r="AQ14" s="10"/>
      <c r="AR14" s="10"/>
      <c r="AS14" s="168"/>
      <c r="AT14" s="168"/>
      <c r="AU14" s="15"/>
      <c r="AV14" s="13"/>
      <c r="AW14" s="10"/>
      <c r="AX14" s="10"/>
      <c r="AY14" s="168"/>
      <c r="AZ14" s="168"/>
      <c r="BA14" s="15"/>
      <c r="BB14" s="10"/>
      <c r="BC14" s="10"/>
      <c r="BD14" s="10"/>
      <c r="BE14" s="168"/>
      <c r="BF14" s="168"/>
      <c r="BG14" s="15"/>
      <c r="BH14" s="10"/>
      <c r="BI14" s="10"/>
      <c r="BJ14" s="10"/>
      <c r="BK14" s="168"/>
      <c r="BL14" s="168"/>
      <c r="BM14" s="15"/>
      <c r="BN14" s="10"/>
      <c r="BO14" s="10"/>
      <c r="BP14" s="10"/>
      <c r="BQ14" s="168"/>
      <c r="BR14" s="168"/>
      <c r="BS14" s="15"/>
      <c r="BT14" s="10"/>
      <c r="BU14" s="10"/>
      <c r="BV14" s="10"/>
      <c r="BW14" s="168"/>
      <c r="BX14" s="168"/>
      <c r="BY14" s="15"/>
      <c r="BZ14" s="10"/>
      <c r="CA14" s="10"/>
      <c r="CB14" s="172"/>
      <c r="CC14" s="172"/>
      <c r="CD14" s="10"/>
      <c r="CE14" s="369"/>
      <c r="CF14" s="168"/>
      <c r="CG14" s="15"/>
      <c r="CH14" s="10"/>
      <c r="CI14" s="10"/>
      <c r="CJ14" s="10"/>
      <c r="CK14" s="168"/>
      <c r="CL14" s="168"/>
      <c r="CM14" s="15"/>
      <c r="CN14" s="13"/>
      <c r="CO14" s="10"/>
      <c r="CP14" s="10"/>
      <c r="CQ14" s="168"/>
      <c r="CR14" s="168"/>
      <c r="CS14" s="15"/>
      <c r="CT14" s="10"/>
      <c r="CU14" s="10"/>
      <c r="CV14" s="10"/>
      <c r="CW14" s="168"/>
      <c r="CX14" s="168"/>
      <c r="CY14" s="15"/>
      <c r="CZ14" s="10"/>
      <c r="DA14" s="10"/>
      <c r="DB14" s="10"/>
      <c r="DC14" s="168"/>
      <c r="DD14" s="168"/>
      <c r="DE14" s="15"/>
      <c r="DF14" s="10"/>
      <c r="DG14" s="10"/>
      <c r="DH14" s="10"/>
      <c r="DI14" s="168"/>
      <c r="DJ14" s="168"/>
      <c r="DK14" s="15"/>
      <c r="DL14" s="10"/>
      <c r="DM14" s="10"/>
      <c r="DN14" s="10"/>
      <c r="DO14" s="168"/>
      <c r="DP14" s="168"/>
      <c r="DQ14" s="202"/>
      <c r="DR14" s="10"/>
      <c r="DS14" s="10"/>
      <c r="DT14" s="10"/>
      <c r="DU14" s="168"/>
      <c r="DV14" s="168"/>
      <c r="DW14" s="15"/>
      <c r="DX14" s="10"/>
      <c r="DY14" s="10"/>
      <c r="DZ14" s="10"/>
      <c r="EA14" s="168"/>
      <c r="EB14" s="179"/>
    </row>
    <row r="15" spans="1:132" ht="12" customHeight="1">
      <c r="A15" s="9"/>
      <c r="B15" s="62"/>
      <c r="C15" s="11"/>
      <c r="D15" s="12"/>
      <c r="E15" s="10"/>
      <c r="F15" s="11"/>
      <c r="G15" s="15"/>
      <c r="H15" s="10"/>
      <c r="I15" s="10"/>
      <c r="J15" s="168"/>
      <c r="K15" s="15"/>
      <c r="L15" s="10"/>
      <c r="M15" s="10"/>
      <c r="N15" s="10"/>
      <c r="O15" s="168"/>
      <c r="P15" s="168"/>
      <c r="Q15" s="15"/>
      <c r="R15" s="10"/>
      <c r="S15" s="10"/>
      <c r="T15" s="10"/>
      <c r="U15" s="168"/>
      <c r="V15" s="168"/>
      <c r="W15" s="15"/>
      <c r="X15" s="10"/>
      <c r="Y15" s="10"/>
      <c r="Z15" s="10"/>
      <c r="AA15" s="168"/>
      <c r="AB15" s="168"/>
      <c r="AC15" s="15"/>
      <c r="AD15" s="10"/>
      <c r="AE15" s="10"/>
      <c r="AF15" s="10"/>
      <c r="AG15" s="168"/>
      <c r="AH15" s="168"/>
      <c r="AI15" s="15"/>
      <c r="AJ15" s="10"/>
      <c r="AK15" s="10"/>
      <c r="AL15" s="10"/>
      <c r="AM15" s="168"/>
      <c r="AN15" s="168"/>
      <c r="AO15" s="15"/>
      <c r="AP15" s="10"/>
      <c r="AQ15" s="10"/>
      <c r="AR15" s="10"/>
      <c r="AS15" s="168"/>
      <c r="AT15" s="168"/>
      <c r="AU15" s="15"/>
      <c r="AV15" s="13"/>
      <c r="AW15" s="10"/>
      <c r="AX15" s="10"/>
      <c r="AY15" s="168"/>
      <c r="AZ15" s="168"/>
      <c r="BA15" s="15"/>
      <c r="BB15" s="10"/>
      <c r="BC15" s="10"/>
      <c r="BD15" s="10"/>
      <c r="BE15" s="168"/>
      <c r="BF15" s="168"/>
      <c r="BG15" s="15"/>
      <c r="BH15" s="10"/>
      <c r="BI15" s="10"/>
      <c r="BJ15" s="10"/>
      <c r="BK15" s="168"/>
      <c r="BL15" s="168"/>
      <c r="BM15" s="15"/>
      <c r="BN15" s="10"/>
      <c r="BO15" s="10"/>
      <c r="BP15" s="10"/>
      <c r="BQ15" s="168"/>
      <c r="BR15" s="168"/>
      <c r="BS15" s="15"/>
      <c r="BT15" s="10"/>
      <c r="BU15" s="10"/>
      <c r="BV15" s="10"/>
      <c r="BW15" s="168"/>
      <c r="BX15" s="168"/>
      <c r="BY15" s="15"/>
      <c r="BZ15" s="10"/>
      <c r="CA15" s="10"/>
      <c r="CB15" s="172"/>
      <c r="CC15" s="172"/>
      <c r="CD15" s="10"/>
      <c r="CE15" s="369"/>
      <c r="CF15" s="168"/>
      <c r="CG15" s="15"/>
      <c r="CH15" s="10"/>
      <c r="CI15" s="10"/>
      <c r="CJ15" s="10"/>
      <c r="CK15" s="168"/>
      <c r="CL15" s="168"/>
      <c r="CM15" s="15"/>
      <c r="CN15" s="13"/>
      <c r="CO15" s="10"/>
      <c r="CP15" s="10"/>
      <c r="CQ15" s="168"/>
      <c r="CR15" s="168"/>
      <c r="CS15" s="15"/>
      <c r="CT15" s="10"/>
      <c r="CU15" s="10"/>
      <c r="CV15" s="10"/>
      <c r="CW15" s="168"/>
      <c r="CX15" s="168"/>
      <c r="CY15" s="15"/>
      <c r="CZ15" s="10"/>
      <c r="DA15" s="10"/>
      <c r="DB15" s="10"/>
      <c r="DC15" s="168"/>
      <c r="DD15" s="168"/>
      <c r="DE15" s="15"/>
      <c r="DF15" s="10"/>
      <c r="DG15" s="10"/>
      <c r="DH15" s="10"/>
      <c r="DI15" s="168"/>
      <c r="DJ15" s="168"/>
      <c r="DK15" s="15"/>
      <c r="DL15" s="10"/>
      <c r="DM15" s="10"/>
      <c r="DN15" s="10"/>
      <c r="DO15" s="168"/>
      <c r="DP15" s="168"/>
      <c r="DQ15" s="202"/>
      <c r="DR15" s="10"/>
      <c r="DS15" s="10"/>
      <c r="DT15" s="10"/>
      <c r="DU15" s="168"/>
      <c r="DV15" s="168"/>
      <c r="DW15" s="15"/>
      <c r="DX15" s="10"/>
      <c r="DY15" s="10"/>
      <c r="DZ15" s="10"/>
      <c r="EA15" s="168"/>
      <c r="EB15" s="179"/>
    </row>
    <row r="16" spans="1:132">
      <c r="A16" s="16"/>
      <c r="B16" s="60"/>
      <c r="C16" s="11"/>
      <c r="D16" s="3"/>
      <c r="E16" s="3"/>
      <c r="F16" s="17"/>
      <c r="G16" s="20"/>
      <c r="H16" s="18"/>
      <c r="I16" s="3">
        <f>AVERAGE(I4:I15)</f>
        <v>3.1911111111111108</v>
      </c>
      <c r="J16" s="169">
        <f>AVERAGE(J4:J15)</f>
        <v>11.600573607084801</v>
      </c>
      <c r="K16" s="20"/>
      <c r="L16" s="18"/>
      <c r="M16" s="3">
        <f>AVERAGE(M4:M15)</f>
        <v>4.0377777777777784</v>
      </c>
      <c r="N16" s="3">
        <f>AVERAGE(N4:N15)</f>
        <v>7.2288888888888891</v>
      </c>
      <c r="O16" s="141">
        <f>AVERAGE(O4:O15)</f>
        <v>14.678441674145599</v>
      </c>
      <c r="P16" s="141">
        <f>AVERAGE(P4:P15)</f>
        <v>26.2790152812304</v>
      </c>
      <c r="Q16" s="20"/>
      <c r="R16" s="18"/>
      <c r="S16" s="3">
        <f>AVERAGE(S4:S15)</f>
        <v>3.852222222222224</v>
      </c>
      <c r="T16" s="3">
        <f>AVERAGE(T4:T15)</f>
        <v>11.081111111111113</v>
      </c>
      <c r="U16" s="141">
        <f>AVERAGE(U4:U15)</f>
        <v>14.003895785432807</v>
      </c>
      <c r="V16" s="141">
        <f>AVERAGE(V4:V15)</f>
        <v>40.28291106666321</v>
      </c>
      <c r="W16" s="20"/>
      <c r="X16" s="18"/>
      <c r="Y16" s="3">
        <f>AVERAGE(Y4:Y15)</f>
        <v>4.5111111111111102</v>
      </c>
      <c r="Z16" s="3">
        <f>AVERAGE(Z4:Z15)</f>
        <v>15.592222222222224</v>
      </c>
      <c r="AA16" s="141">
        <f>AVERAGE(AA4:AA15)</f>
        <v>16.399139569903998</v>
      </c>
      <c r="AB16" s="141">
        <f>AVERAGE(AB4:AB15)</f>
        <v>56.682050636567205</v>
      </c>
      <c r="AC16" s="20"/>
      <c r="AD16" s="18"/>
      <c r="AE16" s="3">
        <f>AVERAGE(AE4:AE15)</f>
        <v>4.5011111111111104</v>
      </c>
      <c r="AF16" s="3">
        <f>AVERAGE(AF4:AF15)</f>
        <v>20.093333333333334</v>
      </c>
      <c r="AG16" s="141">
        <f>AVERAGE(AG4:AG15)</f>
        <v>16.362786797458398</v>
      </c>
      <c r="AH16" s="141">
        <f>AVERAGE(AH4:AH15)</f>
        <v>73.044837434025609</v>
      </c>
      <c r="AI16" s="20"/>
      <c r="AJ16" s="18"/>
      <c r="AK16" s="3">
        <f>AVERAGE(AK4:AK15)</f>
        <v>4.4877777777777776</v>
      </c>
      <c r="AL16" s="3">
        <f>AVERAGE(AL4:AL15)</f>
        <v>24.581111111111113</v>
      </c>
      <c r="AM16" s="141">
        <f>AVERAGE(AM4:AM15)</f>
        <v>16.314316434197604</v>
      </c>
      <c r="AN16" s="141">
        <f>AVERAGE(AN4:AN15)</f>
        <v>89.359153868223203</v>
      </c>
      <c r="AO16" s="20"/>
      <c r="AP16" s="3"/>
      <c r="AQ16" s="3">
        <f>AVERAGE(AQ4:AQ15)</f>
        <v>4.5966666666666676</v>
      </c>
      <c r="AR16" s="3">
        <f>AVERAGE(AR4:AR15)</f>
        <v>29.177777777777781</v>
      </c>
      <c r="AS16" s="141">
        <f>AVERAGE(AS4:AS15)</f>
        <v>16.710157734160802</v>
      </c>
      <c r="AT16" s="141">
        <f>AVERAGE(AT4:AT15)</f>
        <v>106.06931160238402</v>
      </c>
      <c r="AU16" s="20"/>
      <c r="AV16" s="3"/>
      <c r="AW16" s="3">
        <f>AVERAGE(AW4:AW15)</f>
        <v>4.2533333333333339</v>
      </c>
      <c r="AX16" s="3">
        <f>AVERAGE(AX4:AX15)</f>
        <v>33.431111111111107</v>
      </c>
      <c r="AY16" s="141">
        <f>AVERAGE(AY4:AY15)</f>
        <v>15.462045880195202</v>
      </c>
      <c r="AZ16" s="141">
        <f>AVERAGE(AZ4:AZ15)</f>
        <v>121.53135748257922</v>
      </c>
      <c r="BA16" s="20"/>
      <c r="BB16" s="3"/>
      <c r="BC16" s="3">
        <f>AVERAGE(BC4:BC15)</f>
        <v>4.6344444444444486</v>
      </c>
      <c r="BD16" s="3">
        <f>AVERAGE(BD4:BD15)</f>
        <v>38.065555555555555</v>
      </c>
      <c r="BE16" s="141">
        <f>AVERAGE(BE4:BE15)</f>
        <v>16.847490430066411</v>
      </c>
      <c r="BF16" s="141">
        <f>AVERAGE(BF4:BF15)</f>
        <v>138.37884791264563</v>
      </c>
      <c r="BG16" s="20"/>
      <c r="BH16" s="3"/>
      <c r="BI16" s="3">
        <f>AVERAGE(BI4:BI15)</f>
        <v>4.3355555555555521</v>
      </c>
      <c r="BJ16" s="3">
        <f>AVERAGE(BJ4:BJ15)</f>
        <v>42.401111111111113</v>
      </c>
      <c r="BK16" s="141">
        <f>AVERAGE(BK4:BK15)</f>
        <v>15.760946453636787</v>
      </c>
      <c r="BL16" s="141">
        <f>AVERAGE(BL4:BL15)</f>
        <v>154.13979436628242</v>
      </c>
      <c r="BM16" s="20"/>
      <c r="BN16" s="3"/>
      <c r="BO16" s="3">
        <f>AVERAGE(BO4:BO15)</f>
        <v>4.6677777777777782</v>
      </c>
      <c r="BP16" s="3">
        <f>AVERAGE(BP4:BP15)</f>
        <v>47.068888888888893</v>
      </c>
      <c r="BQ16" s="141">
        <f>AVERAGE(BQ4:BQ15)</f>
        <v>16.968666338218402</v>
      </c>
      <c r="BR16" s="141">
        <f>AVERAGE(BR4:BR15)</f>
        <v>171.1084607045008</v>
      </c>
      <c r="BS16" s="20"/>
      <c r="BT16" s="3"/>
      <c r="BU16" s="3">
        <f>AVERAGE(BU4:BU15)</f>
        <v>4.8066666666666675</v>
      </c>
      <c r="BV16" s="3">
        <f>AVERAGE(BV4:BV15)</f>
        <v>51.875555555555565</v>
      </c>
      <c r="BW16" s="141">
        <f>AVERAGE(BW4:BW15)</f>
        <v>17.473565955518403</v>
      </c>
      <c r="BX16" s="141">
        <f>AVERAGE(BX4:BX15)</f>
        <v>188.58202666001924</v>
      </c>
      <c r="BY16" s="20"/>
      <c r="BZ16" s="3"/>
      <c r="CA16" s="3">
        <f t="shared" ref="CA16:CF16" si="239">AVERAGE(CA4:CA15)</f>
        <v>3.62666666666667</v>
      </c>
      <c r="CB16" s="173">
        <f t="shared" si="239"/>
        <v>2.5355555555555558</v>
      </c>
      <c r="CC16" s="173">
        <f t="shared" si="239"/>
        <v>6.1622222222222254</v>
      </c>
      <c r="CD16" s="3">
        <f t="shared" si="239"/>
        <v>58.037777777777784</v>
      </c>
      <c r="CE16" s="370">
        <f t="shared" si="239"/>
        <v>24.483094362493169</v>
      </c>
      <c r="CF16" s="141">
        <f t="shared" si="239"/>
        <v>213.06512102251241</v>
      </c>
      <c r="CG16" s="20"/>
      <c r="CH16" s="3"/>
      <c r="CI16" s="3">
        <f>AVERAGE(CI4:CI15)</f>
        <v>4.5988888888888901</v>
      </c>
      <c r="CJ16" s="3">
        <f>AVERAGE(CJ4:CJ15)</f>
        <v>62.636666666666684</v>
      </c>
      <c r="CK16" s="141">
        <f>AVERAGE(CK4:CK15)</f>
        <v>16.718236128037606</v>
      </c>
      <c r="CL16" s="141">
        <f>AVERAGE(CL4:CL15)</f>
        <v>229.78335715055002</v>
      </c>
      <c r="CM16" s="20"/>
      <c r="CN16" s="3"/>
      <c r="CO16" s="3">
        <f>AVERAGE(CO4:CO12)</f>
        <v>4.5577777777777824</v>
      </c>
      <c r="CP16" s="3">
        <f>AVERAGE(CP4:CP12)</f>
        <v>67.194444444444443</v>
      </c>
      <c r="CQ16" s="141">
        <f>AVERAGE(CQ4:CQ15)</f>
        <v>16.568785841316817</v>
      </c>
      <c r="CR16" s="141">
        <f>AVERAGE(CR4:CR15)</f>
        <v>246.3521429918668</v>
      </c>
      <c r="CS16" s="20"/>
      <c r="CT16" s="3"/>
      <c r="CU16" s="3">
        <f>AVERAGE(CU4:CU15)</f>
        <v>4.3333333333333348</v>
      </c>
      <c r="CV16" s="3">
        <f>AVERAGE(CV4:CV15)</f>
        <v>71.527777777777786</v>
      </c>
      <c r="CW16" s="141">
        <f>AVERAGE(CW4:CW15)</f>
        <v>15.752868059760008</v>
      </c>
      <c r="CX16" s="141">
        <f>AVERAGE(CX4:CX15)</f>
        <v>262.10501105162689</v>
      </c>
      <c r="CY16" s="20"/>
      <c r="CZ16" s="3"/>
      <c r="DA16" s="3">
        <f>AVERAGE(DA4:DA15)</f>
        <v>4.4655555555555555</v>
      </c>
      <c r="DB16" s="3">
        <f>AVERAGE(DB4:DB15)</f>
        <v>75.993333333333339</v>
      </c>
      <c r="DC16" s="141">
        <f>AVERAGE(DC4:DC15)</f>
        <v>16.2335324954296</v>
      </c>
      <c r="DD16" s="141">
        <f>AVERAGE(DD4:DD15)</f>
        <v>278.33854354705642</v>
      </c>
      <c r="DE16" s="20"/>
      <c r="DF16" s="3"/>
      <c r="DG16" s="3">
        <f>AVERAGE(DG4:DG15)</f>
        <v>4.7400000000000011</v>
      </c>
      <c r="DH16" s="3">
        <f>AVERAGE(DH4:DH15)</f>
        <v>80.733333333333348</v>
      </c>
      <c r="DI16" s="141">
        <f>AVERAGE(DI4:DI15)</f>
        <v>17.231214139214401</v>
      </c>
      <c r="DJ16" s="141">
        <f>AVERAGE(DJ4:DJ15)</f>
        <v>295.5697576862708</v>
      </c>
      <c r="DK16" s="20"/>
      <c r="DL16" s="3"/>
      <c r="DM16" s="3">
        <f>AVERAGE(DM4:DM15)</f>
        <v>5.2822222222222202</v>
      </c>
      <c r="DN16" s="3">
        <f>AVERAGE(DN4:DN15)</f>
        <v>86.015555555555551</v>
      </c>
      <c r="DO16" s="141">
        <f>AVERAGE(DO4:DO15)</f>
        <v>19.202342245153595</v>
      </c>
      <c r="DP16" s="141">
        <f>AVERAGE(DP4:DP15)</f>
        <v>314.77209993142441</v>
      </c>
      <c r="DQ16" s="329"/>
      <c r="DR16" s="3"/>
      <c r="DS16" s="3">
        <f>AVERAGE(DS4:DS15)</f>
        <v>4.1277777777777755</v>
      </c>
      <c r="DT16" s="3">
        <f>AVERAGE(DT4:DT15)</f>
        <v>90.143333333333345</v>
      </c>
      <c r="DU16" s="141">
        <f>AVERAGE(DU4:DU15)</f>
        <v>15.005616626155993</v>
      </c>
      <c r="DV16" s="141">
        <f>AVERAGE(DV4:DV15)</f>
        <v>329.77771655758045</v>
      </c>
      <c r="DW16" s="20"/>
      <c r="DX16" s="3"/>
      <c r="DY16" s="3">
        <f>AVERAGE(DY4:DY15)</f>
        <v>3.8499999999999974</v>
      </c>
      <c r="DZ16" s="3">
        <f>AVERAGE(DZ4:DZ15)</f>
        <v>93.993333333333339</v>
      </c>
      <c r="EA16" s="141">
        <f>AVERAGE(EA4:EA15)</f>
        <v>13.995817391555992</v>
      </c>
      <c r="EB16" s="169">
        <f>AVERAGE(EB4:EB15)</f>
        <v>343.77353394913638</v>
      </c>
    </row>
    <row r="17" spans="1:132">
      <c r="A17" s="16"/>
      <c r="B17" s="62"/>
      <c r="C17" s="17"/>
      <c r="D17" s="3"/>
      <c r="E17" s="3"/>
      <c r="F17" s="17"/>
      <c r="G17" s="20"/>
      <c r="H17" s="18"/>
      <c r="I17" s="3">
        <f>STDEV(I4:I15)/SQRT(COUNT(I4:I15))</f>
        <v>0.15658193137960749</v>
      </c>
      <c r="J17" s="19">
        <f>STDEV(J4:J15)/SQRT(COUNT(J4:J15))</f>
        <v>0.56921873205354345</v>
      </c>
      <c r="K17" s="20"/>
      <c r="L17" s="18"/>
      <c r="M17" s="3">
        <f>STDEV(M4:M15)/SQRT(COUNT(M4:M15))</f>
        <v>0.18993988652683616</v>
      </c>
      <c r="N17" s="3">
        <f>STDEV(N4:N15)/SQRT(COUNT(N4:N15))</f>
        <v>0.22433509437424629</v>
      </c>
      <c r="O17" s="3">
        <f t="shared" ref="O17:P17" si="240">STDEV(O4:O15)/SQRT(COUNT(O4:O15))</f>
        <v>0.69048414732532271</v>
      </c>
      <c r="P17" s="3">
        <f t="shared" si="240"/>
        <v>0.81552026373491771</v>
      </c>
      <c r="Q17" s="20"/>
      <c r="R17" s="18"/>
      <c r="S17" s="3">
        <f>STDEV(S4:S15)/SQRT(COUNT(S4:S15))</f>
        <v>0.21040818648111459</v>
      </c>
      <c r="T17" s="3">
        <f>STDEV(T4:T15)/SQRT(COUNT(T4:T15))</f>
        <v>0.33995279265593492</v>
      </c>
      <c r="U17" s="3">
        <f t="shared" ref="U17:V17" si="241">STDEV(U4:U15)/SQRT(COUNT(U4:U15))</f>
        <v>0.76489209238393441</v>
      </c>
      <c r="V17" s="3">
        <f t="shared" si="241"/>
        <v>1.2358226513667436</v>
      </c>
      <c r="W17" s="20"/>
      <c r="X17" s="18"/>
      <c r="Y17" s="3">
        <f>STDEV(Y4:Y15)/SQRT(COUNT(Y4:Y15))</f>
        <v>0.20219245812704453</v>
      </c>
      <c r="Z17" s="3">
        <f>STDEV(Z4:Z15)/SQRT(COUNT(Z4:Z15))</f>
        <v>0.44684317960610526</v>
      </c>
      <c r="AA17" s="3">
        <f t="shared" ref="AA17:AB17" si="242">STDEV(AA4:AA15)/SQRT(COUNT(AA4:AA15))</f>
        <v>0.73502564205088439</v>
      </c>
      <c r="AB17" s="3">
        <f t="shared" si="242"/>
        <v>1.6243988427089116</v>
      </c>
      <c r="AC17" s="20"/>
      <c r="AD17" s="18"/>
      <c r="AE17" s="3">
        <f>STDEV(AE4:AE15)/SQRT(COUNT(AE4:AE15))</f>
        <v>0.48231053978751409</v>
      </c>
      <c r="AF17" s="3">
        <f>STDEV(AF4:AF15)/SQRT(COUNT(AF4:AF15))</f>
        <v>0.69885819575774866</v>
      </c>
      <c r="AG17" s="3">
        <f t="shared" ref="AG17:AH17" si="243">STDEV(AG4:AG15)/SQRT(COUNT(AG4:AG15))</f>
        <v>1.7533325301009997</v>
      </c>
      <c r="AH17" s="3">
        <f t="shared" si="243"/>
        <v>2.5405432962124004</v>
      </c>
      <c r="AI17" s="20"/>
      <c r="AJ17" s="18"/>
      <c r="AK17" s="3">
        <f>STDEV(AK4:AK15)/SQRT(COUNT(AK4:AK15))</f>
        <v>0.31215548911194191</v>
      </c>
      <c r="AL17" s="3">
        <f>STDEV(AL4:AL15)/SQRT(COUNT(AL4:AL15))</f>
        <v>0.85972935735685496</v>
      </c>
      <c r="AM17" s="3">
        <f t="shared" ref="AM17:AN17" si="244">STDEV(AM4:AM15)/SQRT(COUNT(AM4:AM15))</f>
        <v>1.1347717463331377</v>
      </c>
      <c r="AN17" s="3">
        <f t="shared" si="244"/>
        <v>3.1253545692795659</v>
      </c>
      <c r="AO17" s="20"/>
      <c r="AP17" s="3"/>
      <c r="AQ17" s="3">
        <f>STDEV(AQ4:AQ15)/SQRT(COUNT(AQ4:AQ15))</f>
        <v>0.16295023098411929</v>
      </c>
      <c r="AR17" s="3">
        <f>STDEV(AR4:AR15)/SQRT(COUNT(AR4:AR15))</f>
        <v>0.92887892073332745</v>
      </c>
      <c r="AS17" s="3">
        <f t="shared" ref="AS17:AT17" si="245">STDEV(AS4:AS15)/SQRT(COUNT(AS4:AS15))</f>
        <v>0.59236926669236478</v>
      </c>
      <c r="AT17" s="3">
        <f t="shared" si="245"/>
        <v>3.3767324034933157</v>
      </c>
      <c r="AU17" s="20"/>
      <c r="AV17" s="3"/>
      <c r="AW17" s="3">
        <f>STDEV(AW4:AW15)/SQRT(COUNT(AW4:AW15))</f>
        <v>0.28362729848243534</v>
      </c>
      <c r="AX17" s="3">
        <f>STDEV(AX4:AX15)/SQRT(COUNT(AX4:AX15))</f>
        <v>1.0820549437226206</v>
      </c>
      <c r="AY17" s="3">
        <f t="shared" ref="AY17:AZ17" si="246">STDEV(AY4:AY15)/SQRT(COUNT(AY4:AY15))</f>
        <v>1.0310638641092225</v>
      </c>
      <c r="AZ17" s="3">
        <f t="shared" si="246"/>
        <v>3.9335697142784927</v>
      </c>
      <c r="BA17" s="20"/>
      <c r="BB17" s="3"/>
      <c r="BC17" s="3">
        <f>STDEV(BC4:BC15)/SQRT(COUNT(BC4:BC15))</f>
        <v>0.3269348861059122</v>
      </c>
      <c r="BD17" s="3">
        <f>STDEV(BD4:BD15)/SQRT(COUNT(BD4:BD15))</f>
        <v>1.3600001134713235</v>
      </c>
      <c r="BE17" s="3">
        <f t="shared" ref="BE17:BF17" si="247">STDEV(BE4:BE15)/SQRT(COUNT(BE4:BE15))</f>
        <v>1.1884989519136437</v>
      </c>
      <c r="BF17" s="3">
        <f t="shared" si="247"/>
        <v>4.9439774651012272</v>
      </c>
      <c r="BG17" s="20"/>
      <c r="BH17" s="3"/>
      <c r="BI17" s="3">
        <f>STDEV(BI4:BI15)/SQRT(COUNT(BI4:BI15))</f>
        <v>0.22234926923843021</v>
      </c>
      <c r="BJ17" s="3">
        <f>STDEV(BJ4:BJ15)/SQRT(COUNT(BJ4:BJ15))</f>
        <v>1.5127389108321567</v>
      </c>
      <c r="BK17" s="3">
        <f t="shared" ref="BK17:BL17" si="248">STDEV(BK4:BK15)/SQRT(COUNT(BK4:BK15))</f>
        <v>0.80830123880701199</v>
      </c>
      <c r="BL17" s="3">
        <f t="shared" si="248"/>
        <v>5.4992253395086754</v>
      </c>
      <c r="BM17" s="20"/>
      <c r="BN17" s="3"/>
      <c r="BO17" s="3">
        <f>STDEV(BO4:BO15)/SQRT(COUNT(BO4:BO15))</f>
        <v>0.2988904378315918</v>
      </c>
      <c r="BP17" s="3">
        <f>STDEV(BP4:BP15)/SQRT(COUNT(BP4:BP15))</f>
        <v>1.7228460339769647</v>
      </c>
      <c r="BQ17" s="3">
        <f t="shared" ref="BQ17:BR17" si="249">STDEV(BQ4:BQ15)/SQRT(COUNT(BQ4:BQ15))</f>
        <v>1.0865496072657608</v>
      </c>
      <c r="BR17" s="3">
        <f t="shared" si="249"/>
        <v>6.2630229831968336</v>
      </c>
      <c r="BS17" s="20"/>
      <c r="BT17" s="3"/>
      <c r="BU17" s="3">
        <f>STDEV(BU4:BU15)/SQRT(COUNT(BU4:BU15))</f>
        <v>0.34947182369334873</v>
      </c>
      <c r="BV17" s="3">
        <f>STDEV(BV4:BV15)/SQRT(COUNT(BV4:BV15))</f>
        <v>2.0032252543718174</v>
      </c>
      <c r="BW17" s="3">
        <f t="shared" ref="BW17:BX17" si="250">STDEV(BW4:BW15)/SQRT(COUNT(BW4:BW15))</f>
        <v>1.2704269682873128</v>
      </c>
      <c r="BX17" s="3">
        <f t="shared" si="250"/>
        <v>7.2822791829457332</v>
      </c>
      <c r="BY17" s="20"/>
      <c r="BZ17" s="3"/>
      <c r="CA17" s="3">
        <f>STDEV(CA4:CA15)/SQRT(COUNT(CA4:CA15))</f>
        <v>0.35810457814567082</v>
      </c>
      <c r="CB17" s="173">
        <f t="shared" ref="CB17:CC17" si="251">STDEV(CB4:CB15)/SQRT(COUNT(CB4:CB15))</f>
        <v>0.47578914304760622</v>
      </c>
      <c r="CC17" s="173">
        <f t="shared" si="251"/>
        <v>0.39856261803363618</v>
      </c>
      <c r="CD17" s="3">
        <f>STDEV(CD4:CD15)/SQRT(COUNT(CD4:CD15))</f>
        <v>2.2618114531018501</v>
      </c>
      <c r="CE17" s="173">
        <f t="shared" ref="CE17:CF17" si="252">STDEV(CE4:CE15)/SQRT(COUNT(CE4:CE15))</f>
        <v>1.7857590812049027</v>
      </c>
      <c r="CF17" s="3">
        <f t="shared" si="252"/>
        <v>8.3092064457527766</v>
      </c>
      <c r="CG17" s="20"/>
      <c r="CH17" s="3"/>
      <c r="CI17" s="3">
        <f>STDEV(CI4:CI15)/SQRT(COUNT(CI4:CI15))</f>
        <v>0.37169822154704413</v>
      </c>
      <c r="CJ17" s="3">
        <f>STDEV(CJ4:CJ15)/SQRT(COUNT(CJ4:CJ15))</f>
        <v>2.5597026737059942</v>
      </c>
      <c r="CK17" s="3">
        <f t="shared" ref="CK17:CL17" si="253">STDEV(CK4:CK15)/SQRT(COUNT(CK4:CK15))</f>
        <v>1.3512260866333925</v>
      </c>
      <c r="CL17" s="3">
        <f t="shared" si="253"/>
        <v>9.3889462213467283</v>
      </c>
      <c r="CM17" s="20"/>
      <c r="CN17" s="3"/>
      <c r="CO17" s="3">
        <f>STDEV(CO4:CO12)/SQRT(COUNT(CO4:CO12))</f>
        <v>0.24114759068634206</v>
      </c>
      <c r="CP17" s="3">
        <f>STDEV(CP4:CP12)/SQRT(COUNT(CP4:CP12))</f>
        <v>2.5104543143020361</v>
      </c>
      <c r="CQ17" s="3">
        <f t="shared" ref="CQ17:CR17" si="254">STDEV(CQ4:CQ15)/SQRT(COUNT(CQ4:CQ15))</f>
        <v>0.87663834900252591</v>
      </c>
      <c r="CR17" s="3">
        <f t="shared" si="254"/>
        <v>9.2184281482264812</v>
      </c>
      <c r="CS17" s="20"/>
      <c r="CT17" s="3"/>
      <c r="CU17" s="3">
        <f>STDEV(CU4:CU15)/SQRT(COUNT(CU4:CU15))</f>
        <v>0.22477148889977508</v>
      </c>
      <c r="CV17" s="3">
        <f>STDEV(CV4:CV15)/SQRT(COUNT(CV4:CV15))</f>
        <v>2.6488193270135283</v>
      </c>
      <c r="CW17" s="3">
        <f t="shared" ref="CW17:CX17" si="255">STDEV(CW4:CW15)/SQRT(COUNT(CW4:CW15))</f>
        <v>0.8171066788232193</v>
      </c>
      <c r="CX17" s="3">
        <f t="shared" si="255"/>
        <v>9.7262710166784014</v>
      </c>
      <c r="CY17" s="20"/>
      <c r="CZ17" s="3"/>
      <c r="DA17" s="3">
        <f>STDEV(DA4:DA15)/SQRT(COUNT(DA4:DA15))</f>
        <v>0.23231391066059623</v>
      </c>
      <c r="DB17" s="3">
        <f>STDEV(DB4:DB15)/SQRT(COUNT(DB4:DB15))</f>
        <v>2.793490449042014</v>
      </c>
      <c r="DC17" s="3">
        <f t="shared" ref="DC17:DD17" si="256">STDEV(DC4:DC15)/SQRT(COUNT(DC4:DC15))</f>
        <v>0.84452547301921488</v>
      </c>
      <c r="DD17" s="3">
        <f t="shared" si="256"/>
        <v>10.256476154766565</v>
      </c>
      <c r="DE17" s="20"/>
      <c r="DF17" s="3"/>
      <c r="DG17" s="3">
        <f>STDEV(DG4:DG15)/SQRT(COUNT(DG4:DG15))</f>
        <v>0.31690342026834989</v>
      </c>
      <c r="DH17" s="3">
        <f>STDEV(DH4:DH15)/SQRT(COUNT(DH4:DH15))</f>
        <v>2.7515954967577936</v>
      </c>
      <c r="DI17" s="3">
        <f t="shared" ref="DI17:DJ17" si="257">STDEV(DI4:DI15)/SQRT(COUNT(DI4:DI15))</f>
        <v>1.1520317924247727</v>
      </c>
      <c r="DJ17" s="3">
        <f t="shared" si="257"/>
        <v>10.113776586130431</v>
      </c>
      <c r="DK17" s="20"/>
      <c r="DL17" s="3"/>
      <c r="DM17" s="3">
        <f>STDEV(DM4:DM15)/SQRT(COUNT(DM4:DM15))</f>
        <v>0.37023932866974912</v>
      </c>
      <c r="DN17" s="3">
        <f>STDEV(DN4:DN15)/SQRT(COUNT(DN4:DN15))</f>
        <v>2.9993522963351342</v>
      </c>
      <c r="DO17" s="3">
        <f t="shared" ref="DO17:DP17" si="258">STDEV(DO4:DO15)/SQRT(COUNT(DO4:DO15))</f>
        <v>1.3459226065543071</v>
      </c>
      <c r="DP17" s="3">
        <f t="shared" si="258"/>
        <v>10.989325622807277</v>
      </c>
      <c r="DQ17" s="329"/>
      <c r="DR17" s="3"/>
      <c r="DS17" s="3">
        <f>STDEV(DS4:DS15)/SQRT(COUNT(DS4:DS15))</f>
        <v>0.32914357631155527</v>
      </c>
      <c r="DT17" s="3">
        <f>STDEV(DT4:DT15)/SQRT(COUNT(DT4:DT15))</f>
        <v>3.1387820532457744</v>
      </c>
      <c r="DU17" s="3">
        <f t="shared" ref="DU17:DV17" si="259">STDEV(DU4:DU15)/SQRT(COUNT(DU4:DU15))</f>
        <v>1.1965281531584926</v>
      </c>
      <c r="DV17" s="3">
        <f t="shared" si="259"/>
        <v>11.490612028326103</v>
      </c>
      <c r="DW17" s="20"/>
      <c r="DX17" s="3"/>
      <c r="DY17" s="3">
        <f>STDEV(DY4:DY15)/SQRT(COUNT(DY4:DY15))</f>
        <v>0.32017790193717133</v>
      </c>
      <c r="DZ17" s="3">
        <f>STDEV(DZ4:DZ15)/SQRT(COUNT(DZ4:DZ15))</f>
        <v>3.3243558273245419</v>
      </c>
      <c r="EA17" s="3">
        <f t="shared" ref="EA17:EB17" si="260">STDEV(EA4:EA15)/SQRT(COUNT(EA4:EA15))</f>
        <v>1.1639354411231566</v>
      </c>
      <c r="EB17" s="19">
        <f t="shared" si="260"/>
        <v>12.174855948376582</v>
      </c>
    </row>
    <row r="18" spans="1:132">
      <c r="A18" s="21"/>
      <c r="B18" s="65"/>
      <c r="C18" s="23"/>
      <c r="D18" s="24"/>
      <c r="E18" s="24"/>
      <c r="F18" s="25"/>
      <c r="G18" s="29"/>
      <c r="H18" s="26"/>
      <c r="I18" s="22"/>
      <c r="J18" s="170"/>
      <c r="K18" s="29"/>
      <c r="L18" s="24"/>
      <c r="M18" s="22"/>
      <c r="N18" s="22"/>
      <c r="O18" s="170"/>
      <c r="P18" s="170"/>
      <c r="Q18" s="29"/>
      <c r="R18" s="24"/>
      <c r="S18" s="22"/>
      <c r="T18" s="22"/>
      <c r="U18" s="170"/>
      <c r="V18" s="170"/>
      <c r="W18" s="29"/>
      <c r="X18" s="24"/>
      <c r="Y18" s="22"/>
      <c r="Z18" s="22"/>
      <c r="AA18" s="170"/>
      <c r="AB18" s="170"/>
      <c r="AC18" s="29"/>
      <c r="AD18" s="24"/>
      <c r="AE18" s="22"/>
      <c r="AF18" s="22"/>
      <c r="AG18" s="170"/>
      <c r="AH18" s="170"/>
      <c r="AI18" s="29"/>
      <c r="AJ18" s="24"/>
      <c r="AK18" s="22"/>
      <c r="AL18" s="22"/>
      <c r="AM18" s="170"/>
      <c r="AN18" s="170"/>
      <c r="AO18" s="29"/>
      <c r="AP18" s="24"/>
      <c r="AQ18" s="22"/>
      <c r="AR18" s="22"/>
      <c r="AS18" s="170"/>
      <c r="AT18" s="170"/>
      <c r="AU18" s="29"/>
      <c r="AV18" s="26"/>
      <c r="AW18" s="22"/>
      <c r="AX18" s="22"/>
      <c r="AY18" s="170"/>
      <c r="AZ18" s="170"/>
      <c r="BA18" s="29"/>
      <c r="BB18" s="24"/>
      <c r="BC18" s="22"/>
      <c r="BD18" s="22"/>
      <c r="BE18" s="170"/>
      <c r="BF18" s="170"/>
      <c r="BG18" s="29"/>
      <c r="BH18" s="24"/>
      <c r="BI18" s="22"/>
      <c r="BJ18" s="22"/>
      <c r="BK18" s="170"/>
      <c r="BL18" s="170"/>
      <c r="BM18" s="29"/>
      <c r="BN18" s="24"/>
      <c r="BO18" s="22"/>
      <c r="BP18" s="22"/>
      <c r="BQ18" s="170"/>
      <c r="BR18" s="170"/>
      <c r="BS18" s="29"/>
      <c r="BT18" s="24"/>
      <c r="BU18" s="22"/>
      <c r="BV18" s="22"/>
      <c r="BW18" s="170"/>
      <c r="BX18" s="170"/>
      <c r="BY18" s="29"/>
      <c r="BZ18" s="24"/>
      <c r="CA18" s="22"/>
      <c r="CB18" s="177"/>
      <c r="CC18" s="177"/>
      <c r="CD18" s="22"/>
      <c r="CE18" s="170"/>
      <c r="CF18" s="170"/>
      <c r="CG18" s="29"/>
      <c r="CH18" s="24"/>
      <c r="CI18" s="22"/>
      <c r="CJ18" s="22"/>
      <c r="CK18" s="170"/>
      <c r="CL18" s="170"/>
      <c r="CM18" s="29"/>
      <c r="CN18" s="26"/>
      <c r="CO18" s="22"/>
      <c r="CP18" s="22"/>
      <c r="CQ18" s="170"/>
      <c r="CR18" s="170"/>
      <c r="CS18" s="29"/>
      <c r="CT18" s="24"/>
      <c r="CU18" s="22"/>
      <c r="CV18" s="22"/>
      <c r="CW18" s="170"/>
      <c r="CX18" s="170"/>
      <c r="CY18" s="29"/>
      <c r="CZ18" s="24"/>
      <c r="DA18" s="22"/>
      <c r="DB18" s="22"/>
      <c r="DC18" s="170"/>
      <c r="DD18" s="170"/>
      <c r="DE18" s="29"/>
      <c r="DF18" s="24"/>
      <c r="DG18" s="22"/>
      <c r="DH18" s="22"/>
      <c r="DI18" s="170"/>
      <c r="DJ18" s="170"/>
      <c r="DK18" s="29"/>
      <c r="DL18" s="24"/>
      <c r="DM18" s="22"/>
      <c r="DN18" s="22"/>
      <c r="DO18" s="170"/>
      <c r="DP18" s="170"/>
      <c r="DQ18" s="330"/>
      <c r="DR18" s="24"/>
      <c r="DS18" s="22"/>
      <c r="DT18" s="22"/>
      <c r="DU18" s="170"/>
      <c r="DV18" s="170"/>
      <c r="DW18" s="29"/>
      <c r="DX18" s="24"/>
      <c r="DY18" s="22"/>
      <c r="DZ18" s="22"/>
      <c r="EA18" s="170"/>
      <c r="EB18" s="180"/>
    </row>
    <row r="19" spans="1:132">
      <c r="A19" s="9" t="s">
        <v>373</v>
      </c>
      <c r="B19" s="116" t="s">
        <v>374</v>
      </c>
      <c r="C19" s="142">
        <v>42549</v>
      </c>
      <c r="D19" s="12" t="s">
        <v>22</v>
      </c>
      <c r="E19" s="10" t="s">
        <v>284</v>
      </c>
      <c r="F19" s="11">
        <v>42587</v>
      </c>
      <c r="G19" s="15">
        <v>246.71</v>
      </c>
      <c r="H19" s="13">
        <v>242.4</v>
      </c>
      <c r="I19" s="10">
        <f t="shared" ref="I19" si="261">G19-H19</f>
        <v>4.3100000000000023</v>
      </c>
      <c r="J19" s="168">
        <f>I19*$T$1</f>
        <v>15.668044924053609</v>
      </c>
      <c r="K19" s="15">
        <v>251.44</v>
      </c>
      <c r="L19" s="10">
        <v>246.97</v>
      </c>
      <c r="M19" s="10">
        <f>K19-L19</f>
        <v>4.4699999999999989</v>
      </c>
      <c r="N19" s="10">
        <f>I19+M19</f>
        <v>8.7800000000000011</v>
      </c>
      <c r="O19" s="168">
        <f>M19*$T$1</f>
        <v>16.249689283183198</v>
      </c>
      <c r="P19" s="168">
        <f>J19+O19</f>
        <v>31.917734207236805</v>
      </c>
      <c r="Q19" s="15">
        <v>261.93</v>
      </c>
      <c r="R19" s="10">
        <v>257.25</v>
      </c>
      <c r="S19" s="10">
        <f>Q19-R19</f>
        <v>4.6800000000000068</v>
      </c>
      <c r="T19" s="10">
        <f>N19+S19</f>
        <v>13.460000000000008</v>
      </c>
      <c r="U19" s="168">
        <f>S19*$T$1</f>
        <v>17.013097504540827</v>
      </c>
      <c r="V19" s="168">
        <f>P19+U19</f>
        <v>48.930831711777628</v>
      </c>
      <c r="W19" s="15">
        <v>262.14</v>
      </c>
      <c r="X19" s="10">
        <v>257.17</v>
      </c>
      <c r="Y19" s="10">
        <f>W19-X19</f>
        <v>4.9699999999999704</v>
      </c>
      <c r="Z19" s="10">
        <f>T19+Y19</f>
        <v>18.429999999999978</v>
      </c>
      <c r="AA19" s="168">
        <f>Y19*$T$1</f>
        <v>18.067327905463092</v>
      </c>
      <c r="AB19" s="168">
        <f>V19+AA19</f>
        <v>66.998159617240717</v>
      </c>
      <c r="AC19" s="15">
        <v>259.08999999999997</v>
      </c>
      <c r="AD19" s="10">
        <v>253.88</v>
      </c>
      <c r="AE19" s="10">
        <f>AC19-AD19</f>
        <v>5.2099999999999795</v>
      </c>
      <c r="AF19" s="10">
        <f>Z19+AE19</f>
        <v>23.639999999999958</v>
      </c>
      <c r="AG19" s="168">
        <f>AE19*$T$1</f>
        <v>18.939794444157528</v>
      </c>
      <c r="AH19" s="168">
        <f>AB19+AG19</f>
        <v>85.937954061398244</v>
      </c>
      <c r="AI19" s="15">
        <v>278.95</v>
      </c>
      <c r="AJ19" s="10">
        <v>271.82</v>
      </c>
      <c r="AK19" s="10">
        <f t="shared" ref="AK19" si="262">AI19-AJ19</f>
        <v>7.1299999999999955</v>
      </c>
      <c r="AL19" s="10">
        <f t="shared" ref="AL19" si="263">AF19+AK19</f>
        <v>30.769999999999953</v>
      </c>
      <c r="AM19" s="168">
        <f>AK19*$T$1</f>
        <v>25.919526753712784</v>
      </c>
      <c r="AN19" s="168">
        <f>AH19+AM19</f>
        <v>111.85748081511103</v>
      </c>
      <c r="AO19" s="15">
        <v>271.55</v>
      </c>
      <c r="AP19" s="10">
        <v>265.31</v>
      </c>
      <c r="AQ19" s="10">
        <f>AO19-AP19</f>
        <v>6.2400000000000091</v>
      </c>
      <c r="AR19" s="10">
        <f>AL19+AQ19</f>
        <v>37.009999999999962</v>
      </c>
      <c r="AS19" s="168">
        <f>AQ19*$T$1</f>
        <v>22.684130006054435</v>
      </c>
      <c r="AT19" s="168">
        <f>AN19+AS19</f>
        <v>134.54161082116548</v>
      </c>
      <c r="AU19" s="15">
        <v>282.31</v>
      </c>
      <c r="AV19" s="13">
        <v>276.88</v>
      </c>
      <c r="AW19" s="152">
        <v>4.09</v>
      </c>
      <c r="AX19" s="10">
        <f>AR19+AW19</f>
        <v>41.099999999999966</v>
      </c>
      <c r="AY19" s="168">
        <f>AW19*$T$1</f>
        <v>14.868283930250399</v>
      </c>
      <c r="AZ19" s="168">
        <f>AT19+AY19</f>
        <v>149.40989475141589</v>
      </c>
      <c r="BA19" s="15">
        <v>276.58</v>
      </c>
      <c r="BB19" s="10">
        <v>271.20999999999998</v>
      </c>
      <c r="BC19" s="152">
        <v>4.03</v>
      </c>
      <c r="BD19" s="10">
        <f>AX19+BC19</f>
        <v>45.129999999999967</v>
      </c>
      <c r="BE19" s="168">
        <f>BC19*$T$1</f>
        <v>14.650167295576802</v>
      </c>
      <c r="BF19" s="168">
        <f>AZ19+BE19</f>
        <v>164.0600620469927</v>
      </c>
      <c r="BG19" s="15">
        <v>282.63</v>
      </c>
      <c r="BH19" s="10">
        <v>276.64</v>
      </c>
      <c r="BI19" s="152">
        <v>4.6500000000000004</v>
      </c>
      <c r="BJ19" s="10">
        <f>BD19+BI19</f>
        <v>49.779999999999966</v>
      </c>
      <c r="BK19" s="168">
        <f>BI19*$T$1</f>
        <v>16.904039187204003</v>
      </c>
      <c r="BL19" s="168">
        <f>BF19+BK19</f>
        <v>180.9641012341967</v>
      </c>
      <c r="BM19" s="15">
        <v>277.73</v>
      </c>
      <c r="BN19" s="10">
        <v>272.64999999999998</v>
      </c>
      <c r="BO19" s="152">
        <v>3.74</v>
      </c>
      <c r="BP19" s="10">
        <f>BJ19+BO19</f>
        <v>53.519999999999968</v>
      </c>
      <c r="BQ19" s="168">
        <f>BO19*$T$1</f>
        <v>13.5959368946544</v>
      </c>
      <c r="BR19" s="168">
        <f>BL19+BQ19</f>
        <v>194.56003812885109</v>
      </c>
      <c r="BS19" s="15">
        <v>285.20999999999998</v>
      </c>
      <c r="BT19" s="10">
        <v>279.69</v>
      </c>
      <c r="BU19" s="152">
        <v>4.18</v>
      </c>
      <c r="BV19" s="10">
        <f>BP19+BU19</f>
        <v>57.699999999999967</v>
      </c>
      <c r="BW19" s="168">
        <f>BU19*$T$1</f>
        <v>15.1954588822608</v>
      </c>
      <c r="BX19" s="168">
        <f>BR19+BW19</f>
        <v>209.75549701111188</v>
      </c>
      <c r="BY19" s="15">
        <v>293.58</v>
      </c>
      <c r="BZ19" s="10">
        <v>289.61</v>
      </c>
      <c r="CA19" s="152">
        <v>2.63</v>
      </c>
      <c r="CB19" s="172">
        <v>1.68</v>
      </c>
      <c r="CC19" s="172">
        <f>CA19+CB19</f>
        <v>4.3099999999999996</v>
      </c>
      <c r="CD19" s="10">
        <f>BV19+CC19</f>
        <v>62.00999999999997</v>
      </c>
      <c r="CE19" s="369">
        <f>(CA19*$T$1)+7.5068</f>
        <v>17.067579153192803</v>
      </c>
      <c r="CF19" s="168">
        <f>BX19+CE19</f>
        <v>226.82307616430469</v>
      </c>
      <c r="CG19" s="15">
        <v>287.32</v>
      </c>
      <c r="CH19" s="152">
        <v>281.14999999999998</v>
      </c>
      <c r="CI19" s="152">
        <v>4.83</v>
      </c>
      <c r="CJ19" s="152">
        <f>CD19+CI19</f>
        <v>66.839999999999975</v>
      </c>
      <c r="CK19" s="168">
        <f>CI19*$T$1</f>
        <v>17.5583890912248</v>
      </c>
      <c r="CL19" s="168">
        <f>CF19+CK19</f>
        <v>244.38146525552949</v>
      </c>
      <c r="CM19" s="15">
        <v>286.49</v>
      </c>
      <c r="CN19" s="13">
        <v>281.52</v>
      </c>
      <c r="CO19" s="152">
        <v>3.71</v>
      </c>
      <c r="CP19" s="10">
        <f>CJ19+CO19</f>
        <v>70.549999999999969</v>
      </c>
      <c r="CQ19" s="168">
        <f>CO19*$T$1</f>
        <v>13.486878577317601</v>
      </c>
      <c r="CR19" s="168">
        <f>CL19+CQ19</f>
        <v>257.86834383284707</v>
      </c>
      <c r="CS19" s="15">
        <v>286.39999999999998</v>
      </c>
      <c r="CT19" s="10">
        <v>280.08</v>
      </c>
      <c r="CU19" s="152">
        <f>CS19-CT19</f>
        <v>6.3199999999999932</v>
      </c>
      <c r="CV19" s="10">
        <f>CP19+CU19</f>
        <v>76.869999999999962</v>
      </c>
      <c r="CW19" s="168">
        <f>CU19*$T$1</f>
        <v>22.974952185619177</v>
      </c>
      <c r="CX19" s="168">
        <f>CR19+CW19</f>
        <v>280.84329601846628</v>
      </c>
      <c r="CY19" s="15">
        <v>285.55</v>
      </c>
      <c r="CZ19" s="10">
        <v>279.56</v>
      </c>
      <c r="DA19" s="152">
        <v>4.7300000000000004</v>
      </c>
      <c r="DB19" s="10">
        <f>CV19+DA19</f>
        <v>81.599999999999966</v>
      </c>
      <c r="DC19" s="168">
        <f>DA19*$T$1</f>
        <v>17.194861366768802</v>
      </c>
      <c r="DD19" s="168">
        <f>CX19+DC19</f>
        <v>298.03815738523508</v>
      </c>
      <c r="DE19" s="15">
        <v>283.26</v>
      </c>
      <c r="DF19" s="10">
        <v>277.41000000000003</v>
      </c>
      <c r="DG19" s="152">
        <f t="shared" ref="DG19:DG23" si="264">DE19-DF19</f>
        <v>5.8499999999999659</v>
      </c>
      <c r="DH19" s="10">
        <f>DB19+DG19</f>
        <v>87.449999999999932</v>
      </c>
      <c r="DI19" s="168">
        <f>DG19*$T$1</f>
        <v>21.266371880675877</v>
      </c>
      <c r="DJ19" s="168">
        <f>DD19+DI19</f>
        <v>319.30452926591096</v>
      </c>
      <c r="DK19" s="15">
        <v>282</v>
      </c>
      <c r="DL19" s="10">
        <v>276.16000000000003</v>
      </c>
      <c r="DM19" s="152">
        <v>4.58</v>
      </c>
      <c r="DN19" s="10">
        <f>DH19+DM19</f>
        <v>92.02999999999993</v>
      </c>
      <c r="DO19" s="168">
        <f>DM19*$T$1</f>
        <v>16.6495697800848</v>
      </c>
      <c r="DP19" s="168">
        <f>DJ19+DO19</f>
        <v>335.95409904599575</v>
      </c>
      <c r="DQ19" s="202">
        <v>281.17</v>
      </c>
      <c r="DR19" s="10">
        <v>276.37</v>
      </c>
      <c r="DS19" s="152">
        <v>3.54</v>
      </c>
      <c r="DT19" s="10">
        <f>DN19+DS19</f>
        <v>95.569999999999936</v>
      </c>
      <c r="DU19" s="168">
        <f t="shared" ref="DU19:DU24" si="265">DS19*$T$1</f>
        <v>12.868881445742401</v>
      </c>
      <c r="DV19" s="168">
        <f>DP19+DU19</f>
        <v>348.82298049173812</v>
      </c>
      <c r="DW19" s="15">
        <v>282.24</v>
      </c>
      <c r="DX19" s="10">
        <v>277.64</v>
      </c>
      <c r="DY19" s="152">
        <v>3.35</v>
      </c>
      <c r="DZ19" s="10">
        <f>DT19+DY19</f>
        <v>98.919999999999931</v>
      </c>
      <c r="EA19" s="168">
        <f>DY19*$T$1</f>
        <v>12.178178769276</v>
      </c>
      <c r="EB19" s="179">
        <f>DV19+EA19</f>
        <v>361.0011592610141</v>
      </c>
    </row>
    <row r="20" spans="1:132">
      <c r="A20" s="9" t="s">
        <v>375</v>
      </c>
      <c r="B20" s="116" t="s">
        <v>376</v>
      </c>
      <c r="C20" s="142">
        <v>42529</v>
      </c>
      <c r="D20" s="12" t="s">
        <v>22</v>
      </c>
      <c r="E20" s="10" t="s">
        <v>284</v>
      </c>
      <c r="F20" s="11" t="s">
        <v>271</v>
      </c>
      <c r="G20" s="15">
        <v>261.10000000000002</v>
      </c>
      <c r="H20" s="13">
        <v>257.08</v>
      </c>
      <c r="I20" s="10">
        <f t="shared" ref="I20:I21" si="266">G20-H20</f>
        <v>4.0200000000000387</v>
      </c>
      <c r="J20" s="168">
        <f t="shared" ref="J20:J21" si="267">I20*$T$1</f>
        <v>14.613814523131341</v>
      </c>
      <c r="K20" s="15">
        <v>267.32</v>
      </c>
      <c r="L20" s="10">
        <v>262.61</v>
      </c>
      <c r="M20" s="10">
        <f t="shared" ref="M20:M21" si="268">K20-L20</f>
        <v>4.7099999999999795</v>
      </c>
      <c r="N20" s="10">
        <f t="shared" ref="N20:N21" si="269">I20+M20</f>
        <v>8.7300000000000182</v>
      </c>
      <c r="O20" s="168">
        <f t="shared" ref="O20:O21" si="270">M20*$T$1</f>
        <v>17.122155821877527</v>
      </c>
      <c r="P20" s="168">
        <f t="shared" ref="P20:P21" si="271">J20+O20</f>
        <v>31.735970345008866</v>
      </c>
      <c r="Q20" s="15">
        <v>273.98</v>
      </c>
      <c r="R20" s="10">
        <v>268.72000000000003</v>
      </c>
      <c r="S20" s="10">
        <f t="shared" ref="S20:S21" si="272">Q20-R20</f>
        <v>5.2599999999999909</v>
      </c>
      <c r="T20" s="10">
        <f t="shared" ref="T20:T21" si="273">N20+S20</f>
        <v>13.990000000000009</v>
      </c>
      <c r="U20" s="168">
        <f t="shared" ref="U20:U21" si="274">S20*$T$1</f>
        <v>19.121558306385566</v>
      </c>
      <c r="V20" s="168">
        <f t="shared" ref="V20:V21" si="275">P20+U20</f>
        <v>50.857528651394432</v>
      </c>
      <c r="W20" s="15">
        <v>276.20999999999998</v>
      </c>
      <c r="X20" s="10">
        <v>271.26</v>
      </c>
      <c r="Y20" s="10">
        <f t="shared" ref="Y20:Y21" si="276">W20-X20</f>
        <v>4.9499999999999886</v>
      </c>
      <c r="Z20" s="10">
        <f t="shared" ref="Z20:Z21" si="277">T20+Y20</f>
        <v>18.939999999999998</v>
      </c>
      <c r="AA20" s="168">
        <f t="shared" ref="AA20:AA21" si="278">Y20*$T$1</f>
        <v>17.99462236057196</v>
      </c>
      <c r="AB20" s="168">
        <f t="shared" ref="AB20:AB21" si="279">V20+AA20</f>
        <v>68.852151011966384</v>
      </c>
      <c r="AC20" s="15">
        <v>280.79000000000002</v>
      </c>
      <c r="AD20" s="10">
        <v>276.43</v>
      </c>
      <c r="AE20" s="10">
        <f t="shared" ref="AE20:AE21" si="280">AC20-AD20</f>
        <v>4.3600000000000136</v>
      </c>
      <c r="AF20" s="10">
        <f t="shared" ref="AF20:AF21" si="281">Z20+AE20</f>
        <v>23.300000000000011</v>
      </c>
      <c r="AG20" s="168">
        <f t="shared" ref="AG20:AG21" si="282">AE20*$T$1</f>
        <v>15.849808786281651</v>
      </c>
      <c r="AH20" s="168">
        <f t="shared" ref="AH20:AH21" si="283">AB20+AG20</f>
        <v>84.701959798248041</v>
      </c>
      <c r="AI20" s="15">
        <v>279.70999999999998</v>
      </c>
      <c r="AJ20" s="10">
        <v>275.16000000000003</v>
      </c>
      <c r="AK20" s="10">
        <f t="shared" ref="AK20:AK21" si="284">AI20-AJ20</f>
        <v>4.5499999999999545</v>
      </c>
      <c r="AL20" s="10">
        <f t="shared" ref="AL20:AL21" si="285">AF20+AK20</f>
        <v>27.849999999999966</v>
      </c>
      <c r="AM20" s="168">
        <f t="shared" ref="AM20:AM21" si="286">AK20*$T$1</f>
        <v>16.540511462747837</v>
      </c>
      <c r="AN20" s="168">
        <f t="shared" ref="AN20:AN21" si="287">AH20+AM20</f>
        <v>101.24247126099587</v>
      </c>
      <c r="AO20" s="15">
        <v>281.54000000000002</v>
      </c>
      <c r="AP20" s="10">
        <v>276.72000000000003</v>
      </c>
      <c r="AQ20" s="10">
        <f t="shared" ref="AQ20:AQ21" si="288">AO20-AP20</f>
        <v>4.8199999999999932</v>
      </c>
      <c r="AR20" s="10">
        <f t="shared" ref="AR20:AR21" si="289">AL20+AQ20</f>
        <v>32.669999999999959</v>
      </c>
      <c r="AS20" s="168">
        <f t="shared" ref="AS20:AS21" si="290">AQ20*$T$1</f>
        <v>17.522036318779175</v>
      </c>
      <c r="AT20" s="168">
        <f t="shared" ref="AT20:AT21" si="291">AN20+AS20</f>
        <v>118.76450757977504</v>
      </c>
      <c r="AU20" s="15">
        <v>286.23</v>
      </c>
      <c r="AV20" s="13">
        <v>282.33</v>
      </c>
      <c r="AW20" s="10">
        <v>5.09</v>
      </c>
      <c r="AX20" s="10">
        <f t="shared" ref="AX20:AX21" si="292">AR20+AW20</f>
        <v>37.759999999999962</v>
      </c>
      <c r="AY20" s="168">
        <f t="shared" ref="AY20:AY21" si="293">AW20*$T$1</f>
        <v>18.5035611748104</v>
      </c>
      <c r="AZ20" s="168">
        <f t="shared" ref="AZ20:AZ21" si="294">AT20+AY20</f>
        <v>137.26806875458544</v>
      </c>
      <c r="BA20" s="15">
        <v>283.67</v>
      </c>
      <c r="BB20" s="10">
        <v>279.2</v>
      </c>
      <c r="BC20" s="10">
        <f t="shared" ref="BC20:BC21" si="295">BA20-BB20</f>
        <v>4.4700000000000273</v>
      </c>
      <c r="BD20" s="10">
        <f t="shared" ref="BD20:BD21" si="296">AX20+BC20</f>
        <v>42.22999999999999</v>
      </c>
      <c r="BE20" s="168">
        <f t="shared" ref="BE20:BE21" si="297">BC20*$T$1</f>
        <v>16.249689283183301</v>
      </c>
      <c r="BF20" s="168">
        <f t="shared" ref="BF20:BF21" si="298">AZ20+BE20</f>
        <v>153.51775803776874</v>
      </c>
      <c r="BG20" s="15">
        <v>281.86</v>
      </c>
      <c r="BH20" s="10">
        <v>277.35000000000002</v>
      </c>
      <c r="BI20" s="10">
        <f>BG20-BH20</f>
        <v>4.5099999999999909</v>
      </c>
      <c r="BJ20" s="10">
        <f t="shared" ref="BJ20:BJ21" si="299">BD20+BI20</f>
        <v>46.739999999999981</v>
      </c>
      <c r="BK20" s="168">
        <f t="shared" ref="BK20:BK21" si="300">BI20*$T$1</f>
        <v>16.395100372965569</v>
      </c>
      <c r="BL20" s="168">
        <f t="shared" ref="BL20:BL21" si="301">BF20+BK20</f>
        <v>169.91285841073432</v>
      </c>
      <c r="BM20" s="15">
        <v>280.29000000000002</v>
      </c>
      <c r="BN20" s="10">
        <v>275.77</v>
      </c>
      <c r="BO20" s="10">
        <f>BM20-BN20</f>
        <v>4.5200000000000387</v>
      </c>
      <c r="BP20" s="10">
        <f t="shared" ref="BP20" si="302">BJ20+BO20</f>
        <v>51.260000000000019</v>
      </c>
      <c r="BQ20" s="168">
        <f t="shared" ref="BQ20" si="303">BO20*$T$1</f>
        <v>16.431453145411343</v>
      </c>
      <c r="BR20" s="168">
        <f t="shared" ref="BR20" si="304">BL20+BQ20</f>
        <v>186.34431155614567</v>
      </c>
      <c r="BS20" s="15">
        <v>278.33</v>
      </c>
      <c r="BT20" s="10">
        <v>273.75</v>
      </c>
      <c r="BU20" s="10">
        <f t="shared" ref="BU20" si="305">BS20-BT20</f>
        <v>4.5799999999999841</v>
      </c>
      <c r="BV20" s="10">
        <f t="shared" ref="BV20:BV21" si="306">BP20+BU20</f>
        <v>55.84</v>
      </c>
      <c r="BW20" s="168">
        <f t="shared" ref="BW20:BW21" si="307">BU20*$T$1</f>
        <v>16.649569780084743</v>
      </c>
      <c r="BX20" s="168">
        <f t="shared" ref="BX20:BX21" si="308">BR20+BW20</f>
        <v>202.9938813362304</v>
      </c>
      <c r="BY20" s="15">
        <v>269.95</v>
      </c>
      <c r="BZ20" s="10">
        <v>266.89999999999998</v>
      </c>
      <c r="CA20" s="10">
        <f>BY20-BZ20</f>
        <v>3.0500000000000114</v>
      </c>
      <c r="CB20" s="172">
        <v>2.72</v>
      </c>
      <c r="CC20" s="172">
        <f t="shared" ref="CC20:CC23" si="309">CA20+CB20</f>
        <v>5.770000000000012</v>
      </c>
      <c r="CD20" s="10">
        <f t="shared" ref="CD20:CD22" si="310">BV20+CC20</f>
        <v>61.610000000000014</v>
      </c>
      <c r="CE20" s="369">
        <f>(CA20*$T$1)+12.2604</f>
        <v>23.347995595908042</v>
      </c>
      <c r="CF20" s="168">
        <f t="shared" ref="CF20:CF23" si="311">BX20+CE20</f>
        <v>226.34187693213843</v>
      </c>
      <c r="CG20" s="15">
        <v>268.58999999999997</v>
      </c>
      <c r="CH20" s="10">
        <v>263.58999999999997</v>
      </c>
      <c r="CI20" s="10">
        <f t="shared" ref="CI20:CI22" si="312">CG20-CH20</f>
        <v>5</v>
      </c>
      <c r="CJ20" s="10">
        <f t="shared" ref="CJ20:CJ22" si="313">CD20+CI20</f>
        <v>66.610000000000014</v>
      </c>
      <c r="CK20" s="168">
        <f t="shared" ref="CK20:CK22" si="314">CI20*$T$1</f>
        <v>18.176386222800001</v>
      </c>
      <c r="CL20" s="168">
        <f t="shared" ref="CL20:CL22" si="315">CF20+CK20</f>
        <v>244.51826315493844</v>
      </c>
      <c r="CM20" s="15">
        <v>272.47000000000003</v>
      </c>
      <c r="CN20" s="13">
        <v>268.18</v>
      </c>
      <c r="CO20" s="10">
        <f t="shared" ref="CO20:CO21" si="316">CM20-CN20</f>
        <v>4.2900000000000205</v>
      </c>
      <c r="CP20" s="10">
        <f t="shared" ref="CP20:CP21" si="317">CJ20+CO20</f>
        <v>70.900000000000034</v>
      </c>
      <c r="CQ20" s="168">
        <f t="shared" ref="CQ20:CQ21" si="318">CO20*$T$1</f>
        <v>15.595339379162475</v>
      </c>
      <c r="CR20" s="168">
        <f>CL20+CQ20</f>
        <v>260.11360253410089</v>
      </c>
      <c r="CS20" s="15">
        <v>274.25</v>
      </c>
      <c r="CT20" s="10">
        <v>269.19</v>
      </c>
      <c r="CU20" s="10">
        <f t="shared" ref="CU20:CU21" si="319">CS20-CT20</f>
        <v>5.0600000000000023</v>
      </c>
      <c r="CV20" s="10">
        <f t="shared" ref="CV20:CV21" si="320">CP20+CU20</f>
        <v>75.960000000000036</v>
      </c>
      <c r="CW20" s="168">
        <f t="shared" ref="CW20:CW21" si="321">CU20*$T$1</f>
        <v>18.394502857473608</v>
      </c>
      <c r="CX20" s="168">
        <f t="shared" ref="CX20:CX21" si="322">CR20+CW20</f>
        <v>278.50810539157447</v>
      </c>
      <c r="CY20" s="15">
        <v>270.58999999999997</v>
      </c>
      <c r="CZ20" s="10">
        <v>265.27999999999997</v>
      </c>
      <c r="DA20" s="10">
        <f t="shared" ref="DA20:DA21" si="323">CY20-CZ20</f>
        <v>5.3100000000000023</v>
      </c>
      <c r="DB20" s="10">
        <f t="shared" ref="DB20:DB21" si="324">CV20+DA20</f>
        <v>81.270000000000039</v>
      </c>
      <c r="DC20" s="168">
        <f t="shared" ref="DC20:DC21" si="325">DA20*$T$1</f>
        <v>19.303322168613608</v>
      </c>
      <c r="DD20" s="168">
        <f t="shared" ref="DD20:DD21" si="326">CX20+DC20</f>
        <v>297.81142756018806</v>
      </c>
      <c r="DE20" s="15">
        <v>268.74</v>
      </c>
      <c r="DF20" s="10">
        <v>262.16000000000003</v>
      </c>
      <c r="DG20" s="10">
        <f t="shared" si="264"/>
        <v>6.5799999999999841</v>
      </c>
      <c r="DH20" s="10">
        <f t="shared" ref="DH20:DH21" si="327">DB20+DG20</f>
        <v>87.850000000000023</v>
      </c>
      <c r="DI20" s="168">
        <f t="shared" ref="DI20:DI21" si="328">DG20*$T$1</f>
        <v>23.920124269204742</v>
      </c>
      <c r="DJ20" s="168">
        <f t="shared" ref="DJ20:DJ21" si="329">DD20+DI20</f>
        <v>321.7315518293928</v>
      </c>
      <c r="DK20" s="15">
        <v>274.72000000000003</v>
      </c>
      <c r="DL20" s="10">
        <v>270.66000000000003</v>
      </c>
      <c r="DM20" s="10">
        <f>(DK20-DL20)</f>
        <v>4.0600000000000023</v>
      </c>
      <c r="DN20" s="10">
        <f t="shared" ref="DN20" si="330">DH20+DM20</f>
        <v>91.910000000000025</v>
      </c>
      <c r="DO20" s="168">
        <f t="shared" ref="DO20" si="331">DM20*$T$1</f>
        <v>14.759225612913609</v>
      </c>
      <c r="DP20" s="168">
        <f t="shared" ref="DP20" si="332">DJ20+DO20</f>
        <v>336.49077744230641</v>
      </c>
      <c r="DQ20" s="202">
        <v>276.73</v>
      </c>
      <c r="DR20" s="10">
        <v>272.39</v>
      </c>
      <c r="DS20" s="10">
        <f>(DQ20-DR20)</f>
        <v>4.3400000000000318</v>
      </c>
      <c r="DT20" s="10">
        <f t="shared" ref="DT20:DT21" si="333">DN20+DS20</f>
        <v>96.250000000000057</v>
      </c>
      <c r="DU20" s="168">
        <f t="shared" si="265"/>
        <v>15.777103241390517</v>
      </c>
      <c r="DV20" s="168">
        <f t="shared" ref="DV20:DV21" si="334">DP20+DU20</f>
        <v>352.26788068369694</v>
      </c>
      <c r="DW20" s="15">
        <v>276.2</v>
      </c>
      <c r="DX20" s="10">
        <v>271.99</v>
      </c>
      <c r="DY20" s="10">
        <f t="shared" ref="DY20:DY21" si="335">DW20-DX20</f>
        <v>4.2099999999999795</v>
      </c>
      <c r="DZ20" s="10">
        <f t="shared" ref="DZ20:DZ21" si="336">DT20+DY20</f>
        <v>100.46000000000004</v>
      </c>
      <c r="EA20" s="168">
        <f t="shared" ref="EA20:EA21" si="337">DY20*$T$1</f>
        <v>15.304517199597527</v>
      </c>
      <c r="EB20" s="179">
        <f t="shared" ref="EB20:EB21" si="338">DV20+EA20</f>
        <v>367.57239788329446</v>
      </c>
    </row>
    <row r="21" spans="1:132">
      <c r="A21" s="133" t="s">
        <v>377</v>
      </c>
      <c r="B21" s="116" t="s">
        <v>378</v>
      </c>
      <c r="C21" s="11">
        <v>42621</v>
      </c>
      <c r="D21" s="12" t="s">
        <v>22</v>
      </c>
      <c r="E21" s="10" t="s">
        <v>284</v>
      </c>
      <c r="F21" s="11" t="s">
        <v>271</v>
      </c>
      <c r="G21" s="15">
        <v>265.67</v>
      </c>
      <c r="H21" s="13">
        <v>261.79000000000002</v>
      </c>
      <c r="I21" s="10">
        <f t="shared" si="266"/>
        <v>3.8799999999999955</v>
      </c>
      <c r="J21" s="168">
        <f t="shared" si="267"/>
        <v>14.104875708892784</v>
      </c>
      <c r="K21" s="15">
        <v>269.83</v>
      </c>
      <c r="L21" s="10">
        <v>265.33999999999997</v>
      </c>
      <c r="M21" s="10">
        <f t="shared" si="268"/>
        <v>4.4900000000000091</v>
      </c>
      <c r="N21" s="10">
        <f t="shared" si="269"/>
        <v>8.3700000000000045</v>
      </c>
      <c r="O21" s="168">
        <f t="shared" si="270"/>
        <v>16.322394828074433</v>
      </c>
      <c r="P21" s="168">
        <f t="shared" si="271"/>
        <v>30.427270536967217</v>
      </c>
      <c r="Q21" s="15">
        <v>276.89999999999998</v>
      </c>
      <c r="R21" s="10">
        <v>272.5</v>
      </c>
      <c r="S21" s="10">
        <f t="shared" si="272"/>
        <v>4.3999999999999773</v>
      </c>
      <c r="T21" s="10">
        <f t="shared" si="273"/>
        <v>12.769999999999982</v>
      </c>
      <c r="U21" s="168">
        <f t="shared" si="274"/>
        <v>15.995219876063917</v>
      </c>
      <c r="V21" s="168">
        <f t="shared" si="275"/>
        <v>46.422490413031134</v>
      </c>
      <c r="W21" s="15">
        <v>278.99</v>
      </c>
      <c r="X21" s="10">
        <v>274.94</v>
      </c>
      <c r="Y21" s="10">
        <f t="shared" si="276"/>
        <v>4.0500000000000114</v>
      </c>
      <c r="Z21" s="10">
        <f t="shared" si="277"/>
        <v>16.819999999999993</v>
      </c>
      <c r="AA21" s="168">
        <f t="shared" si="278"/>
        <v>14.722872840468042</v>
      </c>
      <c r="AB21" s="168">
        <f t="shared" si="279"/>
        <v>61.145363253499177</v>
      </c>
      <c r="AC21" s="15">
        <v>286.89999999999998</v>
      </c>
      <c r="AD21" s="10">
        <v>282.79000000000002</v>
      </c>
      <c r="AE21" s="10">
        <f t="shared" si="280"/>
        <v>4.1099999999999568</v>
      </c>
      <c r="AF21" s="10">
        <f t="shared" si="281"/>
        <v>20.92999999999995</v>
      </c>
      <c r="AG21" s="168">
        <f t="shared" si="282"/>
        <v>14.940989475141443</v>
      </c>
      <c r="AH21" s="168">
        <f t="shared" si="283"/>
        <v>76.08635272864062</v>
      </c>
      <c r="AI21" s="15">
        <v>288.57</v>
      </c>
      <c r="AJ21" s="10">
        <v>284.41000000000003</v>
      </c>
      <c r="AK21" s="10">
        <f t="shared" si="284"/>
        <v>4.1599999999999682</v>
      </c>
      <c r="AL21" s="10">
        <f t="shared" si="285"/>
        <v>25.089999999999918</v>
      </c>
      <c r="AM21" s="168">
        <f t="shared" si="286"/>
        <v>15.122753337369485</v>
      </c>
      <c r="AN21" s="168">
        <f t="shared" si="287"/>
        <v>91.209106066010108</v>
      </c>
      <c r="AO21" s="15">
        <v>289.5</v>
      </c>
      <c r="AP21" s="10">
        <v>285.25</v>
      </c>
      <c r="AQ21" s="10">
        <f t="shared" si="288"/>
        <v>4.25</v>
      </c>
      <c r="AR21" s="10">
        <f t="shared" si="289"/>
        <v>29.339999999999918</v>
      </c>
      <c r="AS21" s="168">
        <f t="shared" si="290"/>
        <v>15.449928289380001</v>
      </c>
      <c r="AT21" s="168">
        <f t="shared" si="291"/>
        <v>106.65903435539011</v>
      </c>
      <c r="AU21" s="15">
        <v>289.83999999999997</v>
      </c>
      <c r="AV21" s="13">
        <v>285.51</v>
      </c>
      <c r="AW21" s="10">
        <v>6.09</v>
      </c>
      <c r="AX21" s="10">
        <f t="shared" si="292"/>
        <v>35.429999999999922</v>
      </c>
      <c r="AY21" s="168">
        <f t="shared" si="293"/>
        <v>22.138838419370401</v>
      </c>
      <c r="AZ21" s="168">
        <f t="shared" si="294"/>
        <v>128.79787277476049</v>
      </c>
      <c r="BA21" s="15">
        <v>287.98</v>
      </c>
      <c r="BB21" s="10">
        <v>283.12</v>
      </c>
      <c r="BC21" s="10">
        <f t="shared" si="295"/>
        <v>4.8600000000000136</v>
      </c>
      <c r="BD21" s="10">
        <f t="shared" si="296"/>
        <v>40.289999999999935</v>
      </c>
      <c r="BE21" s="168">
        <f t="shared" si="297"/>
        <v>17.66744740856165</v>
      </c>
      <c r="BF21" s="168">
        <f t="shared" si="298"/>
        <v>146.46532018332215</v>
      </c>
      <c r="BG21" s="15">
        <v>287.02999999999997</v>
      </c>
      <c r="BH21" s="10">
        <v>282.26</v>
      </c>
      <c r="BI21" s="10">
        <f t="shared" ref="BI21:BI23" si="339">BG21-BH21</f>
        <v>4.7699999999999818</v>
      </c>
      <c r="BJ21" s="10">
        <f t="shared" si="299"/>
        <v>45.059999999999917</v>
      </c>
      <c r="BK21" s="168">
        <f t="shared" si="300"/>
        <v>17.340272456551133</v>
      </c>
      <c r="BL21" s="168">
        <f t="shared" si="301"/>
        <v>163.80559263987328</v>
      </c>
      <c r="BM21" s="15">
        <v>285.42</v>
      </c>
      <c r="BN21" s="10">
        <v>280.88</v>
      </c>
      <c r="BO21" s="10">
        <f>BM21-BN21</f>
        <v>4.5400000000000205</v>
      </c>
      <c r="BP21" s="10">
        <f t="shared" ref="BP21" si="340">BJ21+BO21</f>
        <v>49.599999999999937</v>
      </c>
      <c r="BQ21" s="168">
        <f t="shared" ref="BQ21" si="341">BO21*$T$1</f>
        <v>16.504158690302475</v>
      </c>
      <c r="BR21" s="168">
        <f t="shared" ref="BR21" si="342">BL21+BQ21</f>
        <v>180.30975133017574</v>
      </c>
      <c r="BS21" s="15">
        <v>281.77999999999997</v>
      </c>
      <c r="BT21" s="10">
        <v>277.06</v>
      </c>
      <c r="BU21" s="10">
        <f>BS21-BT21</f>
        <v>4.7199999999999704</v>
      </c>
      <c r="BV21" s="10">
        <f t="shared" si="306"/>
        <v>54.319999999999908</v>
      </c>
      <c r="BW21" s="168">
        <f t="shared" si="307"/>
        <v>17.158508594323092</v>
      </c>
      <c r="BX21" s="168">
        <f t="shared" si="308"/>
        <v>197.46825992449882</v>
      </c>
      <c r="BY21" s="15">
        <v>277.43</v>
      </c>
      <c r="BZ21" s="10">
        <v>274.58999999999997</v>
      </c>
      <c r="CA21" s="10">
        <f t="shared" ref="CA21:CA23" si="343">BY21-BZ21</f>
        <v>2.8400000000000318</v>
      </c>
      <c r="CB21" s="172">
        <v>1.91</v>
      </c>
      <c r="CC21" s="172">
        <f t="shared" si="309"/>
        <v>4.750000000000032</v>
      </c>
      <c r="CD21" s="10">
        <f t="shared" si="310"/>
        <v>59.069999999999936</v>
      </c>
      <c r="CE21" s="369">
        <f>(CA21*$T$1)+8.4306</f>
        <v>18.754787374550517</v>
      </c>
      <c r="CF21" s="168">
        <f t="shared" si="311"/>
        <v>216.22304729904934</v>
      </c>
      <c r="CG21" s="15">
        <v>285.76</v>
      </c>
      <c r="CH21" s="10">
        <v>281.02999999999997</v>
      </c>
      <c r="CI21" s="10">
        <f t="shared" si="312"/>
        <v>4.7300000000000182</v>
      </c>
      <c r="CJ21" s="10">
        <f t="shared" si="313"/>
        <v>63.799999999999955</v>
      </c>
      <c r="CK21" s="168">
        <f t="shared" si="314"/>
        <v>17.194861366768865</v>
      </c>
      <c r="CL21" s="168">
        <f t="shared" si="315"/>
        <v>233.4179086658182</v>
      </c>
      <c r="CM21" s="15">
        <v>287.32</v>
      </c>
      <c r="CN21" s="13">
        <v>283.38</v>
      </c>
      <c r="CO21" s="10">
        <f t="shared" si="316"/>
        <v>3.9399999999999977</v>
      </c>
      <c r="CP21" s="10">
        <f t="shared" si="317"/>
        <v>67.739999999999952</v>
      </c>
      <c r="CQ21" s="168">
        <f t="shared" si="318"/>
        <v>14.322992343566392</v>
      </c>
      <c r="CR21" s="168">
        <f t="shared" ref="CR21" si="344">CL21+CQ21</f>
        <v>247.7409010093846</v>
      </c>
      <c r="CS21" s="15">
        <v>286.69</v>
      </c>
      <c r="CT21" s="10">
        <v>282.54000000000002</v>
      </c>
      <c r="CU21" s="10">
        <f t="shared" si="319"/>
        <v>4.1499999999999773</v>
      </c>
      <c r="CV21" s="10">
        <f t="shared" si="320"/>
        <v>71.88999999999993</v>
      </c>
      <c r="CW21" s="168">
        <f t="shared" si="321"/>
        <v>15.086400564923919</v>
      </c>
      <c r="CX21" s="168">
        <f t="shared" si="322"/>
        <v>262.82730157430854</v>
      </c>
      <c r="CY21" s="15">
        <v>285.18</v>
      </c>
      <c r="CZ21" s="10">
        <v>280.36</v>
      </c>
      <c r="DA21" s="10">
        <f t="shared" si="323"/>
        <v>4.8199999999999932</v>
      </c>
      <c r="DB21" s="10">
        <f t="shared" si="324"/>
        <v>76.709999999999923</v>
      </c>
      <c r="DC21" s="168">
        <f t="shared" si="325"/>
        <v>17.522036318779175</v>
      </c>
      <c r="DD21" s="168">
        <f t="shared" si="326"/>
        <v>280.34933789308769</v>
      </c>
      <c r="DE21" s="15">
        <v>284.94</v>
      </c>
      <c r="DF21" s="10">
        <v>280.11</v>
      </c>
      <c r="DG21" s="10">
        <f t="shared" si="264"/>
        <v>4.8299999999999841</v>
      </c>
      <c r="DH21" s="10">
        <f t="shared" si="327"/>
        <v>81.539999999999907</v>
      </c>
      <c r="DI21" s="168">
        <f t="shared" si="328"/>
        <v>17.558389091224743</v>
      </c>
      <c r="DJ21" s="168">
        <f t="shared" si="329"/>
        <v>297.90772698431243</v>
      </c>
      <c r="DK21" s="15">
        <v>284.92</v>
      </c>
      <c r="DL21" s="10">
        <v>280.79000000000002</v>
      </c>
      <c r="DM21" s="10">
        <f>(DK21-DL21)</f>
        <v>4.1299999999999955</v>
      </c>
      <c r="DN21" s="10">
        <f t="shared" ref="DN21" si="345">DH21+DM21</f>
        <v>85.669999999999902</v>
      </c>
      <c r="DO21" s="168">
        <f t="shared" ref="DO21" si="346">DM21*$T$1</f>
        <v>15.013695020032785</v>
      </c>
      <c r="DP21" s="168">
        <f t="shared" ref="DP21" si="347">DJ21+DO21</f>
        <v>312.92142200434523</v>
      </c>
      <c r="DQ21" s="202">
        <v>284.39</v>
      </c>
      <c r="DR21" s="10">
        <v>281.16000000000003</v>
      </c>
      <c r="DS21" s="10">
        <f>(DQ21-DR21)</f>
        <v>3.2299999999999613</v>
      </c>
      <c r="DT21" s="10">
        <f t="shared" si="333"/>
        <v>88.899999999999864</v>
      </c>
      <c r="DU21" s="168">
        <f t="shared" si="265"/>
        <v>11.74194549992866</v>
      </c>
      <c r="DV21" s="168">
        <f t="shared" si="334"/>
        <v>324.66336750427388</v>
      </c>
      <c r="DW21" s="15">
        <v>287.39</v>
      </c>
      <c r="DX21" s="10">
        <v>284.05</v>
      </c>
      <c r="DY21" s="10">
        <f t="shared" si="335"/>
        <v>3.339999999999975</v>
      </c>
      <c r="DZ21" s="10">
        <f t="shared" si="336"/>
        <v>92.239999999999839</v>
      </c>
      <c r="EA21" s="168">
        <f t="shared" si="337"/>
        <v>12.14182599683031</v>
      </c>
      <c r="EB21" s="179">
        <f t="shared" si="338"/>
        <v>336.80519350110421</v>
      </c>
    </row>
    <row r="22" spans="1:132">
      <c r="A22" s="133" t="s">
        <v>379</v>
      </c>
      <c r="B22" s="62" t="s">
        <v>380</v>
      </c>
      <c r="C22" s="11"/>
      <c r="D22" s="12" t="s">
        <v>22</v>
      </c>
      <c r="E22" s="10" t="s">
        <v>284</v>
      </c>
      <c r="F22" s="11">
        <v>42411</v>
      </c>
      <c r="G22" s="15">
        <v>266.14</v>
      </c>
      <c r="H22" s="13">
        <v>261.85000000000002</v>
      </c>
      <c r="I22" s="152">
        <v>4.07</v>
      </c>
      <c r="J22" s="168">
        <f t="shared" ref="J22:J26" si="348">I22*$T$1</f>
        <v>14.795578385359201</v>
      </c>
      <c r="K22" s="15">
        <v>268.27</v>
      </c>
      <c r="L22" s="10">
        <v>263.41000000000003</v>
      </c>
      <c r="M22" s="152">
        <v>4.6399999999999997</v>
      </c>
      <c r="N22" s="10">
        <f t="shared" ref="N22:N24" si="349">I22+M22</f>
        <v>8.7100000000000009</v>
      </c>
      <c r="O22" s="168">
        <f t="shared" ref="O22:O24" si="350">M22*$T$1</f>
        <v>16.867686414758399</v>
      </c>
      <c r="P22" s="168">
        <f t="shared" ref="P22:P24" si="351">J22+O22</f>
        <v>31.663264800117602</v>
      </c>
      <c r="Q22" s="15">
        <v>267.85000000000002</v>
      </c>
      <c r="R22" s="77">
        <v>262.99</v>
      </c>
      <c r="S22" s="152">
        <v>4.6399999999999997</v>
      </c>
      <c r="T22" s="10">
        <f t="shared" ref="T22:T26" si="352">N22+S22</f>
        <v>13.350000000000001</v>
      </c>
      <c r="U22" s="168">
        <f t="shared" ref="U22:U26" si="353">S22*$T$1</f>
        <v>16.867686414758399</v>
      </c>
      <c r="V22" s="168">
        <f t="shared" ref="V22:V26" si="354">P22+U22</f>
        <v>48.530951214875998</v>
      </c>
      <c r="W22" s="15">
        <v>268</v>
      </c>
      <c r="X22" s="10">
        <v>263.33999999999997</v>
      </c>
      <c r="Y22" s="152">
        <v>4.4400000000000004</v>
      </c>
      <c r="Z22" s="10">
        <f t="shared" ref="Z22:Z23" si="355">T22+Y22</f>
        <v>17.790000000000003</v>
      </c>
      <c r="AA22" s="168">
        <f t="shared" ref="AA22:AA23" si="356">Y22*$T$1</f>
        <v>16.140630965846402</v>
      </c>
      <c r="AB22" s="168">
        <f t="shared" ref="AB22:AB23" si="357">V22+AA22</f>
        <v>64.671582180722396</v>
      </c>
      <c r="AC22" s="15">
        <v>273.77999999999997</v>
      </c>
      <c r="AD22" s="10">
        <v>269</v>
      </c>
      <c r="AE22" s="152">
        <v>4.5599999999999996</v>
      </c>
      <c r="AF22" s="10">
        <f t="shared" ref="AF22:AF25" si="358">Z22+AE22</f>
        <v>22.35</v>
      </c>
      <c r="AG22" s="168">
        <f t="shared" ref="AG22:AG25" si="359">AE22*$T$1</f>
        <v>16.5768642351936</v>
      </c>
      <c r="AH22" s="168">
        <f t="shared" ref="AH22:AH25" si="360">AB22+AG22</f>
        <v>81.248446415915993</v>
      </c>
      <c r="AI22" s="15">
        <v>272.31</v>
      </c>
      <c r="AJ22" s="10">
        <v>267.51</v>
      </c>
      <c r="AK22" s="152">
        <v>4.58</v>
      </c>
      <c r="AL22" s="10">
        <f t="shared" ref="AL22:AL23" si="361">AF22+AK22</f>
        <v>26.93</v>
      </c>
      <c r="AM22" s="168">
        <f t="shared" ref="AM22:AM23" si="362">AK22*$T$1</f>
        <v>16.6495697800848</v>
      </c>
      <c r="AN22" s="168">
        <f t="shared" ref="AN22:AN23" si="363">AH22+AM22</f>
        <v>97.898016196000796</v>
      </c>
      <c r="AO22" s="15">
        <v>271.32</v>
      </c>
      <c r="AP22" s="152">
        <v>266.36</v>
      </c>
      <c r="AQ22" s="152">
        <v>4.74</v>
      </c>
      <c r="AR22" s="10">
        <f t="shared" ref="AR22:AR23" si="364">AL22+AQ22</f>
        <v>31.67</v>
      </c>
      <c r="AS22" s="168">
        <f t="shared" ref="AS22:AS25" si="365">AQ22*$T$1</f>
        <v>17.231214139214401</v>
      </c>
      <c r="AT22" s="168">
        <f t="shared" ref="AT22:AT23" si="366">AN22+AS22</f>
        <v>115.1292303352152</v>
      </c>
      <c r="AU22" s="15">
        <v>272.86</v>
      </c>
      <c r="AV22" s="13">
        <v>268.14999999999998</v>
      </c>
      <c r="AW22" s="10">
        <v>7.09</v>
      </c>
      <c r="AX22" s="10">
        <f t="shared" ref="AX22" si="367">AR22+AW22</f>
        <v>38.760000000000005</v>
      </c>
      <c r="AY22" s="168">
        <f t="shared" ref="AY22" si="368">AW22*$T$1</f>
        <v>25.774115663930399</v>
      </c>
      <c r="AZ22" s="168">
        <f t="shared" ref="AZ22" si="369">AT22+AY22</f>
        <v>140.90334599914559</v>
      </c>
      <c r="BA22" s="15">
        <v>266.56</v>
      </c>
      <c r="BB22" s="10">
        <v>262.54000000000002</v>
      </c>
      <c r="BC22" s="10">
        <f t="shared" ref="BC22" si="370">BA22-BB22</f>
        <v>4.0199999999999818</v>
      </c>
      <c r="BD22" s="10">
        <f t="shared" ref="BD22" si="371">AX22+BC22</f>
        <v>42.779999999999987</v>
      </c>
      <c r="BE22" s="168">
        <f t="shared" ref="BE22" si="372">BC22*$T$1</f>
        <v>14.613814523131134</v>
      </c>
      <c r="BF22" s="168">
        <f t="shared" ref="BF22" si="373">AZ22+BE22</f>
        <v>155.51716052227673</v>
      </c>
      <c r="BG22" s="15">
        <v>269.77999999999997</v>
      </c>
      <c r="BH22" s="10">
        <v>265.39999999999998</v>
      </c>
      <c r="BI22" s="10">
        <f t="shared" si="339"/>
        <v>4.3799999999999955</v>
      </c>
      <c r="BJ22" s="10">
        <f t="shared" ref="BJ22" si="374">BD22+BI22</f>
        <v>47.159999999999982</v>
      </c>
      <c r="BK22" s="168">
        <f t="shared" ref="BK22" si="375">BI22*$T$1</f>
        <v>15.922514331172785</v>
      </c>
      <c r="BL22" s="168">
        <f t="shared" ref="BL22" si="376">BF22+BK22</f>
        <v>171.4396748534495</v>
      </c>
      <c r="BM22" s="15">
        <v>271.32</v>
      </c>
      <c r="BN22" s="10">
        <v>268.42</v>
      </c>
      <c r="BO22" s="222">
        <f>BM22-BN22</f>
        <v>2.8999999999999773</v>
      </c>
      <c r="BP22" s="10">
        <f t="shared" ref="BP22:BP24" si="377">BJ22+BO22</f>
        <v>50.05999999999996</v>
      </c>
      <c r="BQ22" s="168">
        <f t="shared" ref="BQ22:BQ24" si="378">BO22*$T$1</f>
        <v>10.542304009223917</v>
      </c>
      <c r="BR22" s="168">
        <f t="shared" ref="BR22:BR24" si="379">BL22+BQ22</f>
        <v>181.98197886267343</v>
      </c>
      <c r="BS22" s="15">
        <v>270.14999999999998</v>
      </c>
      <c r="BT22" s="10">
        <v>265.94</v>
      </c>
      <c r="BU22" s="222">
        <f>(BS22-BT22)-0.48</f>
        <v>3.7299999999999796</v>
      </c>
      <c r="BV22" s="10">
        <f t="shared" ref="BV22" si="380">BP22+BU22</f>
        <v>53.789999999999942</v>
      </c>
      <c r="BW22" s="168">
        <f t="shared" ref="BW22" si="381">BU22*$T$1</f>
        <v>13.559584122208726</v>
      </c>
      <c r="BX22" s="168">
        <f t="shared" ref="BX22" si="382">BR22+BW22</f>
        <v>195.54156298488215</v>
      </c>
      <c r="BY22" s="15">
        <v>270.08</v>
      </c>
      <c r="BZ22" s="165">
        <v>266.86</v>
      </c>
      <c r="CA22" s="10">
        <f>(BY22-BZ22)-1.12</f>
        <v>2.0999999999999703</v>
      </c>
      <c r="CB22" s="172">
        <v>1.66</v>
      </c>
      <c r="CC22" s="172">
        <f t="shared" si="309"/>
        <v>3.7599999999999705</v>
      </c>
      <c r="CD22" s="10">
        <f t="shared" si="310"/>
        <v>57.549999999999912</v>
      </c>
      <c r="CE22" s="369">
        <f>(CA22*$T$1)+7.2956</f>
        <v>14.929682213575893</v>
      </c>
      <c r="CF22" s="168">
        <f t="shared" si="311"/>
        <v>210.47124519845804</v>
      </c>
      <c r="CG22" s="15">
        <v>271.33</v>
      </c>
      <c r="CH22" s="10">
        <v>268.72000000000003</v>
      </c>
      <c r="CI22" s="10">
        <f t="shared" si="312"/>
        <v>2.6099999999999568</v>
      </c>
      <c r="CJ22" s="10">
        <f t="shared" si="313"/>
        <v>60.159999999999869</v>
      </c>
      <c r="CK22" s="168">
        <f t="shared" si="314"/>
        <v>9.488073608301443</v>
      </c>
      <c r="CL22" s="168">
        <f t="shared" si="315"/>
        <v>219.95931880675948</v>
      </c>
      <c r="CM22" s="15">
        <v>270.27</v>
      </c>
      <c r="CN22" s="13">
        <v>266.49</v>
      </c>
      <c r="CO22" s="10">
        <f t="shared" ref="CO22" si="383">CM22-CN22</f>
        <v>3.7799999999999727</v>
      </c>
      <c r="CP22" s="10">
        <f t="shared" ref="CP22" si="384">CJ22+CO22</f>
        <v>63.939999999999841</v>
      </c>
      <c r="CQ22" s="168">
        <f t="shared" ref="CQ22" si="385">CO22*$T$1</f>
        <v>13.741347984436702</v>
      </c>
      <c r="CR22" s="168">
        <f t="shared" ref="CR22" si="386">CL22+CQ22</f>
        <v>233.7006667911962</v>
      </c>
      <c r="CS22" s="15">
        <v>272.62</v>
      </c>
      <c r="CT22" s="10">
        <v>268.39</v>
      </c>
      <c r="CU22" s="10">
        <f t="shared" ref="CU22" si="387">CS22-CT22</f>
        <v>4.2300000000000182</v>
      </c>
      <c r="CV22" s="10">
        <f t="shared" ref="CV22" si="388">CP22+CU22</f>
        <v>68.16999999999986</v>
      </c>
      <c r="CW22" s="168">
        <f t="shared" ref="CW22" si="389">CU22*$T$1</f>
        <v>15.377222744488867</v>
      </c>
      <c r="CX22" s="168">
        <f t="shared" ref="CX22" si="390">CR22+CW22</f>
        <v>249.07788953568507</v>
      </c>
      <c r="CY22" s="15">
        <v>268.82</v>
      </c>
      <c r="CZ22" s="10">
        <v>265.19</v>
      </c>
      <c r="DA22" s="10">
        <f t="shared" ref="DA22" si="391">CY22-CZ22</f>
        <v>3.6299999999999955</v>
      </c>
      <c r="DB22" s="10">
        <f t="shared" ref="DB22" si="392">CV22+DA22</f>
        <v>71.799999999999855</v>
      </c>
      <c r="DC22" s="168">
        <f t="shared" ref="DC22" si="393">DA22*$T$1</f>
        <v>13.196056397752784</v>
      </c>
      <c r="DD22" s="168">
        <f t="shared" ref="DD22" si="394">CX22+DC22</f>
        <v>262.27394593343786</v>
      </c>
      <c r="DE22" s="15">
        <v>268.01</v>
      </c>
      <c r="DF22" s="10">
        <v>264.52999999999997</v>
      </c>
      <c r="DG22" s="10">
        <f t="shared" si="264"/>
        <v>3.4800000000000182</v>
      </c>
      <c r="DH22" s="10">
        <f t="shared" ref="DH22:DH23" si="395">DB22+DG22</f>
        <v>75.279999999999873</v>
      </c>
      <c r="DI22" s="168">
        <f t="shared" ref="DI22:DI23" si="396">DG22*$T$1</f>
        <v>12.650764811068866</v>
      </c>
      <c r="DJ22" s="168">
        <f t="shared" ref="DJ22:DJ23" si="397">DD22+DI22</f>
        <v>274.92471074450674</v>
      </c>
      <c r="DK22" s="15">
        <v>267.26</v>
      </c>
      <c r="DL22" s="10">
        <v>261.08</v>
      </c>
      <c r="DM22" s="165">
        <f>(DK22-DL22)-2.27</f>
        <v>3.9100000000000068</v>
      </c>
      <c r="DN22" s="10">
        <f t="shared" ref="DN22:DN25" si="398">DH22+DM22</f>
        <v>79.189999999999884</v>
      </c>
      <c r="DO22" s="168">
        <f t="shared" ref="DO22:DO25" si="399">DM22*$T$1</f>
        <v>14.213934026229625</v>
      </c>
      <c r="DP22" s="168">
        <f t="shared" ref="DP22:DP25" si="400">DJ22+DO22</f>
        <v>289.13864477073639</v>
      </c>
      <c r="DQ22" s="202">
        <v>266.75</v>
      </c>
      <c r="DR22" s="10">
        <v>261.08999999999997</v>
      </c>
      <c r="DS22" s="165">
        <f>(DQ22-DR22)-2.25</f>
        <v>3.410000000000025</v>
      </c>
      <c r="DT22" s="10">
        <f t="shared" ref="DT22:DT23" si="401">DN22+DS22</f>
        <v>82.599999999999909</v>
      </c>
      <c r="DU22" s="168">
        <f t="shared" si="265"/>
        <v>12.396295403949692</v>
      </c>
      <c r="DV22" s="168">
        <f t="shared" ref="DV22:DV23" si="402">DP22+DU22</f>
        <v>301.53494017468608</v>
      </c>
      <c r="DW22" s="15">
        <v>266.83</v>
      </c>
      <c r="DX22" s="10">
        <v>263.44</v>
      </c>
      <c r="DY22" s="10">
        <f t="shared" ref="DY22" si="403">DW22-DX22</f>
        <v>3.3899999999999864</v>
      </c>
      <c r="DZ22" s="10">
        <f t="shared" ref="DZ22" si="404">DT22+DY22</f>
        <v>85.989999999999895</v>
      </c>
      <c r="EA22" s="168">
        <f t="shared" ref="EA22" si="405">DY22*$T$1</f>
        <v>12.323589859058352</v>
      </c>
      <c r="EB22" s="179">
        <f t="shared" ref="EB22" si="406">DV22+EA22</f>
        <v>313.85853003374444</v>
      </c>
    </row>
    <row r="23" spans="1:132" ht="12" customHeight="1">
      <c r="A23" s="9" t="s">
        <v>381</v>
      </c>
      <c r="B23" s="62" t="s">
        <v>382</v>
      </c>
      <c r="C23" s="11" t="s">
        <v>308</v>
      </c>
      <c r="D23" s="12" t="s">
        <v>22</v>
      </c>
      <c r="E23" s="10" t="s">
        <v>284</v>
      </c>
      <c r="F23" s="11" t="s">
        <v>309</v>
      </c>
      <c r="G23" s="15">
        <v>242.87</v>
      </c>
      <c r="H23" s="13">
        <v>239.23</v>
      </c>
      <c r="I23" s="10">
        <f t="shared" ref="I23:I25" si="407">G23-H23</f>
        <v>3.6400000000000148</v>
      </c>
      <c r="J23" s="168">
        <f t="shared" si="348"/>
        <v>13.232409170198455</v>
      </c>
      <c r="K23" s="15">
        <v>244.82</v>
      </c>
      <c r="L23" s="10">
        <v>240.98</v>
      </c>
      <c r="M23" s="10">
        <f t="shared" ref="M23:M24" si="408">K23-L23</f>
        <v>3.8400000000000034</v>
      </c>
      <c r="N23" s="10">
        <f t="shared" si="349"/>
        <v>7.4800000000000182</v>
      </c>
      <c r="O23" s="168">
        <f t="shared" si="350"/>
        <v>13.959464619110413</v>
      </c>
      <c r="P23" s="168">
        <f t="shared" si="351"/>
        <v>27.191873789308868</v>
      </c>
      <c r="Q23" s="15">
        <v>246.18</v>
      </c>
      <c r="R23" s="10">
        <v>241.38</v>
      </c>
      <c r="S23" s="10">
        <f t="shared" ref="S23:S25" si="409">Q23-R23</f>
        <v>4.8000000000000114</v>
      </c>
      <c r="T23" s="10">
        <f t="shared" si="352"/>
        <v>12.28000000000003</v>
      </c>
      <c r="U23" s="168">
        <f t="shared" si="353"/>
        <v>17.449330773888043</v>
      </c>
      <c r="V23" s="168">
        <f t="shared" si="354"/>
        <v>44.641204563196908</v>
      </c>
      <c r="W23" s="15">
        <v>243.06</v>
      </c>
      <c r="X23" s="10">
        <v>238.62</v>
      </c>
      <c r="Y23" s="10">
        <f t="shared" ref="Y23" si="410">W23-X23</f>
        <v>4.4399999999999977</v>
      </c>
      <c r="Z23" s="10">
        <f t="shared" si="355"/>
        <v>16.720000000000027</v>
      </c>
      <c r="AA23" s="168">
        <f t="shared" si="356"/>
        <v>16.140630965846391</v>
      </c>
      <c r="AB23" s="168">
        <f t="shared" si="357"/>
        <v>60.781835529043299</v>
      </c>
      <c r="AC23" s="15">
        <v>248.25</v>
      </c>
      <c r="AD23" s="10">
        <v>243.56</v>
      </c>
      <c r="AE23" s="10">
        <f t="shared" ref="AE23:AE25" si="411">AC23-AD23</f>
        <v>4.6899999999999977</v>
      </c>
      <c r="AF23" s="10">
        <f t="shared" si="358"/>
        <v>21.410000000000025</v>
      </c>
      <c r="AG23" s="168">
        <f t="shared" si="359"/>
        <v>17.049450276986391</v>
      </c>
      <c r="AH23" s="168">
        <f t="shared" si="360"/>
        <v>77.831285806029683</v>
      </c>
      <c r="AI23" s="15">
        <v>244.97</v>
      </c>
      <c r="AJ23" s="10">
        <v>241.02</v>
      </c>
      <c r="AK23" s="10">
        <f t="shared" ref="AK23" si="412">AI23-AJ23</f>
        <v>3.9499999999999886</v>
      </c>
      <c r="AL23" s="10">
        <f t="shared" si="361"/>
        <v>25.360000000000014</v>
      </c>
      <c r="AM23" s="168">
        <f t="shared" si="362"/>
        <v>14.359345116011959</v>
      </c>
      <c r="AN23" s="168">
        <f t="shared" si="363"/>
        <v>92.190630922041635</v>
      </c>
      <c r="AO23" s="15">
        <v>260.60000000000002</v>
      </c>
      <c r="AP23" s="10">
        <v>256.44</v>
      </c>
      <c r="AQ23" s="10">
        <f t="shared" ref="AQ23:AQ25" si="413">AO23-AP23</f>
        <v>4.160000000000025</v>
      </c>
      <c r="AR23" s="10">
        <f t="shared" si="364"/>
        <v>29.520000000000039</v>
      </c>
      <c r="AS23" s="168">
        <f t="shared" si="365"/>
        <v>15.122753337369691</v>
      </c>
      <c r="AT23" s="168">
        <f t="shared" si="366"/>
        <v>107.31338425941132</v>
      </c>
      <c r="AU23" s="15">
        <v>266</v>
      </c>
      <c r="AV23" s="13">
        <v>261.44</v>
      </c>
      <c r="AW23" s="10">
        <v>8.09</v>
      </c>
      <c r="AX23" s="10">
        <f t="shared" ref="AX23:AX24" si="414">AR23+AW23</f>
        <v>37.610000000000042</v>
      </c>
      <c r="AY23" s="168">
        <f t="shared" ref="AY23:AY24" si="415">AW23*$T$1</f>
        <v>29.4093929084904</v>
      </c>
      <c r="AZ23" s="168">
        <f t="shared" ref="AZ23:AZ24" si="416">AT23+AY23</f>
        <v>136.72277716790171</v>
      </c>
      <c r="BA23" s="15">
        <v>264.95999999999998</v>
      </c>
      <c r="BB23" s="10">
        <v>260.69</v>
      </c>
      <c r="BC23" s="10">
        <f t="shared" ref="BC23:BC25" si="417">BA23-BB23</f>
        <v>4.2699999999999818</v>
      </c>
      <c r="BD23" s="10">
        <f t="shared" ref="BD23" si="418">AX23+BC23</f>
        <v>41.880000000000024</v>
      </c>
      <c r="BE23" s="168">
        <f t="shared" ref="BE23" si="419">BC23*$T$1</f>
        <v>15.522633834271135</v>
      </c>
      <c r="BF23" s="168">
        <f t="shared" ref="BF23" si="420">AZ23+BE23</f>
        <v>152.24541100217286</v>
      </c>
      <c r="BG23" s="15">
        <v>267.51</v>
      </c>
      <c r="BH23" s="10">
        <v>263.04000000000002</v>
      </c>
      <c r="BI23" s="10">
        <f t="shared" si="339"/>
        <v>4.4699999999999704</v>
      </c>
      <c r="BJ23" s="10">
        <f t="shared" ref="BJ23:BJ24" si="421">BD23+BI23</f>
        <v>46.349999999999994</v>
      </c>
      <c r="BK23" s="168">
        <f t="shared" ref="BK23:BK24" si="422">BI23*$T$1</f>
        <v>16.249689283183095</v>
      </c>
      <c r="BL23" s="168">
        <f t="shared" ref="BL23:BL24" si="423">BF23+BK23</f>
        <v>168.49510028535596</v>
      </c>
      <c r="BM23" s="15">
        <v>269.39999999999998</v>
      </c>
      <c r="BN23" s="10">
        <v>265.70999999999998</v>
      </c>
      <c r="BO23" s="10">
        <f>BM23-BN23</f>
        <v>3.6899999999999977</v>
      </c>
      <c r="BP23" s="10">
        <f t="shared" si="377"/>
        <v>50.039999999999992</v>
      </c>
      <c r="BQ23" s="168">
        <f t="shared" si="378"/>
        <v>13.414173032426392</v>
      </c>
      <c r="BR23" s="168">
        <f t="shared" si="379"/>
        <v>181.90927331778235</v>
      </c>
      <c r="BS23" s="15">
        <v>266.74</v>
      </c>
      <c r="BT23" s="10">
        <v>263.06</v>
      </c>
      <c r="BU23" s="155">
        <f>(BS23-BT23)</f>
        <v>3.6800000000000068</v>
      </c>
      <c r="BV23" s="10">
        <f t="shared" ref="BV23" si="424">BP23+BU23</f>
        <v>53.72</v>
      </c>
      <c r="BW23" s="168">
        <f t="shared" ref="BW23" si="425">BU23*$T$1</f>
        <v>13.377820259980826</v>
      </c>
      <c r="BX23" s="168">
        <f t="shared" ref="BX23" si="426">BR23+BW23</f>
        <v>195.28709357776319</v>
      </c>
      <c r="BY23" s="15">
        <v>266.49</v>
      </c>
      <c r="BZ23" s="165">
        <v>264.19</v>
      </c>
      <c r="CA23" s="10">
        <f t="shared" si="343"/>
        <v>2.3000000000000114</v>
      </c>
      <c r="CB23" s="172">
        <v>1.37</v>
      </c>
      <c r="CC23" s="172">
        <f t="shared" si="309"/>
        <v>3.6700000000000115</v>
      </c>
      <c r="CD23" s="10">
        <f>BV23+CC23</f>
        <v>57.390000000000008</v>
      </c>
      <c r="CE23" s="369">
        <f>(CA23*'(HOM) Food intake'!$T$1)+6.1569</f>
        <v>14.518037662488043</v>
      </c>
      <c r="CF23" s="168">
        <f t="shared" si="311"/>
        <v>209.80513124025123</v>
      </c>
      <c r="CG23" s="15">
        <v>267.48</v>
      </c>
      <c r="CH23" s="10">
        <v>264.08</v>
      </c>
      <c r="CI23" s="10">
        <f>CG23-CH23</f>
        <v>3.4000000000000341</v>
      </c>
      <c r="CJ23" s="10">
        <f>CD23+CI23</f>
        <v>60.790000000000042</v>
      </c>
      <c r="CK23" s="168">
        <f>CI23*$T$1</f>
        <v>12.359942631504124</v>
      </c>
      <c r="CL23" s="168">
        <f>CF23+CK23</f>
        <v>222.16507387175534</v>
      </c>
      <c r="CM23" s="15">
        <v>264.69</v>
      </c>
      <c r="CN23" s="13">
        <v>260.83</v>
      </c>
      <c r="CO23" s="10">
        <f>CM23-CN23</f>
        <v>3.8600000000000136</v>
      </c>
      <c r="CP23" s="10">
        <f>CJ23+CO23</f>
        <v>64.650000000000063</v>
      </c>
      <c r="CQ23" s="168">
        <f>CO23*$T$1</f>
        <v>14.03217016400165</v>
      </c>
      <c r="CR23" s="168">
        <f>CL23+CQ23</f>
        <v>236.197244035757</v>
      </c>
      <c r="CS23" s="15">
        <v>263.70999999999998</v>
      </c>
      <c r="CT23" s="10">
        <v>259.54000000000002</v>
      </c>
      <c r="CU23" s="10">
        <f>CS23-CT23</f>
        <v>4.1699999999999591</v>
      </c>
      <c r="CV23" s="10">
        <f>CP23+CU23</f>
        <v>68.820000000000022</v>
      </c>
      <c r="CW23" s="168">
        <f>CU23*$T$1</f>
        <v>15.159106109815053</v>
      </c>
      <c r="CX23" s="168">
        <f>CR23+CW23</f>
        <v>251.35635014557204</v>
      </c>
      <c r="CY23" s="15">
        <v>263.18</v>
      </c>
      <c r="CZ23" s="10">
        <v>259.25</v>
      </c>
      <c r="DA23" s="10">
        <f>CY23-CZ23</f>
        <v>3.9300000000000068</v>
      </c>
      <c r="DB23" s="10">
        <f>CV23+DA23</f>
        <v>72.750000000000028</v>
      </c>
      <c r="DC23" s="168">
        <f>DA23*$T$1</f>
        <v>14.286639571120824</v>
      </c>
      <c r="DD23" s="168">
        <f>CX23+DC23</f>
        <v>265.64298971669285</v>
      </c>
      <c r="DE23" s="15">
        <v>267</v>
      </c>
      <c r="DF23" s="10">
        <v>262.64</v>
      </c>
      <c r="DG23" s="10">
        <f t="shared" si="264"/>
        <v>4.3600000000000136</v>
      </c>
      <c r="DH23" s="10">
        <f t="shared" si="395"/>
        <v>77.110000000000042</v>
      </c>
      <c r="DI23" s="168">
        <f t="shared" si="396"/>
        <v>15.849808786281651</v>
      </c>
      <c r="DJ23" s="168">
        <f t="shared" si="397"/>
        <v>281.49279850297449</v>
      </c>
      <c r="DK23" s="15">
        <v>264.70999999999998</v>
      </c>
      <c r="DL23" s="10">
        <v>261.92</v>
      </c>
      <c r="DM23" s="165">
        <f>(DK23-DL23)</f>
        <v>2.7899999999999636</v>
      </c>
      <c r="DN23" s="10">
        <f t="shared" si="398"/>
        <v>79.900000000000006</v>
      </c>
      <c r="DO23" s="168">
        <f t="shared" si="399"/>
        <v>10.142423512322267</v>
      </c>
      <c r="DP23" s="168">
        <f t="shared" si="400"/>
        <v>291.63522201529679</v>
      </c>
      <c r="DQ23" s="202">
        <v>264.7</v>
      </c>
      <c r="DR23" s="10">
        <v>261.64</v>
      </c>
      <c r="DS23" s="10">
        <f>(DQ23-DR23)</f>
        <v>3.0600000000000023</v>
      </c>
      <c r="DT23" s="10">
        <f t="shared" si="401"/>
        <v>82.960000000000008</v>
      </c>
      <c r="DU23" s="168">
        <f t="shared" si="265"/>
        <v>11.123948368353609</v>
      </c>
      <c r="DV23" s="168">
        <f t="shared" si="402"/>
        <v>302.75917038365037</v>
      </c>
      <c r="DW23" s="15">
        <v>256.04000000000002</v>
      </c>
      <c r="DX23" s="10">
        <v>253.19</v>
      </c>
      <c r="DY23" s="10">
        <f t="shared" ref="DY23" si="427">DW23-DX23</f>
        <v>2.8500000000000227</v>
      </c>
      <c r="DZ23" s="10">
        <f t="shared" ref="DZ23" si="428">DT23+DY23</f>
        <v>85.810000000000031</v>
      </c>
      <c r="EA23" s="168">
        <f t="shared" ref="EA23" si="429">DY23*$T$1</f>
        <v>10.360540146996083</v>
      </c>
      <c r="EB23" s="179">
        <f>DV23+EA23</f>
        <v>313.11971053064644</v>
      </c>
    </row>
    <row r="24" spans="1:132" ht="12" customHeight="1">
      <c r="A24" s="9" t="s">
        <v>383</v>
      </c>
      <c r="B24" s="62" t="s">
        <v>384</v>
      </c>
      <c r="C24" s="11">
        <v>43165</v>
      </c>
      <c r="D24" s="12" t="s">
        <v>22</v>
      </c>
      <c r="E24" s="10" t="s">
        <v>284</v>
      </c>
      <c r="F24" s="11">
        <v>43203</v>
      </c>
      <c r="G24" s="15">
        <v>253.59</v>
      </c>
      <c r="H24" s="13">
        <v>249.24</v>
      </c>
      <c r="I24" s="10">
        <f t="shared" si="407"/>
        <v>4.3499999999999943</v>
      </c>
      <c r="J24" s="168">
        <f t="shared" si="348"/>
        <v>15.81345601383598</v>
      </c>
      <c r="K24" s="15">
        <v>257.85000000000002</v>
      </c>
      <c r="L24" s="10">
        <v>253.09</v>
      </c>
      <c r="M24" s="10">
        <f t="shared" si="408"/>
        <v>4.7600000000000193</v>
      </c>
      <c r="N24" s="10">
        <f t="shared" si="349"/>
        <v>9.1100000000000136</v>
      </c>
      <c r="O24" s="168">
        <f t="shared" si="350"/>
        <v>17.303919684105672</v>
      </c>
      <c r="P24" s="168">
        <f t="shared" si="351"/>
        <v>33.117375697941654</v>
      </c>
      <c r="Q24" s="15">
        <v>260.17</v>
      </c>
      <c r="R24" s="77">
        <v>255.5</v>
      </c>
      <c r="S24" s="10">
        <f t="shared" si="409"/>
        <v>4.6700000000000159</v>
      </c>
      <c r="T24" s="10">
        <f t="shared" si="352"/>
        <v>13.78000000000003</v>
      </c>
      <c r="U24" s="168">
        <f t="shared" si="353"/>
        <v>16.976744732095259</v>
      </c>
      <c r="V24" s="168">
        <f t="shared" si="354"/>
        <v>50.094120430036909</v>
      </c>
      <c r="W24" s="15">
        <v>263.12</v>
      </c>
      <c r="X24" s="10">
        <v>258.5</v>
      </c>
      <c r="Y24" s="10">
        <f t="shared" ref="Y24:Y25" si="430">W24-X24</f>
        <v>4.6200000000000045</v>
      </c>
      <c r="Z24" s="10">
        <f t="shared" ref="Z24:Z25" si="431">T24+Y24</f>
        <v>18.400000000000034</v>
      </c>
      <c r="AA24" s="168">
        <f t="shared" ref="AA24:AA25" si="432">Y24*$T$1</f>
        <v>16.794980869867217</v>
      </c>
      <c r="AB24" s="168">
        <f t="shared" ref="AB24:AB25" si="433">V24+AA24</f>
        <v>66.889101299904127</v>
      </c>
      <c r="AC24" s="15">
        <v>257.61</v>
      </c>
      <c r="AD24" s="10">
        <v>252.91</v>
      </c>
      <c r="AE24" s="10">
        <f t="shared" si="411"/>
        <v>4.7000000000000171</v>
      </c>
      <c r="AF24" s="10">
        <f t="shared" si="358"/>
        <v>23.100000000000051</v>
      </c>
      <c r="AG24" s="168">
        <f t="shared" si="359"/>
        <v>17.085803049432062</v>
      </c>
      <c r="AH24" s="168">
        <f t="shared" si="360"/>
        <v>83.974904349336185</v>
      </c>
      <c r="AI24" s="15">
        <v>256.62</v>
      </c>
      <c r="AJ24" s="10">
        <v>252.52</v>
      </c>
      <c r="AK24" s="10">
        <f>AI24-AJ24</f>
        <v>4.0999999999999943</v>
      </c>
      <c r="AL24" s="10">
        <f>AF24+AK24</f>
        <v>27.200000000000045</v>
      </c>
      <c r="AM24" s="168">
        <f>AK24*$T$1</f>
        <v>14.90463670269598</v>
      </c>
      <c r="AN24" s="168">
        <f>AH24+AM24</f>
        <v>98.879541052032167</v>
      </c>
      <c r="AO24" s="15">
        <v>256.66000000000003</v>
      </c>
      <c r="AP24" s="10">
        <v>252.39</v>
      </c>
      <c r="AQ24" s="10">
        <f t="shared" si="413"/>
        <v>4.2700000000000387</v>
      </c>
      <c r="AR24" s="10">
        <f>AL24+AQ24</f>
        <v>31.470000000000084</v>
      </c>
      <c r="AS24" s="168">
        <f t="shared" si="365"/>
        <v>15.522633834271341</v>
      </c>
      <c r="AT24" s="168">
        <f>AN24+AS24</f>
        <v>114.40217488630351</v>
      </c>
      <c r="AU24" s="15">
        <v>257.08</v>
      </c>
      <c r="AV24" s="13">
        <v>252.63</v>
      </c>
      <c r="AW24" s="10">
        <f t="shared" ref="AW24" si="434">AU24-AV24</f>
        <v>4.4499999999999886</v>
      </c>
      <c r="AX24" s="10">
        <f t="shared" si="414"/>
        <v>35.920000000000073</v>
      </c>
      <c r="AY24" s="168">
        <f t="shared" si="415"/>
        <v>16.176983738291959</v>
      </c>
      <c r="AZ24" s="168">
        <f t="shared" si="416"/>
        <v>130.57915862459546</v>
      </c>
      <c r="BA24" s="15">
        <v>259.13</v>
      </c>
      <c r="BB24" s="10">
        <v>254.67</v>
      </c>
      <c r="BC24" s="345">
        <f>(BA24-BB24)-0.4625</f>
        <v>3.997500000000008</v>
      </c>
      <c r="BD24" s="10">
        <f t="shared" ref="BD24:BD25" si="435">AX24+BC24</f>
        <v>39.917500000000082</v>
      </c>
      <c r="BE24" s="168">
        <f t="shared" ref="BE24:BE25" si="436">BC24*$T$1</f>
        <v>14.53202078512863</v>
      </c>
      <c r="BF24" s="168">
        <f t="shared" ref="BF24:BF25" si="437">AZ24+BE24</f>
        <v>145.11117940972409</v>
      </c>
      <c r="BG24" s="15">
        <v>265.19</v>
      </c>
      <c r="BH24" s="10">
        <v>260.58999999999997</v>
      </c>
      <c r="BI24" s="345">
        <f>(BG24-BH24)-0.4625</f>
        <v>4.1375000000000224</v>
      </c>
      <c r="BJ24" s="10">
        <f t="shared" si="421"/>
        <v>44.055000000000106</v>
      </c>
      <c r="BK24" s="168">
        <f t="shared" si="422"/>
        <v>15.040959599367081</v>
      </c>
      <c r="BL24" s="168">
        <f t="shared" si="423"/>
        <v>160.15213900909117</v>
      </c>
      <c r="BM24" s="15">
        <v>267.58999999999997</v>
      </c>
      <c r="BN24" s="10">
        <v>263.95</v>
      </c>
      <c r="BO24" s="345">
        <f>(BM24-BN24)-0.4625</f>
        <v>3.1774999999999864</v>
      </c>
      <c r="BP24" s="10">
        <f t="shared" si="377"/>
        <v>47.232500000000094</v>
      </c>
      <c r="BQ24" s="168">
        <f t="shared" si="378"/>
        <v>11.551093444589352</v>
      </c>
      <c r="BR24" s="168">
        <f t="shared" si="379"/>
        <v>171.70323245368053</v>
      </c>
      <c r="BS24" s="15">
        <v>266.02</v>
      </c>
      <c r="BT24" s="10">
        <v>261.95</v>
      </c>
      <c r="BU24" s="345">
        <f>(BS24-BT24)-0.4625</f>
        <v>3.6074999999999933</v>
      </c>
      <c r="BV24" s="10">
        <f t="shared" ref="BV24:BV26" si="438">BP24+BU24</f>
        <v>50.840000000000089</v>
      </c>
      <c r="BW24" s="168">
        <f t="shared" ref="BW24:BW26" si="439">BU24*$T$1</f>
        <v>13.114262659750176</v>
      </c>
      <c r="BX24" s="168">
        <f t="shared" ref="BX24:BX26" si="440">BR24+BW24</f>
        <v>184.81749511343071</v>
      </c>
      <c r="BY24" s="15">
        <v>263.74</v>
      </c>
      <c r="BZ24" s="10">
        <v>261.33999999999997</v>
      </c>
      <c r="CA24" s="310">
        <f>(BY24-BZ24)-1.635</f>
        <v>0.7650000000000341</v>
      </c>
      <c r="CB24" s="172">
        <v>1.78</v>
      </c>
      <c r="CC24" s="172">
        <f>CA24+CB24</f>
        <v>2.5450000000000341</v>
      </c>
      <c r="CD24" s="10">
        <f>BV24+CC24</f>
        <v>53.385000000000126</v>
      </c>
      <c r="CE24" s="369">
        <f>(CA24*$T$1)+7.9092</f>
        <v>10.690187092088525</v>
      </c>
      <c r="CF24" s="168">
        <f>BX24+CE24</f>
        <v>195.50768220551925</v>
      </c>
      <c r="CG24" s="15">
        <v>266.93</v>
      </c>
      <c r="CH24" s="10">
        <v>261.22000000000003</v>
      </c>
      <c r="CI24" s="310">
        <f>(CG24-CH24)-1.635</f>
        <v>4.0749999999999797</v>
      </c>
      <c r="CJ24" s="10">
        <f>CD24+CI24</f>
        <v>57.460000000000107</v>
      </c>
      <c r="CK24" s="168">
        <f>CI24*$T$1</f>
        <v>14.813754771581927</v>
      </c>
      <c r="CL24" s="168">
        <f>CF24+CK24</f>
        <v>210.32143697710117</v>
      </c>
      <c r="CM24" s="15">
        <v>265.54000000000002</v>
      </c>
      <c r="CN24" s="13">
        <v>261.55</v>
      </c>
      <c r="CO24" s="10">
        <f>CM24-CN24</f>
        <v>3.9900000000000091</v>
      </c>
      <c r="CP24" s="10">
        <f>CJ24+CO24</f>
        <v>61.450000000000117</v>
      </c>
      <c r="CQ24" s="168">
        <f>CO24*$T$1</f>
        <v>14.504756205794434</v>
      </c>
      <c r="CR24" s="168">
        <f>CL24+CQ24</f>
        <v>224.82619318289559</v>
      </c>
      <c r="CS24" s="15">
        <v>266.29000000000002</v>
      </c>
      <c r="CT24" s="10">
        <v>261.08999999999997</v>
      </c>
      <c r="CU24" s="10">
        <f>CS24-CT24</f>
        <v>5.2000000000000455</v>
      </c>
      <c r="CV24" s="10">
        <f>CP24+CU24</f>
        <v>66.650000000000162</v>
      </c>
      <c r="CW24" s="168">
        <f>CU24*$T$1</f>
        <v>18.903441671712166</v>
      </c>
      <c r="CX24" s="168">
        <f>CR24+CW24</f>
        <v>243.72963485460775</v>
      </c>
      <c r="CY24" s="15">
        <v>267.07</v>
      </c>
      <c r="CZ24" s="10">
        <v>262.33</v>
      </c>
      <c r="DA24" s="310">
        <f>(CY24-CZ24)-0.66</f>
        <v>4.080000000000009</v>
      </c>
      <c r="DB24" s="10">
        <f>CV24+DA24</f>
        <v>70.730000000000175</v>
      </c>
      <c r="DC24" s="168">
        <f>DA24*$T$1</f>
        <v>14.831931157804833</v>
      </c>
      <c r="DD24" s="168">
        <f>CX24+DC24</f>
        <v>258.56156601241258</v>
      </c>
      <c r="DE24" s="15">
        <v>266.76</v>
      </c>
      <c r="DF24" s="10">
        <v>262.66000000000003</v>
      </c>
      <c r="DG24" s="310">
        <f>(DE24-DF24)-0.66</f>
        <v>3.4399999999999658</v>
      </c>
      <c r="DH24" s="10">
        <f t="shared" ref="DH24:DH25" si="441">DB24+DG24</f>
        <v>74.170000000000144</v>
      </c>
      <c r="DI24" s="168">
        <f t="shared" ref="DI24:DI25" si="442">DG24*$T$1</f>
        <v>12.505353721286276</v>
      </c>
      <c r="DJ24" s="168">
        <f t="shared" ref="DJ24:DJ25" si="443">DD24+DI24</f>
        <v>271.06691973369885</v>
      </c>
      <c r="DK24" s="15">
        <v>263.79000000000002</v>
      </c>
      <c r="DL24" s="10">
        <v>259.77999999999997</v>
      </c>
      <c r="DM24" s="310">
        <f>(DK24-DL24)-0.66</f>
        <v>3.3500000000000476</v>
      </c>
      <c r="DN24" s="10">
        <f t="shared" si="398"/>
        <v>77.520000000000195</v>
      </c>
      <c r="DO24" s="168">
        <f t="shared" si="399"/>
        <v>12.178178769276174</v>
      </c>
      <c r="DP24" s="168">
        <f t="shared" si="400"/>
        <v>283.24509850297505</v>
      </c>
      <c r="DQ24" s="202">
        <v>266.35000000000002</v>
      </c>
      <c r="DR24" s="10">
        <v>262.25</v>
      </c>
      <c r="DS24" s="310">
        <f>(DQ24-DR24)-0.66</f>
        <v>3.4400000000000226</v>
      </c>
      <c r="DT24" s="10">
        <f t="shared" ref="DT24:DT25" si="444">DN24+DS24</f>
        <v>80.960000000000221</v>
      </c>
      <c r="DU24" s="168">
        <f t="shared" si="265"/>
        <v>12.505353721286482</v>
      </c>
      <c r="DV24" s="168">
        <f t="shared" ref="DV24:DV25" si="445">DP24+DU24</f>
        <v>295.75045222426155</v>
      </c>
      <c r="DW24" s="15">
        <v>265.05</v>
      </c>
      <c r="DX24" s="10">
        <v>261.62</v>
      </c>
      <c r="DY24" s="10">
        <f t="shared" ref="DY24:DY26" si="446">DW24-DX24</f>
        <v>3.4300000000000068</v>
      </c>
      <c r="DZ24" s="10">
        <f t="shared" ref="DZ24:DZ26" si="447">DT24+DY24</f>
        <v>84.390000000000228</v>
      </c>
      <c r="EA24" s="168">
        <f t="shared" ref="EA24:EA26" si="448">DY24*$T$1</f>
        <v>12.469000948840826</v>
      </c>
      <c r="EB24" s="179">
        <f>DV24+EA24</f>
        <v>308.21945317310235</v>
      </c>
    </row>
    <row r="25" spans="1:132" ht="12" customHeight="1">
      <c r="A25" s="9" t="s">
        <v>385</v>
      </c>
      <c r="B25" s="62" t="s">
        <v>386</v>
      </c>
      <c r="C25" s="11">
        <v>43253</v>
      </c>
      <c r="D25" s="12" t="s">
        <v>22</v>
      </c>
      <c r="E25" s="10" t="s">
        <v>284</v>
      </c>
      <c r="F25" s="11">
        <v>43287</v>
      </c>
      <c r="G25" s="15">
        <v>250</v>
      </c>
      <c r="H25" s="13">
        <v>245.84</v>
      </c>
      <c r="I25" s="10">
        <f t="shared" si="407"/>
        <v>4.1599999999999966</v>
      </c>
      <c r="J25" s="168">
        <f t="shared" si="348"/>
        <v>15.122753337369588</v>
      </c>
      <c r="K25" s="15">
        <v>250.59</v>
      </c>
      <c r="L25" s="10">
        <f>(246.58+0.59)</f>
        <v>247.17000000000002</v>
      </c>
      <c r="M25" s="10">
        <f t="shared" ref="M25" si="449">K25-L25</f>
        <v>3.4199999999999875</v>
      </c>
      <c r="N25" s="10">
        <f t="shared" ref="N25" si="450">I25+M25</f>
        <v>7.5799999999999841</v>
      </c>
      <c r="O25" s="168">
        <f t="shared" ref="O25" si="451">M25*$T$1</f>
        <v>12.432648176395155</v>
      </c>
      <c r="P25" s="168">
        <f t="shared" ref="P25" si="452">J25+O25</f>
        <v>27.555401513764743</v>
      </c>
      <c r="Q25" s="15">
        <v>252.41</v>
      </c>
      <c r="R25" s="77">
        <v>248.11</v>
      </c>
      <c r="S25" s="10">
        <f t="shared" si="409"/>
        <v>4.2999999999999829</v>
      </c>
      <c r="T25" s="10">
        <f t="shared" si="352"/>
        <v>11.879999999999967</v>
      </c>
      <c r="U25" s="168">
        <f t="shared" si="353"/>
        <v>15.631692151607938</v>
      </c>
      <c r="V25" s="168">
        <f t="shared" si="354"/>
        <v>43.187093665372679</v>
      </c>
      <c r="W25" s="15">
        <v>254.02</v>
      </c>
      <c r="X25" s="10">
        <v>249.96</v>
      </c>
      <c r="Y25" s="10">
        <f t="shared" si="430"/>
        <v>4.0600000000000023</v>
      </c>
      <c r="Z25" s="10">
        <f t="shared" si="431"/>
        <v>15.939999999999969</v>
      </c>
      <c r="AA25" s="168">
        <f t="shared" si="432"/>
        <v>14.759225612913609</v>
      </c>
      <c r="AB25" s="168">
        <f t="shared" si="433"/>
        <v>57.946319278286289</v>
      </c>
      <c r="AC25" s="15">
        <v>253.3</v>
      </c>
      <c r="AD25" s="10">
        <v>249.09</v>
      </c>
      <c r="AE25" s="10">
        <f t="shared" si="411"/>
        <v>4.210000000000008</v>
      </c>
      <c r="AF25" s="10">
        <f t="shared" si="358"/>
        <v>20.149999999999977</v>
      </c>
      <c r="AG25" s="168">
        <f t="shared" si="359"/>
        <v>15.30451719959763</v>
      </c>
      <c r="AH25" s="168">
        <f t="shared" si="360"/>
        <v>73.250836477883922</v>
      </c>
      <c r="AI25" s="15">
        <v>252.76</v>
      </c>
      <c r="AJ25" s="10">
        <f>248.2+0.32</f>
        <v>248.51999999999998</v>
      </c>
      <c r="AK25" s="10">
        <f>AI25-AJ25</f>
        <v>4.2400000000000091</v>
      </c>
      <c r="AL25" s="10">
        <f>AF25+AK25</f>
        <v>24.389999999999986</v>
      </c>
      <c r="AM25" s="168">
        <f>AK25*$T$1</f>
        <v>15.413575516934433</v>
      </c>
      <c r="AN25" s="168">
        <f>AH25+AM25</f>
        <v>88.664411994818352</v>
      </c>
      <c r="AO25" s="15">
        <v>253.62</v>
      </c>
      <c r="AP25" s="10">
        <v>248.29</v>
      </c>
      <c r="AQ25" s="10">
        <f t="shared" si="413"/>
        <v>5.3300000000000125</v>
      </c>
      <c r="AR25" s="10">
        <f>AL25+AQ25</f>
        <v>29.72</v>
      </c>
      <c r="AS25" s="168">
        <f t="shared" si="365"/>
        <v>19.376027713504847</v>
      </c>
      <c r="AT25" s="168">
        <f>AN25+AS25</f>
        <v>108.04043970832319</v>
      </c>
      <c r="AU25" s="15">
        <v>250.29</v>
      </c>
      <c r="AV25" s="361">
        <v>246.96</v>
      </c>
      <c r="AW25" s="10">
        <f t="shared" ref="AW25" si="453">AU25-AV25</f>
        <v>3.3299999999999841</v>
      </c>
      <c r="AX25" s="10">
        <f t="shared" ref="AX25" si="454">AR25+AW25</f>
        <v>33.049999999999983</v>
      </c>
      <c r="AY25" s="168">
        <f t="shared" ref="AY25" si="455">AW25*$T$1</f>
        <v>12.105473224384742</v>
      </c>
      <c r="AZ25" s="168">
        <f t="shared" ref="AZ25" si="456">AT25+AY25</f>
        <v>120.14591293270793</v>
      </c>
      <c r="BA25" s="15">
        <v>249.23</v>
      </c>
      <c r="BB25" s="360">
        <v>245.48</v>
      </c>
      <c r="BC25" s="10">
        <f t="shared" si="417"/>
        <v>3.75</v>
      </c>
      <c r="BD25" s="10">
        <f t="shared" si="435"/>
        <v>36.799999999999983</v>
      </c>
      <c r="BE25" s="168">
        <f t="shared" si="436"/>
        <v>13.6322896671</v>
      </c>
      <c r="BF25" s="168">
        <f t="shared" si="437"/>
        <v>133.77820259980794</v>
      </c>
      <c r="BG25" s="15">
        <v>251.8</v>
      </c>
      <c r="BH25" s="360">
        <v>247.24</v>
      </c>
      <c r="BI25" s="10">
        <f t="shared" ref="BI25:BI26" si="457">BG25-BH25</f>
        <v>4.5600000000000023</v>
      </c>
      <c r="BJ25" s="10">
        <f t="shared" ref="BJ25:BJ26" si="458">BD25+BI25</f>
        <v>41.359999999999985</v>
      </c>
      <c r="BK25" s="168">
        <f t="shared" ref="BK25:BK26" si="459">BI25*$T$1</f>
        <v>16.576864235193607</v>
      </c>
      <c r="BL25" s="168">
        <f t="shared" ref="BL25:BL26" si="460">BF25+BK25</f>
        <v>150.35506683500154</v>
      </c>
      <c r="BM25" s="15">
        <v>250.95</v>
      </c>
      <c r="BN25" s="360">
        <v>247.32</v>
      </c>
      <c r="BO25" s="10">
        <f>BM25-BN25</f>
        <v>3.6299999999999955</v>
      </c>
      <c r="BP25" s="10">
        <f t="shared" ref="BP25" si="461">BJ25+BO25</f>
        <v>44.989999999999981</v>
      </c>
      <c r="BQ25" s="168">
        <f t="shared" ref="BQ25" si="462">BO25*$T$1</f>
        <v>13.196056397752784</v>
      </c>
      <c r="BR25" s="168">
        <f t="shared" ref="BR25" si="463">BL25+BQ25</f>
        <v>163.55112323275432</v>
      </c>
      <c r="BS25" s="15">
        <v>251.59</v>
      </c>
      <c r="BT25" s="10">
        <v>248.3</v>
      </c>
      <c r="BU25" s="222">
        <f>BS25-BT25</f>
        <v>3.289999999999992</v>
      </c>
      <c r="BV25" s="10">
        <f t="shared" si="438"/>
        <v>48.279999999999973</v>
      </c>
      <c r="BW25" s="168">
        <f t="shared" si="439"/>
        <v>11.960062134602371</v>
      </c>
      <c r="BX25" s="168">
        <f t="shared" si="440"/>
        <v>175.51118536735669</v>
      </c>
      <c r="BY25" s="15">
        <v>253.14</v>
      </c>
      <c r="BZ25" s="10">
        <v>249.15</v>
      </c>
      <c r="CA25" s="372">
        <f>BY25-BZ25-3.9</f>
        <v>8.9999999999980762E-2</v>
      </c>
      <c r="CB25" s="172">
        <v>2.29</v>
      </c>
      <c r="CC25" s="172">
        <f>CA25+CB25</f>
        <v>2.3799999999999808</v>
      </c>
      <c r="CD25" s="10">
        <f>BV25+CC25</f>
        <v>50.659999999999954</v>
      </c>
      <c r="CE25" s="369">
        <f>(CA25*$T$1)+9.4076</f>
        <v>9.7347749520103299</v>
      </c>
      <c r="CF25" s="168">
        <f>BX25+CE25</f>
        <v>185.24596031936701</v>
      </c>
      <c r="CG25" s="15">
        <v>254</v>
      </c>
      <c r="CH25" s="10">
        <v>249.05</v>
      </c>
      <c r="CI25" s="372">
        <f>(CG25-CH25)-3.9</f>
        <v>1.0499999999999887</v>
      </c>
      <c r="CJ25" s="10">
        <f>CD25+CI25</f>
        <v>51.709999999999944</v>
      </c>
      <c r="CK25" s="168">
        <f>CI25*$T$1</f>
        <v>3.817041106787959</v>
      </c>
      <c r="CL25" s="168">
        <f>CF25+CK25</f>
        <v>189.06300142615498</v>
      </c>
      <c r="CM25" s="15">
        <v>254.38</v>
      </c>
      <c r="CN25" s="13">
        <v>250.57</v>
      </c>
      <c r="CO25" s="10">
        <f>CM25-CN25</f>
        <v>3.8100000000000023</v>
      </c>
      <c r="CP25" s="10">
        <f>CJ25+CO25</f>
        <v>55.519999999999946</v>
      </c>
      <c r="CQ25" s="168">
        <f>CO25*$T$1</f>
        <v>13.850406301773608</v>
      </c>
      <c r="CR25" s="168">
        <f>CL25+CQ25</f>
        <v>202.91340772792859</v>
      </c>
      <c r="CS25" s="15">
        <v>253.54</v>
      </c>
      <c r="CT25" s="366">
        <v>249.76</v>
      </c>
      <c r="CU25" s="10">
        <f>CS25-CT25</f>
        <v>3.7800000000000011</v>
      </c>
      <c r="CV25" s="10">
        <f>CP25+CU25</f>
        <v>59.299999999999947</v>
      </c>
      <c r="CW25" s="168">
        <f>CU25*$T$1</f>
        <v>13.741347984436805</v>
      </c>
      <c r="CX25" s="168">
        <f>CR25+CW25</f>
        <v>216.65475571236539</v>
      </c>
      <c r="CY25" s="15">
        <v>254.73</v>
      </c>
      <c r="CZ25" s="366">
        <v>250.14</v>
      </c>
      <c r="DA25" s="10">
        <f>(CY25-CZ25)-0.66</f>
        <v>3.9300000000000033</v>
      </c>
      <c r="DB25" s="10">
        <f>CV25+DA25</f>
        <v>63.229999999999947</v>
      </c>
      <c r="DC25" s="168">
        <f>DA25*$T$1</f>
        <v>14.286639571120812</v>
      </c>
      <c r="DD25" s="168">
        <f>CX25+DC25</f>
        <v>230.9413952834862</v>
      </c>
      <c r="DE25" s="15">
        <v>253.5</v>
      </c>
      <c r="DF25" s="10">
        <v>249.28</v>
      </c>
      <c r="DG25" s="10">
        <f>(DE25-DF25)-0.66</f>
        <v>3.5599999999999987</v>
      </c>
      <c r="DH25" s="10">
        <f t="shared" si="441"/>
        <v>66.789999999999949</v>
      </c>
      <c r="DI25" s="168">
        <f t="shared" si="442"/>
        <v>12.941586990633596</v>
      </c>
      <c r="DJ25" s="168">
        <f t="shared" si="443"/>
        <v>243.8829822741198</v>
      </c>
      <c r="DK25" s="15">
        <v>250.98</v>
      </c>
      <c r="DL25" s="374">
        <f>244.76+2.715</f>
        <v>247.47499999999999</v>
      </c>
      <c r="DM25" s="10">
        <f>(DK25-DL25)</f>
        <v>3.5049999999999955</v>
      </c>
      <c r="DN25" s="10">
        <f t="shared" si="398"/>
        <v>70.294999999999945</v>
      </c>
      <c r="DO25" s="168">
        <f t="shared" si="399"/>
        <v>12.741646742182784</v>
      </c>
      <c r="DP25" s="168">
        <f t="shared" si="400"/>
        <v>256.62462901630261</v>
      </c>
      <c r="DQ25" s="202">
        <v>251.88</v>
      </c>
      <c r="DR25" s="374">
        <f>247.18+2.715</f>
        <v>249.89500000000001</v>
      </c>
      <c r="DS25" s="10">
        <f>(DQ25-DR25)</f>
        <v>1.9849999999999852</v>
      </c>
      <c r="DT25" s="10">
        <f t="shared" si="444"/>
        <v>72.27999999999993</v>
      </c>
      <c r="DU25" s="168">
        <f t="shared" ref="DU25" si="464">DS25*$T$1</f>
        <v>7.2160253304515463</v>
      </c>
      <c r="DV25" s="168">
        <f t="shared" si="445"/>
        <v>263.84065434675415</v>
      </c>
      <c r="DW25" s="15">
        <v>252.03</v>
      </c>
      <c r="DX25" s="10">
        <v>248.75</v>
      </c>
      <c r="DY25" s="10">
        <f t="shared" si="446"/>
        <v>3.2800000000000011</v>
      </c>
      <c r="DZ25" s="10">
        <f t="shared" si="447"/>
        <v>75.559999999999931</v>
      </c>
      <c r="EA25" s="168">
        <f t="shared" si="448"/>
        <v>11.923709362156805</v>
      </c>
      <c r="EB25" s="179">
        <f>DV25+EA25</f>
        <v>275.76436370891093</v>
      </c>
    </row>
    <row r="26" spans="1:132" ht="12" customHeight="1">
      <c r="A26" s="9" t="s">
        <v>387</v>
      </c>
      <c r="B26" s="62" t="s">
        <v>388</v>
      </c>
      <c r="C26" s="11"/>
      <c r="D26" s="12" t="s">
        <v>22</v>
      </c>
      <c r="E26" s="10" t="s">
        <v>284</v>
      </c>
      <c r="F26" s="11">
        <v>43742</v>
      </c>
      <c r="G26" s="15">
        <v>258.74</v>
      </c>
      <c r="H26" s="13">
        <v>253.49</v>
      </c>
      <c r="I26" s="345">
        <v>5.19</v>
      </c>
      <c r="J26" s="168">
        <f t="shared" si="348"/>
        <v>18.867088899266403</v>
      </c>
      <c r="K26" s="15">
        <v>259.60000000000002</v>
      </c>
      <c r="L26" s="10">
        <v>253.92</v>
      </c>
      <c r="M26" s="345">
        <v>5.2</v>
      </c>
      <c r="N26" s="10">
        <f t="shared" ref="N26" si="465">I26+M26</f>
        <v>10.39</v>
      </c>
      <c r="O26" s="168">
        <f t="shared" ref="O26" si="466">M26*$T$1</f>
        <v>18.903441671712002</v>
      </c>
      <c r="P26" s="168">
        <f t="shared" ref="P26" si="467">J26+O26</f>
        <v>37.770530570978408</v>
      </c>
      <c r="Q26" s="15">
        <v>263.04000000000002</v>
      </c>
      <c r="R26" s="77">
        <v>256.72000000000003</v>
      </c>
      <c r="S26" s="345">
        <v>5.19</v>
      </c>
      <c r="T26" s="10">
        <f t="shared" si="352"/>
        <v>15.580000000000002</v>
      </c>
      <c r="U26" s="168">
        <f t="shared" si="353"/>
        <v>18.867088899266403</v>
      </c>
      <c r="V26" s="168">
        <f t="shared" si="354"/>
        <v>56.637619470244815</v>
      </c>
      <c r="W26" s="15">
        <v>263.51</v>
      </c>
      <c r="X26" s="10">
        <v>257.92</v>
      </c>
      <c r="Y26" s="345">
        <v>5.2</v>
      </c>
      <c r="Z26" s="10">
        <f t="shared" ref="Z26" si="468">T26+Y26</f>
        <v>20.78</v>
      </c>
      <c r="AA26" s="168">
        <f t="shared" ref="AA26" si="469">Y26*$T$1</f>
        <v>18.903441671712002</v>
      </c>
      <c r="AB26" s="168">
        <f t="shared" ref="AB26" si="470">V26+AA26</f>
        <v>75.541061141956817</v>
      </c>
      <c r="AC26" s="15">
        <v>269.01</v>
      </c>
      <c r="AD26" s="10">
        <v>262.19</v>
      </c>
      <c r="AE26" s="345">
        <v>5.19</v>
      </c>
      <c r="AF26" s="10">
        <f t="shared" ref="AF26" si="471">Z26+AE26</f>
        <v>25.970000000000002</v>
      </c>
      <c r="AG26" s="168">
        <f t="shared" ref="AG26" si="472">AE26*$T$1</f>
        <v>18.867088899266403</v>
      </c>
      <c r="AH26" s="168">
        <f t="shared" ref="AH26" si="473">AB26+AG26</f>
        <v>94.408150041223223</v>
      </c>
      <c r="AI26" s="15">
        <v>269.32</v>
      </c>
      <c r="AJ26" s="10">
        <v>263.02999999999997</v>
      </c>
      <c r="AK26" s="345">
        <v>5.2</v>
      </c>
      <c r="AL26" s="10">
        <f>AF26+AK26</f>
        <v>31.17</v>
      </c>
      <c r="AM26" s="168">
        <f>AK26*$T$1</f>
        <v>18.903441671712002</v>
      </c>
      <c r="AN26" s="168">
        <f>AH26+AM26</f>
        <v>113.31159171293523</v>
      </c>
      <c r="AO26" s="15">
        <v>268.52999999999997</v>
      </c>
      <c r="AP26" s="10">
        <v>264.55</v>
      </c>
      <c r="AQ26" s="10">
        <f t="shared" ref="AQ26" si="474">AO26-AP26</f>
        <v>3.9799999999999613</v>
      </c>
      <c r="AR26" s="10">
        <f>AL26+AQ26</f>
        <v>35.149999999999963</v>
      </c>
      <c r="AS26" s="168">
        <f t="shared" ref="AS26" si="475">AQ26*$T$1</f>
        <v>14.46840343334866</v>
      </c>
      <c r="AT26" s="168">
        <f>AN26+AS26</f>
        <v>127.77999514628388</v>
      </c>
      <c r="AU26" s="15">
        <v>265.87</v>
      </c>
      <c r="AV26" s="13">
        <v>260.86</v>
      </c>
      <c r="AW26" s="10">
        <f t="shared" ref="AW26" si="476">AU26-AV26</f>
        <v>5.0099999999999909</v>
      </c>
      <c r="AX26" s="10">
        <f t="shared" ref="AX26" si="477">AR26+AW26</f>
        <v>40.159999999999954</v>
      </c>
      <c r="AY26" s="168">
        <f t="shared" ref="AY26" si="478">AW26*$T$1</f>
        <v>18.212738995245566</v>
      </c>
      <c r="AZ26" s="168">
        <f t="shared" ref="AZ26" si="479">AT26+AY26</f>
        <v>145.99273414152944</v>
      </c>
      <c r="BA26" s="15">
        <v>265.69</v>
      </c>
      <c r="BB26" s="10">
        <v>261.39</v>
      </c>
      <c r="BC26" s="10">
        <f t="shared" ref="BC26" si="480">BA26-BB26</f>
        <v>4.3000000000000114</v>
      </c>
      <c r="BD26" s="10">
        <f t="shared" ref="BD26" si="481">AX26+BC26</f>
        <v>44.459999999999965</v>
      </c>
      <c r="BE26" s="168">
        <f t="shared" ref="BE26" si="482">BC26*$T$1</f>
        <v>15.631692151608043</v>
      </c>
      <c r="BF26" s="168">
        <f t="shared" ref="BF26" si="483">AZ26+BE26</f>
        <v>161.62442629313747</v>
      </c>
      <c r="BG26" s="15">
        <v>267.89999999999998</v>
      </c>
      <c r="BH26" s="10">
        <v>263.72000000000003</v>
      </c>
      <c r="BI26" s="10">
        <f t="shared" si="457"/>
        <v>4.17999999999995</v>
      </c>
      <c r="BJ26" s="10">
        <f t="shared" si="458"/>
        <v>48.639999999999915</v>
      </c>
      <c r="BK26" s="168">
        <f t="shared" si="459"/>
        <v>15.195458882260619</v>
      </c>
      <c r="BL26" s="168">
        <f t="shared" si="460"/>
        <v>176.8198851753981</v>
      </c>
      <c r="BM26" s="15">
        <v>266.37</v>
      </c>
      <c r="BN26" s="10">
        <v>261.26</v>
      </c>
      <c r="BO26" s="10">
        <f>BM26-BN26</f>
        <v>5.1100000000000136</v>
      </c>
      <c r="BP26" s="10">
        <f t="shared" ref="BP26" si="484">BJ26+BO26</f>
        <v>53.749999999999929</v>
      </c>
      <c r="BQ26" s="168">
        <f t="shared" ref="BQ26" si="485">BO26*$T$1</f>
        <v>18.57626671970165</v>
      </c>
      <c r="BR26" s="168">
        <f t="shared" ref="BR26" si="486">BL26+BQ26</f>
        <v>195.39615189509976</v>
      </c>
      <c r="BS26" s="15">
        <v>266.12</v>
      </c>
      <c r="BT26" s="10">
        <v>261.88</v>
      </c>
      <c r="BU26" s="10">
        <f t="shared" ref="BU26" si="487">BS26-BT26</f>
        <v>4.2400000000000091</v>
      </c>
      <c r="BV26" s="10">
        <f t="shared" si="438"/>
        <v>57.989999999999938</v>
      </c>
      <c r="BW26" s="168">
        <f t="shared" si="439"/>
        <v>15.413575516934433</v>
      </c>
      <c r="BX26" s="168">
        <f t="shared" si="440"/>
        <v>210.80972741203419</v>
      </c>
      <c r="BY26" s="15">
        <v>268.83</v>
      </c>
      <c r="BZ26" s="10">
        <v>266.06</v>
      </c>
      <c r="CA26" s="10">
        <f>(BY26-BZ26)-1.12</f>
        <v>1.6499999999999817</v>
      </c>
      <c r="CB26" s="172">
        <v>2.15</v>
      </c>
      <c r="CC26" s="172">
        <f>CA26+CB26</f>
        <v>3.7999999999999816</v>
      </c>
      <c r="CD26" s="10">
        <f>BV26+CC26</f>
        <v>61.789999999999921</v>
      </c>
      <c r="CE26" s="369">
        <f>(CA26*$T$1)+8.74</f>
        <v>14.738207453523934</v>
      </c>
      <c r="CF26" s="168">
        <f>BX26+CE26</f>
        <v>225.54793486555812</v>
      </c>
      <c r="CG26" s="15">
        <v>267.35000000000002</v>
      </c>
      <c r="CH26" s="10">
        <v>263.83999999999997</v>
      </c>
      <c r="CI26" s="10">
        <f t="shared" ref="CI26" si="488">CG26-CH26</f>
        <v>3.5100000000000477</v>
      </c>
      <c r="CJ26" s="10">
        <f t="shared" ref="CJ26" si="489">CD26+CI26</f>
        <v>65.299999999999969</v>
      </c>
      <c r="CK26" s="168">
        <f t="shared" ref="CK26" si="490">CI26*$T$1</f>
        <v>12.759823128405774</v>
      </c>
      <c r="CL26" s="168">
        <f t="shared" ref="CL26" si="491">CF26+CK26</f>
        <v>238.30775799396389</v>
      </c>
      <c r="CM26" s="15">
        <v>266.88</v>
      </c>
      <c r="CN26" s="13">
        <v>262.17</v>
      </c>
      <c r="CO26" s="10">
        <f>CM26-CN26</f>
        <v>4.7099999999999795</v>
      </c>
      <c r="CP26" s="10">
        <f>CJ26+CO26</f>
        <v>70.009999999999948</v>
      </c>
      <c r="CQ26" s="168">
        <f>CO26*$T$1</f>
        <v>17.122155821877527</v>
      </c>
      <c r="CR26" s="168">
        <f>CL26+CQ26</f>
        <v>255.42991381584142</v>
      </c>
      <c r="CS26" s="15">
        <v>265.73</v>
      </c>
      <c r="CT26" s="10">
        <v>261.10000000000002</v>
      </c>
      <c r="CU26" s="10">
        <f>CS26-CT26</f>
        <v>4.6299999999999955</v>
      </c>
      <c r="CV26" s="10">
        <f>CP26+CU26</f>
        <v>74.639999999999944</v>
      </c>
      <c r="CW26" s="168">
        <f>CU26*$T$1</f>
        <v>16.831333642312785</v>
      </c>
      <c r="CX26" s="168">
        <f>CR26+CW26</f>
        <v>272.26124745815423</v>
      </c>
      <c r="CY26" s="15">
        <v>269.05</v>
      </c>
      <c r="CZ26" s="10">
        <v>265.29000000000002</v>
      </c>
      <c r="DA26" s="10">
        <f>CY26-CZ26</f>
        <v>3.7599999999999909</v>
      </c>
      <c r="DB26" s="10">
        <f>CV26+DA26</f>
        <v>78.399999999999935</v>
      </c>
      <c r="DC26" s="168">
        <f>DA26*$T$1</f>
        <v>13.668642439545568</v>
      </c>
      <c r="DD26" s="168">
        <f>CX26+DC26</f>
        <v>285.92988989769981</v>
      </c>
      <c r="DE26" s="15">
        <v>266.14</v>
      </c>
      <c r="DF26" s="10">
        <v>261.07</v>
      </c>
      <c r="DG26" s="10">
        <f>(DE26-DF26)-0.66</f>
        <v>4.409999999999993</v>
      </c>
      <c r="DH26" s="10">
        <f t="shared" ref="DH26" si="492">DB26+DG26</f>
        <v>82.809999999999931</v>
      </c>
      <c r="DI26" s="168">
        <f t="shared" ref="DI26" si="493">DG26*$T$1</f>
        <v>16.031572648509574</v>
      </c>
      <c r="DJ26" s="168">
        <f t="shared" ref="DJ26" si="494">DD26+DI26</f>
        <v>301.96146254620936</v>
      </c>
      <c r="DK26" s="15">
        <v>268.56</v>
      </c>
      <c r="DL26" s="10">
        <v>263.66000000000003</v>
      </c>
      <c r="DM26" s="10">
        <f>(DK26-DL26)</f>
        <v>4.8999999999999773</v>
      </c>
      <c r="DN26" s="10">
        <f t="shared" ref="DN26" si="495">DH26+DM26</f>
        <v>87.709999999999908</v>
      </c>
      <c r="DO26" s="168">
        <f t="shared" ref="DO26" si="496">DM26*$T$1</f>
        <v>17.812858498343918</v>
      </c>
      <c r="DP26" s="168">
        <f t="shared" ref="DP26" si="497">DJ26+DO26</f>
        <v>319.77432104455329</v>
      </c>
      <c r="DQ26" s="202">
        <v>267.82</v>
      </c>
      <c r="DR26" s="10">
        <v>263.39</v>
      </c>
      <c r="DS26" s="10">
        <f>(DQ26-DR26)</f>
        <v>4.4300000000000068</v>
      </c>
      <c r="DT26" s="10">
        <f t="shared" ref="DT26" si="498">DN26+DS26</f>
        <v>92.139999999999915</v>
      </c>
      <c r="DU26" s="168">
        <f t="shared" ref="DU26" si="499">DS26*$T$1</f>
        <v>16.104278193400827</v>
      </c>
      <c r="DV26" s="168">
        <f t="shared" ref="DV26" si="500">DP26+DU26</f>
        <v>335.87859923795412</v>
      </c>
      <c r="DW26" s="15">
        <v>262.08</v>
      </c>
      <c r="DX26" s="10">
        <v>258.31</v>
      </c>
      <c r="DY26" s="10">
        <f t="shared" si="446"/>
        <v>3.7699999999999818</v>
      </c>
      <c r="DZ26" s="10">
        <f t="shared" si="447"/>
        <v>95.909999999999897</v>
      </c>
      <c r="EA26" s="168">
        <f t="shared" si="448"/>
        <v>13.704995211991134</v>
      </c>
      <c r="EB26" s="179">
        <f>DV26+EA26</f>
        <v>349.58359444994528</v>
      </c>
    </row>
    <row r="27" spans="1:132" ht="12" customHeight="1">
      <c r="A27" s="9"/>
      <c r="B27" s="62"/>
      <c r="C27" s="11"/>
      <c r="D27" s="12"/>
      <c r="E27" s="10"/>
      <c r="F27" s="11"/>
      <c r="G27" s="15"/>
      <c r="H27" s="13"/>
      <c r="I27" s="10"/>
      <c r="J27" s="168"/>
      <c r="K27" s="15"/>
      <c r="L27" s="10"/>
      <c r="M27" s="10"/>
      <c r="N27" s="10"/>
      <c r="O27" s="168"/>
      <c r="P27" s="168"/>
      <c r="Q27" s="15"/>
      <c r="S27" s="10"/>
      <c r="T27" s="10"/>
      <c r="U27" s="168"/>
      <c r="V27" s="168"/>
      <c r="W27" s="15"/>
      <c r="X27" s="10"/>
      <c r="Y27" s="10"/>
      <c r="Z27" s="10"/>
      <c r="AA27" s="168"/>
      <c r="AB27" s="168"/>
      <c r="AC27" s="15"/>
      <c r="AD27" s="10"/>
      <c r="AE27" s="10"/>
      <c r="AF27" s="10"/>
      <c r="AG27" s="168"/>
      <c r="AH27" s="168"/>
      <c r="AI27" s="15"/>
      <c r="AJ27" s="10"/>
      <c r="AK27" s="10"/>
      <c r="AL27" s="10"/>
      <c r="AM27" s="168"/>
      <c r="AN27" s="168"/>
      <c r="AO27" s="15"/>
      <c r="AP27" s="10"/>
      <c r="AQ27" s="10"/>
      <c r="AR27" s="10"/>
      <c r="AS27" s="168"/>
      <c r="AT27" s="168"/>
      <c r="AU27" s="15"/>
      <c r="AV27" s="13"/>
      <c r="AW27" s="10"/>
      <c r="AX27" s="10"/>
      <c r="AY27" s="168"/>
      <c r="AZ27" s="168"/>
      <c r="BA27" s="15"/>
      <c r="BB27" s="10"/>
      <c r="BC27" s="10"/>
      <c r="BD27" s="10"/>
      <c r="BE27" s="168"/>
      <c r="BF27" s="168"/>
      <c r="BG27" s="15"/>
      <c r="BH27" s="10"/>
      <c r="BI27" s="10"/>
      <c r="BJ27" s="10"/>
      <c r="BK27" s="168"/>
      <c r="BL27" s="168"/>
      <c r="BM27" s="15"/>
      <c r="BN27" s="10"/>
      <c r="BO27" s="10"/>
      <c r="BP27" s="10"/>
      <c r="BQ27" s="168"/>
      <c r="BR27" s="168"/>
      <c r="BS27" s="15"/>
      <c r="BT27" s="10"/>
      <c r="BU27" s="10"/>
      <c r="BV27" s="10"/>
      <c r="BW27" s="168"/>
      <c r="BX27" s="168"/>
      <c r="BY27" s="15"/>
      <c r="BZ27" s="10"/>
      <c r="CA27" s="10"/>
      <c r="CB27" s="172"/>
      <c r="CC27" s="172"/>
      <c r="CD27" s="10"/>
      <c r="CE27" s="369"/>
      <c r="CF27" s="168"/>
      <c r="CG27" s="15"/>
      <c r="CH27" s="10"/>
      <c r="CI27" s="10"/>
      <c r="CJ27" s="10"/>
      <c r="CK27" s="168"/>
      <c r="CL27" s="168"/>
      <c r="CM27" s="15"/>
      <c r="CN27" s="13"/>
      <c r="CO27" s="10"/>
      <c r="CP27" s="10"/>
      <c r="CQ27" s="168"/>
      <c r="CR27" s="168"/>
      <c r="CS27" s="15"/>
      <c r="CT27" s="10"/>
      <c r="CU27" s="10"/>
      <c r="CV27" s="10"/>
      <c r="CW27" s="168"/>
      <c r="CX27" s="168"/>
      <c r="CY27" s="15"/>
      <c r="CZ27" s="10"/>
      <c r="DA27" s="10"/>
      <c r="DB27" s="10"/>
      <c r="DC27" s="168"/>
      <c r="DD27" s="168"/>
      <c r="DE27" s="15"/>
      <c r="DF27" s="10"/>
      <c r="DG27" s="10"/>
      <c r="DH27" s="10"/>
      <c r="DI27" s="168"/>
      <c r="DJ27" s="168"/>
      <c r="DK27" s="15"/>
      <c r="DL27" s="10"/>
      <c r="DM27" s="10"/>
      <c r="DN27" s="10"/>
      <c r="DO27" s="168"/>
      <c r="DP27" s="168"/>
      <c r="DQ27" s="202"/>
      <c r="DR27" s="10"/>
      <c r="DS27" s="10"/>
      <c r="DT27" s="10"/>
      <c r="DU27" s="168"/>
      <c r="DV27" s="168"/>
      <c r="DW27" s="15"/>
      <c r="DX27" s="10"/>
      <c r="DY27" s="10"/>
      <c r="DZ27" s="10"/>
      <c r="EA27" s="168"/>
      <c r="EB27" s="179"/>
    </row>
    <row r="28" spans="1:132">
      <c r="A28" s="9"/>
      <c r="B28" s="11"/>
      <c r="C28" s="3"/>
      <c r="D28" s="12"/>
      <c r="E28" s="12"/>
      <c r="F28" s="3" t="s">
        <v>281</v>
      </c>
      <c r="G28" s="20"/>
      <c r="H28" s="18"/>
      <c r="I28" s="3">
        <f>AVERAGE(I19:I26)</f>
        <v>4.202500000000005</v>
      </c>
      <c r="J28" s="19">
        <f>AVERAGE(J19:J26)</f>
        <v>15.27725262026342</v>
      </c>
      <c r="K28" s="20"/>
      <c r="M28" s="3">
        <f>AVERAGE(M19:M26)</f>
        <v>4.4412500000000001</v>
      </c>
      <c r="N28" s="3">
        <f>AVERAGE(N19:N26)</f>
        <v>8.6437500000000043</v>
      </c>
      <c r="O28" s="3">
        <f t="shared" ref="O28:P28" si="501">AVERAGE(O19:O26)</f>
        <v>16.145175062402103</v>
      </c>
      <c r="P28" s="19">
        <f t="shared" si="501"/>
        <v>31.422427682665521</v>
      </c>
      <c r="Q28" s="20"/>
      <c r="R28" s="18"/>
      <c r="S28" s="3">
        <f>AVERAGE(S19:S26)</f>
        <v>4.7424999999999979</v>
      </c>
      <c r="T28" s="3">
        <f>AVERAGE(T19:T26)</f>
        <v>13.386250000000002</v>
      </c>
      <c r="U28" s="3">
        <f t="shared" ref="U28:V28" si="502">AVERAGE(U19:U26)</f>
        <v>17.24030233232579</v>
      </c>
      <c r="V28" s="19">
        <f t="shared" si="502"/>
        <v>48.662730014991311</v>
      </c>
      <c r="W28" s="20"/>
      <c r="X28" s="18"/>
      <c r="Y28" s="3">
        <f>AVERAGE(Y19:Y26)</f>
        <v>4.5912499999999969</v>
      </c>
      <c r="Z28" s="3">
        <f>AVERAGE(Z19:Z26)</f>
        <v>17.977499999999999</v>
      </c>
      <c r="AA28" s="3">
        <f t="shared" ref="AA28:AB28" si="503">AVERAGE(AA19:AA26)</f>
        <v>16.69046664908609</v>
      </c>
      <c r="AB28" s="19">
        <f t="shared" si="503"/>
        <v>65.353196664077402</v>
      </c>
      <c r="AC28" s="20"/>
      <c r="AD28" s="18"/>
      <c r="AE28" s="3">
        <f>AVERAGE(AE19:AE26)</f>
        <v>4.6287499999999966</v>
      </c>
      <c r="AF28" s="3">
        <f>AVERAGE(AF19:AF26)</f>
        <v>22.606249999999996</v>
      </c>
      <c r="AG28" s="3">
        <f t="shared" ref="AG28:AH28" si="504">AVERAGE(AG19:AG26)</f>
        <v>16.826789545757087</v>
      </c>
      <c r="AH28" s="19">
        <f t="shared" si="504"/>
        <v>82.179986209834482</v>
      </c>
      <c r="AI28" s="20"/>
      <c r="AJ28" s="18"/>
      <c r="AK28" s="3">
        <f>AVERAGE(AK19:AK26)</f>
        <v>4.7387499999999889</v>
      </c>
      <c r="AL28" s="3">
        <f>AVERAGE(AL19:AL26)</f>
        <v>27.344999999999985</v>
      </c>
      <c r="AM28" s="3">
        <f t="shared" ref="AM28:AN28" si="505">AVERAGE(AM19:AM26)</f>
        <v>17.226670042658661</v>
      </c>
      <c r="AN28" s="19">
        <f t="shared" si="505"/>
        <v>99.40665625249315</v>
      </c>
      <c r="AO28" s="20"/>
      <c r="AP28" s="18"/>
      <c r="AQ28" s="3">
        <f>AVERAGE(AQ19:AQ26)</f>
        <v>4.7237500000000052</v>
      </c>
      <c r="AR28" s="3">
        <f>AVERAGE(AR19:AR26)</f>
        <v>32.068749999999987</v>
      </c>
      <c r="AS28" s="3">
        <f t="shared" ref="AS28:AT28" si="506">AVERAGE(AS19:AS26)</f>
        <v>17.17214088399032</v>
      </c>
      <c r="AT28" s="19">
        <f t="shared" si="506"/>
        <v>116.57879713648349</v>
      </c>
      <c r="AU28" s="20"/>
      <c r="AV28" s="18"/>
      <c r="AW28" s="3">
        <f>AVERAGE(AW19:AW26)</f>
        <v>5.4049999999999958</v>
      </c>
      <c r="AX28" s="3">
        <f>AVERAGE(AX19:AX26)</f>
        <v>37.473749999999988</v>
      </c>
      <c r="AY28" s="3">
        <f t="shared" ref="AY28:AZ28" si="507">AVERAGE(AY19:AY26)</f>
        <v>19.648673506846784</v>
      </c>
      <c r="AZ28" s="19">
        <f t="shared" si="507"/>
        <v>136.22747064333024</v>
      </c>
      <c r="BA28" s="20"/>
      <c r="BB28" s="18"/>
      <c r="BC28" s="3">
        <f>AVERAGE(BC19:BC26)</f>
        <v>4.2121875000000033</v>
      </c>
      <c r="BD28" s="3">
        <f>AVERAGE(BD19:BD26)</f>
        <v>41.685937499999994</v>
      </c>
      <c r="BE28" s="3">
        <f t="shared" ref="BE28:BF28" si="508">AVERAGE(BE19:BE26)</f>
        <v>15.312469368570085</v>
      </c>
      <c r="BF28" s="19">
        <f t="shared" si="508"/>
        <v>151.53994001190034</v>
      </c>
      <c r="BG28" s="20"/>
      <c r="BH28" s="18"/>
      <c r="BI28" s="3">
        <f>AVERAGE(BI19:BI26)</f>
        <v>4.4571874999999892</v>
      </c>
      <c r="BJ28" s="3">
        <f>AVERAGE(BJ19:BJ26)</f>
        <v>46.143124999999976</v>
      </c>
      <c r="BK28" s="3">
        <f t="shared" ref="BK28:BL28" si="509">AVERAGE(BK19:BK26)</f>
        <v>16.203112293487237</v>
      </c>
      <c r="BL28" s="19">
        <f t="shared" si="509"/>
        <v>167.74305230538761</v>
      </c>
      <c r="BM28" s="20"/>
      <c r="BN28" s="18"/>
      <c r="BO28" s="3">
        <f>AVERAGE(BO19:BO26)</f>
        <v>3.9134375000000041</v>
      </c>
      <c r="BP28" s="3">
        <f>AVERAGE(BP19:BP26)</f>
        <v>50.056562499999991</v>
      </c>
      <c r="BQ28" s="3">
        <f t="shared" ref="BQ28:BR28" si="510">AVERAGE(BQ19:BQ26)</f>
        <v>14.22643029175779</v>
      </c>
      <c r="BR28" s="19">
        <f t="shared" si="510"/>
        <v>181.96948259714534</v>
      </c>
      <c r="BS28" s="20"/>
      <c r="BT28" s="18"/>
      <c r="BU28" s="3">
        <f>AVERAGE(BU19:BU26)</f>
        <v>4.0034374999999915</v>
      </c>
      <c r="BV28" s="3">
        <f>AVERAGE(BV19:BV26)</f>
        <v>54.059999999999974</v>
      </c>
      <c r="BW28" s="3">
        <f t="shared" ref="BW28:BX28" si="511">AVERAGE(BW19:BW26)</f>
        <v>14.553605243768146</v>
      </c>
      <c r="BX28" s="19">
        <f t="shared" si="511"/>
        <v>196.52308784091349</v>
      </c>
      <c r="BY28" s="20"/>
      <c r="BZ28" s="18"/>
      <c r="CA28" s="3">
        <f>AVERAGE(CA19:CA26)</f>
        <v>1.9281250000000023</v>
      </c>
      <c r="CB28" s="174">
        <f t="shared" ref="CB28:CC28" si="512">AVERAGE(CB19:CB26)</f>
        <v>1.9450000000000001</v>
      </c>
      <c r="CC28" s="174">
        <f t="shared" si="512"/>
        <v>3.873125000000003</v>
      </c>
      <c r="CD28" s="3">
        <f>AVERAGE(CD19:CD26)</f>
        <v>57.933124999999976</v>
      </c>
      <c r="CE28" s="173">
        <f t="shared" ref="CE28:CF28" si="513">AVERAGE(CE19:CE26)</f>
        <v>15.472656437167259</v>
      </c>
      <c r="CF28" s="19">
        <f t="shared" si="513"/>
        <v>211.99574427808074</v>
      </c>
      <c r="CG28" s="20"/>
      <c r="CH28" s="18"/>
      <c r="CI28" s="3">
        <f>AVERAGE(CI19:CI26)</f>
        <v>3.6506250000000033</v>
      </c>
      <c r="CJ28" s="3">
        <f>AVERAGE(CJ19:CJ26)</f>
        <v>61.583749999999974</v>
      </c>
      <c r="CK28" s="3">
        <f t="shared" ref="CK28:CL28" si="514">AVERAGE(CK19:CK26)</f>
        <v>13.271033990921859</v>
      </c>
      <c r="CL28" s="19">
        <f t="shared" si="514"/>
        <v>225.26677826900263</v>
      </c>
      <c r="CM28" s="20"/>
      <c r="CN28" s="18"/>
      <c r="CO28" s="3">
        <f>AVERAGE(CO19:CO25)</f>
        <v>3.9114285714285737</v>
      </c>
      <c r="CP28" s="3">
        <f>AVERAGE(CP19:CP25)</f>
        <v>64.964285714285694</v>
      </c>
      <c r="CQ28" s="3">
        <f t="shared" ref="CQ28:CR28" si="515">AVERAGE(CQ19:CQ26)</f>
        <v>14.582005847241298</v>
      </c>
      <c r="CR28" s="19">
        <f t="shared" si="515"/>
        <v>239.84878411624396</v>
      </c>
      <c r="CS28" s="20"/>
      <c r="CT28" s="18"/>
      <c r="CU28" s="3">
        <f>AVERAGE(CU19:CU26)</f>
        <v>4.692499999999999</v>
      </c>
      <c r="CV28" s="3">
        <f>AVERAGE(CV19:CV26)</f>
        <v>70.28749999999998</v>
      </c>
      <c r="CW28" s="3">
        <f t="shared" ref="CW28:CX28" si="516">AVERAGE(CW19:CW26)</f>
        <v>17.058538470097798</v>
      </c>
      <c r="CX28" s="19">
        <f t="shared" si="516"/>
        <v>256.90732258634176</v>
      </c>
      <c r="CY28" s="20"/>
      <c r="CZ28" s="18"/>
      <c r="DA28" s="3">
        <f>AVERAGE(DA19:DA26)</f>
        <v>4.2737499999999997</v>
      </c>
      <c r="DB28" s="3">
        <f>AVERAGE(DB19:DB26)</f>
        <v>74.561249999999987</v>
      </c>
      <c r="DC28" s="3">
        <f t="shared" ref="DC28" si="517">AVERAGE(DC19:DC26)</f>
        <v>15.536266123938301</v>
      </c>
      <c r="DD28" s="169">
        <f>AVERAGE(DD19:DD26)</f>
        <v>272.44358871028004</v>
      </c>
      <c r="DE28" s="20"/>
      <c r="DF28" s="18"/>
      <c r="DG28" s="3">
        <f>AVERAGE(DG19:DG26)</f>
        <v>4.56374999999999</v>
      </c>
      <c r="DH28" s="3">
        <f>AVERAGE(DH19:DH26)</f>
        <v>79.124999999999972</v>
      </c>
      <c r="DI28" s="3">
        <f t="shared" ref="DI28:DJ28" si="518">AVERAGE(DI19:DI26)</f>
        <v>16.590496524860669</v>
      </c>
      <c r="DJ28" s="19">
        <f t="shared" si="518"/>
        <v>289.03408523514065</v>
      </c>
      <c r="DK28" s="20"/>
      <c r="DL28" s="18"/>
      <c r="DM28" s="3">
        <f>AVERAGE(DM19:DM26)</f>
        <v>3.9031249999999984</v>
      </c>
      <c r="DN28" s="3">
        <f>AVERAGE(DN19:DN26)</f>
        <v>83.028124999999974</v>
      </c>
      <c r="DO28" s="3">
        <f t="shared" ref="DO28:DP28" si="519">AVERAGE(DO19:DO26)</f>
        <v>14.188941495173244</v>
      </c>
      <c r="DP28" s="3">
        <f t="shared" si="519"/>
        <v>303.2230267303139</v>
      </c>
      <c r="DQ28" s="329"/>
      <c r="DR28" s="18"/>
      <c r="DS28" s="3">
        <f>AVERAGE(DS19:DS26)</f>
        <v>3.4293750000000043</v>
      </c>
      <c r="DT28" s="3">
        <f>AVERAGE(DT19:DT26)</f>
        <v>86.457499999999982</v>
      </c>
      <c r="DU28" s="3">
        <f t="shared" ref="DU28:DV28" si="520">AVERAGE(DU19:DU26)</f>
        <v>12.466728900562966</v>
      </c>
      <c r="DV28" s="19">
        <f t="shared" si="520"/>
        <v>315.6897556308769</v>
      </c>
      <c r="DW28" s="20"/>
      <c r="DX28" s="18"/>
      <c r="DY28" s="3">
        <f>AVERAGE(DY19:DY26)</f>
        <v>3.4524999999999944</v>
      </c>
      <c r="DZ28" s="3">
        <f>AVERAGE(DZ19:DZ26)</f>
        <v>89.909999999999968</v>
      </c>
      <c r="EA28" s="3">
        <f t="shared" ref="EA28:EB28" si="521">AVERAGE(EA19:EA26)</f>
        <v>12.550794686843378</v>
      </c>
      <c r="EB28" s="19">
        <f t="shared" si="521"/>
        <v>328.24055031772031</v>
      </c>
    </row>
    <row r="29" spans="1:132">
      <c r="A29" s="9"/>
      <c r="B29" s="31"/>
      <c r="C29" s="3"/>
      <c r="D29" s="12"/>
      <c r="E29" s="12"/>
      <c r="F29" s="3" t="s">
        <v>45</v>
      </c>
      <c r="G29" s="20"/>
      <c r="H29" s="18"/>
      <c r="I29" s="3">
        <f>STDEV(I19:I26)/SQRT(COUNT(I19:I26))</f>
        <v>0.16265377339613113</v>
      </c>
      <c r="J29" s="19">
        <f>STDEV(J19:J26)/SQRT(COUNT(J19:J26))</f>
        <v>0.59129156116876957</v>
      </c>
      <c r="K29" s="20"/>
      <c r="M29" s="3">
        <f>STDEV(M19:M26)/SQRT(COUNT(M19:M26))</f>
        <v>0.19805696781481819</v>
      </c>
      <c r="N29" s="3">
        <f>STDEV(N19:N26)/SQRT(COUNT(N19:N26))</f>
        <v>0.32342993003563736</v>
      </c>
      <c r="O29" s="3">
        <f t="shared" ref="O29:P29" si="522">STDEV(O19:O26)/SQRT(COUNT(O19:O26))</f>
        <v>0.71999198822374832</v>
      </c>
      <c r="P29" s="19">
        <f t="shared" si="522"/>
        <v>1.1757574648681859</v>
      </c>
      <c r="Q29" s="20"/>
      <c r="R29" s="18"/>
      <c r="S29" s="3">
        <f>STDEV(S19:S26)/SQRT(COUNT(S19:S26))</f>
        <v>0.11983247234607064</v>
      </c>
      <c r="T29" s="3">
        <f>STDEV(T19:T26)/SQRT(COUNT(T19:T26))</f>
        <v>0.40556810904141655</v>
      </c>
      <c r="U29" s="3">
        <f t="shared" ref="U29:V29" si="523">STDEV(U19:U26)/SQRT(COUNT(U19:U26))</f>
        <v>0.43562425987903602</v>
      </c>
      <c r="V29" s="19">
        <f t="shared" si="523"/>
        <v>1.4743525179174912</v>
      </c>
      <c r="W29" s="20"/>
      <c r="X29" s="18"/>
      <c r="Y29" s="3">
        <f>STDEV(Y19:Y26)/SQRT(COUNT(Y19:Y26))</f>
        <v>0.15026687568646205</v>
      </c>
      <c r="Z29" s="3">
        <f>STDEV(Z19:Z26)/SQRT(COUNT(Z19:Z26))</f>
        <v>0.53903601125395406</v>
      </c>
      <c r="AA29" s="3">
        <f t="shared" ref="AA29:AB29" si="524">STDEV(AA19:AA26)/SQRT(COUNT(AA19:AA26))</f>
        <v>0.54626175379412178</v>
      </c>
      <c r="AB29" s="19">
        <f t="shared" si="524"/>
        <v>1.9595453457098884</v>
      </c>
      <c r="AC29" s="20"/>
      <c r="AD29" s="18"/>
      <c r="AE29" s="3">
        <f>STDEV(AE19:AE26)/SQRT(COUNT(AE19:AE26))</f>
        <v>0.14534979360150521</v>
      </c>
      <c r="AF29" s="3">
        <f>STDEV(AF19:AF26)/SQRT(COUNT(AF19:AF26))</f>
        <v>0.64708394658542967</v>
      </c>
      <c r="AG29" s="3">
        <f t="shared" ref="AG29:AH29" si="525">STDEV(AG19:AG26)/SQRT(COUNT(AG19:AG26))</f>
        <v>0.52838679718104475</v>
      </c>
      <c r="AH29" s="19">
        <f t="shared" si="525"/>
        <v>2.3523295463420921</v>
      </c>
      <c r="AI29" s="20"/>
      <c r="AJ29" s="18"/>
      <c r="AK29" s="3">
        <f>STDEV(AK19:AK26)/SQRT(COUNT(AK19:AK26))</f>
        <v>0.3685271723845</v>
      </c>
      <c r="AL29" s="3">
        <f>STDEV(AL19:AL26)/SQRT(COUNT(AL19:AL26))</f>
        <v>0.89209624720974756</v>
      </c>
      <c r="AM29" s="3">
        <f t="shared" ref="AM29:AN29" si="526">STDEV(AM19:AM26)/SQRT(COUNT(AM19:AM26))</f>
        <v>1.3396984437714077</v>
      </c>
      <c r="AN29" s="19">
        <f t="shared" si="526"/>
        <v>3.2430171874389693</v>
      </c>
      <c r="AO29" s="20"/>
      <c r="AP29" s="18"/>
      <c r="AQ29" s="3">
        <f>STDEV(AQ19:AQ26)/SQRT(COUNT(AQ19:AQ26))</f>
        <v>0.26650474064397922</v>
      </c>
      <c r="AR29" s="3">
        <f>STDEV(AR19:AR26)/SQRT(COUNT(AR19:AR26))</f>
        <v>0.9842318206528915</v>
      </c>
      <c r="AS29" s="3">
        <f t="shared" ref="AS29:AT29" si="527">STDEV(AS19:AS26)/SQRT(COUNT(AS19:AS26))</f>
        <v>0.9688186192304179</v>
      </c>
      <c r="AT29" s="19">
        <f t="shared" si="527"/>
        <v>3.5779555409913177</v>
      </c>
      <c r="AU29" s="20"/>
      <c r="AV29" s="18"/>
      <c r="AW29" s="3">
        <f>STDEV(AW19:AW26)/SQRT(COUNT(AW19:AW26))</f>
        <v>0.56251666641976117</v>
      </c>
      <c r="AX29" s="3">
        <f>STDEV(AX19:AX26)/SQRT(COUNT(AX19:AX26))</f>
        <v>0.92852790076550507</v>
      </c>
      <c r="AY29" s="3">
        <f t="shared" ref="AY29:AZ29" si="528">STDEV(AY19:AY26)/SQRT(COUNT(AY19:AY26))</f>
        <v>2.0449040371215084</v>
      </c>
      <c r="AZ29" s="19">
        <f t="shared" si="528"/>
        <v>3.3754563485919085</v>
      </c>
      <c r="BA29" s="20"/>
      <c r="BB29" s="18"/>
      <c r="BC29" s="3">
        <f>STDEV(BC19:BC26)/SQRT(COUNT(BC19:BC26))</f>
        <v>0.12152439266827658</v>
      </c>
      <c r="BD29" s="3">
        <f>STDEV(BD19:BD26)/SQRT(COUNT(BD19:BD26))</f>
        <v>0.94525151810387031</v>
      </c>
      <c r="BE29" s="3">
        <f t="shared" ref="BE29:BF29" si="529">STDEV(BE19:BE26)/SQRT(COUNT(BE19:BE26))</f>
        <v>0.44177485932596006</v>
      </c>
      <c r="BF29" s="19">
        <f t="shared" si="529"/>
        <v>3.4362513341487952</v>
      </c>
      <c r="BG29" s="20"/>
      <c r="BH29" s="18"/>
      <c r="BI29" s="3">
        <f>STDEV(BI19:BI26)/SQRT(COUNT(BI19:BI26))</f>
        <v>7.7175931753133462E-2</v>
      </c>
      <c r="BJ29" s="3">
        <f>STDEV(BJ19:BJ26)/SQRT(COUNT(BJ19:BJ26))</f>
        <v>0.93833103048329469</v>
      </c>
      <c r="BK29" s="3">
        <f t="shared" ref="BK29:BL29" si="530">STDEV(BK19:BK26)/SQRT(COUNT(BK19:BK26))</f>
        <v>0.2805559085298816</v>
      </c>
      <c r="BL29" s="19">
        <f t="shared" si="530"/>
        <v>3.41109344298046</v>
      </c>
      <c r="BM29" s="20"/>
      <c r="BN29" s="18"/>
      <c r="BO29" s="3">
        <f>STDEV(BO19:BO26)/SQRT(COUNT(BO19:BO26))</f>
        <v>0.26461770668639528</v>
      </c>
      <c r="BP29" s="3">
        <f>STDEV(BP19:BP26)/SQRT(COUNT(BP19:BP26))</f>
        <v>1.0431687793068378</v>
      </c>
      <c r="BQ29" s="3">
        <f t="shared" ref="BQ29:BR29" si="531">STDEV(BQ19:BQ26)/SQRT(COUNT(BQ19:BQ26))</f>
        <v>0.96195872762470502</v>
      </c>
      <c r="BR29" s="19">
        <f t="shared" si="531"/>
        <v>3.7922077256495834</v>
      </c>
      <c r="BS29" s="20"/>
      <c r="BT29" s="18"/>
      <c r="BU29" s="3">
        <f>STDEV(BU19:BU26)/SQRT(COUNT(BU19:BU26))</f>
        <v>0.1781934000877162</v>
      </c>
      <c r="BV29" s="3">
        <f>STDEV(BV19:BV26)/SQRT(COUNT(BV19:BV26))</f>
        <v>1.1641658571084814</v>
      </c>
      <c r="BW29" s="3">
        <f t="shared" ref="BW29:BX29" si="532">STDEV(BW19:BW26)/SQRT(COUNT(BW19:BW26))</f>
        <v>0.64778241246964996</v>
      </c>
      <c r="BX29" s="19">
        <f t="shared" si="532"/>
        <v>4.2320656492401536</v>
      </c>
      <c r="BY29" s="20"/>
      <c r="BZ29" s="18"/>
      <c r="CA29" s="3">
        <f>STDEV(CA19:CA26)/SQRT(COUNT(CA19:CA26))</f>
        <v>0.36741123502827416</v>
      </c>
      <c r="CB29" s="174">
        <f>(STDEV(CB19:CB26)/(SQRT(COUNT(CB19:CB26))))</f>
        <v>0.15072444109319863</v>
      </c>
      <c r="CC29" s="174">
        <f>(STDEV(CC19:CC26)/(SQRT(COUNT(CC19:CC26))))</f>
        <v>0.3921244079871673</v>
      </c>
      <c r="CD29" s="3">
        <f>STDEV(CD19:CD26)/SQRT(COUNT(CD19:CD26))</f>
        <v>1.4658849525786135</v>
      </c>
      <c r="CE29" s="173">
        <f t="shared" ref="CE29:CF29" si="533">STDEV(CE19:CE26)/SQRT(COUNT(CE19:CE26))</f>
        <v>1.5403962797290449</v>
      </c>
      <c r="CF29" s="19">
        <f t="shared" si="533"/>
        <v>5.3813886770155621</v>
      </c>
      <c r="CG29" s="20"/>
      <c r="CH29" s="18"/>
      <c r="CI29" s="3">
        <f>STDEV(CI19:CI26)/SQRT(COUNT(CI19:CI26))</f>
        <v>0.47218379205786515</v>
      </c>
      <c r="CJ29" s="3">
        <f>STDEV(CJ19:CJ26)/SQRT(COUNT(CJ19:CJ22))</f>
        <v>2.5964741718337963</v>
      </c>
      <c r="CK29" s="3">
        <f t="shared" ref="CK29:CL29" si="534">STDEV(CK19:CK26)/SQRT(COUNT(CK19:CK26))</f>
        <v>1.716518994518011</v>
      </c>
      <c r="CL29" s="19">
        <f t="shared" si="534"/>
        <v>6.7405560760016039</v>
      </c>
      <c r="CM29" s="20"/>
      <c r="CN29" s="18"/>
      <c r="CO29" s="3">
        <f>STDEV(CO19:CO24)/SQRT(COUNT(CO19:CO24))</f>
        <v>8.3483198575792381E-2</v>
      </c>
      <c r="CP29" s="3">
        <f>STDEV(CP19:CP24)/SQRT(COUNT(CP19:CP24))</f>
        <v>1.5574539408206447</v>
      </c>
      <c r="CQ29" s="3">
        <f t="shared" ref="CQ29:CR29" si="535">STDEV(CQ19:CQ26)/SQRT(COUNT(CQ19:CQ26))</f>
        <v>0.42878209575551979</v>
      </c>
      <c r="CR29" s="19">
        <f t="shared" si="535"/>
        <v>6.9197670643067548</v>
      </c>
      <c r="CS29" s="20"/>
      <c r="CT29" s="18"/>
      <c r="CU29" s="3">
        <f>STDEV(CU19:CU26)/SQRT(COUNT(CU19:CU26))</f>
        <v>0.28844255432036781</v>
      </c>
      <c r="CV29" s="3">
        <f>STDEV(CV19:CV26)/SQRT(COUNT(CV19:CV26))</f>
        <v>2.0598749528620823</v>
      </c>
      <c r="CW29" s="3">
        <f t="shared" ref="CW29:CX29" si="536">STDEV(CW19:CW26)/SQRT(COUNT(CW19:CW26))</f>
        <v>1.048568654083595</v>
      </c>
      <c r="CX29" s="19">
        <f t="shared" si="536"/>
        <v>7.554974370006363</v>
      </c>
      <c r="CY29" s="20"/>
      <c r="CZ29" s="18"/>
      <c r="DA29" s="3">
        <f>STDEV(DA19:DA26)/SQRT(COUNT(DA19:DA26))</f>
        <v>0.21266117836999512</v>
      </c>
      <c r="DB29" s="3">
        <f>STDEV(DB19:DB26)/SQRT(COUNT(DB19:DB26))</f>
        <v>2.1871593102045126</v>
      </c>
      <c r="DC29" s="3">
        <f t="shared" ref="DC29:DD29" si="537">STDEV(DC19:DC26)/SQRT(COUNT(DC19:DC26))</f>
        <v>0.7730823425297535</v>
      </c>
      <c r="DD29" s="19">
        <f t="shared" si="537"/>
        <v>8.0265216378160407</v>
      </c>
      <c r="DE29" s="20"/>
      <c r="DF29" s="18"/>
      <c r="DG29" s="3">
        <f>STDEV(DG19:DG26)/SQRT(COUNT(DG19:DG26))</f>
        <v>0.40753149527718191</v>
      </c>
      <c r="DH29" s="3">
        <f>STDEV(DH19:DH26)/SQRT(COUNT(DH19:DH26))</f>
        <v>2.5368399915755671</v>
      </c>
      <c r="DI29" s="3">
        <f t="shared" ref="DI29:DJ29" si="538">STDEV(DI19:DI26)/SQRT(COUNT(DI19:DI26))</f>
        <v>1.4814899712226433</v>
      </c>
      <c r="DJ29" s="19">
        <f t="shared" si="538"/>
        <v>9.305019089548443</v>
      </c>
      <c r="DK29" s="20"/>
      <c r="DL29" s="18"/>
      <c r="DM29" s="3">
        <f>STDEV(DM19:DM26)/SQRT(COUNT(DM19:DM26))</f>
        <v>0.24022113603184189</v>
      </c>
      <c r="DN29" s="3">
        <f>STDEV(DN19:DN26)/SQRT(COUNT(DN19:DN26))</f>
        <v>2.6919496283064523</v>
      </c>
      <c r="DO29" s="3">
        <f t="shared" ref="DO29:DP29" si="539">STDEV(DO19:DO26)/SQRT(COUNT(DO19:DO26))</f>
        <v>0.87327042947890521</v>
      </c>
      <c r="DP29" s="3">
        <f t="shared" si="539"/>
        <v>9.8644798083507297</v>
      </c>
      <c r="DQ29" s="329"/>
      <c r="DR29" s="18"/>
      <c r="DS29" s="3">
        <f>STDEV(DS19:DS26)/SQRT(COUNT(DS19:DS26))</f>
        <v>0.27076683020504594</v>
      </c>
      <c r="DT29" s="3">
        <f>STDEV(DT19:DT26)/SQRT(COUNT(DT19:DT26))</f>
        <v>2.9140183044331414</v>
      </c>
      <c r="DU29" s="3">
        <f t="shared" ref="DU29:DV29" si="540">STDEV(DU19:DU26)/SQRT(COUNT(DU19:DU26))</f>
        <v>0.98431249642604435</v>
      </c>
      <c r="DV29" s="19">
        <f t="shared" si="540"/>
        <v>10.671514902878815</v>
      </c>
      <c r="DW29" s="20"/>
      <c r="DX29" s="18"/>
      <c r="DY29" s="3">
        <f>STDEV(DY19:DY26)/SQRT(COUNT(DY19:DY26))</f>
        <v>0.13983089276489388</v>
      </c>
      <c r="DZ29" s="3">
        <f>STDEV(DZ19:DZ26)/SQRT(COUNT(DZ19:DZ26))</f>
        <v>2.9954751590643154</v>
      </c>
      <c r="EA29" s="3">
        <f t="shared" ref="EA29:EB29" si="541">STDEV(EA19:EA26)/SQRT(COUNT(EA19:EA26))</f>
        <v>0.50832406255473495</v>
      </c>
      <c r="EB29" s="19">
        <f t="shared" si="541"/>
        <v>10.970095041372405</v>
      </c>
    </row>
    <row r="30" spans="1:132">
      <c r="A30" s="9"/>
      <c r="B30" s="31"/>
      <c r="C30" s="3"/>
      <c r="D30" s="12"/>
      <c r="E30" s="12"/>
      <c r="F30" s="203" t="s">
        <v>300</v>
      </c>
      <c r="G30" s="14"/>
      <c r="H30" s="10"/>
      <c r="I30" s="10">
        <f>(100/I16)*I28</f>
        <v>131.69394150417844</v>
      </c>
      <c r="J30" s="10">
        <f>(100/J16)*J28</f>
        <v>131.69394150417844</v>
      </c>
      <c r="K30" s="15"/>
      <c r="L30" s="10"/>
      <c r="M30" s="10">
        <f>(100/M16)*M28</f>
        <v>109.99243258117775</v>
      </c>
      <c r="N30" s="10">
        <f>(100/N16)*N28</f>
        <v>119.57231786043657</v>
      </c>
      <c r="O30" s="10">
        <f t="shared" ref="O30:P30" si="542">(100/O16)*O28</f>
        <v>109.99243258117779</v>
      </c>
      <c r="P30" s="10">
        <f t="shared" si="542"/>
        <v>119.5723178604366</v>
      </c>
      <c r="Q30" s="15"/>
      <c r="R30" s="10"/>
      <c r="S30" s="10">
        <f>(100/S16)*S28</f>
        <v>123.11075858090558</v>
      </c>
      <c r="T30" s="10">
        <f>(100/T16)*T28</f>
        <v>120.80241652461648</v>
      </c>
      <c r="U30" s="10">
        <f t="shared" ref="U30:V30" si="543">(100/U16)*U28</f>
        <v>123.11075858090555</v>
      </c>
      <c r="V30" s="10">
        <f t="shared" si="543"/>
        <v>120.80241652461646</v>
      </c>
      <c r="W30" s="15"/>
      <c r="X30" s="10"/>
      <c r="Y30" s="10">
        <f>(100/Y16)*Y28</f>
        <v>101.77647783251227</v>
      </c>
      <c r="Z30" s="10">
        <f>(100/Z16)*Z28</f>
        <v>115.29786930805956</v>
      </c>
      <c r="AA30" s="10">
        <f t="shared" ref="AA30:AB30" si="544">(100/AA16)*AA28</f>
        <v>101.77647783251227</v>
      </c>
      <c r="AB30" s="10">
        <f t="shared" si="544"/>
        <v>115.29786930805957</v>
      </c>
      <c r="AC30" s="15"/>
      <c r="AD30" s="10"/>
      <c r="AE30" s="10">
        <f>(100/AE16)*AE28</f>
        <v>102.83571957541342</v>
      </c>
      <c r="AF30" s="10">
        <f>(100/AF16)*AF28</f>
        <v>112.5062209688122</v>
      </c>
      <c r="AG30" s="10">
        <f t="shared" ref="AG30:AH30" si="545">(100/AG16)*AG28</f>
        <v>102.83571957541342</v>
      </c>
      <c r="AH30" s="10">
        <f t="shared" si="545"/>
        <v>112.50622096881217</v>
      </c>
      <c r="AI30" s="15"/>
      <c r="AJ30" s="10"/>
      <c r="AK30" s="10">
        <f>(100/AK16)*AK28</f>
        <v>105.59234959148279</v>
      </c>
      <c r="AL30" s="10">
        <f>(100/AL16)*AL28</f>
        <v>111.24395425575186</v>
      </c>
      <c r="AM30" s="10">
        <f t="shared" ref="AM30:AN30" si="546">(100/AM16)*AM28</f>
        <v>105.59234959148277</v>
      </c>
      <c r="AN30" s="10">
        <f t="shared" si="546"/>
        <v>111.24395425575187</v>
      </c>
      <c r="AO30" s="15"/>
      <c r="AP30" s="10"/>
      <c r="AQ30" s="10">
        <f>(100/AQ16)*AQ28</f>
        <v>102.76468455402474</v>
      </c>
      <c r="AR30" s="10">
        <f>(100/AR16)*AR28</f>
        <v>109.90813023610049</v>
      </c>
      <c r="AS30" s="10">
        <f t="shared" ref="AS30:AT30" si="547">(100/AS16)*AS28</f>
        <v>102.76468455402475</v>
      </c>
      <c r="AT30" s="10">
        <f t="shared" si="547"/>
        <v>109.9081302361005</v>
      </c>
      <c r="AU30" s="15"/>
      <c r="AV30" s="13"/>
      <c r="AW30" s="10">
        <f>(100/AW16)*AW28</f>
        <v>127.07680250783687</v>
      </c>
      <c r="AX30" s="10">
        <f>(100/AX16)*AX28</f>
        <v>112.09244549321987</v>
      </c>
      <c r="AY30" s="10">
        <f t="shared" ref="AY30:AZ30" si="548">(100/AY16)*AY28</f>
        <v>127.07680250783687</v>
      </c>
      <c r="AZ30" s="10">
        <f t="shared" si="548"/>
        <v>112.09244549321981</v>
      </c>
      <c r="BA30" s="15"/>
      <c r="BB30" s="10"/>
      <c r="BC30" s="10">
        <f>(100/BC16)*BC28</f>
        <v>90.888725725245735</v>
      </c>
      <c r="BD30" s="10">
        <f>(100/BD16)*BD28</f>
        <v>109.51091319069441</v>
      </c>
      <c r="BE30" s="10">
        <f t="shared" ref="BE30:BF30" si="549">(100/BE16)*BE28</f>
        <v>90.888725725245735</v>
      </c>
      <c r="BF30" s="10">
        <f t="shared" si="549"/>
        <v>109.51091319069437</v>
      </c>
      <c r="BG30" s="15"/>
      <c r="BH30" s="10"/>
      <c r="BI30" s="10">
        <f>(100/BI16)*BI28</f>
        <v>102.80545233213721</v>
      </c>
      <c r="BJ30" s="10">
        <f>(100/BJ16)*BJ28</f>
        <v>108.82527318466491</v>
      </c>
      <c r="BK30" s="10">
        <f t="shared" ref="BK30:BL30" si="550">(100/BK16)*BK28</f>
        <v>102.80545233213721</v>
      </c>
      <c r="BL30" s="10">
        <f t="shared" si="550"/>
        <v>108.82527318466494</v>
      </c>
      <c r="BM30" s="15"/>
      <c r="BN30" s="10"/>
      <c r="BO30" s="10">
        <f>(100/BO16)*BO28</f>
        <v>83.839413234944146</v>
      </c>
      <c r="BP30" s="10">
        <f>(100/BP16)*BP28</f>
        <v>106.34744877484536</v>
      </c>
      <c r="BQ30" s="10">
        <f t="shared" ref="BQ30:BR30" si="551">(100/BQ16)*BQ28</f>
        <v>83.839413234944146</v>
      </c>
      <c r="BR30" s="10">
        <f t="shared" si="551"/>
        <v>106.34744877484533</v>
      </c>
      <c r="BS30" s="15"/>
      <c r="BT30" s="10"/>
      <c r="BU30" s="10">
        <f>(100/BU16)*BU28</f>
        <v>83.289268377253634</v>
      </c>
      <c r="BV30" s="10">
        <f>(100/BV16)*BV28</f>
        <v>104.21093214530494</v>
      </c>
      <c r="BW30" s="10">
        <f t="shared" ref="BW30:BX30" si="552">(100/BW16)*BW28</f>
        <v>83.289268377253634</v>
      </c>
      <c r="BX30" s="10">
        <f t="shared" si="552"/>
        <v>104.21093214530492</v>
      </c>
      <c r="BY30" s="15"/>
      <c r="BZ30" s="10"/>
      <c r="CA30" s="10">
        <f>(100/CA16)*CA28</f>
        <v>53.16521139705884</v>
      </c>
      <c r="CB30" s="172">
        <f t="shared" ref="CB30:CC30" si="553">(100/CB16)*CB28</f>
        <v>76.709027169149863</v>
      </c>
      <c r="CC30" s="172">
        <f t="shared" si="553"/>
        <v>62.852731698521481</v>
      </c>
      <c r="CD30" s="10">
        <f>(100/CD16)*CD28</f>
        <v>99.819681624995169</v>
      </c>
      <c r="CE30" s="172">
        <f t="shared" ref="CE30:CF30" si="554">(100/CE16)*CE28</f>
        <v>63.197307530173006</v>
      </c>
      <c r="CF30" s="10">
        <f t="shared" si="554"/>
        <v>99.498098637965853</v>
      </c>
      <c r="CG30" s="15"/>
      <c r="CH30" s="10"/>
      <c r="CI30" s="10">
        <f>(100/CI16)*CI28</f>
        <v>79.380587098332981</v>
      </c>
      <c r="CJ30" s="10">
        <f>(100/CJ16)*CJ28</f>
        <v>98.319009100101042</v>
      </c>
      <c r="CK30" s="10">
        <f t="shared" ref="CK30:CL30" si="555">(100/CK16)*CK28</f>
        <v>79.380587098332953</v>
      </c>
      <c r="CL30" s="10">
        <f t="shared" si="555"/>
        <v>98.034418620410264</v>
      </c>
      <c r="CM30" s="15"/>
      <c r="CN30" s="13"/>
      <c r="CO30" s="10">
        <f>(100/CO16)*CO28</f>
        <v>85.818764365814559</v>
      </c>
      <c r="CP30" s="10">
        <f>(100/CP16)*CP28</f>
        <v>96.681037028287932</v>
      </c>
      <c r="CQ30" s="10">
        <f t="shared" ref="CQ30:CR30" si="556">(100/CQ16)*CQ28</f>
        <v>88.008898098488444</v>
      </c>
      <c r="CR30" s="10">
        <f t="shared" si="556"/>
        <v>97.360137079937005</v>
      </c>
      <c r="CS30" s="15"/>
      <c r="CT30" s="10"/>
      <c r="CU30" s="10">
        <f>(100/CU16)*CU28</f>
        <v>108.28846153846148</v>
      </c>
      <c r="CV30" s="10">
        <f>(100/CV16)*CV28</f>
        <v>98.26601941747569</v>
      </c>
      <c r="CW30" s="10">
        <f t="shared" ref="CW30:CX30" si="557">(100/CW16)*CW28</f>
        <v>108.28846153846146</v>
      </c>
      <c r="CX30" s="10">
        <f t="shared" si="557"/>
        <v>98.016944260458516</v>
      </c>
      <c r="CY30" s="15"/>
      <c r="CZ30" s="10"/>
      <c r="DA30" s="10">
        <f>(100/DA16)*DA28</f>
        <v>95.704777307788007</v>
      </c>
      <c r="DB30" s="10">
        <f>(100/DB16)*DB28</f>
        <v>98.11551451881742</v>
      </c>
      <c r="DC30" s="10">
        <f t="shared" ref="DC30:DD30" si="558">(100/DC16)*DC28</f>
        <v>95.704777307788007</v>
      </c>
      <c r="DD30" s="10">
        <f t="shared" si="558"/>
        <v>97.882091800275674</v>
      </c>
      <c r="DE30" s="15"/>
      <c r="DF30" s="10"/>
      <c r="DG30" s="10">
        <f>(100/DG16)*DG28</f>
        <v>96.281645569620025</v>
      </c>
      <c r="DH30" s="10">
        <f>(100/DH16)*DH28</f>
        <v>98.007844756399621</v>
      </c>
      <c r="DI30" s="10">
        <f t="shared" ref="DI30:DJ30" si="559">(100/DI16)*DI28</f>
        <v>96.281645569620068</v>
      </c>
      <c r="DJ30" s="10">
        <f t="shared" si="559"/>
        <v>97.7887885072236</v>
      </c>
      <c r="DK30" s="15"/>
      <c r="DL30" s="10"/>
      <c r="DM30" s="10">
        <f>(100/DM16)*DM28</f>
        <v>73.891722759781231</v>
      </c>
      <c r="DN30" s="10">
        <f>(100/DN16)*DN28</f>
        <v>96.526871754462988</v>
      </c>
      <c r="DO30" s="10">
        <f t="shared" ref="DO30:DP30" si="560">(100/DO16)*DO28</f>
        <v>73.891722759781231</v>
      </c>
      <c r="DP30" s="10">
        <f t="shared" si="560"/>
        <v>96.330973042519787</v>
      </c>
      <c r="DQ30" s="202"/>
      <c r="DR30" s="10"/>
      <c r="DS30" s="10">
        <f>(100/DS16)*DS28</f>
        <v>83.080417227456408</v>
      </c>
      <c r="DT30" s="10">
        <f>(100/DT16)*DT28</f>
        <v>95.911141515364378</v>
      </c>
      <c r="DU30" s="10">
        <f t="shared" ref="DU30:DV30" si="561">(100/DU16)*DU28</f>
        <v>83.080417227456408</v>
      </c>
      <c r="DV30" s="10">
        <f t="shared" si="561"/>
        <v>95.728043400335778</v>
      </c>
      <c r="DW30" s="15"/>
      <c r="DX30" s="10"/>
      <c r="DY30" s="10">
        <f>(100/DY16)*DY28</f>
        <v>89.675324675324589</v>
      </c>
      <c r="DZ30" s="10">
        <f>(100/DZ16)*DZ28</f>
        <v>95.655720263848465</v>
      </c>
      <c r="EA30" s="10">
        <f t="shared" ref="EA30:EB30" si="562">(100/EA16)*EA28</f>
        <v>89.675324675324575</v>
      </c>
      <c r="EB30" s="14">
        <f t="shared" si="562"/>
        <v>95.481623191588014</v>
      </c>
    </row>
    <row r="31" spans="1:132">
      <c r="A31" s="67"/>
      <c r="B31" s="65"/>
      <c r="C31" s="65"/>
      <c r="D31" s="24"/>
      <c r="E31" s="65"/>
      <c r="F31" s="65"/>
      <c r="G31" s="29"/>
      <c r="H31" s="26"/>
      <c r="I31" s="22"/>
      <c r="J31" s="170"/>
      <c r="K31" s="29"/>
      <c r="L31" s="24"/>
      <c r="M31" s="22"/>
      <c r="N31" s="22"/>
      <c r="O31" s="170"/>
      <c r="P31" s="170"/>
      <c r="Q31" s="29"/>
      <c r="R31" s="24"/>
      <c r="S31" s="22"/>
      <c r="T31" s="22"/>
      <c r="U31" s="170"/>
      <c r="V31" s="170"/>
      <c r="W31" s="29"/>
      <c r="X31" s="24"/>
      <c r="Y31" s="22"/>
      <c r="Z31" s="22"/>
      <c r="AA31" s="170"/>
      <c r="AB31" s="170"/>
      <c r="AC31" s="29"/>
      <c r="AD31" s="24"/>
      <c r="AE31" s="22"/>
      <c r="AF31" s="22"/>
      <c r="AG31" s="170"/>
      <c r="AH31" s="170"/>
      <c r="AI31" s="29"/>
      <c r="AJ31" s="24"/>
      <c r="AK31" s="22"/>
      <c r="AL31" s="22"/>
      <c r="AM31" s="170"/>
      <c r="AN31" s="170"/>
      <c r="AO31" s="29"/>
      <c r="AP31" s="24"/>
      <c r="AQ31" s="22"/>
      <c r="AR31" s="22"/>
      <c r="AS31" s="170"/>
      <c r="AT31" s="170"/>
      <c r="AU31" s="29"/>
      <c r="AV31" s="26"/>
      <c r="AW31" s="22"/>
      <c r="AX31" s="22"/>
      <c r="AY31" s="170"/>
      <c r="AZ31" s="170"/>
      <c r="BA31" s="29"/>
      <c r="BB31" s="24"/>
      <c r="BC31" s="22"/>
      <c r="BD31" s="22"/>
      <c r="BE31" s="170"/>
      <c r="BF31" s="170"/>
      <c r="BG31" s="29"/>
      <c r="BH31" s="24"/>
      <c r="BI31" s="22"/>
      <c r="BJ31" s="22"/>
      <c r="BK31" s="170"/>
      <c r="BL31" s="170"/>
      <c r="BM31" s="29"/>
      <c r="BN31" s="24"/>
      <c r="BO31" s="22"/>
      <c r="BP31" s="22"/>
      <c r="BQ31" s="170"/>
      <c r="BR31" s="170"/>
      <c r="BS31" s="29"/>
      <c r="BT31" s="24"/>
      <c r="BU31" s="22"/>
      <c r="BV31" s="22"/>
      <c r="BW31" s="170"/>
      <c r="BX31" s="170"/>
      <c r="BY31" s="29"/>
      <c r="BZ31" s="24"/>
      <c r="CA31" s="22"/>
      <c r="CB31" s="177"/>
      <c r="CC31" s="177"/>
      <c r="CD31" s="22"/>
      <c r="CE31" s="170"/>
      <c r="CF31" s="170"/>
      <c r="CG31" s="29"/>
      <c r="CH31" s="24"/>
      <c r="CI31" s="22"/>
      <c r="CJ31" s="22"/>
      <c r="CK31" s="170"/>
      <c r="CL31" s="170"/>
      <c r="CM31" s="29"/>
      <c r="CN31" s="26"/>
      <c r="CO31" s="22"/>
      <c r="CP31" s="22"/>
      <c r="CQ31" s="170"/>
      <c r="CR31" s="170"/>
      <c r="CS31" s="29"/>
      <c r="CT31" s="24"/>
      <c r="CU31" s="22"/>
      <c r="CV31" s="22"/>
      <c r="CW31" s="170"/>
      <c r="CX31" s="170"/>
      <c r="CY31" s="29"/>
      <c r="CZ31" s="24"/>
      <c r="DA31" s="22"/>
      <c r="DB31" s="22"/>
      <c r="DC31" s="170"/>
      <c r="DD31" s="170"/>
      <c r="DE31" s="29"/>
      <c r="DF31" s="24"/>
      <c r="DG31" s="22"/>
      <c r="DH31" s="22"/>
      <c r="DI31" s="170"/>
      <c r="DJ31" s="170"/>
      <c r="DK31" s="29"/>
      <c r="DL31" s="24"/>
      <c r="DM31" s="22"/>
      <c r="DN31" s="22"/>
      <c r="DO31" s="170"/>
      <c r="DP31" s="170"/>
      <c r="DQ31" s="330"/>
      <c r="DR31" s="24"/>
      <c r="DS31" s="22"/>
      <c r="DT31" s="22"/>
      <c r="DU31" s="170"/>
      <c r="DV31" s="170"/>
      <c r="DW31" s="29"/>
      <c r="DX31" s="24"/>
      <c r="DY31" s="22"/>
      <c r="DZ31" s="22"/>
      <c r="EA31" s="170"/>
      <c r="EB31" s="180"/>
    </row>
    <row r="32" spans="1:132">
      <c r="A32" s="9" t="s">
        <v>389</v>
      </c>
      <c r="B32" s="118" t="s">
        <v>390</v>
      </c>
      <c r="C32" s="11">
        <v>42548</v>
      </c>
      <c r="D32" s="12" t="s">
        <v>22</v>
      </c>
      <c r="E32" s="10" t="s">
        <v>303</v>
      </c>
      <c r="F32" s="11">
        <v>42587</v>
      </c>
      <c r="G32" s="15">
        <v>248.22</v>
      </c>
      <c r="H32" s="13">
        <v>245.73</v>
      </c>
      <c r="I32" s="10">
        <f t="shared" ref="I32:I33" si="563">G32-H32</f>
        <v>2.4900000000000091</v>
      </c>
      <c r="J32" s="168">
        <f>I32*$T$1</f>
        <v>9.0518403389544329</v>
      </c>
      <c r="K32" s="15">
        <v>254.28</v>
      </c>
      <c r="L32" s="77">
        <v>250.98</v>
      </c>
      <c r="M32" s="10">
        <f>K32-L32</f>
        <v>3.3000000000000114</v>
      </c>
      <c r="N32" s="10">
        <f>I32+M32</f>
        <v>5.7900000000000205</v>
      </c>
      <c r="O32" s="168">
        <f>M32*$T$1</f>
        <v>11.996414907048042</v>
      </c>
      <c r="P32" s="168">
        <f>J32+O32</f>
        <v>21.048255246002476</v>
      </c>
      <c r="Q32" s="157">
        <v>260.14</v>
      </c>
      <c r="R32" s="158">
        <v>255.6</v>
      </c>
      <c r="S32" s="10">
        <f>Q32-R32</f>
        <v>4.539999999999992</v>
      </c>
      <c r="T32" s="10">
        <f>N32+S32</f>
        <v>10.330000000000013</v>
      </c>
      <c r="U32" s="168">
        <f>S32*$T$1</f>
        <v>16.504158690302372</v>
      </c>
      <c r="V32" s="168">
        <f>P32+U32</f>
        <v>37.552413936304845</v>
      </c>
      <c r="W32" s="15">
        <v>258.05</v>
      </c>
      <c r="X32" s="10">
        <v>253.28</v>
      </c>
      <c r="Y32" s="10">
        <f>W32-X32</f>
        <v>4.7700000000000102</v>
      </c>
      <c r="Z32" s="10">
        <f>T32+Y32</f>
        <v>15.100000000000023</v>
      </c>
      <c r="AA32" s="168">
        <f>Y32*$T$1</f>
        <v>17.340272456551237</v>
      </c>
      <c r="AB32" s="168">
        <f>V32+AA32</f>
        <v>54.892686392856078</v>
      </c>
      <c r="AC32" s="15">
        <v>256.85000000000002</v>
      </c>
      <c r="AD32" s="10">
        <v>252.23</v>
      </c>
      <c r="AE32" s="10">
        <f>AC32-AD32</f>
        <v>4.620000000000033</v>
      </c>
      <c r="AF32" s="10">
        <f>Z32+AE32</f>
        <v>19.720000000000056</v>
      </c>
      <c r="AG32" s="168">
        <f>AE32*$T$1</f>
        <v>16.79498086986732</v>
      </c>
      <c r="AH32" s="168">
        <f>AB32+AG32</f>
        <v>71.687667262723394</v>
      </c>
      <c r="AI32" s="15">
        <v>273.04000000000002</v>
      </c>
      <c r="AJ32" s="10">
        <v>269.08</v>
      </c>
      <c r="AK32" s="10">
        <f t="shared" ref="AK32" si="564">AI32-AJ32</f>
        <v>3.9600000000000364</v>
      </c>
      <c r="AL32" s="10">
        <f t="shared" ref="AL32" si="565">AF32+AK32</f>
        <v>23.680000000000092</v>
      </c>
      <c r="AM32" s="168">
        <f>AK32*$T$1</f>
        <v>14.395697888457732</v>
      </c>
      <c r="AN32" s="168">
        <f>AH32+AM32</f>
        <v>86.083365151181127</v>
      </c>
      <c r="AO32" s="15">
        <v>268.14</v>
      </c>
      <c r="AP32" s="10">
        <v>264.35000000000002</v>
      </c>
      <c r="AQ32" s="10">
        <f>AO32-AP32</f>
        <v>3.7899999999999636</v>
      </c>
      <c r="AR32" s="10">
        <f>AL32+AQ32</f>
        <v>27.470000000000056</v>
      </c>
      <c r="AS32" s="168">
        <f>AQ32*$T$1</f>
        <v>13.777700756882268</v>
      </c>
      <c r="AT32" s="168">
        <f>AN32+AS32</f>
        <v>99.861065908063395</v>
      </c>
      <c r="AU32" s="15">
        <v>275.42</v>
      </c>
      <c r="AV32" s="13">
        <v>272.76</v>
      </c>
      <c r="AW32" s="10">
        <f>AU32-AV32</f>
        <v>2.660000000000025</v>
      </c>
      <c r="AX32" s="10">
        <f>AR32+AW32</f>
        <v>30.130000000000081</v>
      </c>
      <c r="AY32" s="168">
        <f>AW32*$T$1</f>
        <v>9.669837470529691</v>
      </c>
      <c r="AZ32" s="168">
        <f>AT32+AY32</f>
        <v>109.53090337859308</v>
      </c>
      <c r="BA32" s="15">
        <v>275.94</v>
      </c>
      <c r="BB32" s="10">
        <v>272.43</v>
      </c>
      <c r="BC32" s="162">
        <v>3</v>
      </c>
      <c r="BD32" s="10">
        <f>AX32+BC32</f>
        <v>33.130000000000081</v>
      </c>
      <c r="BE32" s="168">
        <f>BC32*$T$1</f>
        <v>10.905831733679999</v>
      </c>
      <c r="BF32" s="168">
        <f>AZ32+BE32</f>
        <v>120.43673511227308</v>
      </c>
      <c r="BG32" s="15">
        <v>283.68</v>
      </c>
      <c r="BH32" s="10">
        <v>280.41000000000003</v>
      </c>
      <c r="BI32" s="162">
        <v>2.76</v>
      </c>
      <c r="BJ32" s="10">
        <f>BD32+BI32</f>
        <v>35.890000000000079</v>
      </c>
      <c r="BK32" s="168">
        <f>BI32*$T$1</f>
        <v>10.033365194985599</v>
      </c>
      <c r="BL32" s="168">
        <f>BF32+BK32</f>
        <v>130.47010030725869</v>
      </c>
      <c r="BM32" s="15">
        <v>280.77</v>
      </c>
      <c r="BN32" s="10">
        <v>277.89999999999998</v>
      </c>
      <c r="BO32" s="162">
        <v>2.36</v>
      </c>
      <c r="BP32" s="10">
        <f>BJ32+BO32</f>
        <v>38.250000000000078</v>
      </c>
      <c r="BQ32" s="168">
        <f>BO32*$T$1</f>
        <v>8.579254297161599</v>
      </c>
      <c r="BR32" s="168">
        <f>BL32+BQ32</f>
        <v>139.0493546044203</v>
      </c>
      <c r="BS32" s="15">
        <v>282.99</v>
      </c>
      <c r="BT32" s="10">
        <v>279.14999999999998</v>
      </c>
      <c r="BU32" s="162">
        <v>3.33</v>
      </c>
      <c r="BV32" s="10">
        <f>BP32+BU32</f>
        <v>41.580000000000076</v>
      </c>
      <c r="BW32" s="168">
        <f>BU32*$T$1</f>
        <v>12.1054732243848</v>
      </c>
      <c r="BX32" s="168">
        <f>BR32+BW32</f>
        <v>151.15482782880511</v>
      </c>
      <c r="BY32" s="15">
        <v>290.07</v>
      </c>
      <c r="BZ32" s="165">
        <v>285.5</v>
      </c>
      <c r="CA32" s="10">
        <v>4.0599999999999996</v>
      </c>
      <c r="CB32" s="172">
        <v>2.0699999999999998</v>
      </c>
      <c r="CC32" s="172">
        <f>CA32+CB32</f>
        <v>6.129999999999999</v>
      </c>
      <c r="CD32" s="10">
        <f>BV32+CC32</f>
        <v>47.710000000000079</v>
      </c>
      <c r="CE32" s="369">
        <f>(CA32*$T$1)+9.1828</f>
        <v>23.9420256129136</v>
      </c>
      <c r="CF32" s="168">
        <f>BX32+CE32</f>
        <v>175.09685344171871</v>
      </c>
      <c r="CG32" s="15">
        <v>287</v>
      </c>
      <c r="CH32" s="162">
        <v>282.58999999999997</v>
      </c>
      <c r="CI32" s="162">
        <v>3.9</v>
      </c>
      <c r="CJ32" s="162">
        <f>CD32+CI32</f>
        <v>51.610000000000078</v>
      </c>
      <c r="CK32" s="168">
        <f>CI32*$T$1</f>
        <v>14.177581253784</v>
      </c>
      <c r="CL32" s="168">
        <f>CF32+CK32</f>
        <v>189.27443469550272</v>
      </c>
      <c r="CM32" s="15">
        <v>287.60000000000002</v>
      </c>
      <c r="CN32" s="13">
        <v>283.92</v>
      </c>
      <c r="CO32" s="10">
        <f>CM32-CN32</f>
        <v>3.6800000000000068</v>
      </c>
      <c r="CP32" s="10">
        <f>CJ32+CO32</f>
        <v>55.290000000000084</v>
      </c>
      <c r="CQ32" s="168">
        <f>CO32*$T$1</f>
        <v>13.377820259980826</v>
      </c>
      <c r="CR32" s="168">
        <f>CL32+CQ32</f>
        <v>202.65225495548356</v>
      </c>
      <c r="CS32" s="15">
        <v>288.04000000000002</v>
      </c>
      <c r="CT32" s="10">
        <v>283.49</v>
      </c>
      <c r="CU32" s="165">
        <v>3.98</v>
      </c>
      <c r="CV32" s="10">
        <f>CP32+CU32</f>
        <v>59.270000000000081</v>
      </c>
      <c r="CW32" s="168">
        <f>CU32*$T$1</f>
        <v>14.468403433348801</v>
      </c>
      <c r="CX32" s="168">
        <f>CR32+CW32</f>
        <v>217.12065838883237</v>
      </c>
      <c r="CY32" s="15">
        <v>290.43</v>
      </c>
      <c r="CZ32" s="10">
        <v>284.87</v>
      </c>
      <c r="DA32" s="165">
        <v>4.99</v>
      </c>
      <c r="DB32" s="10">
        <f>CV32+DA32</f>
        <v>64.260000000000076</v>
      </c>
      <c r="DC32" s="168">
        <f>DA32*$T$1</f>
        <v>18.140033450354402</v>
      </c>
      <c r="DD32" s="168">
        <f>CX32+DC32</f>
        <v>235.26069183918676</v>
      </c>
      <c r="DE32" s="15">
        <v>286.43</v>
      </c>
      <c r="DF32" s="10">
        <v>281</v>
      </c>
      <c r="DG32" s="165">
        <f>DE32-DF32</f>
        <v>5.4300000000000068</v>
      </c>
      <c r="DH32" s="10">
        <f>DB32+DG32</f>
        <v>69.690000000000083</v>
      </c>
      <c r="DI32" s="168">
        <f>DG32*$T$1</f>
        <v>19.739555437960824</v>
      </c>
      <c r="DJ32" s="168">
        <f>DD32+DI32</f>
        <v>255.00024727714759</v>
      </c>
      <c r="DK32" s="15">
        <v>283.27999999999997</v>
      </c>
      <c r="DL32" s="10">
        <v>278.87</v>
      </c>
      <c r="DM32" s="165">
        <v>3.84</v>
      </c>
      <c r="DN32" s="10">
        <f>DH32+DM32</f>
        <v>73.530000000000086</v>
      </c>
      <c r="DO32" s="168">
        <f>DM32*$T$1</f>
        <v>13.959464619110401</v>
      </c>
      <c r="DP32" s="168">
        <f>DJ32+DO32</f>
        <v>268.959711896258</v>
      </c>
      <c r="DQ32" s="202">
        <v>283.36</v>
      </c>
      <c r="DR32" s="10">
        <v>279.08999999999997</v>
      </c>
      <c r="DS32" s="165">
        <v>3.7</v>
      </c>
      <c r="DT32" s="10">
        <f>DN32+DS32</f>
        <v>77.230000000000089</v>
      </c>
      <c r="DU32" s="168">
        <f>DS32*$T$1</f>
        <v>13.450525804872001</v>
      </c>
      <c r="DV32" s="168">
        <f>DP32+DU32</f>
        <v>282.41023770112997</v>
      </c>
      <c r="DW32" s="15">
        <v>284.94</v>
      </c>
      <c r="DX32" s="10">
        <v>279.94</v>
      </c>
      <c r="DY32" s="165">
        <v>4.43</v>
      </c>
      <c r="DZ32" s="10">
        <f>DT32+DY32</f>
        <v>81.660000000000082</v>
      </c>
      <c r="EA32" s="168">
        <f>DY32*$T$1</f>
        <v>16.104278193400798</v>
      </c>
      <c r="EB32" s="179">
        <f>DV32+EA32</f>
        <v>298.51451589453075</v>
      </c>
    </row>
    <row r="33" spans="1:133" ht="15">
      <c r="A33" s="9" t="s">
        <v>391</v>
      </c>
      <c r="B33" s="116" t="s">
        <v>392</v>
      </c>
      <c r="C33" s="11">
        <v>42548</v>
      </c>
      <c r="D33" s="12" t="s">
        <v>22</v>
      </c>
      <c r="E33" s="10" t="s">
        <v>303</v>
      </c>
      <c r="F33" s="11">
        <v>42587</v>
      </c>
      <c r="G33" s="15">
        <v>245.27</v>
      </c>
      <c r="H33" s="13">
        <v>243.49</v>
      </c>
      <c r="I33" s="10">
        <f t="shared" si="563"/>
        <v>1.7800000000000011</v>
      </c>
      <c r="J33" s="168">
        <f>I33*$T$1</f>
        <v>6.470793495316804</v>
      </c>
      <c r="K33" s="15">
        <v>250.66</v>
      </c>
      <c r="L33" s="77">
        <v>248.34</v>
      </c>
      <c r="M33" s="10">
        <f>K33-L33</f>
        <v>2.3199999999999932</v>
      </c>
      <c r="N33" s="10">
        <f>I33+M33</f>
        <v>4.0999999999999943</v>
      </c>
      <c r="O33" s="168">
        <f>M33*$T$1</f>
        <v>8.4338432073791747</v>
      </c>
      <c r="P33" s="168">
        <f>J33+O33</f>
        <v>14.904636702695978</v>
      </c>
      <c r="Q33" s="15">
        <v>269.01</v>
      </c>
      <c r="R33" s="10">
        <v>266.39999999999998</v>
      </c>
      <c r="S33" s="10">
        <f>Q33-R33</f>
        <v>2.6100000000000136</v>
      </c>
      <c r="T33" s="10">
        <f>N33+S33</f>
        <v>6.710000000000008</v>
      </c>
      <c r="U33" s="168">
        <f>S33*$T$1</f>
        <v>9.488073608301649</v>
      </c>
      <c r="V33" s="168">
        <f>P33+U33</f>
        <v>24.392710310997629</v>
      </c>
      <c r="W33" s="15">
        <v>269.5</v>
      </c>
      <c r="X33" s="10">
        <v>266.69</v>
      </c>
      <c r="Y33" s="154">
        <f>W33-X33</f>
        <v>2.8100000000000023</v>
      </c>
      <c r="Z33" s="10">
        <f>T33+Y33</f>
        <v>9.5200000000000102</v>
      </c>
      <c r="AA33" s="168">
        <f>Y33*$T$1</f>
        <v>10.215129057213609</v>
      </c>
      <c r="AB33" s="168">
        <f>V33+AA33</f>
        <v>34.607839368211238</v>
      </c>
      <c r="AC33" s="15">
        <v>267.56</v>
      </c>
      <c r="AD33" s="10">
        <v>264.32</v>
      </c>
      <c r="AE33" s="154">
        <f>AC33-AD33+Z46</f>
        <v>4.8200000000000074</v>
      </c>
      <c r="AF33" s="10">
        <f>Z33+AE33</f>
        <v>14.340000000000018</v>
      </c>
      <c r="AG33" s="168">
        <f>AE33*$T$1</f>
        <v>17.522036318779229</v>
      </c>
      <c r="AH33" s="168">
        <f>AB33+AG33</f>
        <v>52.129875686990466</v>
      </c>
      <c r="AI33" s="15">
        <v>269.33999999999997</v>
      </c>
      <c r="AJ33" s="10">
        <v>266.39999999999998</v>
      </c>
      <c r="AK33" s="10">
        <f t="shared" ref="AK33" si="566">AI33-AJ33</f>
        <v>2.9399999999999977</v>
      </c>
      <c r="AL33" s="10">
        <f t="shared" ref="AL33" si="567">AF33+AK33</f>
        <v>17.280000000000015</v>
      </c>
      <c r="AM33" s="168">
        <f>AK33*$T$1</f>
        <v>10.687715099006391</v>
      </c>
      <c r="AN33" s="168">
        <f>AH33+AM33</f>
        <v>62.817590785996856</v>
      </c>
      <c r="AO33" s="15">
        <v>269.19</v>
      </c>
      <c r="AP33" s="10">
        <v>265.70999999999998</v>
      </c>
      <c r="AQ33" s="10">
        <f>AO33-AP33</f>
        <v>3.4800000000000182</v>
      </c>
      <c r="AR33" s="10">
        <f>AL33+AQ33</f>
        <v>20.760000000000034</v>
      </c>
      <c r="AS33" s="168">
        <f>AQ33*$T$1</f>
        <v>12.650764811068866</v>
      </c>
      <c r="AT33" s="168">
        <f>AN33+AS33</f>
        <v>75.468355597065724</v>
      </c>
      <c r="AU33" s="15">
        <v>271.08</v>
      </c>
      <c r="AV33" s="13">
        <v>268.75</v>
      </c>
      <c r="AW33" s="10">
        <f>AU33-AV33</f>
        <v>2.3299999999999841</v>
      </c>
      <c r="AX33" s="10">
        <f>AR33+AW33</f>
        <v>23.090000000000018</v>
      </c>
      <c r="AY33" s="168">
        <f>AW33*$T$1</f>
        <v>8.4701959798247426</v>
      </c>
      <c r="AZ33" s="168">
        <f>AT33+AY33</f>
        <v>83.938551576890461</v>
      </c>
      <c r="BA33" s="15">
        <v>272.04000000000002</v>
      </c>
      <c r="BB33" s="10">
        <v>268.77999999999997</v>
      </c>
      <c r="BC33" s="150">
        <v>2.52</v>
      </c>
      <c r="BD33" s="10">
        <f>AX33+BC33</f>
        <v>25.610000000000017</v>
      </c>
      <c r="BE33" s="168">
        <f>BC33*$T$1</f>
        <v>9.1608986562912005</v>
      </c>
      <c r="BF33" s="168">
        <f>AZ33+BE33</f>
        <v>93.099450233181656</v>
      </c>
      <c r="BG33" s="15">
        <v>289.70999999999998</v>
      </c>
      <c r="BH33" s="10">
        <v>286.02</v>
      </c>
      <c r="BI33" s="150">
        <v>2.95</v>
      </c>
      <c r="BJ33" s="10">
        <f>BD33+BI33</f>
        <v>28.560000000000016</v>
      </c>
      <c r="BK33" s="168">
        <f>BI33*$T$1</f>
        <v>10.724067871452</v>
      </c>
      <c r="BL33" s="168">
        <f>BF33+BK33</f>
        <v>103.82351810463365</v>
      </c>
      <c r="BM33" s="15">
        <v>286.04000000000002</v>
      </c>
      <c r="BN33" s="10">
        <v>282.52999999999997</v>
      </c>
      <c r="BO33" s="150">
        <v>2.77</v>
      </c>
      <c r="BP33" s="10">
        <f>BJ33+BO33</f>
        <v>31.330000000000016</v>
      </c>
      <c r="BQ33" s="168">
        <f>BO33*$T$1</f>
        <v>10.069717967431201</v>
      </c>
      <c r="BR33" s="168">
        <f>BL33+BQ33</f>
        <v>113.89323607206485</v>
      </c>
      <c r="BS33" s="15">
        <v>291.33999999999997</v>
      </c>
      <c r="BT33" s="10">
        <v>287.49</v>
      </c>
      <c r="BU33" s="150">
        <v>3.11</v>
      </c>
      <c r="BV33" s="10">
        <f>BP33+BU33</f>
        <v>34.440000000000019</v>
      </c>
      <c r="BW33" s="168">
        <f>BU33*$T$1</f>
        <v>11.3057122305816</v>
      </c>
      <c r="BX33" s="168">
        <f>BR33+BW33</f>
        <v>125.19894830264646</v>
      </c>
      <c r="BY33" s="15">
        <v>293.27</v>
      </c>
      <c r="BZ33" s="10">
        <v>288.91000000000003</v>
      </c>
      <c r="CA33" s="150">
        <v>3.62</v>
      </c>
      <c r="CB33" s="172">
        <v>5.07</v>
      </c>
      <c r="CC33" s="172">
        <f>CA33+CB33</f>
        <v>8.6900000000000013</v>
      </c>
      <c r="CD33" s="10">
        <f>BV33+CC33</f>
        <v>43.130000000000024</v>
      </c>
      <c r="CE33" s="369">
        <f>(CA33*$T$1)+23.0006</f>
        <v>36.160303625307201</v>
      </c>
      <c r="CF33" s="168">
        <f>BX33+CE33</f>
        <v>161.35925192795366</v>
      </c>
      <c r="CG33" s="15">
        <v>286.14</v>
      </c>
      <c r="CH33" s="150">
        <v>280.75</v>
      </c>
      <c r="CI33" s="150">
        <v>4.6399999999999997</v>
      </c>
      <c r="CJ33" s="150">
        <f>CD33+CI33</f>
        <v>47.770000000000024</v>
      </c>
      <c r="CK33" s="168">
        <f>CI33*$T$1</f>
        <v>16.867686414758399</v>
      </c>
      <c r="CL33" s="168">
        <f>CF33+CK33</f>
        <v>178.22693834271206</v>
      </c>
      <c r="CM33" s="15">
        <v>287.57</v>
      </c>
      <c r="CN33" s="13">
        <v>283.42</v>
      </c>
      <c r="CO33" s="150">
        <v>3.37</v>
      </c>
      <c r="CP33" s="10">
        <f>CJ33+CO33</f>
        <v>51.140000000000022</v>
      </c>
      <c r="CQ33" s="168">
        <f>CO33*$T$1</f>
        <v>12.2508843141672</v>
      </c>
      <c r="CR33" s="168">
        <f>CL33+CQ33</f>
        <v>190.47782265687925</v>
      </c>
      <c r="CS33" s="15">
        <v>290.16000000000003</v>
      </c>
      <c r="CT33" s="10">
        <v>285.23</v>
      </c>
      <c r="CU33" s="150">
        <v>4.1399999999999997</v>
      </c>
      <c r="CV33" s="10">
        <f>CP33+CU33</f>
        <v>55.280000000000022</v>
      </c>
      <c r="CW33" s="168">
        <f>CU33*$T$1</f>
        <v>15.050047792478399</v>
      </c>
      <c r="CX33" s="168">
        <f>CR33+CW33</f>
        <v>205.52787044935766</v>
      </c>
      <c r="CY33" s="15">
        <v>289.61</v>
      </c>
      <c r="CZ33" s="10">
        <v>285.70999999999998</v>
      </c>
      <c r="DA33" s="150">
        <v>3.12</v>
      </c>
      <c r="DB33" s="10">
        <f>CV33+DA33</f>
        <v>58.40000000000002</v>
      </c>
      <c r="DC33" s="168">
        <f>DA33*$T$1</f>
        <v>11.342065003027201</v>
      </c>
      <c r="DD33" s="168">
        <f>CX33+DC33</f>
        <v>216.86993545238488</v>
      </c>
      <c r="DE33" s="15">
        <v>288.04000000000002</v>
      </c>
      <c r="DF33" s="10">
        <v>284.14999999999998</v>
      </c>
      <c r="DG33" s="150">
        <v>3.11</v>
      </c>
      <c r="DH33" s="10">
        <f>DB33+DG33</f>
        <v>61.510000000000019</v>
      </c>
      <c r="DI33" s="168">
        <f>DG33*$T$1</f>
        <v>11.3057122305816</v>
      </c>
      <c r="DJ33" s="168">
        <f>DD33+DI33</f>
        <v>228.17564768296648</v>
      </c>
      <c r="DK33" s="15">
        <v>288.05</v>
      </c>
      <c r="DL33" s="10">
        <v>284.26</v>
      </c>
      <c r="DM33" s="150">
        <v>3.01</v>
      </c>
      <c r="DN33" s="10">
        <f>DH33+DM33</f>
        <v>64.520000000000024</v>
      </c>
      <c r="DO33" s="168">
        <f>DM33*$T$1</f>
        <v>10.942184506125599</v>
      </c>
      <c r="DP33" s="168">
        <f>DJ33+DO33</f>
        <v>239.1178321890921</v>
      </c>
      <c r="DQ33" s="202">
        <v>289.92</v>
      </c>
      <c r="DR33" s="10">
        <v>286.47000000000003</v>
      </c>
      <c r="DS33" s="10">
        <f>DQ33-DR33</f>
        <v>3.4499999999999886</v>
      </c>
      <c r="DT33" s="10">
        <f>DN33+DS33</f>
        <v>67.970000000000013</v>
      </c>
      <c r="DU33" s="168">
        <f>DS33*$T$1</f>
        <v>12.54170649373196</v>
      </c>
      <c r="DV33" s="168">
        <f>DP33+DU33</f>
        <v>251.65953868282406</v>
      </c>
      <c r="DW33" s="15">
        <v>288.36</v>
      </c>
      <c r="DX33" s="10">
        <v>284.66000000000003</v>
      </c>
      <c r="DY33" s="10">
        <f>DW33-DX33</f>
        <v>3.6999999999999886</v>
      </c>
      <c r="DZ33" s="10">
        <f>DT33+DY33</f>
        <v>71.67</v>
      </c>
      <c r="EA33" s="168">
        <f>DY33*$T$1</f>
        <v>13.450525804871958</v>
      </c>
      <c r="EB33" s="179">
        <f>DV33+EA33</f>
        <v>265.11006448769604</v>
      </c>
    </row>
    <row r="34" spans="1:133">
      <c r="A34" s="9" t="s">
        <v>393</v>
      </c>
      <c r="B34" s="114" t="s">
        <v>394</v>
      </c>
      <c r="C34" s="60"/>
      <c r="D34" s="12" t="s">
        <v>22</v>
      </c>
      <c r="E34" s="10" t="s">
        <v>303</v>
      </c>
      <c r="F34" s="11">
        <v>42411</v>
      </c>
      <c r="G34" s="15">
        <v>266.12</v>
      </c>
      <c r="H34" s="13">
        <v>264.05</v>
      </c>
      <c r="I34" s="10">
        <f t="shared" ref="I34" si="568">G34-H34</f>
        <v>2.0699999999999932</v>
      </c>
      <c r="J34" s="168">
        <f>I34*$T$1</f>
        <v>7.5250238962391753</v>
      </c>
      <c r="K34" s="15">
        <v>270.08</v>
      </c>
      <c r="L34" s="77">
        <v>267.27999999999997</v>
      </c>
      <c r="M34" s="10">
        <f>K34-L34</f>
        <v>2.8000000000000114</v>
      </c>
      <c r="N34" s="10">
        <f>I34+M34</f>
        <v>4.8700000000000045</v>
      </c>
      <c r="O34" s="168">
        <f>M34*$T$1</f>
        <v>10.178776284768041</v>
      </c>
      <c r="P34" s="168">
        <f>J34+O34</f>
        <v>17.703800181007217</v>
      </c>
      <c r="Q34" s="15">
        <v>273.08</v>
      </c>
      <c r="R34" s="10">
        <v>269.39999999999998</v>
      </c>
      <c r="S34" s="10">
        <f>Q34-R34</f>
        <v>3.6800000000000068</v>
      </c>
      <c r="T34" s="10">
        <f>N34+S34</f>
        <v>8.5500000000000114</v>
      </c>
      <c r="U34" s="168">
        <f>S34*$T$1</f>
        <v>13.377820259980826</v>
      </c>
      <c r="V34" s="168">
        <f>P34+U34</f>
        <v>31.081620440988043</v>
      </c>
      <c r="W34" s="15">
        <v>271.18</v>
      </c>
      <c r="X34" s="10">
        <v>267.07</v>
      </c>
      <c r="Y34" s="10">
        <f>W34-X34</f>
        <v>4.1100000000000136</v>
      </c>
      <c r="Z34" s="10">
        <f>T34+Y34</f>
        <v>12.660000000000025</v>
      </c>
      <c r="AA34" s="168">
        <f>Y34*$T$1</f>
        <v>14.940989475141651</v>
      </c>
      <c r="AB34" s="168">
        <f>V34+AA34</f>
        <v>46.022609916129696</v>
      </c>
      <c r="AC34" s="15">
        <v>272.85000000000002</v>
      </c>
      <c r="AD34" s="10">
        <v>268.52999999999997</v>
      </c>
      <c r="AE34" s="10">
        <f>AC34-AD34</f>
        <v>4.32000000000005</v>
      </c>
      <c r="AF34" s="10">
        <f>Z34+AE34</f>
        <v>16.980000000000075</v>
      </c>
      <c r="AG34" s="168">
        <f>AE34*$T$1</f>
        <v>15.704397696499383</v>
      </c>
      <c r="AH34" s="168">
        <f>AB34+AG34</f>
        <v>61.72700761262908</v>
      </c>
      <c r="AI34" s="15">
        <v>272.14</v>
      </c>
      <c r="AJ34" s="10">
        <v>267.27999999999997</v>
      </c>
      <c r="AK34" s="10">
        <f t="shared" ref="AK34" si="569">AI34-AJ34</f>
        <v>4.8600000000000136</v>
      </c>
      <c r="AL34" s="10">
        <f t="shared" ref="AL34" si="570">AF34+AK34</f>
        <v>21.840000000000089</v>
      </c>
      <c r="AM34" s="168">
        <f>AK34*$T$1</f>
        <v>17.66744740856165</v>
      </c>
      <c r="AN34" s="168">
        <f>AH34+AM34</f>
        <v>79.394455021190737</v>
      </c>
      <c r="AO34" s="15">
        <v>269.93</v>
      </c>
      <c r="AP34" s="155">
        <v>264.22000000000003</v>
      </c>
      <c r="AQ34" s="155">
        <v>4.97</v>
      </c>
      <c r="AR34" s="10">
        <f t="shared" ref="AR34" si="571">AL34+AQ34</f>
        <v>26.810000000000088</v>
      </c>
      <c r="AS34" s="168">
        <f t="shared" ref="AS34" si="572">AQ34*$T$1</f>
        <v>18.067327905463198</v>
      </c>
      <c r="AT34" s="168">
        <f t="shared" ref="AT34" si="573">AN34+AS34</f>
        <v>97.461782926653939</v>
      </c>
      <c r="AU34" s="15">
        <v>268.08</v>
      </c>
      <c r="AV34" s="13">
        <v>262.73</v>
      </c>
      <c r="AW34" s="10">
        <f>AU34-AV34</f>
        <v>5.3499999999999659</v>
      </c>
      <c r="AX34" s="10">
        <f>AR34+AW34</f>
        <v>32.160000000000053</v>
      </c>
      <c r="AY34" s="168">
        <f>AW34*$T$1</f>
        <v>19.448733258395876</v>
      </c>
      <c r="AZ34" s="168">
        <f>AT34+AY34</f>
        <v>116.91051618504981</v>
      </c>
      <c r="BA34" s="15">
        <v>267.19</v>
      </c>
      <c r="BB34" s="10">
        <v>263.52</v>
      </c>
      <c r="BC34" s="10">
        <f t="shared" ref="BC34" si="574">BA34-BB34</f>
        <v>3.6700000000000159</v>
      </c>
      <c r="BD34" s="10">
        <f t="shared" ref="BD34" si="575">AX34+BC34</f>
        <v>35.830000000000069</v>
      </c>
      <c r="BE34" s="168">
        <f t="shared" ref="BE34" si="576">BC34*$T$1</f>
        <v>13.341467487535258</v>
      </c>
      <c r="BF34" s="168">
        <f t="shared" ref="BF34" si="577">AZ34+BE34</f>
        <v>130.25198367258508</v>
      </c>
      <c r="BG34" s="15">
        <v>266.08999999999997</v>
      </c>
      <c r="BH34" s="10">
        <v>261.94</v>
      </c>
      <c r="BI34" s="10">
        <f t="shared" ref="BI34:BI36" si="578">BG34-BH34</f>
        <v>4.1499999999999773</v>
      </c>
      <c r="BJ34" s="10">
        <f>BD34+BI34</f>
        <v>39.980000000000047</v>
      </c>
      <c r="BK34" s="168">
        <f>BI34*$T$1</f>
        <v>15.086400564923919</v>
      </c>
      <c r="BL34" s="168">
        <f>BF34+BK34</f>
        <v>145.33838423750899</v>
      </c>
      <c r="BM34" s="15">
        <v>269.45999999999998</v>
      </c>
      <c r="BN34" s="10">
        <v>265.48</v>
      </c>
      <c r="BO34" s="222">
        <f t="shared" ref="BO34" si="579">BM34-BN34</f>
        <v>3.9799999999999613</v>
      </c>
      <c r="BP34" s="10">
        <f t="shared" ref="BP34:BP35" si="580">BJ34+BO34</f>
        <v>43.960000000000008</v>
      </c>
      <c r="BQ34" s="168">
        <f t="shared" ref="BQ34:BQ35" si="581">BO34*$T$1</f>
        <v>14.46840343334866</v>
      </c>
      <c r="BR34" s="168">
        <f t="shared" ref="BR34:BR35" si="582">BL34+BQ34</f>
        <v>159.80678767085766</v>
      </c>
      <c r="BS34" s="15">
        <v>268.54000000000002</v>
      </c>
      <c r="BT34" s="10">
        <v>263.8</v>
      </c>
      <c r="BU34" s="222">
        <f>(BS34-BT34)-1.32</f>
        <v>3.4200000000000088</v>
      </c>
      <c r="BV34" s="10">
        <f>BP34+BU34</f>
        <v>47.380000000000017</v>
      </c>
      <c r="BW34" s="168">
        <f>BU34*$T$1</f>
        <v>12.432648176395233</v>
      </c>
      <c r="BX34" s="168">
        <f>BR34+BW34</f>
        <v>172.23943584725288</v>
      </c>
      <c r="BY34" s="15">
        <v>266.88</v>
      </c>
      <c r="BZ34" s="165">
        <v>263.97000000000003</v>
      </c>
      <c r="CA34" s="10">
        <f>(BY34-BZ34)-1.03</f>
        <v>1.8799999999999681</v>
      </c>
      <c r="CB34" s="172">
        <v>1.27</v>
      </c>
      <c r="CC34" s="172">
        <f>CA34+CB34</f>
        <v>3.1499999999999684</v>
      </c>
      <c r="CD34" s="10">
        <f>BV34+CC34</f>
        <v>50.529999999999987</v>
      </c>
      <c r="CE34" s="369">
        <f>(CA34*$T$1)+5.7228</f>
        <v>12.557121219772686</v>
      </c>
      <c r="CF34" s="168">
        <f>BX34+CE34</f>
        <v>184.79655706702556</v>
      </c>
      <c r="CG34" s="15">
        <v>265.89999999999998</v>
      </c>
      <c r="CH34" s="10">
        <v>262.86</v>
      </c>
      <c r="CI34" s="10">
        <f t="shared" ref="CI34" si="583">CG34-CH34</f>
        <v>3.0399999999999636</v>
      </c>
      <c r="CJ34" s="10">
        <f t="shared" ref="CJ34" si="584">CD34+CI34</f>
        <v>53.569999999999951</v>
      </c>
      <c r="CK34" s="168">
        <f t="shared" ref="CK34" si="585">CI34*$T$1</f>
        <v>11.051242823462267</v>
      </c>
      <c r="CL34" s="168">
        <f t="shared" ref="CL34" si="586">CF34+CK34</f>
        <v>195.84779989048783</v>
      </c>
      <c r="CM34" s="15">
        <v>266.76</v>
      </c>
      <c r="CN34" s="13">
        <v>263.18</v>
      </c>
      <c r="CO34" s="10">
        <f t="shared" ref="CO34" si="587">CM34-CN34</f>
        <v>3.5799999999999841</v>
      </c>
      <c r="CP34" s="10">
        <f t="shared" ref="CP34" si="588">CJ34+CO34</f>
        <v>57.149999999999935</v>
      </c>
      <c r="CQ34" s="168">
        <f t="shared" ref="CQ34" si="589">CO34*$T$1</f>
        <v>13.014292535524742</v>
      </c>
      <c r="CR34" s="168">
        <f t="shared" ref="CR34" si="590">CL34+CQ34</f>
        <v>208.86209242601257</v>
      </c>
      <c r="CS34" s="15">
        <v>270.3</v>
      </c>
      <c r="CT34" s="10">
        <v>266.3</v>
      </c>
      <c r="CU34" s="10">
        <f t="shared" ref="CU34" si="591">CS34-CT34</f>
        <v>4</v>
      </c>
      <c r="CV34" s="10">
        <f t="shared" ref="CV34" si="592">CP34+CU34</f>
        <v>61.149999999999935</v>
      </c>
      <c r="CW34" s="168">
        <f t="shared" ref="CW34" si="593">CU34*$T$1</f>
        <v>14.54110897824</v>
      </c>
      <c r="CX34" s="168">
        <f t="shared" ref="CX34" si="594">CR34+CW34</f>
        <v>223.40320140425257</v>
      </c>
      <c r="CY34" s="15">
        <v>264.44</v>
      </c>
      <c r="CZ34" s="10">
        <v>260.64</v>
      </c>
      <c r="DA34" s="10">
        <f t="shared" ref="DA34" si="595">CY34-CZ34</f>
        <v>3.8000000000000114</v>
      </c>
      <c r="DB34" s="10">
        <f t="shared" ref="DB34" si="596">CV34+DA34</f>
        <v>64.949999999999946</v>
      </c>
      <c r="DC34" s="168">
        <f t="shared" ref="DC34" si="597">DA34*$T$1</f>
        <v>13.814053529328042</v>
      </c>
      <c r="DD34" s="168">
        <f t="shared" ref="DD34" si="598">CX34+DC34</f>
        <v>237.21725493358062</v>
      </c>
      <c r="DE34" s="15">
        <v>268.01</v>
      </c>
      <c r="DF34" s="10">
        <v>265.02999999999997</v>
      </c>
      <c r="DG34" s="10">
        <f>DE34-DF34</f>
        <v>2.9800000000000182</v>
      </c>
      <c r="DH34" s="10">
        <f t="shared" ref="DH34" si="599">DB34+DG34</f>
        <v>67.929999999999964</v>
      </c>
      <c r="DI34" s="168">
        <f t="shared" ref="DI34" si="600">DG34*$T$1</f>
        <v>10.833126188788867</v>
      </c>
      <c r="DJ34" s="168">
        <f t="shared" ref="DJ34" si="601">DD34+DI34</f>
        <v>248.05038112236949</v>
      </c>
      <c r="DK34" s="15">
        <v>273.13</v>
      </c>
      <c r="DL34" s="10">
        <v>268.86</v>
      </c>
      <c r="DM34" s="10">
        <f>(DK34-DL34)</f>
        <v>4.2699999999999818</v>
      </c>
      <c r="DN34" s="10">
        <f t="shared" ref="DN34" si="602">DH34+DM34</f>
        <v>72.199999999999946</v>
      </c>
      <c r="DO34" s="168">
        <f t="shared" ref="DO34" si="603">DM34*$T$1</f>
        <v>15.522633834271135</v>
      </c>
      <c r="DP34" s="168">
        <f t="shared" ref="DP34" si="604">DJ34+DO34</f>
        <v>263.57301495664063</v>
      </c>
      <c r="DQ34" s="202">
        <v>273.56</v>
      </c>
      <c r="DR34" s="10">
        <v>270.08</v>
      </c>
      <c r="DS34" s="10">
        <f>DQ34-DR34</f>
        <v>3.4800000000000182</v>
      </c>
      <c r="DT34" s="10">
        <f>DN34+DS34</f>
        <v>75.679999999999964</v>
      </c>
      <c r="DU34" s="168">
        <f>DS34*$T$1</f>
        <v>12.650764811068866</v>
      </c>
      <c r="DV34" s="168">
        <f>DP34+DU34</f>
        <v>276.22377976770952</v>
      </c>
      <c r="DW34" s="15">
        <v>275.37</v>
      </c>
      <c r="DX34" s="10">
        <v>272.05</v>
      </c>
      <c r="DY34" s="10">
        <f>DW34-DX34</f>
        <v>3.3199999999999932</v>
      </c>
      <c r="DZ34" s="10">
        <f>DT34+DY34</f>
        <v>78.999999999999957</v>
      </c>
      <c r="EA34" s="168">
        <f>DY34*$T$1</f>
        <v>12.069120451939176</v>
      </c>
      <c r="EB34" s="179">
        <f>DV34+EA34</f>
        <v>288.29290021964869</v>
      </c>
    </row>
    <row r="35" spans="1:133">
      <c r="A35" s="9" t="s">
        <v>409</v>
      </c>
      <c r="B35" s="62" t="s">
        <v>410</v>
      </c>
      <c r="C35" s="11" t="s">
        <v>308</v>
      </c>
      <c r="D35" s="12" t="s">
        <v>22</v>
      </c>
      <c r="E35" s="10" t="s">
        <v>303</v>
      </c>
      <c r="F35" s="11" t="s">
        <v>309</v>
      </c>
      <c r="G35" s="15">
        <v>241.09</v>
      </c>
      <c r="H35" s="13">
        <v>239.27</v>
      </c>
      <c r="I35" s="10">
        <f t="shared" ref="I35:I36" si="605">G35-H35</f>
        <v>1.8199999999999932</v>
      </c>
      <c r="J35" s="168">
        <f t="shared" ref="J35:J36" si="606">I35*$T$1</f>
        <v>6.6162045850991751</v>
      </c>
      <c r="K35" s="15">
        <v>242.92</v>
      </c>
      <c r="L35" s="77">
        <v>240.19</v>
      </c>
      <c r="M35" s="10">
        <f t="shared" ref="M35:M36" si="607">K35-L35</f>
        <v>2.7299999999999898</v>
      </c>
      <c r="N35" s="10">
        <f t="shared" ref="N35:N36" si="608">I35+M35</f>
        <v>4.5499999999999829</v>
      </c>
      <c r="O35" s="168">
        <f t="shared" ref="O35:O36" si="609">M35*$T$1</f>
        <v>9.924306877648764</v>
      </c>
      <c r="P35" s="168">
        <f t="shared" ref="P35:P36" si="610">J35+O35</f>
        <v>16.54051146274794</v>
      </c>
      <c r="Q35" s="15">
        <v>245.61</v>
      </c>
      <c r="R35" s="10">
        <v>242.34</v>
      </c>
      <c r="S35" s="10">
        <f t="shared" ref="S35:S36" si="611">Q35-R35</f>
        <v>3.2700000000000102</v>
      </c>
      <c r="T35" s="10">
        <f t="shared" ref="T35:T40" si="612">N35+S35</f>
        <v>7.8199999999999932</v>
      </c>
      <c r="U35" s="168">
        <f t="shared" ref="U35:U40" si="613">S35*$T$1</f>
        <v>11.887356589711237</v>
      </c>
      <c r="V35" s="168">
        <f t="shared" ref="V35:V40" si="614">P35+U35</f>
        <v>28.427868052459175</v>
      </c>
      <c r="W35" s="15">
        <v>247.15</v>
      </c>
      <c r="X35" s="10">
        <v>243.67</v>
      </c>
      <c r="Y35" s="10">
        <f t="shared" ref="Y35:Y36" si="615">W35-X35</f>
        <v>3.4800000000000182</v>
      </c>
      <c r="Z35" s="10">
        <f t="shared" ref="Z35:Z37" si="616">T35+Y35</f>
        <v>11.300000000000011</v>
      </c>
      <c r="AA35" s="168">
        <f t="shared" ref="AA35:AA37" si="617">Y35*$T$1</f>
        <v>12.650764811068866</v>
      </c>
      <c r="AB35" s="168">
        <f t="shared" ref="AB35:AB37" si="618">V35+AA35</f>
        <v>41.078632863528043</v>
      </c>
      <c r="AC35" s="15">
        <v>259.10000000000002</v>
      </c>
      <c r="AD35" s="10">
        <v>255.59</v>
      </c>
      <c r="AE35" s="10">
        <f t="shared" ref="AE35:AE36" si="619">AC35-AD35</f>
        <v>3.5100000000000193</v>
      </c>
      <c r="AF35" s="10">
        <f t="shared" ref="AF35:AF36" si="620">Z35+AE35</f>
        <v>14.810000000000031</v>
      </c>
      <c r="AG35" s="168">
        <f t="shared" ref="AG35:AG36" si="621">AE35*$T$1</f>
        <v>12.759823128405671</v>
      </c>
      <c r="AH35" s="168">
        <f t="shared" ref="AH35:AH36" si="622">AB35+AG35</f>
        <v>53.838455991933714</v>
      </c>
      <c r="AI35" s="15">
        <v>257.99</v>
      </c>
      <c r="AJ35" s="10">
        <v>254.62</v>
      </c>
      <c r="AK35" s="10">
        <f t="shared" ref="AK35:AK36" si="623">AI35-AJ35</f>
        <v>3.3700000000000045</v>
      </c>
      <c r="AL35" s="10">
        <f t="shared" ref="AL35:AL36" si="624">AF35+AK35</f>
        <v>18.180000000000035</v>
      </c>
      <c r="AM35" s="168">
        <f t="shared" ref="AM35:AM36" si="625">AK35*$T$1</f>
        <v>12.250884314167218</v>
      </c>
      <c r="AN35" s="168">
        <f t="shared" ref="AN35:AN36" si="626">AH35+AM35</f>
        <v>66.089340306100937</v>
      </c>
      <c r="AO35" s="15">
        <v>262</v>
      </c>
      <c r="AP35" s="10">
        <v>257.60000000000002</v>
      </c>
      <c r="AQ35" s="10">
        <f>AO35-AP35</f>
        <v>4.3999999999999773</v>
      </c>
      <c r="AR35" s="10">
        <f>AL35+AQ35</f>
        <v>22.580000000000013</v>
      </c>
      <c r="AS35" s="168">
        <f>AQ35*$T$1</f>
        <v>15.995219876063917</v>
      </c>
      <c r="AT35" s="168">
        <f>AN35+AS35</f>
        <v>82.08456018216485</v>
      </c>
      <c r="AU35" s="15">
        <v>268.08</v>
      </c>
      <c r="AV35" s="13">
        <v>264.11</v>
      </c>
      <c r="AW35" s="10">
        <f t="shared" ref="AW35:AW36" si="627">AU35-AV35</f>
        <v>3.9699999999999704</v>
      </c>
      <c r="AX35" s="10">
        <f t="shared" ref="AX35:AX36" si="628">AR35+AW35</f>
        <v>26.549999999999983</v>
      </c>
      <c r="AY35" s="168">
        <f t="shared" ref="AY35:AY36" si="629">AW35*$T$1</f>
        <v>14.432050660903093</v>
      </c>
      <c r="AZ35" s="168">
        <f t="shared" ref="AZ35:AZ36" si="630">AT35+AY35</f>
        <v>96.516610843067937</v>
      </c>
      <c r="BA35" s="15">
        <v>268.37</v>
      </c>
      <c r="BB35" s="10">
        <v>265</v>
      </c>
      <c r="BC35" s="10">
        <f t="shared" ref="BC35:BC36" si="631">BA35-BB35</f>
        <v>3.3700000000000045</v>
      </c>
      <c r="BD35" s="10">
        <f t="shared" ref="BD35:BD36" si="632">AX35+BC35</f>
        <v>29.919999999999987</v>
      </c>
      <c r="BE35" s="168">
        <f t="shared" ref="BE35:BE36" si="633">BC35*$T$1</f>
        <v>12.250884314167218</v>
      </c>
      <c r="BF35" s="168">
        <f t="shared" ref="BF35:BF36" si="634">AZ35+BE35</f>
        <v>108.76749515723516</v>
      </c>
      <c r="BG35" s="15">
        <v>268.72000000000003</v>
      </c>
      <c r="BH35" s="10">
        <v>265.45</v>
      </c>
      <c r="BI35" s="10">
        <f t="shared" si="578"/>
        <v>3.2700000000000387</v>
      </c>
      <c r="BJ35" s="10">
        <f t="shared" ref="BJ35:BJ36" si="635">BD35+BI35</f>
        <v>33.190000000000026</v>
      </c>
      <c r="BK35" s="168">
        <f t="shared" ref="BK35:BK36" si="636">BI35*$T$1</f>
        <v>11.887356589711342</v>
      </c>
      <c r="BL35" s="168">
        <f t="shared" ref="BL35:BL36" si="637">BF35+BK35</f>
        <v>120.65485174694651</v>
      </c>
      <c r="BM35" s="15">
        <v>269.74</v>
      </c>
      <c r="BN35" s="10">
        <v>266.64999999999998</v>
      </c>
      <c r="BO35" s="10">
        <f>BM35-BN35</f>
        <v>3.0900000000000318</v>
      </c>
      <c r="BP35" s="10">
        <f t="shared" si="580"/>
        <v>36.280000000000058</v>
      </c>
      <c r="BQ35" s="168">
        <f t="shared" si="581"/>
        <v>11.233006685690516</v>
      </c>
      <c r="BR35" s="168">
        <f t="shared" si="582"/>
        <v>131.88785843263702</v>
      </c>
      <c r="BS35" s="15">
        <v>271.04000000000002</v>
      </c>
      <c r="BT35" s="10">
        <v>267.5</v>
      </c>
      <c r="BU35" s="10">
        <f>BS35-BT35</f>
        <v>3.5400000000000205</v>
      </c>
      <c r="BV35" s="10">
        <f t="shared" ref="BV35:BV36" si="638">BP35+BU35</f>
        <v>39.820000000000078</v>
      </c>
      <c r="BW35" s="168">
        <f t="shared" ref="BW35:BW36" si="639">BU35*$T$1</f>
        <v>12.868881445742474</v>
      </c>
      <c r="BX35" s="168">
        <f t="shared" ref="BX35:BX36" si="640">BR35+BW35</f>
        <v>144.75673987837951</v>
      </c>
      <c r="BY35" s="15">
        <v>274.2</v>
      </c>
      <c r="BZ35" s="165">
        <v>272.11</v>
      </c>
      <c r="CA35" s="10">
        <f>BY35-BZ35</f>
        <v>2.089999999999975</v>
      </c>
      <c r="CB35" s="172">
        <v>1.95</v>
      </c>
      <c r="CC35" s="172">
        <f t="shared" ref="CC35:CC36" si="641">CA35+CB35</f>
        <v>4.0399999999999752</v>
      </c>
      <c r="CD35" s="10">
        <f t="shared" ref="CD35:CD36" si="642">BV35+CC35</f>
        <v>43.860000000000056</v>
      </c>
      <c r="CE35" s="369">
        <f>(CA35*$T$1)+8.8014</f>
        <v>16.399129441130309</v>
      </c>
      <c r="CF35" s="168">
        <f t="shared" ref="CF35:CF36" si="643">BX35+CE35</f>
        <v>161.1558693195098</v>
      </c>
      <c r="CG35" s="15">
        <v>273.75</v>
      </c>
      <c r="CH35" s="10">
        <v>270.8</v>
      </c>
      <c r="CI35" s="10">
        <f>CG35-CH35</f>
        <v>2.9499999999999886</v>
      </c>
      <c r="CJ35" s="10">
        <f>CD35+CI35</f>
        <v>46.810000000000045</v>
      </c>
      <c r="CK35" s="168">
        <f>CI35*$T$1</f>
        <v>10.724067871451959</v>
      </c>
      <c r="CL35" s="168">
        <f>CF35+CK35</f>
        <v>171.87993719096175</v>
      </c>
      <c r="CM35" s="15">
        <v>272.44</v>
      </c>
      <c r="CN35" s="13">
        <v>267.98</v>
      </c>
      <c r="CO35" s="10">
        <f>CM35-CN35</f>
        <v>4.4599999999999795</v>
      </c>
      <c r="CP35" s="10">
        <f>CJ35+CO35</f>
        <v>51.270000000000024</v>
      </c>
      <c r="CQ35" s="168">
        <f>CO35*$T$1</f>
        <v>16.213336510737527</v>
      </c>
      <c r="CR35" s="168">
        <f>CL35+CQ35</f>
        <v>188.09327370169927</v>
      </c>
      <c r="CS35" s="15">
        <v>271.81</v>
      </c>
      <c r="CT35" s="10">
        <v>267.43</v>
      </c>
      <c r="CU35" s="10">
        <f>CS35-CT35</f>
        <v>4.3799999999999955</v>
      </c>
      <c r="CV35" s="10">
        <f>CP35+CU35</f>
        <v>55.65000000000002</v>
      </c>
      <c r="CW35" s="168">
        <f>CU35*$T$1</f>
        <v>15.922514331172785</v>
      </c>
      <c r="CX35" s="168">
        <f>CR35+CW35</f>
        <v>204.01578803287205</v>
      </c>
      <c r="CY35" s="15">
        <v>264.74</v>
      </c>
      <c r="CZ35" s="10">
        <v>260.49</v>
      </c>
      <c r="DA35" s="10">
        <f>CY35-CZ35</f>
        <v>4.25</v>
      </c>
      <c r="DB35" s="10">
        <f t="shared" ref="DB35:DB40" si="644">CV35+DA35</f>
        <v>59.90000000000002</v>
      </c>
      <c r="DC35" s="168">
        <f t="shared" ref="DC35:DC40" si="645">DA35*$T$1</f>
        <v>15.449928289380001</v>
      </c>
      <c r="DD35" s="168">
        <f t="shared" ref="DD35:DD40" si="646">CX35+DC35</f>
        <v>219.46571632225206</v>
      </c>
      <c r="DE35" s="15">
        <v>265.17</v>
      </c>
      <c r="DF35" s="10">
        <v>261.02</v>
      </c>
      <c r="DG35" s="165">
        <f t="shared" ref="DG35:DG36" si="647">DE35-DF35</f>
        <v>4.1500000000000341</v>
      </c>
      <c r="DH35" s="10">
        <f t="shared" ref="DH35:DH36" si="648">DB35+DG35</f>
        <v>64.050000000000054</v>
      </c>
      <c r="DI35" s="168">
        <f t="shared" ref="DI35:DI36" si="649">DG35*$T$1</f>
        <v>15.086400564924125</v>
      </c>
      <c r="DJ35" s="168">
        <f t="shared" ref="DJ35:DJ36" si="650">DD35+DI35</f>
        <v>234.5521168871762</v>
      </c>
      <c r="DK35" s="15">
        <v>265.68</v>
      </c>
      <c r="DL35" s="10">
        <v>262.05</v>
      </c>
      <c r="DM35" s="10">
        <f t="shared" ref="DM35:DM36" si="651">(DK35-DL35)</f>
        <v>3.6299999999999955</v>
      </c>
      <c r="DN35" s="10">
        <f t="shared" ref="DN35:DN36" si="652">DH35+DM35</f>
        <v>67.680000000000049</v>
      </c>
      <c r="DO35" s="168">
        <f t="shared" ref="DO35:DO36" si="653">DM35*$T$1</f>
        <v>13.196056397752784</v>
      </c>
      <c r="DP35" s="168">
        <f t="shared" ref="DP35:DP36" si="654">DJ35+DO35</f>
        <v>247.74817328492898</v>
      </c>
      <c r="DQ35" s="202">
        <v>264.88</v>
      </c>
      <c r="DR35" s="10">
        <v>261.31</v>
      </c>
      <c r="DS35" s="10">
        <f t="shared" ref="DS35:DS36" si="655">DQ35-DR35</f>
        <v>3.5699999999999932</v>
      </c>
      <c r="DT35" s="10">
        <f t="shared" ref="DT35:DT36" si="656">DN35+DS35</f>
        <v>71.250000000000043</v>
      </c>
      <c r="DU35" s="168">
        <f t="shared" ref="DU35:DU36" si="657">DS35*$T$1</f>
        <v>12.977939763079176</v>
      </c>
      <c r="DV35" s="168">
        <f t="shared" ref="DV35:DV36" si="658">DP35+DU35</f>
        <v>260.72611304800813</v>
      </c>
      <c r="DW35" s="15">
        <v>259.27</v>
      </c>
      <c r="DX35" s="10">
        <v>254.22</v>
      </c>
      <c r="DY35" s="10">
        <f t="shared" ref="DY35:DY36" si="659">DW35-DX35</f>
        <v>5.0499999999999829</v>
      </c>
      <c r="DZ35" s="10">
        <f t="shared" ref="DZ35:DZ36" si="660">DT35+DY35</f>
        <v>76.300000000000026</v>
      </c>
      <c r="EA35" s="168">
        <f t="shared" ref="EA35:EA36" si="661">DY35*$T$1</f>
        <v>18.358150085027937</v>
      </c>
      <c r="EB35" s="179">
        <f t="shared" ref="EB35:EB36" si="662">DV35+EA35</f>
        <v>279.08426313303607</v>
      </c>
    </row>
    <row r="36" spans="1:133">
      <c r="A36" s="9" t="s">
        <v>395</v>
      </c>
      <c r="B36" s="62" t="s">
        <v>396</v>
      </c>
      <c r="C36" s="11" t="s">
        <v>397</v>
      </c>
      <c r="D36" s="12" t="s">
        <v>22</v>
      </c>
      <c r="E36" s="10" t="s">
        <v>303</v>
      </c>
      <c r="F36" s="11" t="s">
        <v>309</v>
      </c>
      <c r="G36" s="15">
        <v>243.1</v>
      </c>
      <c r="H36" s="13">
        <v>241.9</v>
      </c>
      <c r="I36" s="10">
        <f t="shared" si="605"/>
        <v>1.1999999999999886</v>
      </c>
      <c r="J36" s="168">
        <f t="shared" si="606"/>
        <v>4.3623326934719584</v>
      </c>
      <c r="K36" s="15">
        <v>246.94</v>
      </c>
      <c r="L36" s="77">
        <v>244.38</v>
      </c>
      <c r="M36" s="10">
        <f t="shared" si="607"/>
        <v>2.5600000000000023</v>
      </c>
      <c r="N36" s="10">
        <f t="shared" si="608"/>
        <v>3.7599999999999909</v>
      </c>
      <c r="O36" s="168">
        <f t="shared" si="609"/>
        <v>9.3063097460736088</v>
      </c>
      <c r="P36" s="168">
        <f t="shared" si="610"/>
        <v>13.668642439545568</v>
      </c>
      <c r="Q36" s="15">
        <v>251.53</v>
      </c>
      <c r="R36" s="10">
        <v>248.32</v>
      </c>
      <c r="S36" s="10">
        <f t="shared" si="611"/>
        <v>3.210000000000008</v>
      </c>
      <c r="T36" s="10">
        <f t="shared" si="612"/>
        <v>6.9699999999999989</v>
      </c>
      <c r="U36" s="168">
        <f t="shared" si="613"/>
        <v>11.669239955037629</v>
      </c>
      <c r="V36" s="168">
        <f t="shared" si="614"/>
        <v>25.337882394583197</v>
      </c>
      <c r="W36" s="15">
        <v>251.7</v>
      </c>
      <c r="X36" s="10">
        <v>248.23</v>
      </c>
      <c r="Y36" s="10">
        <f t="shared" si="615"/>
        <v>3.4699999999999989</v>
      </c>
      <c r="Z36" s="10">
        <f t="shared" si="616"/>
        <v>10.439999999999998</v>
      </c>
      <c r="AA36" s="168">
        <f t="shared" si="617"/>
        <v>12.614412038623197</v>
      </c>
      <c r="AB36" s="168">
        <f t="shared" si="618"/>
        <v>37.95229443320639</v>
      </c>
      <c r="AC36" s="15">
        <v>259.41000000000003</v>
      </c>
      <c r="AD36" s="10">
        <v>252.86</v>
      </c>
      <c r="AE36" s="10">
        <f t="shared" si="619"/>
        <v>6.5500000000000114</v>
      </c>
      <c r="AF36" s="10">
        <f t="shared" si="620"/>
        <v>16.990000000000009</v>
      </c>
      <c r="AG36" s="168">
        <f t="shared" si="621"/>
        <v>23.811065951868041</v>
      </c>
      <c r="AH36" s="168">
        <f t="shared" si="622"/>
        <v>61.763360385074435</v>
      </c>
      <c r="AI36" s="15">
        <v>256.01</v>
      </c>
      <c r="AJ36" s="10">
        <v>249.84</v>
      </c>
      <c r="AK36" s="10">
        <f t="shared" si="623"/>
        <v>6.1699999999999875</v>
      </c>
      <c r="AL36" s="10">
        <f t="shared" si="624"/>
        <v>23.159999999999997</v>
      </c>
      <c r="AM36" s="168">
        <f t="shared" si="625"/>
        <v>22.429660598935154</v>
      </c>
      <c r="AN36" s="168">
        <f t="shared" si="626"/>
        <v>84.193020984009593</v>
      </c>
      <c r="AO36" s="15">
        <v>261.33</v>
      </c>
      <c r="AP36" s="10">
        <v>258.14</v>
      </c>
      <c r="AQ36" s="10">
        <f>AO36-AP36</f>
        <v>3.1899999999999977</v>
      </c>
      <c r="AR36" s="10">
        <f>AL36+AQ36</f>
        <v>26.349999999999994</v>
      </c>
      <c r="AS36" s="168">
        <f>AQ36*$T$1</f>
        <v>11.596534410146392</v>
      </c>
      <c r="AT36" s="168">
        <f>AN36+AS36</f>
        <v>95.789555394155983</v>
      </c>
      <c r="AU36" s="15">
        <v>261.17</v>
      </c>
      <c r="AV36" s="13">
        <v>256.77</v>
      </c>
      <c r="AW36" s="10">
        <f t="shared" si="627"/>
        <v>4.4000000000000341</v>
      </c>
      <c r="AX36" s="10">
        <f t="shared" si="628"/>
        <v>30.750000000000028</v>
      </c>
      <c r="AY36" s="168">
        <f t="shared" si="629"/>
        <v>15.995219876064125</v>
      </c>
      <c r="AZ36" s="168">
        <f t="shared" si="630"/>
        <v>111.78477527022011</v>
      </c>
      <c r="BA36" s="15">
        <v>266.12</v>
      </c>
      <c r="BB36" s="10">
        <v>261.82</v>
      </c>
      <c r="BC36" s="10">
        <f t="shared" si="631"/>
        <v>4.3000000000000114</v>
      </c>
      <c r="BD36" s="10">
        <f t="shared" si="632"/>
        <v>35.05000000000004</v>
      </c>
      <c r="BE36" s="168">
        <f t="shared" si="633"/>
        <v>15.631692151608043</v>
      </c>
      <c r="BF36" s="168">
        <f t="shared" si="634"/>
        <v>127.41646742182814</v>
      </c>
      <c r="BG36" s="15">
        <v>266.39999999999998</v>
      </c>
      <c r="BH36" s="10">
        <v>262.31</v>
      </c>
      <c r="BI36" s="10">
        <f t="shared" si="578"/>
        <v>4.089999999999975</v>
      </c>
      <c r="BJ36" s="10">
        <f t="shared" si="635"/>
        <v>39.140000000000015</v>
      </c>
      <c r="BK36" s="168">
        <f t="shared" si="636"/>
        <v>14.868283930250309</v>
      </c>
      <c r="BL36" s="168">
        <f t="shared" si="637"/>
        <v>142.28475135207844</v>
      </c>
      <c r="BM36" s="15">
        <v>268.3</v>
      </c>
      <c r="BN36" s="10">
        <v>262.98</v>
      </c>
      <c r="BO36" s="10">
        <f>BM36-BN36</f>
        <v>5.3199999999999932</v>
      </c>
      <c r="BP36" s="10">
        <f t="shared" ref="BP36" si="663">BJ36+BO36</f>
        <v>44.460000000000008</v>
      </c>
      <c r="BQ36" s="168">
        <f t="shared" ref="BQ36" si="664">BO36*$T$1</f>
        <v>19.339674941059176</v>
      </c>
      <c r="BR36" s="168">
        <f t="shared" ref="BR36" si="665">BL36+BQ36</f>
        <v>161.62442629313762</v>
      </c>
      <c r="BS36" s="15">
        <v>266.27999999999997</v>
      </c>
      <c r="BT36" s="10">
        <v>262.52</v>
      </c>
      <c r="BU36" s="10">
        <f>BS36-BT36</f>
        <v>3.7599999999999909</v>
      </c>
      <c r="BV36" s="10">
        <f t="shared" si="638"/>
        <v>48.22</v>
      </c>
      <c r="BW36" s="168">
        <f t="shared" si="639"/>
        <v>13.668642439545568</v>
      </c>
      <c r="BX36" s="168">
        <f t="shared" si="640"/>
        <v>175.2930687326832</v>
      </c>
      <c r="BY36" s="15">
        <v>269.37</v>
      </c>
      <c r="BZ36" s="165">
        <v>269.16000000000003</v>
      </c>
      <c r="CA36" s="10">
        <f>BY36-BZ36</f>
        <v>0.20999999999997954</v>
      </c>
      <c r="CB36" s="172">
        <v>1.95</v>
      </c>
      <c r="CC36" s="172">
        <f t="shared" si="641"/>
        <v>2.1599999999999797</v>
      </c>
      <c r="CD36" s="10">
        <f t="shared" si="642"/>
        <v>50.379999999999981</v>
      </c>
      <c r="CE36" s="369">
        <f>(CA36*$T$1)+10.5028</f>
        <v>11.266208221357527</v>
      </c>
      <c r="CF36" s="168">
        <f t="shared" si="643"/>
        <v>186.55927695404071</v>
      </c>
      <c r="CG36" s="15">
        <v>270.82</v>
      </c>
      <c r="CH36" s="10">
        <v>268.7</v>
      </c>
      <c r="CI36" s="10">
        <f>CG36-CH36</f>
        <v>2.1200000000000045</v>
      </c>
      <c r="CJ36" s="10">
        <f>CD36+CI36</f>
        <v>52.499999999999986</v>
      </c>
      <c r="CK36" s="168">
        <f>CI36*$T$1</f>
        <v>7.7067877584672164</v>
      </c>
      <c r="CL36" s="168">
        <f>CF36+CK36</f>
        <v>194.26606471250793</v>
      </c>
      <c r="CM36" s="15">
        <v>262.38</v>
      </c>
      <c r="CN36" s="13">
        <v>259.22000000000003</v>
      </c>
      <c r="CO36" s="10">
        <f>CM36-CN36</f>
        <v>3.1599999999999682</v>
      </c>
      <c r="CP36" s="10">
        <f>CJ36+CO36</f>
        <v>55.659999999999954</v>
      </c>
      <c r="CQ36" s="168">
        <f>CO36*$T$1</f>
        <v>11.487476092809485</v>
      </c>
      <c r="CR36" s="168">
        <f>CL36+CQ36</f>
        <v>205.75354080531741</v>
      </c>
      <c r="CS36" s="15">
        <v>265.69</v>
      </c>
      <c r="CT36" s="10">
        <v>263.74</v>
      </c>
      <c r="CU36" s="255">
        <v>2.67</v>
      </c>
      <c r="CV36" s="10">
        <f>CP36+CU36</f>
        <v>58.329999999999956</v>
      </c>
      <c r="CW36" s="168">
        <f>CU36*$T$1</f>
        <v>9.7061902429752003</v>
      </c>
      <c r="CX36" s="168">
        <f>CR36+CW36</f>
        <v>215.45973104829261</v>
      </c>
      <c r="CY36" s="15">
        <v>264.85000000000002</v>
      </c>
      <c r="CZ36" s="10">
        <v>261.17</v>
      </c>
      <c r="DA36" s="10">
        <f>CY36-CZ36</f>
        <v>3.6800000000000068</v>
      </c>
      <c r="DB36" s="10">
        <f t="shared" si="644"/>
        <v>62.009999999999962</v>
      </c>
      <c r="DC36" s="168">
        <f t="shared" si="645"/>
        <v>13.377820259980826</v>
      </c>
      <c r="DD36" s="168">
        <f t="shared" si="646"/>
        <v>228.83755130827345</v>
      </c>
      <c r="DE36" s="15">
        <v>267.11</v>
      </c>
      <c r="DF36" s="10">
        <v>262.94</v>
      </c>
      <c r="DG36" s="10">
        <f t="shared" si="647"/>
        <v>4.1700000000000159</v>
      </c>
      <c r="DH36" s="10">
        <f t="shared" si="648"/>
        <v>66.179999999999978</v>
      </c>
      <c r="DI36" s="168">
        <f t="shared" si="649"/>
        <v>15.159106109815259</v>
      </c>
      <c r="DJ36" s="168">
        <f t="shared" si="650"/>
        <v>243.99665741808872</v>
      </c>
      <c r="DK36" s="15">
        <v>265.95</v>
      </c>
      <c r="DL36" s="10">
        <v>261.54000000000002</v>
      </c>
      <c r="DM36" s="10">
        <f t="shared" si="651"/>
        <v>4.4099999999999682</v>
      </c>
      <c r="DN36" s="10">
        <f t="shared" si="652"/>
        <v>70.589999999999947</v>
      </c>
      <c r="DO36" s="168">
        <f t="shared" si="653"/>
        <v>16.031572648509485</v>
      </c>
      <c r="DP36" s="168">
        <f t="shared" si="654"/>
        <v>260.02823006659821</v>
      </c>
      <c r="DQ36" s="202">
        <v>263.81</v>
      </c>
      <c r="DR36" s="10">
        <v>260.70999999999998</v>
      </c>
      <c r="DS36" s="10">
        <f t="shared" si="655"/>
        <v>3.1000000000000227</v>
      </c>
      <c r="DT36" s="10">
        <f t="shared" si="656"/>
        <v>73.689999999999969</v>
      </c>
      <c r="DU36" s="168">
        <f t="shared" si="657"/>
        <v>11.269359458136083</v>
      </c>
      <c r="DV36" s="168">
        <f t="shared" si="658"/>
        <v>271.29758952473429</v>
      </c>
      <c r="DW36" s="15">
        <v>256.44</v>
      </c>
      <c r="DX36" s="10">
        <v>251.77</v>
      </c>
      <c r="DY36" s="10">
        <f t="shared" si="659"/>
        <v>4.6699999999999875</v>
      </c>
      <c r="DZ36" s="10">
        <f t="shared" si="660"/>
        <v>78.359999999999957</v>
      </c>
      <c r="EA36" s="168">
        <f t="shared" si="661"/>
        <v>16.976744732095156</v>
      </c>
      <c r="EB36" s="179">
        <f t="shared" si="662"/>
        <v>288.27433425682943</v>
      </c>
    </row>
    <row r="37" spans="1:133" s="10" customFormat="1">
      <c r="A37" s="119" t="s">
        <v>398</v>
      </c>
      <c r="B37" s="12" t="s">
        <v>399</v>
      </c>
      <c r="C37" s="305">
        <v>42989</v>
      </c>
      <c r="D37" s="12" t="s">
        <v>22</v>
      </c>
      <c r="E37" s="10" t="s">
        <v>303</v>
      </c>
      <c r="F37" s="11">
        <v>43112</v>
      </c>
      <c r="G37" s="15">
        <v>250.39</v>
      </c>
      <c r="H37" s="13">
        <v>246.91</v>
      </c>
      <c r="I37" s="10">
        <f>G37-H37</f>
        <v>3.4799999999999898</v>
      </c>
      <c r="J37" s="168">
        <f t="shared" ref="J37:J40" si="666">I37*$T$1</f>
        <v>12.650764811068763</v>
      </c>
      <c r="K37" s="15">
        <v>249.67</v>
      </c>
      <c r="L37" s="10">
        <v>244.34</v>
      </c>
      <c r="M37" s="10">
        <f>K37-L37</f>
        <v>5.3299999999999841</v>
      </c>
      <c r="N37" s="10">
        <f t="shared" ref="N37:N38" si="667">I37+M37</f>
        <v>8.8099999999999739</v>
      </c>
      <c r="O37" s="168">
        <f t="shared" ref="O37:O38" si="668">M37*$T$1</f>
        <v>19.376027713504744</v>
      </c>
      <c r="P37" s="168">
        <f t="shared" ref="P37:P38" si="669">J37+O37</f>
        <v>32.026792524573509</v>
      </c>
      <c r="Q37" s="15">
        <v>267.19</v>
      </c>
      <c r="R37" s="10">
        <v>262.42</v>
      </c>
      <c r="S37" s="10">
        <f>Q37-R37</f>
        <v>4.7699999999999818</v>
      </c>
      <c r="T37" s="10">
        <f t="shared" si="612"/>
        <v>13.579999999999956</v>
      </c>
      <c r="U37" s="168">
        <f t="shared" si="613"/>
        <v>17.340272456551133</v>
      </c>
      <c r="V37" s="168">
        <f t="shared" si="614"/>
        <v>49.367064981124642</v>
      </c>
      <c r="W37" s="15">
        <v>269.13</v>
      </c>
      <c r="X37" s="10">
        <v>262.73</v>
      </c>
      <c r="Y37" s="310">
        <f>W37-X37-1.17</f>
        <v>5.2299999999999773</v>
      </c>
      <c r="Z37" s="10">
        <f t="shared" si="616"/>
        <v>18.809999999999931</v>
      </c>
      <c r="AA37" s="168">
        <f t="shared" si="617"/>
        <v>19.012499989048717</v>
      </c>
      <c r="AB37" s="168">
        <f t="shared" si="618"/>
        <v>68.379564970173362</v>
      </c>
      <c r="AC37" s="15">
        <v>268.45</v>
      </c>
      <c r="AD37" s="10">
        <v>262.10000000000002</v>
      </c>
      <c r="AE37" s="310">
        <f>AC37-AD37-1.17</f>
        <v>5.179999999999966</v>
      </c>
      <c r="AF37" s="10">
        <f t="shared" ref="AF37:AF38" si="670">Z37+AE37</f>
        <v>23.989999999999895</v>
      </c>
      <c r="AG37" s="168">
        <f t="shared" ref="AG37:AG38" si="671">AE37*$T$1</f>
        <v>18.830736126820678</v>
      </c>
      <c r="AH37" s="168">
        <f t="shared" ref="AH37:AH38" si="672">AB37+AG37</f>
        <v>87.210301096994044</v>
      </c>
      <c r="AI37" s="15">
        <v>279.08999999999997</v>
      </c>
      <c r="AJ37" s="10">
        <v>272.89</v>
      </c>
      <c r="AK37" s="310">
        <f>AI37-AJ37-1.17</f>
        <v>5.0299999999999887</v>
      </c>
      <c r="AL37" s="10">
        <f t="shared" ref="AL37:AL38" si="673">AF37+AK37</f>
        <v>29.019999999999882</v>
      </c>
      <c r="AM37" s="168">
        <f t="shared" ref="AM37:AM38" si="674">AK37*$T$1</f>
        <v>18.285444540136758</v>
      </c>
      <c r="AN37" s="168">
        <f t="shared" ref="AN37:AN38" si="675">AH37+AM37</f>
        <v>105.4957456371308</v>
      </c>
      <c r="AO37" s="15">
        <v>281.05</v>
      </c>
      <c r="AP37" s="310">
        <v>276.13</v>
      </c>
      <c r="AQ37" s="310">
        <f>AO37-AP37-1.16</f>
        <v>3.7600000000000158</v>
      </c>
      <c r="AR37" s="10">
        <f>AL37+AQ37</f>
        <v>32.779999999999902</v>
      </c>
      <c r="AS37" s="168">
        <f>AQ37*$T$1</f>
        <v>13.668642439545657</v>
      </c>
      <c r="AT37" s="168">
        <f>AN37+AS37</f>
        <v>119.16438807667646</v>
      </c>
      <c r="AU37" s="15">
        <v>279.55</v>
      </c>
      <c r="AV37" s="13">
        <v>275.89</v>
      </c>
      <c r="AW37" s="10">
        <f>AU37-AV37</f>
        <v>3.660000000000025</v>
      </c>
      <c r="AX37" s="10">
        <f t="shared" ref="AX37:AX38" si="676">AR37+AW37</f>
        <v>36.439999999999927</v>
      </c>
      <c r="AY37" s="168">
        <f t="shared" ref="AY37:AY38" si="677">AW37*$T$1</f>
        <v>13.305114715089692</v>
      </c>
      <c r="AZ37" s="168">
        <f t="shared" ref="AZ37:AZ38" si="678">AT37+AY37</f>
        <v>132.46950279176616</v>
      </c>
      <c r="BA37" s="15">
        <v>282.42</v>
      </c>
      <c r="BB37" s="10">
        <v>277.8</v>
      </c>
      <c r="BC37" s="10">
        <f>BA37-BB37</f>
        <v>4.6200000000000045</v>
      </c>
      <c r="BD37" s="10">
        <f t="shared" ref="BD37" si="679">AX37+BC37</f>
        <v>41.059999999999931</v>
      </c>
      <c r="BE37" s="168">
        <f t="shared" ref="BE37" si="680">BC37*$T$1</f>
        <v>16.794980869867217</v>
      </c>
      <c r="BF37" s="168">
        <f t="shared" ref="BF37" si="681">AZ37+BE37</f>
        <v>149.26448366163339</v>
      </c>
      <c r="BG37" s="15">
        <v>281.39</v>
      </c>
      <c r="BH37" s="10">
        <v>277.60000000000002</v>
      </c>
      <c r="BI37" s="10">
        <f>BG37-BH37</f>
        <v>3.7899999999999636</v>
      </c>
      <c r="BJ37" s="10">
        <f t="shared" ref="BJ37:BJ39" si="682">BD37+BI37</f>
        <v>44.849999999999895</v>
      </c>
      <c r="BK37" s="168">
        <f t="shared" ref="BK37:BK39" si="683">BI37*$T$1</f>
        <v>13.777700756882268</v>
      </c>
      <c r="BL37" s="168">
        <f t="shared" ref="BL37:BL39" si="684">BF37+BK37</f>
        <v>163.04218441851566</v>
      </c>
      <c r="BM37" s="15">
        <v>280.20999999999998</v>
      </c>
      <c r="BN37" s="10">
        <v>275.31</v>
      </c>
      <c r="BO37" s="10">
        <f>BM37-BN37</f>
        <v>4.8999999999999773</v>
      </c>
      <c r="BP37" s="10">
        <f t="shared" ref="BP37" si="685">BJ37+BO37</f>
        <v>49.749999999999872</v>
      </c>
      <c r="BQ37" s="168">
        <f t="shared" ref="BQ37:BQ38" si="686">BO37*$T$1</f>
        <v>17.812858498343918</v>
      </c>
      <c r="BR37" s="168">
        <f t="shared" ref="BR37:BR38" si="687">BL37+BQ37</f>
        <v>180.85504291685959</v>
      </c>
      <c r="BS37" s="15">
        <v>277.05</v>
      </c>
      <c r="BT37" s="10">
        <v>271.27999999999997</v>
      </c>
      <c r="BU37" s="10">
        <f>BS37-BT37</f>
        <v>5.7700000000000387</v>
      </c>
      <c r="BV37" s="10">
        <f t="shared" ref="BV37" si="688">BP37+BU37</f>
        <v>55.519999999999911</v>
      </c>
      <c r="BW37" s="168">
        <f t="shared" ref="BW37" si="689">BU37*$T$1</f>
        <v>20.975549701111341</v>
      </c>
      <c r="BX37" s="168">
        <f t="shared" ref="BX37" si="690">BR37+BW37</f>
        <v>201.83059261797092</v>
      </c>
      <c r="BY37" s="15">
        <v>280.97000000000003</v>
      </c>
      <c r="BZ37" s="165">
        <v>279.64</v>
      </c>
      <c r="CA37" s="10">
        <f>BY37-BZ37</f>
        <v>1.3300000000000409</v>
      </c>
      <c r="CB37" s="172">
        <v>2.79</v>
      </c>
      <c r="CC37" s="172">
        <f t="shared" ref="CC37" si="691">CA37+CB37</f>
        <v>4.120000000000041</v>
      </c>
      <c r="CD37" s="10">
        <f t="shared" ref="CD37" si="692">BV37+CC37</f>
        <v>59.639999999999951</v>
      </c>
      <c r="CE37" s="369">
        <f>(CA37*$T$1)+11.7722</f>
        <v>16.607118735264947</v>
      </c>
      <c r="CF37" s="168">
        <f t="shared" ref="CF37" si="693">BX37+CE37</f>
        <v>218.43771135323587</v>
      </c>
      <c r="CG37" s="15">
        <v>266.29000000000002</v>
      </c>
      <c r="CH37" s="316">
        <v>261.05</v>
      </c>
      <c r="CI37" s="10">
        <f>CG37-CH37</f>
        <v>5.2400000000000091</v>
      </c>
      <c r="CJ37" s="10">
        <f>CD37+CI37</f>
        <v>64.879999999999967</v>
      </c>
      <c r="CK37" s="168">
        <f>CI37*$T$1</f>
        <v>19.048852761494434</v>
      </c>
      <c r="CL37" s="168">
        <f>CF37+CK37</f>
        <v>237.4865641147303</v>
      </c>
      <c r="CM37" s="15">
        <v>276.45</v>
      </c>
      <c r="CN37" s="13">
        <v>272.04000000000002</v>
      </c>
      <c r="CO37" s="10">
        <f>CM37-CN37</f>
        <v>4.4099999999999682</v>
      </c>
      <c r="CP37" s="10">
        <f>CJ37+CO37</f>
        <v>69.289999999999935</v>
      </c>
      <c r="CQ37" s="168">
        <f>CO37*$T$1</f>
        <v>16.031572648509485</v>
      </c>
      <c r="CR37" s="168">
        <f>CL37+CQ37</f>
        <v>253.5181367632398</v>
      </c>
      <c r="CS37" s="15">
        <v>279.89</v>
      </c>
      <c r="CT37" s="165">
        <v>275.73</v>
      </c>
      <c r="CU37" s="10">
        <f>CS37-CT37</f>
        <v>4.1599999999999682</v>
      </c>
      <c r="CV37" s="10">
        <f>CP37+CU37</f>
        <v>73.449999999999903</v>
      </c>
      <c r="CW37" s="168">
        <f>CU37*$T$1</f>
        <v>15.122753337369485</v>
      </c>
      <c r="CX37" s="168">
        <f>CR37+CW37</f>
        <v>268.64089010060928</v>
      </c>
      <c r="CY37" s="15">
        <v>268.95999999999998</v>
      </c>
      <c r="CZ37" s="10">
        <v>263.68</v>
      </c>
      <c r="DA37" s="10">
        <f>CY37-CZ37</f>
        <v>5.2799999999999727</v>
      </c>
      <c r="DB37" s="10">
        <f t="shared" si="644"/>
        <v>78.729999999999876</v>
      </c>
      <c r="DC37" s="168">
        <f t="shared" si="645"/>
        <v>19.194263851276702</v>
      </c>
      <c r="DD37" s="168">
        <f t="shared" si="646"/>
        <v>287.83515395188601</v>
      </c>
      <c r="DE37" s="15">
        <v>269.60000000000002</v>
      </c>
      <c r="DF37" s="10">
        <v>264.66000000000003</v>
      </c>
      <c r="DG37" s="10">
        <f>DE37-DF37</f>
        <v>4.9399999999999977</v>
      </c>
      <c r="DH37" s="10">
        <f t="shared" ref="DH37" si="694">DB37+DG37</f>
        <v>83.669999999999874</v>
      </c>
      <c r="DI37" s="168">
        <f t="shared" ref="DI37" si="695">DG37*$T$1</f>
        <v>17.958269588126392</v>
      </c>
      <c r="DJ37" s="168">
        <f t="shared" ref="DJ37" si="696">DD37+DI37</f>
        <v>305.79342354001238</v>
      </c>
      <c r="DK37" s="15">
        <v>268.88</v>
      </c>
      <c r="DL37" s="10">
        <v>267</v>
      </c>
      <c r="DM37" s="10">
        <f>(DK37-DL37)</f>
        <v>1.8799999999999955</v>
      </c>
      <c r="DN37" s="10">
        <f t="shared" ref="DN37:DN39" si="697">DH37+DM37</f>
        <v>85.549999999999869</v>
      </c>
      <c r="DO37" s="168">
        <f t="shared" ref="DO37:DO39" si="698">DM37*$T$1</f>
        <v>6.8343212197727841</v>
      </c>
      <c r="DP37" s="168">
        <f t="shared" ref="DP37:DP39" si="699">DJ37+DO37</f>
        <v>312.62774475978517</v>
      </c>
      <c r="DQ37" s="202">
        <v>277.56</v>
      </c>
      <c r="DR37" s="10">
        <f>271.71+1.95</f>
        <v>273.65999999999997</v>
      </c>
      <c r="DS37" s="10">
        <f t="shared" ref="DS37" si="700">DQ37-DR37</f>
        <v>3.9000000000000341</v>
      </c>
      <c r="DT37" s="10">
        <f t="shared" ref="DT37" si="701">DN37+DS37</f>
        <v>89.449999999999903</v>
      </c>
      <c r="DU37" s="168">
        <f t="shared" ref="DU37" si="702">DS37*$T$1</f>
        <v>14.177581253784124</v>
      </c>
      <c r="DV37" s="168">
        <f t="shared" ref="DV37" si="703">DP37+DU37</f>
        <v>326.8053260135693</v>
      </c>
      <c r="DW37" s="15">
        <v>275.89</v>
      </c>
      <c r="DX37" s="10">
        <v>272.33999999999997</v>
      </c>
      <c r="DY37" s="10">
        <f t="shared" ref="DY37" si="704">DW37-DX37</f>
        <v>3.5500000000000114</v>
      </c>
      <c r="DZ37" s="10">
        <f t="shared" ref="DZ37" si="705">DT37+DY37</f>
        <v>92.999999999999915</v>
      </c>
      <c r="EA37" s="168">
        <f t="shared" ref="EA37" si="706">DY37*$T$1</f>
        <v>12.905234218188042</v>
      </c>
      <c r="EB37" s="179">
        <f t="shared" ref="EB37" si="707">DV37+EA37</f>
        <v>339.71056023175731</v>
      </c>
    </row>
    <row r="38" spans="1:133" s="10" customFormat="1">
      <c r="A38" s="9" t="s">
        <v>400</v>
      </c>
      <c r="B38" s="62" t="s">
        <v>401</v>
      </c>
      <c r="C38" s="11">
        <v>43165</v>
      </c>
      <c r="D38" s="12" t="s">
        <v>22</v>
      </c>
      <c r="E38" s="10" t="s">
        <v>303</v>
      </c>
      <c r="F38" s="11">
        <v>43203</v>
      </c>
      <c r="G38" s="15">
        <v>240.79</v>
      </c>
      <c r="H38" s="13">
        <v>239.12</v>
      </c>
      <c r="I38" s="10">
        <f>G38-H38</f>
        <v>1.6699999999999875</v>
      </c>
      <c r="J38" s="168">
        <f t="shared" si="666"/>
        <v>6.0709129984151549</v>
      </c>
      <c r="K38" s="15">
        <v>250.06</v>
      </c>
      <c r="L38" s="10">
        <v>246.38</v>
      </c>
      <c r="M38" s="10">
        <f>K38-L38</f>
        <v>3.6800000000000068</v>
      </c>
      <c r="N38" s="10">
        <f t="shared" si="667"/>
        <v>5.3499999999999943</v>
      </c>
      <c r="O38" s="168">
        <f t="shared" si="668"/>
        <v>13.377820259980826</v>
      </c>
      <c r="P38" s="168">
        <f t="shared" si="669"/>
        <v>19.448733258395983</v>
      </c>
      <c r="Q38" s="15">
        <v>253.86</v>
      </c>
      <c r="R38" s="10">
        <v>249.28</v>
      </c>
      <c r="S38" s="10">
        <f>Q38-R38</f>
        <v>4.5800000000000125</v>
      </c>
      <c r="T38" s="10">
        <f t="shared" si="612"/>
        <v>9.9300000000000068</v>
      </c>
      <c r="U38" s="168">
        <f t="shared" si="613"/>
        <v>16.649569780084846</v>
      </c>
      <c r="V38" s="168">
        <f t="shared" si="614"/>
        <v>36.098303038480829</v>
      </c>
      <c r="W38" s="15">
        <v>254.19</v>
      </c>
      <c r="X38" s="10">
        <v>249.6</v>
      </c>
      <c r="Y38" s="10">
        <f t="shared" ref="Y38" si="708">W38-X38</f>
        <v>4.5900000000000034</v>
      </c>
      <c r="Z38" s="10">
        <f t="shared" ref="Z38" si="709">T38+Y38</f>
        <v>14.52000000000001</v>
      </c>
      <c r="AA38" s="168">
        <f t="shared" ref="AA38" si="710">Y38*$T$1</f>
        <v>16.685922552530414</v>
      </c>
      <c r="AB38" s="168">
        <f t="shared" ref="AB38" si="711">V38+AA38</f>
        <v>52.784225591011243</v>
      </c>
      <c r="AC38" s="15">
        <v>253.7</v>
      </c>
      <c r="AD38" s="10">
        <v>249.18</v>
      </c>
      <c r="AE38" s="10">
        <f>AC38-AD38</f>
        <v>4.5199999999999818</v>
      </c>
      <c r="AF38" s="10">
        <f t="shared" si="670"/>
        <v>19.039999999999992</v>
      </c>
      <c r="AG38" s="168">
        <f t="shared" si="671"/>
        <v>16.431453145411133</v>
      </c>
      <c r="AH38" s="168">
        <f t="shared" si="672"/>
        <v>69.215678736422376</v>
      </c>
      <c r="AI38" s="15">
        <v>255.27</v>
      </c>
      <c r="AJ38" s="10">
        <v>251.02</v>
      </c>
      <c r="AK38" s="10">
        <f>AI38-AJ38</f>
        <v>4.25</v>
      </c>
      <c r="AL38" s="10">
        <f t="shared" si="673"/>
        <v>23.289999999999992</v>
      </c>
      <c r="AM38" s="168">
        <f t="shared" si="674"/>
        <v>15.449928289380001</v>
      </c>
      <c r="AN38" s="168">
        <f t="shared" si="675"/>
        <v>84.665607025802373</v>
      </c>
      <c r="AO38" s="15">
        <v>255.69</v>
      </c>
      <c r="AP38" s="10">
        <v>250.73</v>
      </c>
      <c r="AQ38" s="10">
        <f>AO38-AP38</f>
        <v>4.960000000000008</v>
      </c>
      <c r="AR38" s="10">
        <f>AL38+AQ38</f>
        <v>28.25</v>
      </c>
      <c r="AS38" s="168">
        <f>AQ38*$T$1</f>
        <v>18.03097513301763</v>
      </c>
      <c r="AT38" s="168">
        <f>AN38+AS38</f>
        <v>102.69658215882001</v>
      </c>
      <c r="AU38" s="15">
        <v>257.58999999999997</v>
      </c>
      <c r="AV38" s="13">
        <v>253.4</v>
      </c>
      <c r="AW38" s="10">
        <f>AU38-AV38</f>
        <v>4.1899999999999693</v>
      </c>
      <c r="AX38" s="10">
        <f t="shared" si="676"/>
        <v>32.439999999999969</v>
      </c>
      <c r="AY38" s="168">
        <f t="shared" si="677"/>
        <v>15.23181165470629</v>
      </c>
      <c r="AZ38" s="168">
        <f t="shared" si="678"/>
        <v>117.9283938135263</v>
      </c>
      <c r="BA38" s="15">
        <v>259.39999999999998</v>
      </c>
      <c r="BB38" s="10">
        <v>255.11</v>
      </c>
      <c r="BC38" s="310">
        <f>(BA38-BB38)-0.9125</f>
        <v>3.3774999999999635</v>
      </c>
      <c r="BD38" s="10">
        <f t="shared" ref="BD38:BD39" si="712">AX38+BC38</f>
        <v>35.817499999999932</v>
      </c>
      <c r="BE38" s="168">
        <f t="shared" ref="BE38:BE39" si="713">BC38*$T$1</f>
        <v>12.278148893501267</v>
      </c>
      <c r="BF38" s="168">
        <f t="shared" ref="BF38:BF39" si="714">AZ38+BE38</f>
        <v>130.20654270702755</v>
      </c>
      <c r="BG38" s="15">
        <v>266.10000000000002</v>
      </c>
      <c r="BH38" s="10">
        <v>262.27</v>
      </c>
      <c r="BI38" s="310">
        <f>(BG38-BH38)-0.9125</f>
        <v>2.9175000000000408</v>
      </c>
      <c r="BJ38" s="10">
        <f t="shared" si="682"/>
        <v>38.734999999999971</v>
      </c>
      <c r="BK38" s="168">
        <f t="shared" si="683"/>
        <v>10.605921361003949</v>
      </c>
      <c r="BL38" s="168">
        <f t="shared" si="684"/>
        <v>140.81246406803149</v>
      </c>
      <c r="BM38" s="15">
        <v>268.36</v>
      </c>
      <c r="BN38" s="10">
        <v>264.32</v>
      </c>
      <c r="BO38" s="310">
        <f>(BM38-BN38)-0.9125</f>
        <v>3.1275000000000204</v>
      </c>
      <c r="BP38" s="10">
        <f>BJ38+BO38</f>
        <v>41.86249999999999</v>
      </c>
      <c r="BQ38" s="168">
        <f t="shared" si="686"/>
        <v>11.369329582361475</v>
      </c>
      <c r="BR38" s="168">
        <f t="shared" si="687"/>
        <v>152.18179365039296</v>
      </c>
      <c r="BS38" s="15">
        <v>266.42</v>
      </c>
      <c r="BT38" s="10">
        <v>262.60000000000002</v>
      </c>
      <c r="BU38" s="310">
        <f>(BS38-BT38)-0.9125</f>
        <v>2.9074999999999931</v>
      </c>
      <c r="BV38" s="10">
        <f t="shared" ref="BV38:BV40" si="715">BP38+BU38</f>
        <v>44.769999999999982</v>
      </c>
      <c r="BW38" s="168">
        <f t="shared" ref="BW38:BW40" si="716">BU38*$T$1</f>
        <v>10.569568588558175</v>
      </c>
      <c r="BX38" s="168">
        <f t="shared" ref="BX38:BX40" si="717">BR38+BW38</f>
        <v>162.75136223895115</v>
      </c>
      <c r="BY38" s="15">
        <v>264.87</v>
      </c>
      <c r="BZ38" s="10">
        <v>262.56</v>
      </c>
      <c r="CA38" s="348">
        <f>(BY38-BZ38)-0.78</f>
        <v>1.5300000000000022</v>
      </c>
      <c r="CB38" s="172">
        <v>1.84</v>
      </c>
      <c r="CC38" s="172">
        <f>CA38+CB38</f>
        <v>3.3700000000000023</v>
      </c>
      <c r="CD38" s="10">
        <f>BV38+CC38</f>
        <v>48.139999999999986</v>
      </c>
      <c r="CE38" s="369">
        <f>(CA38*$T$1)+8.216</f>
        <v>13.777974184176808</v>
      </c>
      <c r="CF38" s="168">
        <f>BX38+CE38</f>
        <v>176.52933642312794</v>
      </c>
      <c r="CG38" s="15">
        <v>262.85000000000002</v>
      </c>
      <c r="CH38" s="10">
        <v>258.77</v>
      </c>
      <c r="CI38" s="348">
        <f>(CG38-CH38)-0.78</f>
        <v>3.3000000000000407</v>
      </c>
      <c r="CJ38" s="10">
        <f>CD38+CI38</f>
        <v>51.440000000000026</v>
      </c>
      <c r="CK38" s="168">
        <f>CI38*$T$1</f>
        <v>11.996414907048148</v>
      </c>
      <c r="CL38" s="168">
        <f>CF38+CK38</f>
        <v>188.52575133017609</v>
      </c>
      <c r="CM38" s="15">
        <v>263.33</v>
      </c>
      <c r="CN38" s="13">
        <v>259.33999999999997</v>
      </c>
      <c r="CO38" s="10">
        <f>CM38-CN38</f>
        <v>3.9900000000000091</v>
      </c>
      <c r="CP38" s="10">
        <f>CJ38+CO38</f>
        <v>55.430000000000035</v>
      </c>
      <c r="CQ38" s="168">
        <f>CO38*$T$1</f>
        <v>14.504756205794434</v>
      </c>
      <c r="CR38" s="168">
        <f>CL38+CQ38</f>
        <v>203.03050753597051</v>
      </c>
      <c r="CS38" s="15">
        <v>262.95999999999998</v>
      </c>
      <c r="CT38" s="10">
        <v>258.14</v>
      </c>
      <c r="CU38" s="10">
        <f>CS38-CT38</f>
        <v>4.8199999999999932</v>
      </c>
      <c r="CV38" s="10">
        <f>CP38+CU38</f>
        <v>60.250000000000028</v>
      </c>
      <c r="CW38" s="168">
        <f>CU38*$T$1</f>
        <v>17.522036318779175</v>
      </c>
      <c r="CX38" s="168">
        <f>CR38+CW38</f>
        <v>220.5525438547497</v>
      </c>
      <c r="CY38" s="15">
        <v>271.62</v>
      </c>
      <c r="CZ38" s="10">
        <v>267.93</v>
      </c>
      <c r="DA38" s="348">
        <f>(CY38-CZ38)-0.94</f>
        <v>2.7499999999999978</v>
      </c>
      <c r="DB38" s="10">
        <f t="shared" si="644"/>
        <v>63.000000000000028</v>
      </c>
      <c r="DC38" s="168">
        <f t="shared" si="645"/>
        <v>9.9970124225399921</v>
      </c>
      <c r="DD38" s="168">
        <f t="shared" si="646"/>
        <v>230.5495562772897</v>
      </c>
      <c r="DE38" s="15">
        <v>270.42</v>
      </c>
      <c r="DF38" s="10">
        <v>266.58999999999997</v>
      </c>
      <c r="DG38" s="348">
        <f>(DE38-DF38)-0.94</f>
        <v>2.890000000000041</v>
      </c>
      <c r="DH38" s="10">
        <f t="shared" ref="DH38:DH39" si="718">DB38+DG38</f>
        <v>65.890000000000072</v>
      </c>
      <c r="DI38" s="168">
        <f t="shared" ref="DI38:DI39" si="719">DG38*$T$1</f>
        <v>10.50595123677855</v>
      </c>
      <c r="DJ38" s="168">
        <f t="shared" ref="DJ38:DJ39" si="720">DD38+DI38</f>
        <v>241.05550751406824</v>
      </c>
      <c r="DK38" s="15">
        <v>268.18</v>
      </c>
      <c r="DL38" s="10">
        <v>265.01</v>
      </c>
      <c r="DM38" s="348">
        <f>(DK38-DL38)-0.94</f>
        <v>2.230000000000016</v>
      </c>
      <c r="DN38" s="10">
        <f t="shared" si="697"/>
        <v>68.12000000000009</v>
      </c>
      <c r="DO38" s="168">
        <f t="shared" si="698"/>
        <v>8.1066682553688576</v>
      </c>
      <c r="DP38" s="168">
        <f t="shared" si="699"/>
        <v>249.16217576943708</v>
      </c>
      <c r="DQ38" s="202">
        <v>269.7</v>
      </c>
      <c r="DR38" s="10">
        <v>264.45</v>
      </c>
      <c r="DS38" s="348">
        <f>(DQ38-DR38)-0.94</f>
        <v>4.3100000000000005</v>
      </c>
      <c r="DT38" s="10">
        <f t="shared" ref="DT38:DT40" si="721">DN38+DS38</f>
        <v>72.430000000000092</v>
      </c>
      <c r="DU38" s="168">
        <f t="shared" ref="DU38:DU40" si="722">DS38*$T$1</f>
        <v>15.668044924053602</v>
      </c>
      <c r="DV38" s="168">
        <f t="shared" ref="DV38:DV40" si="723">DP38+DU38</f>
        <v>264.83022069349067</v>
      </c>
      <c r="DW38" s="15">
        <v>265.95999999999998</v>
      </c>
      <c r="DX38" s="10">
        <v>262.32</v>
      </c>
      <c r="DY38" s="10">
        <f t="shared" ref="DY38:DY40" si="724">DW38-DX38</f>
        <v>3.6399999999999864</v>
      </c>
      <c r="DZ38" s="10">
        <f t="shared" ref="DZ38:DZ40" si="725">DT38+DY38</f>
        <v>76.070000000000078</v>
      </c>
      <c r="EA38" s="168">
        <f t="shared" ref="EA38:EA40" si="726">DY38*$T$1</f>
        <v>13.23240917019835</v>
      </c>
      <c r="EB38" s="179">
        <f t="shared" ref="EB38:EB40" si="727">DV38+EA38</f>
        <v>278.06262986368904</v>
      </c>
    </row>
    <row r="39" spans="1:133" s="10" customFormat="1">
      <c r="A39" s="9" t="s">
        <v>402</v>
      </c>
      <c r="B39" s="62" t="s">
        <v>403</v>
      </c>
      <c r="C39" s="11"/>
      <c r="D39" s="12" t="s">
        <v>22</v>
      </c>
      <c r="E39" s="10" t="s">
        <v>303</v>
      </c>
      <c r="F39" s="11">
        <v>43742</v>
      </c>
      <c r="G39" s="15">
        <v>264.49</v>
      </c>
      <c r="H39" s="13">
        <v>261.39</v>
      </c>
      <c r="I39" s="10">
        <f>G39-H39</f>
        <v>3.1000000000000227</v>
      </c>
      <c r="J39" s="168">
        <f t="shared" si="666"/>
        <v>11.269359458136083</v>
      </c>
      <c r="K39" s="15">
        <v>267.49</v>
      </c>
      <c r="L39" s="10">
        <v>262.67</v>
      </c>
      <c r="M39" s="391">
        <v>4.26</v>
      </c>
      <c r="N39" s="10">
        <f t="shared" ref="N39:N40" si="728">I39+M39</f>
        <v>7.3600000000000225</v>
      </c>
      <c r="O39" s="168">
        <f t="shared" ref="O39:O40" si="729">M39*$T$1</f>
        <v>15.486281061825601</v>
      </c>
      <c r="P39" s="168">
        <f t="shared" ref="P39:P40" si="730">J39+O39</f>
        <v>26.755640519961684</v>
      </c>
      <c r="Q39" s="15">
        <v>267.83</v>
      </c>
      <c r="R39" s="10">
        <v>263.47000000000003</v>
      </c>
      <c r="S39" s="10">
        <f>Q39-R39</f>
        <v>4.3599999999999568</v>
      </c>
      <c r="T39" s="10">
        <f t="shared" si="612"/>
        <v>11.719999999999979</v>
      </c>
      <c r="U39" s="168">
        <f t="shared" si="613"/>
        <v>15.849808786281443</v>
      </c>
      <c r="V39" s="168">
        <f t="shared" si="614"/>
        <v>42.605449306243131</v>
      </c>
      <c r="W39" s="15">
        <v>269.62</v>
      </c>
      <c r="X39" s="10">
        <v>264.18</v>
      </c>
      <c r="Y39" s="391">
        <v>4.84</v>
      </c>
      <c r="Z39" s="10">
        <f t="shared" ref="Z39:Z40" si="731">T39+Y39</f>
        <v>16.559999999999981</v>
      </c>
      <c r="AA39" s="168">
        <f t="shared" ref="AA39:AA40" si="732">Y39*$T$1</f>
        <v>17.5947418636704</v>
      </c>
      <c r="AB39" s="168">
        <f t="shared" ref="AB39:AB40" si="733">V39+AA39</f>
        <v>60.200191169913531</v>
      </c>
      <c r="AC39" s="15">
        <v>266.76</v>
      </c>
      <c r="AD39" s="10">
        <v>261.55</v>
      </c>
      <c r="AE39" s="391">
        <v>4.6100000000000003</v>
      </c>
      <c r="AF39" s="10">
        <f t="shared" ref="AF39:AF40" si="734">Z39+AE39</f>
        <v>21.16999999999998</v>
      </c>
      <c r="AG39" s="168">
        <f t="shared" ref="AG39:AG40" si="735">AE39*$T$1</f>
        <v>16.758628097421603</v>
      </c>
      <c r="AH39" s="168">
        <f t="shared" ref="AH39:AH40" si="736">AB39+AG39</f>
        <v>76.95881926733513</v>
      </c>
      <c r="AI39" s="15">
        <v>265.39999999999998</v>
      </c>
      <c r="AJ39" s="10">
        <v>261.27999999999997</v>
      </c>
      <c r="AK39" s="391">
        <f>AI39-AJ39</f>
        <v>4.1200000000000045</v>
      </c>
      <c r="AL39" s="10">
        <f t="shared" ref="AL39:AL40" si="737">AF39+AK39</f>
        <v>25.289999999999985</v>
      </c>
      <c r="AM39" s="168">
        <f t="shared" ref="AM39:AM40" si="738">AK39*$T$1</f>
        <v>14.977342247587217</v>
      </c>
      <c r="AN39" s="168">
        <f t="shared" ref="AN39:AN40" si="739">AH39+AM39</f>
        <v>91.936161514922347</v>
      </c>
      <c r="AO39" s="15">
        <v>266.27</v>
      </c>
      <c r="AP39" s="10">
        <v>262.54000000000002</v>
      </c>
      <c r="AQ39" s="10">
        <f t="shared" ref="AQ39:AQ40" si="740">AO39-AP39</f>
        <v>3.7299999999999613</v>
      </c>
      <c r="AR39" s="10">
        <f t="shared" ref="AR39:AR40" si="741">AL39+AQ39</f>
        <v>29.019999999999946</v>
      </c>
      <c r="AS39" s="168">
        <f t="shared" ref="AS39:AS40" si="742">AQ39*$T$1</f>
        <v>13.55958412220866</v>
      </c>
      <c r="AT39" s="168">
        <f t="shared" ref="AT39:AT40" si="743">AN39+AS39</f>
        <v>105.49574563713101</v>
      </c>
      <c r="AU39" s="15">
        <v>268.94</v>
      </c>
      <c r="AV39" s="13">
        <v>264.58999999999997</v>
      </c>
      <c r="AW39" s="10">
        <f t="shared" ref="AW39:AW40" si="744">AU39-AV39</f>
        <v>4.3500000000000227</v>
      </c>
      <c r="AX39" s="10">
        <f t="shared" ref="AX39:AX40" si="745">AR39+AW39</f>
        <v>33.369999999999969</v>
      </c>
      <c r="AY39" s="168">
        <f t="shared" ref="AY39:AY40" si="746">AW39*$T$1</f>
        <v>15.813456013836083</v>
      </c>
      <c r="AZ39" s="168">
        <f t="shared" ref="AZ39:AZ40" si="747">AT39+AY39</f>
        <v>121.3092016509671</v>
      </c>
      <c r="BA39" s="15">
        <v>269.44</v>
      </c>
      <c r="BB39" s="10">
        <v>265.45</v>
      </c>
      <c r="BC39" s="10">
        <f>BA39-BB39</f>
        <v>3.9900000000000091</v>
      </c>
      <c r="BD39" s="10">
        <f t="shared" si="712"/>
        <v>37.359999999999978</v>
      </c>
      <c r="BE39" s="168">
        <f t="shared" si="713"/>
        <v>14.504756205794434</v>
      </c>
      <c r="BF39" s="168">
        <f t="shared" si="714"/>
        <v>135.81395785676153</v>
      </c>
      <c r="BG39" s="15">
        <v>269.43</v>
      </c>
      <c r="BH39" s="10">
        <v>266.04000000000002</v>
      </c>
      <c r="BI39" s="10">
        <f>(BG39-BH39)</f>
        <v>3.3899999999999864</v>
      </c>
      <c r="BJ39" s="10">
        <f t="shared" si="682"/>
        <v>40.749999999999964</v>
      </c>
      <c r="BK39" s="168">
        <f t="shared" si="683"/>
        <v>12.323589859058352</v>
      </c>
      <c r="BL39" s="168">
        <f t="shared" si="684"/>
        <v>148.13754771581989</v>
      </c>
      <c r="BM39" s="15">
        <v>271.17</v>
      </c>
      <c r="BN39" s="10">
        <v>267.17</v>
      </c>
      <c r="BO39" s="10">
        <f>(BM39-BN39)</f>
        <v>4</v>
      </c>
      <c r="BP39" s="10">
        <f t="shared" ref="BP39:BP40" si="748">BJ39+BO39</f>
        <v>44.749999999999964</v>
      </c>
      <c r="BQ39" s="168">
        <f t="shared" ref="BQ39:BQ40" si="749">BO39*$T$1</f>
        <v>14.54110897824</v>
      </c>
      <c r="BR39" s="168">
        <f t="shared" ref="BR39:BR40" si="750">BL39+BQ39</f>
        <v>162.6786566940599</v>
      </c>
      <c r="BS39" s="15">
        <v>270</v>
      </c>
      <c r="BT39" s="10">
        <v>266.20999999999998</v>
      </c>
      <c r="BU39" s="10">
        <f t="shared" ref="BU39:BU40" si="751">BS39-BT39</f>
        <v>3.7900000000000205</v>
      </c>
      <c r="BV39" s="10">
        <f t="shared" si="715"/>
        <v>48.539999999999985</v>
      </c>
      <c r="BW39" s="168">
        <f t="shared" si="716"/>
        <v>13.777700756882474</v>
      </c>
      <c r="BX39" s="168">
        <f t="shared" si="717"/>
        <v>176.45635745094236</v>
      </c>
      <c r="BY39" s="15">
        <v>271.5</v>
      </c>
      <c r="BZ39" s="10">
        <v>269.32</v>
      </c>
      <c r="CA39" s="10">
        <f>BY39-BZ39</f>
        <v>2.1800000000000068</v>
      </c>
      <c r="CB39" s="172">
        <v>2.8</v>
      </c>
      <c r="CC39" s="172">
        <f t="shared" ref="CC39:CC40" si="752">CA39+CB39</f>
        <v>4.9800000000000066</v>
      </c>
      <c r="CD39" s="10">
        <f t="shared" ref="CD39:CD40" si="753">BV39+CC39</f>
        <v>53.519999999999989</v>
      </c>
      <c r="CE39" s="369">
        <f>(CA39*$T$1)+11.96</f>
        <v>19.884904393140825</v>
      </c>
      <c r="CF39" s="168">
        <f t="shared" ref="CF39:CF40" si="754">BX39+CE39</f>
        <v>196.34126184408319</v>
      </c>
      <c r="CG39" s="15">
        <v>266.79000000000002</v>
      </c>
      <c r="CH39" s="10">
        <v>263.94</v>
      </c>
      <c r="CI39" s="10">
        <f t="shared" ref="CI39" si="755">CG39-CH39</f>
        <v>2.8500000000000227</v>
      </c>
      <c r="CJ39" s="10">
        <f t="shared" ref="CJ39" si="756">CD39+CI39</f>
        <v>56.370000000000012</v>
      </c>
      <c r="CK39" s="168">
        <f t="shared" ref="CK39" si="757">CI39*$T$1</f>
        <v>10.360540146996083</v>
      </c>
      <c r="CL39" s="168">
        <f t="shared" ref="CL39" si="758">CF39+CK39</f>
        <v>206.70180199107926</v>
      </c>
      <c r="CM39" s="15">
        <v>265.62</v>
      </c>
      <c r="CN39" s="13">
        <v>261.82</v>
      </c>
      <c r="CO39" s="10">
        <f t="shared" ref="CO39:CO40" si="759">CM39-CN39</f>
        <v>3.8000000000000114</v>
      </c>
      <c r="CP39" s="10">
        <f t="shared" ref="CP39:CP40" si="760">CJ39+CO39</f>
        <v>60.170000000000023</v>
      </c>
      <c r="CQ39" s="168">
        <f t="shared" ref="CQ39:CQ40" si="761">CO39*$T$1</f>
        <v>13.814053529328042</v>
      </c>
      <c r="CR39" s="168">
        <f t="shared" ref="CR39:CR40" si="762">CL39+CQ39</f>
        <v>220.51585552040731</v>
      </c>
      <c r="CS39" s="15">
        <v>266.05</v>
      </c>
      <c r="CT39" s="10">
        <v>262.08999999999997</v>
      </c>
      <c r="CU39" s="10">
        <f t="shared" ref="CU39:CU40" si="763">CS39-CT39</f>
        <v>3.9600000000000364</v>
      </c>
      <c r="CV39" s="10">
        <f t="shared" ref="CV39:CV40" si="764">CP39+CU39</f>
        <v>64.130000000000052</v>
      </c>
      <c r="CW39" s="168">
        <f t="shared" ref="CW39:CW40" si="765">CU39*$T$1</f>
        <v>14.395697888457732</v>
      </c>
      <c r="CX39" s="168">
        <f t="shared" ref="CX39:CX40" si="766">CR39+CW39</f>
        <v>234.91155340886505</v>
      </c>
      <c r="CY39" s="15">
        <v>267.17</v>
      </c>
      <c r="CZ39" s="10">
        <v>263.49</v>
      </c>
      <c r="DA39" s="10">
        <f>(CY39-CZ39)</f>
        <v>3.6800000000000068</v>
      </c>
      <c r="DB39" s="10">
        <f t="shared" si="644"/>
        <v>67.810000000000059</v>
      </c>
      <c r="DC39" s="168">
        <f t="shared" si="645"/>
        <v>13.377820259980826</v>
      </c>
      <c r="DD39" s="168">
        <f t="shared" si="646"/>
        <v>248.28937366884588</v>
      </c>
      <c r="DE39" s="15">
        <v>268.29000000000002</v>
      </c>
      <c r="DF39" s="10">
        <v>264.5</v>
      </c>
      <c r="DG39" s="10">
        <f>DE39-DF39</f>
        <v>3.7900000000000205</v>
      </c>
      <c r="DH39" s="10">
        <f t="shared" si="718"/>
        <v>71.60000000000008</v>
      </c>
      <c r="DI39" s="168">
        <f t="shared" si="719"/>
        <v>13.777700756882474</v>
      </c>
      <c r="DJ39" s="168">
        <f t="shared" si="720"/>
        <v>262.06707442572838</v>
      </c>
      <c r="DK39" s="15">
        <v>267.18</v>
      </c>
      <c r="DL39" s="10">
        <v>263.2</v>
      </c>
      <c r="DM39" s="10">
        <f t="shared" ref="DM39" si="767">(DK39-DL39)</f>
        <v>3.9800000000000182</v>
      </c>
      <c r="DN39" s="10">
        <f t="shared" si="697"/>
        <v>75.580000000000098</v>
      </c>
      <c r="DO39" s="168">
        <f t="shared" si="698"/>
        <v>14.468403433348866</v>
      </c>
      <c r="DP39" s="168">
        <f t="shared" si="699"/>
        <v>276.53547785907722</v>
      </c>
      <c r="DQ39" s="202">
        <v>265.8</v>
      </c>
      <c r="DR39" s="10">
        <v>261.83999999999997</v>
      </c>
      <c r="DS39" s="10">
        <f t="shared" ref="DS39:DS40" si="768">DQ39-DR39</f>
        <v>3.9600000000000364</v>
      </c>
      <c r="DT39" s="10">
        <f t="shared" si="721"/>
        <v>79.540000000000134</v>
      </c>
      <c r="DU39" s="168">
        <f t="shared" si="722"/>
        <v>14.395697888457732</v>
      </c>
      <c r="DV39" s="168">
        <f t="shared" si="723"/>
        <v>290.93117574753495</v>
      </c>
      <c r="DW39" s="15">
        <v>260.86</v>
      </c>
      <c r="DX39" s="10">
        <v>257.45</v>
      </c>
      <c r="DY39" s="10">
        <f t="shared" si="724"/>
        <v>3.410000000000025</v>
      </c>
      <c r="DZ39" s="10">
        <f t="shared" si="725"/>
        <v>82.950000000000159</v>
      </c>
      <c r="EA39" s="168">
        <f t="shared" si="726"/>
        <v>12.396295403949692</v>
      </c>
      <c r="EB39" s="179">
        <f t="shared" si="727"/>
        <v>303.32747115148464</v>
      </c>
    </row>
    <row r="40" spans="1:133" s="10" customFormat="1">
      <c r="A40" s="9" t="s">
        <v>404</v>
      </c>
      <c r="B40" s="62" t="s">
        <v>405</v>
      </c>
      <c r="C40" s="3"/>
      <c r="D40" s="12" t="s">
        <v>22</v>
      </c>
      <c r="E40" s="10" t="s">
        <v>303</v>
      </c>
      <c r="F40" s="11">
        <v>43742</v>
      </c>
      <c r="G40" s="15">
        <v>259.29000000000002</v>
      </c>
      <c r="H40" s="13">
        <v>257.39</v>
      </c>
      <c r="I40" s="10">
        <f>G40-H40</f>
        <v>1.9000000000000341</v>
      </c>
      <c r="J40" s="168">
        <f t="shared" si="666"/>
        <v>6.9070267646641241</v>
      </c>
      <c r="K40" s="15">
        <v>262.33999999999997</v>
      </c>
      <c r="L40" s="10">
        <v>258.99</v>
      </c>
      <c r="M40" s="10">
        <f t="shared" ref="M40" si="769">K40-L40</f>
        <v>3.3499999999999659</v>
      </c>
      <c r="N40" s="10">
        <f t="shared" si="728"/>
        <v>5.25</v>
      </c>
      <c r="O40" s="168">
        <f t="shared" si="729"/>
        <v>12.178178769275876</v>
      </c>
      <c r="P40" s="168">
        <f t="shared" si="730"/>
        <v>19.085205533939998</v>
      </c>
      <c r="Q40" s="15">
        <v>265.37</v>
      </c>
      <c r="R40" s="10">
        <v>260.95</v>
      </c>
      <c r="S40" s="389">
        <v>4.2300000000000004</v>
      </c>
      <c r="T40" s="10">
        <f t="shared" si="612"/>
        <v>9.48</v>
      </c>
      <c r="U40" s="168">
        <f t="shared" si="613"/>
        <v>15.377222744488803</v>
      </c>
      <c r="V40" s="168">
        <f t="shared" si="614"/>
        <v>34.462428278428803</v>
      </c>
      <c r="W40" s="15">
        <v>265.86</v>
      </c>
      <c r="X40" s="10">
        <v>260.16000000000003</v>
      </c>
      <c r="Y40" s="389">
        <v>4.5</v>
      </c>
      <c r="Z40" s="10">
        <f t="shared" si="731"/>
        <v>13.98</v>
      </c>
      <c r="AA40" s="168">
        <f t="shared" si="732"/>
        <v>16.358747600520001</v>
      </c>
      <c r="AB40" s="168">
        <f t="shared" si="733"/>
        <v>50.821175878948807</v>
      </c>
      <c r="AC40" s="15">
        <v>264.73</v>
      </c>
      <c r="AD40" s="10">
        <v>259.02999999999997</v>
      </c>
      <c r="AE40" s="389">
        <v>4.5</v>
      </c>
      <c r="AF40" s="10">
        <f t="shared" si="734"/>
        <v>18.48</v>
      </c>
      <c r="AG40" s="168">
        <f t="shared" si="735"/>
        <v>16.358747600520001</v>
      </c>
      <c r="AH40" s="168">
        <f t="shared" si="736"/>
        <v>67.179923479468812</v>
      </c>
      <c r="AI40" s="15">
        <v>263.61</v>
      </c>
      <c r="AJ40" s="10">
        <v>259.42</v>
      </c>
      <c r="AK40" s="389">
        <f>AI40-AJ40</f>
        <v>4.1899999999999977</v>
      </c>
      <c r="AL40" s="10">
        <f t="shared" si="737"/>
        <v>22.669999999999998</v>
      </c>
      <c r="AM40" s="168">
        <f t="shared" si="738"/>
        <v>15.231811654706393</v>
      </c>
      <c r="AN40" s="168">
        <f t="shared" si="739"/>
        <v>82.411735134175203</v>
      </c>
      <c r="AO40" s="15">
        <v>262.98</v>
      </c>
      <c r="AP40" s="10">
        <v>259</v>
      </c>
      <c r="AQ40" s="10">
        <f t="shared" si="740"/>
        <v>3.9800000000000182</v>
      </c>
      <c r="AR40" s="10">
        <f t="shared" si="741"/>
        <v>26.650000000000016</v>
      </c>
      <c r="AS40" s="168">
        <f t="shared" si="742"/>
        <v>14.468403433348866</v>
      </c>
      <c r="AT40" s="168">
        <f t="shared" si="743"/>
        <v>96.880138567524071</v>
      </c>
      <c r="AU40" s="15">
        <v>265</v>
      </c>
      <c r="AV40" s="13">
        <v>260.99</v>
      </c>
      <c r="AW40" s="10">
        <f t="shared" si="744"/>
        <v>4.0099999999999909</v>
      </c>
      <c r="AX40" s="10">
        <f t="shared" si="745"/>
        <v>30.660000000000007</v>
      </c>
      <c r="AY40" s="168">
        <f t="shared" si="746"/>
        <v>14.577461750685567</v>
      </c>
      <c r="AZ40" s="168">
        <f t="shared" si="747"/>
        <v>111.45760031820964</v>
      </c>
      <c r="BA40" s="15">
        <v>267.20999999999998</v>
      </c>
      <c r="BB40" s="10">
        <v>262.76</v>
      </c>
      <c r="BC40" s="10">
        <f>BA40-BB40</f>
        <v>4.4499999999999886</v>
      </c>
      <c r="BD40" s="10">
        <f t="shared" ref="BD40" si="770">AX40+BC40</f>
        <v>35.11</v>
      </c>
      <c r="BE40" s="168">
        <f t="shared" ref="BE40" si="771">BC40*$T$1</f>
        <v>16.176983738291959</v>
      </c>
      <c r="BF40" s="168">
        <f t="shared" ref="BF40" si="772">AZ40+BE40</f>
        <v>127.63458405650161</v>
      </c>
      <c r="BG40" s="15">
        <v>270.51</v>
      </c>
      <c r="BH40" s="10">
        <v>267.55</v>
      </c>
      <c r="BI40" s="10">
        <f>(BG40-BH40)</f>
        <v>2.9599999999999795</v>
      </c>
      <c r="BJ40" s="10">
        <f t="shared" ref="BJ40" si="773">BD40+BI40</f>
        <v>38.069999999999979</v>
      </c>
      <c r="BK40" s="168">
        <f t="shared" ref="BK40" si="774">BI40*$T$1</f>
        <v>10.760420643897525</v>
      </c>
      <c r="BL40" s="168">
        <f t="shared" ref="BL40" si="775">BF40+BK40</f>
        <v>138.39500470039914</v>
      </c>
      <c r="BM40" s="15">
        <v>270.64999999999998</v>
      </c>
      <c r="BN40" s="10">
        <v>267.39</v>
      </c>
      <c r="BO40" s="10">
        <f>(BM40-BN40)</f>
        <v>3.2599999999999909</v>
      </c>
      <c r="BP40" s="10">
        <f t="shared" si="748"/>
        <v>41.32999999999997</v>
      </c>
      <c r="BQ40" s="168">
        <f t="shared" si="749"/>
        <v>11.851003817265568</v>
      </c>
      <c r="BR40" s="168">
        <f t="shared" si="750"/>
        <v>150.24600851766471</v>
      </c>
      <c r="BS40" s="15">
        <v>270.36</v>
      </c>
      <c r="BT40" s="10">
        <v>266.81</v>
      </c>
      <c r="BU40" s="10">
        <f t="shared" si="751"/>
        <v>3.5500000000000114</v>
      </c>
      <c r="BV40" s="10">
        <f t="shared" si="715"/>
        <v>44.879999999999981</v>
      </c>
      <c r="BW40" s="168">
        <f t="shared" si="716"/>
        <v>12.905234218188042</v>
      </c>
      <c r="BX40" s="168">
        <f t="shared" si="717"/>
        <v>163.15124273585275</v>
      </c>
      <c r="BY40" s="15">
        <v>271.68</v>
      </c>
      <c r="BZ40" s="10">
        <v>268.79000000000002</v>
      </c>
      <c r="CA40" s="10">
        <f>BY40-BZ40</f>
        <v>2.8899999999999864</v>
      </c>
      <c r="CB40" s="172">
        <v>0.02</v>
      </c>
      <c r="CC40" s="172">
        <f t="shared" si="752"/>
        <v>2.9099999999999864</v>
      </c>
      <c r="CD40" s="10">
        <f t="shared" si="753"/>
        <v>47.789999999999971</v>
      </c>
      <c r="CE40" s="369">
        <f>(CA40*$T$1)+0.05</f>
        <v>10.555951236778352</v>
      </c>
      <c r="CF40" s="168">
        <f t="shared" si="754"/>
        <v>173.7071939726311</v>
      </c>
      <c r="CG40" s="15">
        <v>268.20999999999998</v>
      </c>
      <c r="CH40" s="10">
        <v>264.52</v>
      </c>
      <c r="CI40" s="10">
        <f t="shared" ref="CI40" si="776">CG40-CH40</f>
        <v>3.6899999999999977</v>
      </c>
      <c r="CJ40" s="10">
        <f t="shared" ref="CJ40" si="777">CD40+CI40</f>
        <v>51.479999999999968</v>
      </c>
      <c r="CK40" s="168">
        <f t="shared" ref="CK40" si="778">CI40*$T$1</f>
        <v>13.414173032426392</v>
      </c>
      <c r="CL40" s="168">
        <f t="shared" ref="CL40" si="779">CF40+CK40</f>
        <v>187.12136700505749</v>
      </c>
      <c r="CM40" s="15">
        <v>270.44</v>
      </c>
      <c r="CN40" s="13">
        <v>266.58</v>
      </c>
      <c r="CO40" s="10">
        <f t="shared" si="759"/>
        <v>3.8600000000000136</v>
      </c>
      <c r="CP40" s="10">
        <f t="shared" si="760"/>
        <v>55.339999999999982</v>
      </c>
      <c r="CQ40" s="168">
        <f t="shared" si="761"/>
        <v>14.03217016400165</v>
      </c>
      <c r="CR40" s="168">
        <f t="shared" si="762"/>
        <v>201.15353716905915</v>
      </c>
      <c r="CS40" s="15">
        <v>271.20999999999998</v>
      </c>
      <c r="CT40" s="10">
        <v>267.17</v>
      </c>
      <c r="CU40" s="10">
        <f t="shared" si="763"/>
        <v>4.0399999999999636</v>
      </c>
      <c r="CV40" s="10">
        <f t="shared" si="764"/>
        <v>59.379999999999946</v>
      </c>
      <c r="CW40" s="168">
        <f t="shared" si="765"/>
        <v>14.686520068022269</v>
      </c>
      <c r="CX40" s="168">
        <f t="shared" si="766"/>
        <v>215.84005723708142</v>
      </c>
      <c r="CY40" s="15">
        <v>271.17</v>
      </c>
      <c r="CZ40" s="10">
        <v>267.07</v>
      </c>
      <c r="DA40" s="10">
        <f>(CY40-CZ40)</f>
        <v>4.1000000000000227</v>
      </c>
      <c r="DB40" s="10">
        <f t="shared" si="644"/>
        <v>63.479999999999968</v>
      </c>
      <c r="DC40" s="168">
        <f t="shared" si="645"/>
        <v>14.904636702696083</v>
      </c>
      <c r="DD40" s="168">
        <f t="shared" si="646"/>
        <v>230.74469393977751</v>
      </c>
      <c r="DE40" s="15">
        <v>270.01</v>
      </c>
      <c r="DF40" s="10">
        <v>266.38</v>
      </c>
      <c r="DG40" s="10">
        <f>DE40-DF40</f>
        <v>3.6299999999999955</v>
      </c>
      <c r="DH40" s="10">
        <f t="shared" ref="DH40" si="780">DB40+DG40</f>
        <v>67.109999999999957</v>
      </c>
      <c r="DI40" s="168">
        <f t="shared" ref="DI40" si="781">DG40*$T$1</f>
        <v>13.196056397752784</v>
      </c>
      <c r="DJ40" s="168">
        <f t="shared" ref="DJ40" si="782">DD40+DI40</f>
        <v>243.94075033753029</v>
      </c>
      <c r="DK40" s="15">
        <v>269.56</v>
      </c>
      <c r="DL40" s="10">
        <v>266.08</v>
      </c>
      <c r="DM40" s="10">
        <f>(DK40-DL40)</f>
        <v>3.4800000000000182</v>
      </c>
      <c r="DN40" s="10">
        <f t="shared" ref="DN40" si="783">DH40+DM40</f>
        <v>70.589999999999975</v>
      </c>
      <c r="DO40" s="168">
        <f t="shared" ref="DO40" si="784">DM40*$T$1</f>
        <v>12.650764811068866</v>
      </c>
      <c r="DP40" s="168">
        <f t="shared" ref="DP40" si="785">DJ40+DO40</f>
        <v>256.59151514859917</v>
      </c>
      <c r="DQ40" s="202">
        <v>271.52</v>
      </c>
      <c r="DR40" s="10">
        <v>267.7</v>
      </c>
      <c r="DS40" s="10">
        <f t="shared" si="768"/>
        <v>3.8199999999999932</v>
      </c>
      <c r="DT40" s="10">
        <f t="shared" si="721"/>
        <v>74.409999999999968</v>
      </c>
      <c r="DU40" s="168">
        <f t="shared" si="722"/>
        <v>13.886759074219176</v>
      </c>
      <c r="DV40" s="168">
        <f t="shared" si="723"/>
        <v>270.47827422281836</v>
      </c>
      <c r="DW40" s="15">
        <v>265.54000000000002</v>
      </c>
      <c r="DX40" s="10">
        <v>263.07</v>
      </c>
      <c r="DY40" s="10">
        <f t="shared" si="724"/>
        <v>2.4700000000000273</v>
      </c>
      <c r="DZ40" s="10">
        <f t="shared" si="725"/>
        <v>76.88</v>
      </c>
      <c r="EA40" s="168">
        <f t="shared" si="726"/>
        <v>8.9791347940632988</v>
      </c>
      <c r="EB40" s="179">
        <f t="shared" si="727"/>
        <v>279.45740901688168</v>
      </c>
    </row>
    <row r="41" spans="1:133" s="10" customFormat="1">
      <c r="A41" s="9"/>
      <c r="B41" s="62"/>
      <c r="C41" s="11"/>
      <c r="D41" s="12"/>
      <c r="F41" s="11"/>
      <c r="G41" s="15"/>
      <c r="H41" s="13"/>
      <c r="J41" s="168"/>
      <c r="K41" s="15"/>
      <c r="O41" s="168"/>
      <c r="P41" s="168"/>
      <c r="Q41" s="15"/>
      <c r="U41" s="168"/>
      <c r="V41" s="168"/>
      <c r="W41" s="15"/>
      <c r="AA41" s="168"/>
      <c r="AB41" s="168"/>
      <c r="AC41" s="15"/>
      <c r="AG41" s="168"/>
      <c r="AH41" s="168"/>
      <c r="AI41" s="15"/>
      <c r="AM41" s="168"/>
      <c r="AN41" s="168"/>
      <c r="AO41" s="15"/>
      <c r="AS41" s="168"/>
      <c r="AT41" s="168"/>
      <c r="AU41" s="15"/>
      <c r="AV41" s="13"/>
      <c r="AY41" s="168"/>
      <c r="AZ41" s="168"/>
      <c r="BA41" s="15"/>
      <c r="BE41" s="168"/>
      <c r="BF41" s="168"/>
      <c r="BG41" s="15"/>
      <c r="BK41" s="168"/>
      <c r="BL41" s="168"/>
      <c r="BM41" s="15"/>
      <c r="BQ41" s="168"/>
      <c r="BR41" s="168"/>
      <c r="BS41" s="15"/>
      <c r="BW41" s="168"/>
      <c r="BX41" s="168"/>
      <c r="BY41" s="15"/>
      <c r="CB41" s="172"/>
      <c r="CC41" s="172"/>
      <c r="CE41" s="369"/>
      <c r="CF41" s="168"/>
      <c r="CG41" s="15"/>
      <c r="CK41" s="168"/>
      <c r="CL41" s="168"/>
      <c r="CM41" s="15"/>
      <c r="CN41" s="13"/>
      <c r="CQ41" s="168"/>
      <c r="CR41" s="168"/>
      <c r="CS41" s="15"/>
      <c r="CW41" s="168"/>
      <c r="CX41" s="168"/>
      <c r="CY41" s="15"/>
      <c r="DC41" s="168"/>
      <c r="DD41" s="168"/>
      <c r="DE41" s="15"/>
      <c r="DI41" s="168"/>
      <c r="DJ41" s="168"/>
      <c r="DK41" s="15"/>
      <c r="DO41" s="168"/>
      <c r="DP41" s="168"/>
      <c r="DQ41" s="202"/>
      <c r="DU41" s="168"/>
      <c r="DV41" s="168"/>
      <c r="DW41" s="15"/>
      <c r="EA41" s="168"/>
      <c r="EB41" s="179"/>
    </row>
    <row r="42" spans="1:133">
      <c r="A42" s="9"/>
      <c r="B42" s="11"/>
      <c r="C42" s="3"/>
      <c r="D42" s="12"/>
      <c r="E42" s="3"/>
      <c r="F42" s="3" t="s">
        <v>281</v>
      </c>
      <c r="G42" s="20"/>
      <c r="H42" s="18"/>
      <c r="I42" s="3">
        <f>AVERAGE(I32:I40)</f>
        <v>2.16777777777778</v>
      </c>
      <c r="J42" s="19">
        <f>AVERAGE(J32:J40)</f>
        <v>7.8804732268184079</v>
      </c>
      <c r="K42" s="20"/>
      <c r="M42" s="3">
        <f>AVERAGE(M32:M40)</f>
        <v>3.3699999999999957</v>
      </c>
      <c r="N42" s="3">
        <f>AVERAGE(N32:N40)</f>
        <v>5.5377777777777757</v>
      </c>
      <c r="O42" s="3">
        <f>AVERAGE(O32:O40)</f>
        <v>12.250884314167187</v>
      </c>
      <c r="P42" s="3">
        <f>AVERAGE(P32:P40)</f>
        <v>20.131357540985594</v>
      </c>
      <c r="Q42" s="20"/>
      <c r="R42" s="18"/>
      <c r="S42" s="3">
        <f>AVERAGE(S32:S40)</f>
        <v>3.9166666666666652</v>
      </c>
      <c r="T42" s="3">
        <f>AVERAGE(T32:T40)</f>
        <v>9.4544444444444409</v>
      </c>
      <c r="U42" s="3">
        <f>AVERAGE(U32:U40)</f>
        <v>14.238169207859992</v>
      </c>
      <c r="V42" s="3">
        <f>AVERAGE(V32:V40)</f>
        <v>34.369526748845587</v>
      </c>
      <c r="W42" s="20"/>
      <c r="X42" s="18"/>
      <c r="Y42" s="3">
        <f>AVERAGE(Y32:Y40)</f>
        <v>4.2000000000000028</v>
      </c>
      <c r="Z42" s="3">
        <f>AVERAGE(Z32:Z40)</f>
        <v>13.654444444444444</v>
      </c>
      <c r="AA42" s="3">
        <f>AVERAGE(AA32:AA40)</f>
        <v>15.268164427152008</v>
      </c>
      <c r="AB42" s="3">
        <f>AVERAGE(AB32:AB40)</f>
        <v>49.637691175997595</v>
      </c>
      <c r="AC42" s="20"/>
      <c r="AD42" s="18"/>
      <c r="AE42" s="3">
        <f>AVERAGE(AE32:AE40)</f>
        <v>4.7366666666666744</v>
      </c>
      <c r="AF42" s="3">
        <f>AVERAGE(AF32:AF40)</f>
        <v>18.391111111111115</v>
      </c>
      <c r="AG42" s="3">
        <f>AVERAGE(AG32:AG40)</f>
        <v>17.219096548399229</v>
      </c>
      <c r="AH42" s="3">
        <f>AVERAGE(AH32:AH40)</f>
        <v>66.856787724396838</v>
      </c>
      <c r="AI42" s="20"/>
      <c r="AJ42" s="18"/>
      <c r="AK42" s="3">
        <f>AVERAGE(AK32:AK40)</f>
        <v>4.3211111111111142</v>
      </c>
      <c r="AL42" s="3">
        <f>AVERAGE(AL32:AL40)</f>
        <v>22.712222222222231</v>
      </c>
      <c r="AM42" s="3">
        <f>AVERAGE(AM32:AM40)</f>
        <v>15.708436893437611</v>
      </c>
      <c r="AN42" s="3">
        <f>AVERAGE(AN32:AN40)</f>
        <v>82.565224617834431</v>
      </c>
      <c r="AO42" s="20"/>
      <c r="AP42" s="18"/>
      <c r="AQ42" s="3">
        <f>AVERAGE(AQ32:AQ40)</f>
        <v>4.0288888888888845</v>
      </c>
      <c r="AR42" s="3">
        <f>AVERAGE(AR32:AR40)</f>
        <v>26.741111111111117</v>
      </c>
      <c r="AS42" s="3">
        <f>AVERAGE(AS32:AS40)</f>
        <v>14.646128098638384</v>
      </c>
      <c r="AT42" s="3">
        <f>AVERAGE(AT32:AT40)</f>
        <v>97.211352716472831</v>
      </c>
      <c r="AU42" s="20"/>
      <c r="AV42" s="18"/>
      <c r="AW42" s="3">
        <f>AVERAGE(AW32:AW40)</f>
        <v>3.8799999999999986</v>
      </c>
      <c r="AX42" s="3">
        <f>AVERAGE(AX32:AX40)</f>
        <v>30.621111111111119</v>
      </c>
      <c r="AY42" s="3">
        <f>AVERAGE(AY32:AY40)</f>
        <v>14.104875708892797</v>
      </c>
      <c r="AZ42" s="3">
        <f>AVERAGE(AZ32:AZ40)</f>
        <v>111.31622842536564</v>
      </c>
      <c r="BA42" s="20"/>
      <c r="BB42" s="18"/>
      <c r="BC42" s="3">
        <f>AVERAGE(BC32:BC40)</f>
        <v>3.6997222222222224</v>
      </c>
      <c r="BD42" s="3">
        <f>AVERAGE(BD32:BD40)</f>
        <v>34.32083333333334</v>
      </c>
      <c r="BE42" s="3">
        <f>AVERAGE(BE32:BE40)</f>
        <v>13.449516005637399</v>
      </c>
      <c r="BF42" s="3">
        <f>AVERAGE(BF32:BF40)</f>
        <v>124.76574443100301</v>
      </c>
      <c r="BG42" s="20"/>
      <c r="BH42" s="18"/>
      <c r="BI42" s="3">
        <f>AVERAGE(BI32:BI40)</f>
        <v>3.3641666666666623</v>
      </c>
      <c r="BJ42" s="3">
        <f>AVERAGE(BJ32:BJ40)</f>
        <v>37.684999999999995</v>
      </c>
      <c r="BK42" s="3">
        <f>AVERAGE(BK32:BK40)</f>
        <v>12.229678530240584</v>
      </c>
      <c r="BL42" s="3">
        <f>AVERAGE(BL32:BL40)</f>
        <v>136.99542296124361</v>
      </c>
      <c r="BM42" s="20"/>
      <c r="BN42" s="18"/>
      <c r="BO42" s="3">
        <f>AVERAGE(BO32:BO40)</f>
        <v>3.6452777777777752</v>
      </c>
      <c r="BP42" s="3">
        <f>AVERAGE(BP32:BP40)</f>
        <v>41.330277777777773</v>
      </c>
      <c r="BQ42" s="3">
        <f>AVERAGE(BQ32:BQ40)</f>
        <v>13.251595355655789</v>
      </c>
      <c r="BR42" s="3">
        <f>AVERAGE(BR32:BR40)</f>
        <v>150.24701831689939</v>
      </c>
      <c r="BS42" s="20"/>
      <c r="BT42" s="18"/>
      <c r="BU42" s="3">
        <f>AVERAGE(BU32:BU40)</f>
        <v>3.6863888888888976</v>
      </c>
      <c r="BV42" s="3">
        <f>AVERAGE(BV32:BV40)</f>
        <v>45.016666666666673</v>
      </c>
      <c r="BW42" s="3">
        <f>AVERAGE(BW32:BW40)</f>
        <v>13.401045642376634</v>
      </c>
      <c r="BX42" s="3">
        <f>AVERAGE(BX32:BX40)</f>
        <v>163.64806395927602</v>
      </c>
      <c r="BY42" s="20"/>
      <c r="BZ42" s="18"/>
      <c r="CA42" s="3">
        <f t="shared" ref="CA42:CF42" si="786">AVERAGE(CA32:CA40)</f>
        <v>2.1988888888888845</v>
      </c>
      <c r="CB42" s="173">
        <f t="shared" si="786"/>
        <v>2.1955555555555555</v>
      </c>
      <c r="CC42" s="173">
        <f t="shared" si="786"/>
        <v>4.3944444444444404</v>
      </c>
      <c r="CD42" s="3">
        <f t="shared" si="786"/>
        <v>49.411111111111111</v>
      </c>
      <c r="CE42" s="173">
        <f t="shared" si="786"/>
        <v>17.905637407760253</v>
      </c>
      <c r="CF42" s="3">
        <f t="shared" si="786"/>
        <v>181.5537013670363</v>
      </c>
      <c r="CG42" s="20"/>
      <c r="CH42" s="18"/>
      <c r="CI42" s="3">
        <f>AVERAGE(CI32:CI40)</f>
        <v>3.5255555555555582</v>
      </c>
      <c r="CJ42" s="3">
        <f>AVERAGE(CJ32:CJ40)</f>
        <v>52.936666666666682</v>
      </c>
      <c r="CK42" s="3">
        <f>AVERAGE(CK32:CK40)</f>
        <v>12.816371885543212</v>
      </c>
      <c r="CL42" s="3">
        <f>AVERAGE(CL32:CL40)</f>
        <v>194.37007325257949</v>
      </c>
      <c r="CM42" s="20"/>
      <c r="CN42" s="18"/>
      <c r="CO42" s="3">
        <f>AVERAGE(CO32:CO40)</f>
        <v>3.812222222222216</v>
      </c>
      <c r="CP42" s="3">
        <f>AVERAGE(CP32:CP40)</f>
        <v>56.748888888888892</v>
      </c>
      <c r="CQ42" s="3">
        <f>AVERAGE(CQ32:CQ40)</f>
        <v>13.858484695650377</v>
      </c>
      <c r="CR42" s="3">
        <f>AVERAGE(CR32:CR40)</f>
        <v>208.22855794822988</v>
      </c>
      <c r="CS42" s="20"/>
      <c r="CT42" s="18"/>
      <c r="CU42" s="3">
        <f>AVERAGE(CU32:CU40)</f>
        <v>4.0166666666666622</v>
      </c>
      <c r="CV42" s="3">
        <f>AVERAGE(CV32:CV40)</f>
        <v>60.765555555555551</v>
      </c>
      <c r="CW42" s="3">
        <f>AVERAGE(CW32:CW40)</f>
        <v>14.601696932315983</v>
      </c>
      <c r="CX42" s="3">
        <f>AVERAGE(CX32:CX40)</f>
        <v>222.83025488054585</v>
      </c>
      <c r="CY42" s="20"/>
      <c r="CZ42" s="18"/>
      <c r="DA42" s="3">
        <f>AVERAGE(DA32:DA40)</f>
        <v>3.9611111111111135</v>
      </c>
      <c r="DB42" s="3">
        <f>AVERAGE(DB32:DB40)</f>
        <v>64.726666666666659</v>
      </c>
      <c r="DC42" s="3">
        <f>AVERAGE(DC32:DC40)</f>
        <v>14.399737085396007</v>
      </c>
      <c r="DD42" s="3">
        <f>AVERAGE(DD32:DD40)</f>
        <v>237.22999196594188</v>
      </c>
      <c r="DE42" s="20"/>
      <c r="DF42" s="18"/>
      <c r="DG42" s="3">
        <f>AVERAGE(DG32:DG40)</f>
        <v>3.8988888888889033</v>
      </c>
      <c r="DH42" s="3">
        <f>AVERAGE(DH32:DH40)</f>
        <v>68.625555555555565</v>
      </c>
      <c r="DI42" s="3">
        <f>AVERAGE(DI32:DI40)</f>
        <v>14.173542056845653</v>
      </c>
      <c r="DJ42" s="3">
        <f>AVERAGE(DJ32:DJ40)</f>
        <v>251.40353402278754</v>
      </c>
      <c r="DK42" s="20"/>
      <c r="DL42" s="18"/>
      <c r="DM42" s="3">
        <f>AVERAGE(DM32:DM40)</f>
        <v>3.4144444444444435</v>
      </c>
      <c r="DN42" s="3">
        <f>AVERAGE(DN32:DN40)</f>
        <v>72.04000000000002</v>
      </c>
      <c r="DO42" s="3">
        <f>AVERAGE(DO32:DO40)</f>
        <v>12.412452191703199</v>
      </c>
      <c r="DP42" s="3">
        <f>AVERAGE(DP32:DP40)</f>
        <v>263.81598621449075</v>
      </c>
      <c r="DQ42" s="329"/>
      <c r="DR42" s="18"/>
      <c r="DS42" s="3">
        <f>AVERAGE(DS32:DS40)</f>
        <v>3.6988888888888982</v>
      </c>
      <c r="DT42" s="3">
        <f>AVERAGE(DT32:DT40)</f>
        <v>75.738888888888908</v>
      </c>
      <c r="DU42" s="3">
        <f>AVERAGE(DU32:DU40)</f>
        <v>13.446486607933636</v>
      </c>
      <c r="DV42" s="3">
        <f>AVERAGE(DV32:DV40)</f>
        <v>277.26247282242434</v>
      </c>
      <c r="DW42" s="20"/>
      <c r="DX42" s="18"/>
      <c r="DY42" s="3">
        <f>AVERAGE(DY32:DY40)</f>
        <v>3.8044444444444445</v>
      </c>
      <c r="DZ42" s="3">
        <f>AVERAGE(DZ32:DZ40)</f>
        <v>79.543333333333351</v>
      </c>
      <c r="EA42" s="3">
        <f>AVERAGE(EA32:EA40)</f>
        <v>13.830210317081601</v>
      </c>
      <c r="EB42" s="3">
        <f>AVERAGE(EB32:EB40)</f>
        <v>291.09268313950594</v>
      </c>
      <c r="EC42" s="18"/>
    </row>
    <row r="43" spans="1:133">
      <c r="A43" s="9"/>
      <c r="B43" s="31"/>
      <c r="C43" s="3"/>
      <c r="D43" s="12"/>
      <c r="E43" s="3"/>
      <c r="F43" s="3" t="s">
        <v>45</v>
      </c>
      <c r="G43" s="20"/>
      <c r="H43" s="18"/>
      <c r="I43" s="3">
        <f>STDEV(I32:I38)/SQRT(COUNT(I32:I38))</f>
        <v>0.27722875448431644</v>
      </c>
      <c r="J43" s="19">
        <f>STDEV(J32:J38)/SQRT(COUNT(J32:J38))</f>
        <v>1.0078033827145476</v>
      </c>
      <c r="K43" s="20"/>
      <c r="M43" s="3">
        <f>STDEV(M32:M40)/SQRT(COUNT(M32:M40))</f>
        <v>0.31684644019882263</v>
      </c>
      <c r="N43" s="3">
        <f>STDEV(N32:N40)/SQRT(COUNT(N32:N40))</f>
        <v>0.53824503346466979</v>
      </c>
      <c r="O43" s="3">
        <f>STDEV(O32:O40)/SQRT(COUNT(O32:O40))</f>
        <v>1.1518246540746191</v>
      </c>
      <c r="P43" s="3">
        <f>STDEV(P32:P40)/SQRT(COUNT(P32:P40))</f>
        <v>1.9566699221515478</v>
      </c>
      <c r="Q43" s="20"/>
      <c r="R43" s="18"/>
      <c r="S43" s="3">
        <f>STDEV(S32:S40)/SQRT(COUNT(S32:S40))</f>
        <v>0.25089838580588347</v>
      </c>
      <c r="T43" s="3">
        <f>STDEV(T32:T40)/SQRT(COUNT(T32:T40))</f>
        <v>0.74851911411634731</v>
      </c>
      <c r="U43" s="3">
        <f>STDEV(U32:U40)/SQRT(COUNT(U32:U40))</f>
        <v>0.91208519261696719</v>
      </c>
      <c r="V43" s="3">
        <f>STDEV(V32:V40)/SQRT(COUNT(V32:V40))</f>
        <v>2.721074502665374</v>
      </c>
      <c r="W43" s="20"/>
      <c r="X43" s="18"/>
      <c r="Y43" s="3">
        <f>STDEV(Y32:Y40)/SQRT(COUNT(Y32:Y40))</f>
        <v>0.26428625053570415</v>
      </c>
      <c r="Z43" s="3">
        <f>STDEV(Z32:Z40)/SQRT(COUNT(Z32:Z40))</f>
        <v>0.99948196458507776</v>
      </c>
      <c r="AA43" s="3">
        <f>STDEV(AA32:AA40)/SQRT(COUNT(AA32:AA40))</f>
        <v>0.9607537926225288</v>
      </c>
      <c r="AB43" s="3">
        <f>STDEV(AB32:AB40)/SQRT(COUNT(AB32:AB40))</f>
        <v>3.6333940422042765</v>
      </c>
      <c r="AC43" s="20"/>
      <c r="AD43" s="18"/>
      <c r="AE43" s="3">
        <f>STDEV(AE32:AE40)/SQRT(COUNT(AE32:AE40))</f>
        <v>0.27138021707969356</v>
      </c>
      <c r="AF43" s="3">
        <f>STDEV(AF32:AF40)/SQRT(COUNT(AF32:AF40))</f>
        <v>1.0169049508249663</v>
      </c>
      <c r="AG43" s="3">
        <f>STDEV(AG32:AG40)/SQRT(COUNT(AG32:AG40))</f>
        <v>0.98654232777356199</v>
      </c>
      <c r="AH43" s="3">
        <f>STDEV(AH32:AH40)/SQRT(COUNT(AH32:AH40))</f>
        <v>3.6967314276143939</v>
      </c>
      <c r="AI43" s="20"/>
      <c r="AJ43" s="18"/>
      <c r="AK43" s="3">
        <f>STDEV(AK32:AK40)/SQRT(COUNT(AK32:AK40))</f>
        <v>0.31658965925260102</v>
      </c>
      <c r="AL43" s="3">
        <f>STDEV(AL32:AL40)/SQRT(COUNT(AL32:AL40))</f>
        <v>1.1709241100963494</v>
      </c>
      <c r="AM43" s="3">
        <f>STDEV(AM32:AM40)/SQRT(COUNT(AM32:AM40))</f>
        <v>1.1508911841439877</v>
      </c>
      <c r="AN43" s="3">
        <f>STDEV(AN32:AN40)/SQRT(COUNT(AN32:AN40))</f>
        <v>4.2566337725399128</v>
      </c>
      <c r="AO43" s="20"/>
      <c r="AP43" s="18"/>
      <c r="AQ43" s="3">
        <f>STDEV(AQ32:AQ40)/SQRT(COUNT(AQ32:AQ40))</f>
        <v>0.20804943619542463</v>
      </c>
      <c r="AR43" s="3">
        <f>STDEV(AR32:AR40)/SQRT(COUNT(AR32:AR40))</f>
        <v>1.1650231810336038</v>
      </c>
      <c r="AS43" s="3">
        <f>STDEV(AS32:AS40)/SQRT(COUNT(AS32:AS40))</f>
        <v>0.75631738114477309</v>
      </c>
      <c r="AT43" s="3">
        <f>STDEV(AT32:AT40)/SQRT(COUNT(AT32:AT40))</f>
        <v>4.235182259396379</v>
      </c>
      <c r="AU43" s="20"/>
      <c r="AV43" s="18"/>
      <c r="AW43" s="3">
        <f>STDEV(AW32:AW40)/SQRT(COUNT(AW32:AW40))</f>
        <v>0.30533679037344008</v>
      </c>
      <c r="AX43" s="3">
        <f>STDEV(AX32:AX40)/SQRT(COUNT(AX32:AX40))</f>
        <v>1.294450166892432</v>
      </c>
      <c r="AY43" s="3">
        <f>STDEV(AY32:AY40)/SQRT(COUNT(AY32:AY40))</f>
        <v>1.1099838859715525</v>
      </c>
      <c r="AZ43" s="3">
        <f>STDEV(AZ32:AZ40)/SQRT(COUNT(AZ32:AZ40))</f>
        <v>4.7056852359209582</v>
      </c>
      <c r="BA43" s="20"/>
      <c r="BB43" s="18"/>
      <c r="BC43" s="3">
        <f>STDEV(BC32:BC40)/SQRT(COUNT(BC32:BC40))</f>
        <v>0.23420093330406341</v>
      </c>
      <c r="BD43" s="3">
        <f>STDEV(BD32:BD40)/SQRT(COUNT(BD32:BD40))</f>
        <v>1.4766186974902311</v>
      </c>
      <c r="BE43" s="3">
        <f>STDEV(BE32:BE40)/SQRT(COUNT(BE32:BE40))</f>
        <v>0.85138532349497831</v>
      </c>
      <c r="BF43" s="3">
        <f>STDEV(BF32:BF40)/SQRT(COUNT(BF32:BF40))</f>
        <v>5.3679183498781313</v>
      </c>
      <c r="BG43" s="20"/>
      <c r="BH43" s="18"/>
      <c r="BI43" s="3">
        <f>STDEV(BI32:BI40)/SQRT(COUNT(BI32:BI40))</f>
        <v>0.17617265836546148</v>
      </c>
      <c r="BJ43" s="3">
        <f>STDEV(BJ32:BJ40)/SQRT(COUNT(BJ32:BJ40))</f>
        <v>1.5637335131025203</v>
      </c>
      <c r="BK43" s="3">
        <f>STDEV(BK32:BK40)/SQRT(COUNT(BK32:BK40))</f>
        <v>0.64043645606960709</v>
      </c>
      <c r="BL43" s="3">
        <f>STDEV(BL32:BL40)/SQRT(COUNT(BL32:BL40))</f>
        <v>5.6846048567374998</v>
      </c>
      <c r="BM43" s="20"/>
      <c r="BN43" s="18"/>
      <c r="BO43" s="3">
        <f>STDEV(BO32:BO40)/SQRT(COUNT(BO32:BO40))</f>
        <v>0.32829114694199646</v>
      </c>
      <c r="BP43" s="3">
        <f>STDEV(BP32:BP40)/SQRT(COUNT(BP32:BP40))</f>
        <v>1.8050048305396815</v>
      </c>
      <c r="BQ43" s="3">
        <f>STDEV(BQ32:BQ40)/SQRT(COUNT(BQ32:BQ40))</f>
        <v>1.1934293360687451</v>
      </c>
      <c r="BR43" s="3">
        <f>STDEV(BR32:BR40)/SQRT(COUNT(BR32:BR40))</f>
        <v>6.5616929867817504</v>
      </c>
      <c r="BS43" s="20"/>
      <c r="BT43" s="18"/>
      <c r="BU43" s="3">
        <f>STDEV(BU32:BU40)/SQRT(COUNT(BU32:BU40))</f>
        <v>0.2772506108822313</v>
      </c>
      <c r="BV43" s="3">
        <f>STDEV(BV32:BV40)/SQRT(COUNT(BV32:BV40))</f>
        <v>2.0046543065797766</v>
      </c>
      <c r="BW43" s="3">
        <f>STDEV(BW32:BW40)/SQRT(COUNT(BW32:BW40))</f>
        <v>1.0078828367805335</v>
      </c>
      <c r="BX43" s="3">
        <f>STDEV(BX32:BX40)/SQRT(COUNT(BX32:BX40))</f>
        <v>7.287474183918758</v>
      </c>
      <c r="BY43" s="20"/>
      <c r="BZ43" s="18"/>
      <c r="CA43" s="3">
        <f t="shared" ref="CA43:CF43" si="787">STDEV(CA32:CA40)/SQRT(COUNT(CA32:CA40))</f>
        <v>0.39498398154736897</v>
      </c>
      <c r="CB43" s="173">
        <f t="shared" si="787"/>
        <v>0.45389704875026204</v>
      </c>
      <c r="CC43" s="173">
        <f t="shared" si="787"/>
        <v>0.66460328833387583</v>
      </c>
      <c r="CD43" s="3">
        <f t="shared" si="787"/>
        <v>1.6712789883170591</v>
      </c>
      <c r="CE43" s="173">
        <f t="shared" si="787"/>
        <v>2.6907459000629124</v>
      </c>
      <c r="CF43" s="3">
        <f t="shared" si="787"/>
        <v>5.9710693538720854</v>
      </c>
      <c r="CG43" s="20"/>
      <c r="CH43" s="18"/>
      <c r="CI43" s="3">
        <f>STDEV(CI32:CI40)/SQRT(COUNT(CI32:CI40))</f>
        <v>0.3205555555555562</v>
      </c>
      <c r="CJ43" s="3">
        <f>STDEV(CJ32:CJ40)/SQRT(COUNT(CJ32:CJ40))</f>
        <v>1.7692402638169547</v>
      </c>
      <c r="CK43" s="3">
        <f>STDEV(CK32:CK40)/SQRT(COUNT(CK32:CK40))</f>
        <v>1.1653083167283997</v>
      </c>
      <c r="CL43" s="3">
        <f>STDEV(CL32:CL40)/SQRT(COUNT(CL32:CL40))</f>
        <v>6.3381234186324633</v>
      </c>
      <c r="CM43" s="20"/>
      <c r="CN43" s="18"/>
      <c r="CO43" s="3">
        <f>STDEV(CO32:CO40)/SQRT(COUNT(CO32:CO40))</f>
        <v>0.14449892135100656</v>
      </c>
      <c r="CP43" s="3">
        <f>STDEV(CP32:CP40)/SQRT(COUNT(CP32:CP40))</f>
        <v>1.8168221985749009</v>
      </c>
      <c r="CQ43" s="3">
        <f>STDEV(CQ32:CQ40)/SQRT(COUNT(CQ32:CQ40))</f>
        <v>0.52529364065078643</v>
      </c>
      <c r="CR43" s="3">
        <f>STDEV(CR32:CR40)/SQRT(COUNT(CR32:CR40))</f>
        <v>6.4950192283455701</v>
      </c>
      <c r="CS43" s="20"/>
      <c r="CT43" s="18"/>
      <c r="CU43" s="3">
        <f>STDEV(CU32:CU40)/SQRT(COUNT(CU32:CU40))</f>
        <v>0.19119507199599897</v>
      </c>
      <c r="CV43" s="3">
        <f>STDEV(CV32:CV40)/SQRT(COUNT(CV32:CV40))</f>
        <v>1.8218459130409912</v>
      </c>
      <c r="CW43" s="3">
        <f>STDEV(CW32:CW40)/SQRT(COUNT(CW32:CW40))</f>
        <v>0.69504709449906243</v>
      </c>
      <c r="CX43" s="3">
        <f>STDEV(CX32:CX40)/SQRT(COUNT(CX32:CX40))</f>
        <v>6.4970420140776364</v>
      </c>
      <c r="CY43" s="20"/>
      <c r="CZ43" s="18"/>
      <c r="DA43" s="3">
        <f>STDEV(DA32:DA40)/SQRT(COUNT(DA32:DA40))</f>
        <v>0.27026450235753646</v>
      </c>
      <c r="DB43" s="3">
        <f>STDEV(DB32:DB40)/SQRT(COUNT(DB32:DB40))</f>
        <v>1.975921725845085</v>
      </c>
      <c r="DC43" s="3">
        <f>STDEV(DC32:DC40)/SQRT(COUNT(DC32:DC40))</f>
        <v>0.98248639543268668</v>
      </c>
      <c r="DD43" s="3">
        <f>STDEV(DD32:DD40)/SQRT(COUNT(DD32:DD40))</f>
        <v>7.0457753403354593</v>
      </c>
      <c r="DE43" s="20"/>
      <c r="DF43" s="18"/>
      <c r="DG43" s="3">
        <f>STDEV(DG32:DG40)/SQRT(COUNT(DG32:DG40))</f>
        <v>0.29186871308691276</v>
      </c>
      <c r="DH43" s="3">
        <f>STDEV(DH32:DH40)/SQRT(COUNT(DH32:DH40))</f>
        <v>2.1217367827580746</v>
      </c>
      <c r="DI43" s="3">
        <f>STDEV(DI32:DI40)/SQRT(COUNT(DI32:DI40))</f>
        <v>1.0610236910838677</v>
      </c>
      <c r="DJ43" s="3">
        <f>STDEV(DJ32:DJ40)/SQRT(COUNT(DJ32:DJ40))</f>
        <v>7.5803957071277175</v>
      </c>
      <c r="DK43" s="20"/>
      <c r="DL43" s="18"/>
      <c r="DM43" s="3">
        <f>STDEV(DM32:DM40)/SQRT(COUNT(DM32:DM40))</f>
        <v>0.29334806360320781</v>
      </c>
      <c r="DN43" s="3">
        <f>STDEV(DN32:DN40)/SQRT(COUNT(DN32:DN40))</f>
        <v>2.0153191090026059</v>
      </c>
      <c r="DO43" s="3">
        <f>STDEV(DO32:DO40)/SQRT(COUNT(DO32:DO40))</f>
        <v>1.0664015403524811</v>
      </c>
      <c r="DP43" s="3">
        <f>STDEV(DP32:DP40)/SQRT(COUNT(DP32:DP40))</f>
        <v>7.1882792842095427</v>
      </c>
      <c r="DQ43" s="329"/>
      <c r="DR43" s="18"/>
      <c r="DS43" s="3">
        <f>STDEV(DS32:DS40)/SQRT(COUNT(DS32:DS40))</f>
        <v>0.11677904640393498</v>
      </c>
      <c r="DT43" s="3">
        <f>STDEV(DT32:DT40)/SQRT(COUNT(DT32:DT40))</f>
        <v>2.0483336346924328</v>
      </c>
      <c r="DU43" s="3">
        <f>STDEV(DU32:DU40)/SQRT(COUNT(DU32:DU40))</f>
        <v>0.42452421003364105</v>
      </c>
      <c r="DV43" s="3">
        <f>STDEV(DV32:DV40)/SQRT(COUNT(DV32:DV40))</f>
        <v>7.297291750311274</v>
      </c>
      <c r="DW43" s="20"/>
      <c r="DX43" s="18"/>
      <c r="DY43" s="3">
        <f>STDEV(DY32:DY40)/SQRT(COUNT(DY32:DY40))</f>
        <v>0.26261564178212959</v>
      </c>
      <c r="DZ43" s="3">
        <f>STDEV(DZ32:DZ40)/SQRT(COUNT(DZ32:DZ40))</f>
        <v>2.0087620565910687</v>
      </c>
      <c r="EA43" s="3">
        <f>STDEV(EA32:EA40)/SQRT(COUNT(EA32:EA40))</f>
        <v>0.9546806666360953</v>
      </c>
      <c r="EB43" s="3">
        <f>STDEV(EB32:EB40)/SQRT(COUNT(EB32:EB40))</f>
        <v>7.1770409430369702</v>
      </c>
      <c r="EC43" s="18"/>
    </row>
    <row r="44" spans="1:133">
      <c r="A44" s="54"/>
      <c r="B44" s="35"/>
      <c r="C44" s="35"/>
      <c r="D44" s="35"/>
      <c r="E44" s="35"/>
      <c r="F44" s="35" t="s">
        <v>300</v>
      </c>
      <c r="G44" s="37"/>
      <c r="H44" s="34"/>
      <c r="I44" s="34">
        <f>(100/I16)*I42</f>
        <v>67.931754874651887</v>
      </c>
      <c r="J44" s="34">
        <f>(100/J16)*J42</f>
        <v>67.931754874651872</v>
      </c>
      <c r="K44" s="37"/>
      <c r="L44" s="34"/>
      <c r="M44" s="34">
        <f>(100/M16)*M42</f>
        <v>83.46175013758932</v>
      </c>
      <c r="N44" s="34">
        <f>(100/N16)*N42</f>
        <v>76.606209652628309</v>
      </c>
      <c r="O44" s="34">
        <f>(100/O16)*O42</f>
        <v>83.461750137589348</v>
      </c>
      <c r="P44" s="34">
        <f>(100/P16)*P42</f>
        <v>76.606209652628323</v>
      </c>
      <c r="Q44" s="37"/>
      <c r="R44" s="34"/>
      <c r="S44" s="34">
        <f>(100/S16)*S42</f>
        <v>101.67291606576282</v>
      </c>
      <c r="T44" s="34">
        <f>(100/T16)*T42</f>
        <v>85.320364985460699</v>
      </c>
      <c r="U44" s="34">
        <f>(100/U16)*U42</f>
        <v>101.67291606576281</v>
      </c>
      <c r="V44" s="34">
        <f>(100/V16)*V42</f>
        <v>85.320364985460685</v>
      </c>
      <c r="W44" s="37"/>
      <c r="X44" s="34"/>
      <c r="Y44" s="34">
        <f>(100/Y16)*Y42</f>
        <v>93.103448275862149</v>
      </c>
      <c r="Z44" s="34">
        <f>(100/Z16)*Z42</f>
        <v>87.572151357514414</v>
      </c>
      <c r="AA44" s="34">
        <f>(100/AA16)*AA42</f>
        <v>93.103448275862135</v>
      </c>
      <c r="AB44" s="34">
        <f>(100/AB16)*AB42</f>
        <v>87.572151357514414</v>
      </c>
      <c r="AC44" s="37"/>
      <c r="AD44" s="34"/>
      <c r="AE44" s="34">
        <f>(100/AE16)*AE42</f>
        <v>105.23327573438677</v>
      </c>
      <c r="AF44" s="34">
        <f>(100/AF16)*AF42</f>
        <v>91.528422915284253</v>
      </c>
      <c r="AG44" s="34">
        <f>(100/AG16)*AG42</f>
        <v>105.23327573438677</v>
      </c>
      <c r="AH44" s="34">
        <f>(100/AH16)*AH42</f>
        <v>91.528422915284281</v>
      </c>
      <c r="AI44" s="37"/>
      <c r="AJ44" s="34"/>
      <c r="AK44" s="34">
        <f>(100/AK16)*AK42</f>
        <v>96.286209457786654</v>
      </c>
      <c r="AL44" s="34">
        <f>(100/AL16)*AL42</f>
        <v>92.397052840934791</v>
      </c>
      <c r="AM44" s="34">
        <f>(100/AM16)*AM42</f>
        <v>96.286209457786612</v>
      </c>
      <c r="AN44" s="34">
        <f>(100/AN16)*AN42</f>
        <v>92.397052840934805</v>
      </c>
      <c r="AO44" s="37"/>
      <c r="AP44" s="34"/>
      <c r="AQ44" s="34">
        <f>(100/AQ16)*AQ42</f>
        <v>87.648054145515957</v>
      </c>
      <c r="AR44" s="34">
        <f>(100/AR16)*AR42</f>
        <v>91.648895658796661</v>
      </c>
      <c r="AS44" s="34">
        <f>(100/AS16)*AS42</f>
        <v>87.648054145515957</v>
      </c>
      <c r="AT44" s="34">
        <f>(100/AT16)*AT42</f>
        <v>91.648895658796661</v>
      </c>
      <c r="AU44" s="37"/>
      <c r="AV44" s="33"/>
      <c r="AW44" s="34">
        <f>(100/AW16)*AW42</f>
        <v>91.222570532915313</v>
      </c>
      <c r="AX44" s="34">
        <f>(100/AX16)*AX42</f>
        <v>91.594655676681768</v>
      </c>
      <c r="AY44" s="34">
        <f>(100/AY16)*AY42</f>
        <v>91.222570532915327</v>
      </c>
      <c r="AZ44" s="34">
        <f>(100/AZ16)*AZ42</f>
        <v>91.594655676681739</v>
      </c>
      <c r="BA44" s="37"/>
      <c r="BB44" s="34"/>
      <c r="BC44" s="34">
        <f>(100/BC16)*BC42</f>
        <v>79.830975785183341</v>
      </c>
      <c r="BD44" s="34">
        <f>(100/BD16)*BD42</f>
        <v>90.162439067106476</v>
      </c>
      <c r="BE44" s="34">
        <f>(100/BE16)*BE42</f>
        <v>79.830975785183355</v>
      </c>
      <c r="BF44" s="34">
        <f>(100/BF16)*BF42</f>
        <v>90.162439067106448</v>
      </c>
      <c r="BG44" s="37"/>
      <c r="BH44" s="34"/>
      <c r="BI44" s="34">
        <f>(100/BI16)*BI42</f>
        <v>77.594823167606322</v>
      </c>
      <c r="BJ44" s="34">
        <f>(100/BJ16)*BJ42</f>
        <v>88.877387909121865</v>
      </c>
      <c r="BK44" s="34">
        <f>(100/BK16)*BK42</f>
        <v>77.594823167606322</v>
      </c>
      <c r="BL44" s="34">
        <f>(100/BL16)*BL42</f>
        <v>88.877387909121879</v>
      </c>
      <c r="BM44" s="37"/>
      <c r="BN44" s="34"/>
      <c r="BO44" s="3">
        <f t="shared" ref="BO44" si="788">AVERAGE(BO34:BO42)</f>
        <v>3.9153472222222185</v>
      </c>
      <c r="BP44" s="34">
        <f>(100/BP16)*BP42</f>
        <v>87.808059109579332</v>
      </c>
      <c r="BQ44" s="34">
        <f>(100/BQ16)*BQ42</f>
        <v>78.094501309212021</v>
      </c>
      <c r="BR44" s="34">
        <f>(100/BR16)*BR42</f>
        <v>87.808059109579332</v>
      </c>
      <c r="BS44" s="37"/>
      <c r="BT44" s="34"/>
      <c r="BU44" s="34">
        <f>(100/BU16)*BU42</f>
        <v>76.693250115580383</v>
      </c>
      <c r="BV44" s="34">
        <f>(100/BV16)*BV42</f>
        <v>86.778187114461957</v>
      </c>
      <c r="BW44" s="34">
        <f>(100/BW16)*BW42</f>
        <v>76.693250115580398</v>
      </c>
      <c r="BX44" s="34">
        <f>(100/BX16)*BX42</f>
        <v>86.778187114461957</v>
      </c>
      <c r="BY44" s="37"/>
      <c r="BZ44" s="34"/>
      <c r="CA44" s="34">
        <f t="shared" ref="CA44:CF44" si="789">(100/CA16)*CA42</f>
        <v>60.631127450980216</v>
      </c>
      <c r="CB44" s="175">
        <f t="shared" si="789"/>
        <v>86.590709903593321</v>
      </c>
      <c r="CC44" s="175">
        <f t="shared" si="789"/>
        <v>71.312657771366659</v>
      </c>
      <c r="CD44" s="34">
        <f t="shared" si="789"/>
        <v>85.136118237163529</v>
      </c>
      <c r="CE44" s="175">
        <f t="shared" si="789"/>
        <v>73.134699162826251</v>
      </c>
      <c r="CF44" s="34">
        <f t="shared" si="789"/>
        <v>85.210427917882143</v>
      </c>
      <c r="CG44" s="37"/>
      <c r="CH44" s="34"/>
      <c r="CI44" s="34">
        <f>(100/CI16)*CI42</f>
        <v>76.661029234114565</v>
      </c>
      <c r="CJ44" s="34">
        <f>(100/CJ16)*CJ42</f>
        <v>84.513863019530618</v>
      </c>
      <c r="CK44" s="34">
        <f>(100/CK16)*CK42</f>
        <v>76.661029234114565</v>
      </c>
      <c r="CL44" s="34">
        <f>(100/CL16)*CL42</f>
        <v>84.588403469634926</v>
      </c>
      <c r="CM44" s="37"/>
      <c r="CN44" s="33"/>
      <c r="CO44" s="34">
        <f>(100/CO16)*CO42</f>
        <v>83.642125792296227</v>
      </c>
      <c r="CP44" s="34">
        <f>(100/CP16)*CP42</f>
        <v>84.454733360892945</v>
      </c>
      <c r="CQ44" s="34">
        <f>(100/CQ16)*CQ42</f>
        <v>83.642125792296213</v>
      </c>
      <c r="CR44" s="34">
        <f>(100/CR16)*CR42</f>
        <v>84.524760133750661</v>
      </c>
      <c r="CS44" s="37"/>
      <c r="CT44" s="34"/>
      <c r="CU44" s="34">
        <f>(100/CU16)*CU42</f>
        <v>92.692307692307566</v>
      </c>
      <c r="CV44" s="34">
        <f>(100/CV16)*CV42</f>
        <v>84.95378640776697</v>
      </c>
      <c r="CW44" s="34">
        <f>(100/CW16)*CW42</f>
        <v>92.692307692307537</v>
      </c>
      <c r="CX44" s="34">
        <f>(100/CX16)*CX42</f>
        <v>85.015640863369427</v>
      </c>
      <c r="CY44" s="37"/>
      <c r="CZ44" s="34"/>
      <c r="DA44" s="34">
        <f>(100/DA16)*DA42</f>
        <v>88.703657626275259</v>
      </c>
      <c r="DB44" s="34">
        <f>(100/DB16)*DB42</f>
        <v>85.174138082287897</v>
      </c>
      <c r="DC44" s="34">
        <f>(100/DC16)*DC42</f>
        <v>88.703657626275231</v>
      </c>
      <c r="DD44" s="34">
        <f>(100/DD16)*DD42</f>
        <v>85.230736980498477</v>
      </c>
      <c r="DE44" s="37"/>
      <c r="DF44" s="34"/>
      <c r="DG44" s="34">
        <f>(100/DG16)*DG42</f>
        <v>82.255039849976853</v>
      </c>
      <c r="DH44" s="34">
        <f>(100/DH16)*DH42</f>
        <v>85.002752546105143</v>
      </c>
      <c r="DI44" s="34">
        <f>(100/DI16)*DI42</f>
        <v>82.255039849976868</v>
      </c>
      <c r="DJ44" s="34">
        <f>(100/DJ16)*DJ42</f>
        <v>85.057258899145211</v>
      </c>
      <c r="DK44" s="37"/>
      <c r="DL44" s="34"/>
      <c r="DM44" s="34">
        <f>(100/DM16)*DM42</f>
        <v>64.640302902818689</v>
      </c>
      <c r="DN44" s="34">
        <f>(100/DN16)*DN42</f>
        <v>83.752292866923327</v>
      </c>
      <c r="DO44" s="34">
        <f>(100/DO16)*DO42</f>
        <v>64.640302902818689</v>
      </c>
      <c r="DP44" s="34">
        <f>(100/DP16)*DP42</f>
        <v>83.811743884532703</v>
      </c>
      <c r="DQ44" s="331"/>
      <c r="DR44" s="34"/>
      <c r="DS44" s="34">
        <f>(100/DS16)*DS42</f>
        <v>89.609690444145627</v>
      </c>
      <c r="DT44" s="34">
        <f>(100/DT16)*DT42</f>
        <v>84.020510544934609</v>
      </c>
      <c r="DU44" s="34">
        <f>(100/DU16)*DU42</f>
        <v>89.609690444145642</v>
      </c>
      <c r="DV44" s="34">
        <f>(100/DV16)*DV42</f>
        <v>84.075563296592023</v>
      </c>
      <c r="DW44" s="37"/>
      <c r="DX44" s="34"/>
      <c r="DY44" s="34">
        <f>(100/DY16)*DY42</f>
        <v>98.816738816738891</v>
      </c>
      <c r="DZ44" s="34">
        <f>(100/DZ16)*DZ42</f>
        <v>84.626569260231236</v>
      </c>
      <c r="EA44" s="34">
        <f>(100/EA16)*EA42</f>
        <v>98.816738816738876</v>
      </c>
      <c r="EB44" s="36">
        <f>(100/EB16)*EB42</f>
        <v>84.67571072023685</v>
      </c>
    </row>
    <row r="45" spans="1:133" ht="12" customHeight="1">
      <c r="A45" s="119"/>
      <c r="B45" s="62"/>
      <c r="C45" s="11"/>
      <c r="D45" s="12"/>
      <c r="E45" s="10"/>
      <c r="F45" s="11" t="s">
        <v>547</v>
      </c>
      <c r="G45" s="10"/>
      <c r="H45" s="150" t="s">
        <v>549</v>
      </c>
      <c r="I45" s="10"/>
      <c r="J45" s="10"/>
      <c r="K45" s="10"/>
      <c r="L45" s="150" t="s">
        <v>549</v>
      </c>
      <c r="M45" s="10"/>
      <c r="N45" s="10"/>
      <c r="O45" s="10"/>
      <c r="P45" s="10"/>
      <c r="Q45" s="152" t="s">
        <v>625</v>
      </c>
      <c r="R45" s="10"/>
      <c r="S45" s="10"/>
      <c r="T45"/>
      <c r="U45"/>
      <c r="V45"/>
      <c r="W45" s="10"/>
      <c r="X45" s="10"/>
      <c r="Y45" s="154" t="s">
        <v>626</v>
      </c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50" t="s">
        <v>549</v>
      </c>
      <c r="AK45" s="10"/>
      <c r="AL45" s="10"/>
      <c r="AM45" s="10"/>
      <c r="AN45" s="10"/>
      <c r="AO45" s="10"/>
      <c r="AP45" s="159" t="s">
        <v>627</v>
      </c>
      <c r="AQ45" s="10"/>
      <c r="AR45" s="10"/>
      <c r="AS45" s="10"/>
      <c r="AT45" s="10"/>
      <c r="AU45" s="10"/>
      <c r="AV45" s="150" t="s">
        <v>549</v>
      </c>
      <c r="AW45" s="10"/>
      <c r="AX45" s="10"/>
      <c r="AY45" s="10"/>
      <c r="AZ45" s="10"/>
      <c r="BA45" s="10"/>
      <c r="BB45" s="150" t="s">
        <v>549</v>
      </c>
      <c r="BC45" s="10"/>
      <c r="BD45" s="10"/>
      <c r="BE45" s="10"/>
      <c r="BF45" s="10"/>
      <c r="BG45" s="10"/>
      <c r="BH45" s="150" t="s">
        <v>549</v>
      </c>
      <c r="BI45" s="10"/>
      <c r="BJ45" s="10"/>
      <c r="BK45" s="10"/>
      <c r="BL45" s="10"/>
      <c r="BM45" s="10"/>
      <c r="BN45" s="150" t="s">
        <v>549</v>
      </c>
      <c r="BO45" s="10"/>
      <c r="BP45" s="10"/>
      <c r="BQ45" s="10"/>
      <c r="BR45" s="10"/>
      <c r="BS45" s="10"/>
      <c r="BT45" s="150" t="s">
        <v>549</v>
      </c>
      <c r="BU45" s="10"/>
      <c r="BV45" s="10"/>
      <c r="BW45" s="10"/>
      <c r="BX45" s="10"/>
      <c r="BY45" s="10"/>
      <c r="BZ45" s="150" t="s">
        <v>549</v>
      </c>
      <c r="CA45" s="10"/>
      <c r="CB45" s="10"/>
      <c r="CC45" s="10"/>
      <c r="CD45" s="10"/>
      <c r="CE45" s="10"/>
      <c r="CF45" s="10"/>
      <c r="CG45" s="10"/>
      <c r="CH45" s="152" t="s">
        <v>628</v>
      </c>
      <c r="CI45" s="10"/>
      <c r="CJ45" s="10"/>
      <c r="CK45" s="10"/>
      <c r="CL45" s="10"/>
      <c r="CM45" s="10"/>
      <c r="CN45" s="150" t="s">
        <v>549</v>
      </c>
      <c r="CO45" s="10"/>
      <c r="CP45" s="10"/>
      <c r="CQ45" s="10"/>
      <c r="CR45" s="10"/>
      <c r="CS45" s="10"/>
      <c r="CT45" s="10"/>
      <c r="CU45" s="255" t="s">
        <v>629</v>
      </c>
      <c r="CV45" s="10"/>
      <c r="CW45" s="10"/>
      <c r="CX45" s="10"/>
      <c r="CY45" s="10"/>
      <c r="CZ45" s="362" t="s">
        <v>630</v>
      </c>
      <c r="DA45" s="10"/>
      <c r="DB45" s="10"/>
      <c r="DC45" s="10"/>
      <c r="DD45" s="10"/>
      <c r="DE45" s="10"/>
      <c r="DF45" s="150" t="s">
        <v>549</v>
      </c>
      <c r="DG45" s="10"/>
      <c r="DH45" s="10"/>
      <c r="DI45" s="10"/>
      <c r="DJ45" s="10"/>
      <c r="DK45" s="10"/>
      <c r="DL45" s="10"/>
      <c r="DM45" s="212" t="s">
        <v>560</v>
      </c>
      <c r="DN45" s="10"/>
      <c r="DO45" s="10"/>
      <c r="DP45" s="10"/>
      <c r="DQ45" s="10"/>
      <c r="DR45" s="150" t="s">
        <v>549</v>
      </c>
      <c r="DS45" s="10"/>
      <c r="DT45" s="10"/>
      <c r="DU45" s="10"/>
      <c r="DV45" s="10"/>
      <c r="DW45" s="10"/>
      <c r="DX45" s="159" t="s">
        <v>631</v>
      </c>
      <c r="DY45" s="10"/>
      <c r="EA45" s="10"/>
      <c r="EB45" s="10"/>
    </row>
    <row r="46" spans="1:133" s="12" customFormat="1" ht="12" customHeight="1">
      <c r="A46" s="62"/>
      <c r="B46" s="62"/>
      <c r="D46" s="62"/>
      <c r="E46" s="62"/>
      <c r="F46" s="62"/>
      <c r="G46" s="136"/>
      <c r="H46" s="136"/>
      <c r="I46" s="10"/>
      <c r="J46" s="10"/>
      <c r="K46" s="136"/>
      <c r="L46" s="136"/>
      <c r="M46" s="136"/>
      <c r="N46" s="10"/>
      <c r="O46" s="10"/>
      <c r="P46" s="10"/>
      <c r="Q46" s="136"/>
      <c r="R46" s="152" t="s">
        <v>632</v>
      </c>
      <c r="S46" s="136"/>
      <c r="T46" s="10"/>
      <c r="U46" s="10"/>
      <c r="V46" s="10"/>
      <c r="X46" s="154">
        <v>103.44</v>
      </c>
      <c r="Y46" s="154">
        <v>101.86</v>
      </c>
      <c r="Z46" s="154">
        <f>X46-Y46</f>
        <v>1.5799999999999983</v>
      </c>
      <c r="AA46" s="154"/>
      <c r="AB46" s="154"/>
      <c r="AC46" s="136"/>
      <c r="AD46" s="150" t="s">
        <v>549</v>
      </c>
      <c r="AE46" s="136"/>
      <c r="AF46" s="10"/>
      <c r="AG46" s="10"/>
      <c r="AH46" s="10"/>
      <c r="AI46" s="136"/>
      <c r="AJ46" s="344" t="s">
        <v>633</v>
      </c>
      <c r="AK46" s="136"/>
      <c r="AL46" s="10"/>
      <c r="AM46" s="10"/>
      <c r="AN46" s="10"/>
      <c r="AO46" s="136"/>
      <c r="AP46" s="156" t="s">
        <v>634</v>
      </c>
      <c r="AQ46" s="136"/>
      <c r="AR46" s="10"/>
      <c r="AS46" s="10"/>
      <c r="AT46" s="10"/>
      <c r="AU46" s="136"/>
      <c r="AV46" s="136"/>
      <c r="AW46" s="136"/>
      <c r="AX46" s="10"/>
      <c r="AY46" s="10"/>
      <c r="AZ46" s="10"/>
      <c r="BA46" s="136"/>
      <c r="BB46" s="136"/>
      <c r="BC46" s="136"/>
      <c r="BD46" s="10"/>
      <c r="BE46" s="10"/>
      <c r="BF46" s="10"/>
      <c r="BG46" s="136"/>
      <c r="BH46" s="136"/>
      <c r="BI46" s="136"/>
      <c r="BJ46" s="10"/>
      <c r="BK46" s="10"/>
      <c r="BL46" s="10"/>
      <c r="BM46" s="136"/>
      <c r="BN46" s="223" t="s">
        <v>551</v>
      </c>
      <c r="BO46" s="136"/>
      <c r="BP46" s="10"/>
      <c r="BQ46" s="10"/>
      <c r="BR46" s="10"/>
      <c r="BS46" s="136"/>
      <c r="BT46" s="223" t="s">
        <v>551</v>
      </c>
      <c r="BU46" s="136"/>
      <c r="BV46" s="10"/>
      <c r="BW46" s="10"/>
      <c r="BX46" s="10"/>
      <c r="BY46" s="136"/>
      <c r="BZ46" s="223" t="s">
        <v>551</v>
      </c>
      <c r="CA46" s="136"/>
      <c r="CB46" s="136"/>
      <c r="CC46" s="136"/>
      <c r="CD46" s="10"/>
      <c r="CE46" s="10"/>
      <c r="CF46" s="10"/>
      <c r="CG46" s="136"/>
      <c r="CH46" s="160" t="s">
        <v>635</v>
      </c>
      <c r="CI46" s="136"/>
      <c r="CJ46" s="10"/>
      <c r="CK46" s="10"/>
      <c r="CL46" s="10"/>
      <c r="CM46" s="136"/>
      <c r="CN46" s="136"/>
      <c r="CO46" s="136"/>
      <c r="CP46" s="10"/>
      <c r="CQ46" s="10"/>
      <c r="CR46" s="10"/>
      <c r="CS46" s="136"/>
      <c r="CT46" s="223" t="s">
        <v>551</v>
      </c>
      <c r="CU46" s="136"/>
      <c r="CV46" s="10"/>
      <c r="CW46" s="10"/>
      <c r="CX46" s="10"/>
      <c r="CY46" s="136"/>
      <c r="CZ46" s="136"/>
      <c r="DA46" s="136"/>
      <c r="DB46" s="10"/>
      <c r="DC46" s="10"/>
      <c r="DD46" s="10"/>
      <c r="DE46" s="136"/>
      <c r="DF46" s="223" t="s">
        <v>551</v>
      </c>
      <c r="DG46" s="136"/>
      <c r="DH46" s="10"/>
      <c r="DI46" s="10"/>
      <c r="DJ46" s="10"/>
      <c r="DK46" s="136"/>
      <c r="DL46" s="136"/>
      <c r="DM46" s="223" t="s">
        <v>551</v>
      </c>
      <c r="DN46" s="10"/>
      <c r="DO46" s="10"/>
      <c r="DP46" s="10"/>
      <c r="DQ46" s="136"/>
      <c r="DR46" s="136"/>
      <c r="DS46" s="212" t="s">
        <v>560</v>
      </c>
      <c r="DT46" s="10"/>
      <c r="DU46" s="10"/>
      <c r="DV46" s="10"/>
      <c r="DW46" s="136"/>
      <c r="DX46" s="160" t="s">
        <v>636</v>
      </c>
      <c r="DY46" s="136"/>
      <c r="DZ46" s="10"/>
      <c r="EA46" s="10"/>
      <c r="EB46" s="10"/>
    </row>
    <row r="47" spans="1:133" s="12" customFormat="1" ht="12" customHeight="1">
      <c r="A47" s="62"/>
      <c r="B47" s="62"/>
      <c r="E47" s="62"/>
      <c r="F47" s="62"/>
      <c r="G47" s="136"/>
      <c r="H47" s="136"/>
      <c r="I47" s="10"/>
      <c r="J47" s="10"/>
      <c r="K47" s="136"/>
      <c r="L47" s="136"/>
      <c r="M47" s="136"/>
      <c r="N47" s="10"/>
      <c r="O47" s="10"/>
      <c r="P47" s="10"/>
      <c r="Q47" s="136"/>
      <c r="R47" s="150" t="s">
        <v>549</v>
      </c>
      <c r="S47" s="136"/>
      <c r="T47" s="10"/>
      <c r="U47" s="10"/>
      <c r="V47" s="10"/>
      <c r="W47" s="136"/>
      <c r="X47" s="154" t="s">
        <v>195</v>
      </c>
      <c r="Y47" s="154" t="s">
        <v>637</v>
      </c>
      <c r="Z47" s="154" t="s">
        <v>638</v>
      </c>
      <c r="AA47" s="154"/>
      <c r="AB47" s="154"/>
      <c r="AC47" s="136"/>
      <c r="AD47" s="136"/>
      <c r="AE47" s="136"/>
      <c r="AF47" s="10"/>
      <c r="AG47" s="10"/>
      <c r="AH47" s="10"/>
      <c r="AI47" s="136"/>
      <c r="AJ47" s="347" t="s">
        <v>639</v>
      </c>
      <c r="AK47" s="136"/>
      <c r="AL47" s="10"/>
      <c r="AM47" s="10"/>
      <c r="AN47" s="10"/>
      <c r="AO47" s="136"/>
      <c r="AP47" s="309" t="s">
        <v>640</v>
      </c>
      <c r="AQ47" s="136"/>
      <c r="AR47" s="10"/>
      <c r="AS47" s="10"/>
      <c r="AT47" s="10"/>
      <c r="AU47" s="136"/>
      <c r="AV47" s="136"/>
      <c r="AW47" s="136"/>
      <c r="AX47" s="10"/>
      <c r="AY47" s="10"/>
      <c r="AZ47" s="10"/>
      <c r="BA47" s="136"/>
      <c r="BB47" s="136"/>
      <c r="BC47" s="136"/>
      <c r="BD47" s="10"/>
      <c r="BE47" s="10"/>
      <c r="BF47" s="10"/>
      <c r="BG47" s="136"/>
      <c r="BH47" s="136"/>
      <c r="BI47" s="136"/>
      <c r="BJ47" s="10"/>
      <c r="BK47" s="10"/>
      <c r="BL47" s="10"/>
      <c r="BM47" s="136"/>
      <c r="BN47" s="359" t="s">
        <v>641</v>
      </c>
      <c r="BO47" s="136"/>
      <c r="BP47" s="10"/>
      <c r="BQ47" s="10"/>
      <c r="BR47" s="10"/>
      <c r="BS47" s="136"/>
      <c r="BT47" s="156" t="s">
        <v>642</v>
      </c>
      <c r="BU47" s="136"/>
      <c r="BV47" s="10"/>
      <c r="BW47" s="10"/>
      <c r="BX47" s="10"/>
      <c r="BY47" s="136"/>
      <c r="BZ47" s="136"/>
      <c r="CA47" s="136"/>
      <c r="CB47" s="136"/>
      <c r="CC47" s="136"/>
      <c r="CD47" s="10"/>
      <c r="CE47" s="10"/>
      <c r="CF47" s="10"/>
      <c r="CG47" s="136"/>
      <c r="CH47" s="161" t="s">
        <v>643</v>
      </c>
      <c r="CI47" s="136"/>
      <c r="CJ47" s="10"/>
      <c r="CK47" s="10"/>
      <c r="CL47" s="10"/>
      <c r="CM47" s="136"/>
      <c r="CN47" s="136"/>
      <c r="CO47" s="136"/>
      <c r="CP47" s="10"/>
      <c r="CQ47" s="10"/>
      <c r="CR47" s="10"/>
      <c r="CS47" s="136"/>
      <c r="CT47" s="136"/>
      <c r="CU47" s="136"/>
      <c r="CV47" s="10"/>
      <c r="CW47" s="10"/>
      <c r="CX47" s="10"/>
      <c r="CY47" s="136"/>
      <c r="CZ47" s="136"/>
      <c r="DA47" s="136"/>
      <c r="DB47" s="10"/>
      <c r="DC47" s="10"/>
      <c r="DD47" s="10"/>
      <c r="DE47" s="136"/>
      <c r="DF47" s="136"/>
      <c r="DG47" s="261" t="s">
        <v>567</v>
      </c>
      <c r="DH47" s="10"/>
      <c r="DI47" s="10"/>
      <c r="DJ47" s="10"/>
      <c r="DK47" s="136"/>
      <c r="DL47" s="136"/>
      <c r="DM47" s="136"/>
      <c r="DN47" s="10"/>
      <c r="DO47" s="10"/>
      <c r="DP47" s="10"/>
      <c r="DQ47" s="136"/>
      <c r="DR47" s="136"/>
      <c r="DS47" s="223" t="s">
        <v>551</v>
      </c>
      <c r="DT47" s="10"/>
      <c r="DU47" s="10"/>
      <c r="DV47" s="10"/>
      <c r="DW47" s="136"/>
      <c r="DX47" s="161" t="s">
        <v>644</v>
      </c>
      <c r="DY47" s="136"/>
      <c r="DZ47" s="10"/>
      <c r="EA47" s="10"/>
      <c r="EB47" s="10"/>
    </row>
    <row r="48" spans="1:133" s="12" customFormat="1" ht="12" customHeight="1">
      <c r="A48" s="62"/>
      <c r="B48" s="62"/>
      <c r="E48" s="62"/>
      <c r="F48" s="62"/>
      <c r="G48" s="136"/>
      <c r="H48" s="136"/>
      <c r="I48" s="10"/>
      <c r="J48" s="10"/>
      <c r="K48" s="136"/>
      <c r="L48" s="136"/>
      <c r="M48" s="136"/>
      <c r="N48" s="10"/>
      <c r="O48" s="10"/>
      <c r="P48" s="10"/>
      <c r="Q48" s="136"/>
      <c r="R48" s="136"/>
      <c r="S48" s="136"/>
      <c r="T48" s="10"/>
      <c r="U48" s="10"/>
      <c r="V48" s="10"/>
      <c r="W48" s="136"/>
      <c r="X48" s="136"/>
      <c r="Y48" s="136"/>
      <c r="Z48" s="10"/>
      <c r="AA48" s="10"/>
      <c r="AB48" s="10"/>
      <c r="AC48" s="136"/>
      <c r="AD48" s="136"/>
      <c r="AE48" s="136"/>
      <c r="AF48" s="10"/>
      <c r="AG48" s="10"/>
      <c r="AH48" s="10"/>
      <c r="AI48" s="136"/>
      <c r="AJ48" s="346" t="s">
        <v>645</v>
      </c>
      <c r="AK48" s="136"/>
      <c r="AL48" s="10"/>
      <c r="AM48" s="10"/>
      <c r="AN48" s="10"/>
      <c r="AO48" s="136"/>
      <c r="AP48" s="136"/>
      <c r="AQ48" s="136"/>
      <c r="AR48" s="10"/>
      <c r="AS48" s="10"/>
      <c r="AT48" s="10"/>
      <c r="AU48" s="136"/>
      <c r="AV48" s="136"/>
      <c r="AW48" s="136"/>
      <c r="AX48" s="10"/>
      <c r="AY48" s="10"/>
      <c r="AZ48" s="10"/>
      <c r="BA48" s="136"/>
      <c r="BB48" s="136"/>
      <c r="BC48" s="136"/>
      <c r="BD48" s="10"/>
      <c r="BE48" s="10"/>
      <c r="BF48" s="10"/>
      <c r="BG48" s="136"/>
      <c r="BH48" s="136"/>
      <c r="BI48" s="136"/>
      <c r="BJ48" s="10"/>
      <c r="BK48" s="10"/>
      <c r="BL48" s="10"/>
      <c r="BM48" s="136"/>
      <c r="BN48" s="136"/>
      <c r="BO48" s="136"/>
      <c r="BP48" s="10"/>
      <c r="BQ48" s="10"/>
      <c r="BR48" s="10"/>
      <c r="BS48" s="136"/>
      <c r="BT48" s="156" t="s">
        <v>646</v>
      </c>
      <c r="BU48" s="136"/>
      <c r="BV48" s="10"/>
      <c r="BW48" s="10"/>
      <c r="BX48" s="10"/>
      <c r="BY48" s="136"/>
      <c r="BZ48" s="136"/>
      <c r="CA48" s="136"/>
      <c r="CB48" s="136"/>
      <c r="CC48" s="136"/>
      <c r="CD48" s="10"/>
      <c r="CE48" s="10"/>
      <c r="CF48" s="10"/>
      <c r="CG48" s="136"/>
      <c r="CH48" s="156" t="s">
        <v>647</v>
      </c>
      <c r="CI48" s="136"/>
      <c r="CJ48" s="10"/>
      <c r="CK48" s="10"/>
      <c r="CL48" s="10"/>
      <c r="CM48" s="136"/>
      <c r="CN48" s="136"/>
      <c r="CO48" s="136"/>
      <c r="CP48" s="10"/>
      <c r="CQ48" s="10"/>
      <c r="CR48" s="10"/>
      <c r="CS48" s="136"/>
      <c r="CT48" s="136"/>
      <c r="CU48" s="136"/>
      <c r="CV48" s="10"/>
      <c r="CW48" s="10"/>
      <c r="CX48" s="10"/>
      <c r="CY48" s="136"/>
      <c r="CZ48" s="136"/>
      <c r="DA48" s="136"/>
      <c r="DB48" s="10"/>
      <c r="DC48" s="10"/>
      <c r="DD48" s="10"/>
      <c r="DE48" s="136"/>
      <c r="DF48" s="136"/>
      <c r="DG48" s="136"/>
      <c r="DH48" s="10"/>
      <c r="DI48" s="10"/>
      <c r="DJ48" s="10"/>
      <c r="DK48" s="136"/>
      <c r="DL48" s="136"/>
      <c r="DM48" s="136"/>
      <c r="DN48" s="10"/>
      <c r="DO48" s="10"/>
      <c r="DP48" s="10"/>
      <c r="DQ48" s="136"/>
      <c r="DR48" s="136"/>
      <c r="DS48" s="309" t="s">
        <v>648</v>
      </c>
      <c r="DT48" s="10"/>
      <c r="DU48" s="10"/>
      <c r="DV48" s="10"/>
      <c r="DW48" s="136"/>
      <c r="DX48" s="136"/>
      <c r="DY48" s="136"/>
      <c r="DZ48" s="10"/>
      <c r="EA48" s="10"/>
      <c r="EB48" s="10"/>
    </row>
    <row r="49" spans="1:133" s="12" customFormat="1" ht="12" customHeight="1">
      <c r="A49" s="62"/>
      <c r="B49" s="62"/>
      <c r="E49" s="62"/>
      <c r="F49" s="62"/>
      <c r="G49" s="136"/>
      <c r="H49" s="136"/>
      <c r="I49" s="10"/>
      <c r="J49" s="10"/>
      <c r="K49" s="136"/>
      <c r="L49" s="136"/>
      <c r="M49" s="136"/>
      <c r="N49" s="10"/>
      <c r="O49" s="10"/>
      <c r="P49" s="10"/>
      <c r="Q49" s="136"/>
      <c r="R49" s="136"/>
      <c r="S49" s="136"/>
      <c r="T49" s="10"/>
      <c r="U49" s="10"/>
      <c r="V49" s="10"/>
      <c r="W49" s="136"/>
      <c r="X49" s="136"/>
      <c r="Y49" s="136"/>
      <c r="Z49" s="10"/>
      <c r="AA49" s="10"/>
      <c r="AB49" s="10"/>
      <c r="AC49" s="136"/>
      <c r="AD49" s="136"/>
      <c r="AE49" s="136"/>
      <c r="AF49" s="10"/>
      <c r="AG49" s="10"/>
      <c r="AH49" s="10"/>
      <c r="AI49" s="136"/>
      <c r="AJ49" s="136"/>
      <c r="AK49" s="136"/>
      <c r="AL49" s="10"/>
      <c r="AM49" s="10"/>
      <c r="AN49" s="10"/>
      <c r="AO49" s="349" t="s">
        <v>553</v>
      </c>
      <c r="AP49" s="136"/>
      <c r="AQ49" s="136"/>
      <c r="AR49" s="10"/>
      <c r="AS49" s="10"/>
      <c r="AT49" s="10"/>
      <c r="AU49" s="136"/>
      <c r="AV49" s="136"/>
      <c r="AW49" s="136"/>
      <c r="AX49" s="10"/>
      <c r="AY49" s="10"/>
      <c r="AZ49" s="10"/>
      <c r="BA49" s="136"/>
      <c r="BB49" s="136"/>
      <c r="BC49" s="136"/>
      <c r="BD49" s="10"/>
      <c r="BE49" s="10"/>
      <c r="BF49" s="10"/>
      <c r="BG49" s="136"/>
      <c r="BH49" s="136"/>
      <c r="BI49" s="136"/>
      <c r="BJ49" s="10"/>
      <c r="BK49" s="10"/>
      <c r="BL49" s="10"/>
      <c r="BM49" s="136"/>
      <c r="BN49" s="136"/>
      <c r="BO49" s="136"/>
      <c r="BP49" s="10"/>
      <c r="BQ49" s="10"/>
      <c r="BR49" s="10"/>
      <c r="BS49" s="136"/>
      <c r="BT49" s="344" t="s">
        <v>649</v>
      </c>
      <c r="BU49" s="136"/>
      <c r="BV49" s="10"/>
      <c r="BW49" s="10"/>
      <c r="BX49" s="10"/>
      <c r="BY49" s="136"/>
      <c r="BZ49" s="136"/>
      <c r="CA49" s="136"/>
      <c r="CB49" s="136"/>
      <c r="CC49" s="136"/>
      <c r="CD49" s="10"/>
      <c r="CE49" s="10"/>
      <c r="CF49" s="10"/>
      <c r="CG49" s="136"/>
      <c r="CH49" s="309" t="s">
        <v>650</v>
      </c>
      <c r="CI49" s="136"/>
      <c r="CJ49" s="10"/>
      <c r="CK49" s="10"/>
      <c r="CL49" s="10"/>
      <c r="CM49" s="136"/>
      <c r="CN49" s="136"/>
      <c r="CO49" s="136"/>
      <c r="CP49" s="10"/>
      <c r="CQ49" s="10"/>
      <c r="CR49" s="10"/>
      <c r="CS49" s="136"/>
      <c r="CT49" s="136"/>
      <c r="CU49" s="136"/>
      <c r="CV49" s="10"/>
      <c r="CW49" s="10"/>
      <c r="CX49" s="10"/>
      <c r="CY49" s="136"/>
      <c r="CZ49" s="136"/>
      <c r="DA49" s="136"/>
      <c r="DB49" s="10"/>
      <c r="DC49" s="10"/>
      <c r="DD49" s="10"/>
      <c r="DE49" s="136"/>
      <c r="DF49" s="136"/>
      <c r="DG49" s="136"/>
      <c r="DH49" s="10"/>
      <c r="DI49" s="10"/>
      <c r="DJ49" s="10"/>
      <c r="DK49" s="136"/>
      <c r="DL49" s="136"/>
      <c r="DM49" s="136"/>
      <c r="DN49" s="10"/>
      <c r="DO49" s="10"/>
      <c r="DP49" s="10"/>
      <c r="DQ49" s="136"/>
      <c r="DR49" s="136"/>
      <c r="DS49" s="349" t="s">
        <v>651</v>
      </c>
      <c r="DT49" s="10"/>
      <c r="DU49" s="10"/>
      <c r="DV49" s="10"/>
      <c r="DW49" s="136"/>
      <c r="DX49" s="136"/>
      <c r="DY49" s="136"/>
      <c r="DZ49" s="10"/>
      <c r="EA49" s="10"/>
      <c r="EB49" s="10"/>
    </row>
    <row r="50" spans="1:133" s="12" customFormat="1" ht="12" customHeight="1">
      <c r="A50" s="62"/>
      <c r="B50" s="62"/>
      <c r="E50" s="62"/>
      <c r="F50" s="62"/>
      <c r="G50" s="136"/>
      <c r="H50" s="136"/>
      <c r="I50" s="10"/>
      <c r="J50" s="10"/>
      <c r="K50" s="136"/>
      <c r="L50" s="136"/>
      <c r="M50" s="136"/>
      <c r="N50" s="10"/>
      <c r="O50" s="10"/>
      <c r="P50" s="10"/>
      <c r="Q50" s="136"/>
      <c r="R50" s="136"/>
      <c r="S50" s="136"/>
      <c r="T50" s="10"/>
      <c r="U50" s="10"/>
      <c r="V50" s="10"/>
      <c r="W50" s="136"/>
      <c r="X50" s="136"/>
      <c r="Y50" s="136"/>
      <c r="Z50" s="10"/>
      <c r="AA50" s="10"/>
      <c r="AB50" s="10"/>
      <c r="AC50" s="136"/>
      <c r="AD50" s="136"/>
      <c r="AE50" s="136"/>
      <c r="AF50" s="10"/>
      <c r="AG50" s="10"/>
      <c r="AH50" s="10"/>
      <c r="AI50" s="136"/>
      <c r="AJ50" s="136"/>
      <c r="AK50" s="136"/>
      <c r="AL50" s="10"/>
      <c r="AM50" s="10"/>
      <c r="AN50" s="10"/>
      <c r="AO50" s="136"/>
      <c r="AP50" s="136"/>
      <c r="AQ50" s="136"/>
      <c r="AR50" s="10"/>
      <c r="AS50" s="10"/>
      <c r="AT50" s="10"/>
      <c r="AU50" s="136"/>
      <c r="AV50" s="136"/>
      <c r="AW50" s="136"/>
      <c r="AX50" s="10"/>
      <c r="AY50" s="10"/>
      <c r="AZ50" s="10"/>
      <c r="BA50" s="136"/>
      <c r="BB50" s="136"/>
      <c r="BC50" s="136"/>
      <c r="BD50" s="10"/>
      <c r="BE50" s="10"/>
      <c r="BF50" s="10"/>
      <c r="BG50" s="136"/>
      <c r="BH50" s="136"/>
      <c r="BI50" s="136"/>
      <c r="BJ50" s="10"/>
      <c r="BK50" s="10"/>
      <c r="BL50" s="10"/>
      <c r="BM50" s="136"/>
      <c r="BN50" s="136"/>
      <c r="BO50" s="136"/>
      <c r="BP50" s="10"/>
      <c r="BQ50" s="10"/>
      <c r="BR50" s="10"/>
      <c r="BS50" s="136"/>
      <c r="BT50" s="309" t="s">
        <v>652</v>
      </c>
      <c r="BU50" s="136"/>
      <c r="BV50" s="10"/>
      <c r="BW50" s="10"/>
      <c r="BX50" s="10"/>
      <c r="BY50" s="136"/>
      <c r="BZ50" s="136"/>
      <c r="CA50" s="136"/>
      <c r="CB50" s="136"/>
      <c r="CC50" s="136"/>
      <c r="CD50" s="10"/>
      <c r="CE50" s="10"/>
      <c r="CF50" s="10"/>
      <c r="CG50" s="136"/>
      <c r="CH50" s="349" t="s">
        <v>653</v>
      </c>
      <c r="CI50" s="136"/>
      <c r="CJ50" s="10"/>
      <c r="CK50" s="10"/>
      <c r="CL50" s="10"/>
      <c r="CM50" s="136"/>
      <c r="CN50" s="136"/>
      <c r="CO50" s="136"/>
      <c r="CP50" s="10"/>
      <c r="CQ50" s="10"/>
      <c r="CR50" s="10"/>
      <c r="CS50" s="136"/>
      <c r="CT50" s="136"/>
      <c r="CU50" s="136"/>
      <c r="CV50" s="10"/>
      <c r="CW50" s="10"/>
      <c r="CX50" s="10"/>
      <c r="CY50" s="136"/>
      <c r="CZ50" s="136"/>
      <c r="DA50" s="136"/>
      <c r="DB50" s="10"/>
      <c r="DC50" s="10"/>
      <c r="DD50" s="10"/>
      <c r="DE50" s="136"/>
      <c r="DF50" s="136"/>
      <c r="DG50" s="136"/>
      <c r="DH50" s="10"/>
      <c r="DI50" s="10"/>
      <c r="DJ50" s="10"/>
      <c r="DK50" s="136"/>
      <c r="DL50" s="136"/>
      <c r="DM50" s="136"/>
      <c r="DN50" s="10"/>
      <c r="DO50" s="10"/>
      <c r="DP50" s="10"/>
      <c r="DQ50" s="136"/>
      <c r="DR50" s="373" t="s">
        <v>654</v>
      </c>
      <c r="DS50" s="136"/>
      <c r="DT50" s="10"/>
      <c r="DU50" s="10"/>
      <c r="DV50" s="10"/>
      <c r="DW50" s="136"/>
      <c r="DX50" s="136"/>
      <c r="DY50" s="136"/>
      <c r="DZ50" s="10"/>
      <c r="EA50" s="10"/>
      <c r="EB50" s="10"/>
    </row>
    <row r="51" spans="1:133" s="12" customFormat="1" ht="12" customHeight="1">
      <c r="A51" s="62"/>
      <c r="B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77"/>
      <c r="U51" s="77"/>
      <c r="V51" s="77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150" t="s">
        <v>655</v>
      </c>
      <c r="CK51" s="62"/>
      <c r="CL51" s="62"/>
      <c r="CQ51" s="62"/>
      <c r="CR51" s="62"/>
      <c r="CS51" s="62"/>
      <c r="CT51" s="62"/>
      <c r="CU51" s="62"/>
      <c r="CV51"/>
      <c r="CW51" s="62"/>
      <c r="CX51" s="62"/>
      <c r="CY51"/>
      <c r="CZ51"/>
      <c r="DA51"/>
      <c r="DB51"/>
      <c r="DC51" s="62"/>
      <c r="DD51" s="62"/>
      <c r="DE51"/>
      <c r="DF51"/>
      <c r="DG51"/>
      <c r="DH51"/>
      <c r="DI51" s="62"/>
      <c r="DJ51" s="62"/>
      <c r="DK51"/>
      <c r="DL51"/>
      <c r="DM51"/>
      <c r="DN51"/>
      <c r="DO51" s="62"/>
      <c r="DP51" s="62"/>
      <c r="DQ51"/>
      <c r="DS51"/>
      <c r="DT51"/>
      <c r="DU51" s="62"/>
      <c r="DV51" s="62"/>
      <c r="DW51"/>
      <c r="DX51"/>
      <c r="DY51"/>
      <c r="DZ51"/>
      <c r="EA51" s="62"/>
      <c r="EB51" s="62"/>
    </row>
    <row r="52" spans="1:133" s="12" customFormat="1" ht="12" customHeight="1">
      <c r="A52" s="62"/>
      <c r="B52" s="62"/>
      <c r="E52" s="62"/>
      <c r="F52" s="62"/>
      <c r="G52" s="136"/>
      <c r="H52" s="136"/>
      <c r="I52" s="10"/>
      <c r="J52" s="168"/>
      <c r="K52" s="136"/>
      <c r="L52" s="136"/>
      <c r="M52" s="136"/>
      <c r="N52" s="10"/>
      <c r="O52" s="168"/>
      <c r="P52" s="168"/>
      <c r="Q52" s="136"/>
      <c r="R52" s="136"/>
      <c r="S52" s="136"/>
      <c r="T52" s="10"/>
      <c r="U52" s="168"/>
      <c r="V52" s="168"/>
      <c r="W52" s="136"/>
      <c r="X52" s="136"/>
      <c r="Y52" s="136"/>
      <c r="Z52" s="10"/>
      <c r="AA52" s="10"/>
      <c r="AB52" s="10"/>
      <c r="AC52" s="136"/>
      <c r="AD52" s="136"/>
      <c r="AE52" s="136"/>
      <c r="AF52" s="10"/>
      <c r="AG52" s="10"/>
      <c r="AH52" s="10"/>
      <c r="AI52" s="136"/>
      <c r="AJ52" s="136"/>
      <c r="AK52" s="136"/>
      <c r="AL52" s="10"/>
      <c r="AM52" s="10"/>
      <c r="AN52" s="10"/>
      <c r="AO52" s="136"/>
      <c r="AP52" s="309" t="s">
        <v>571</v>
      </c>
      <c r="AQ52" s="136"/>
      <c r="AR52" s="10"/>
      <c r="AS52" s="10"/>
      <c r="AT52" s="10"/>
      <c r="AU52" s="136"/>
      <c r="AV52" s="136"/>
      <c r="AW52" s="136"/>
      <c r="AX52" s="10"/>
      <c r="AY52" s="10"/>
      <c r="AZ52" s="10"/>
      <c r="BA52" s="136"/>
      <c r="BB52" s="136"/>
      <c r="BC52" s="136"/>
      <c r="BD52" s="10"/>
      <c r="BE52" s="10"/>
      <c r="BF52" s="10"/>
      <c r="BG52" s="136"/>
      <c r="BH52" s="136"/>
      <c r="BI52" s="136"/>
      <c r="BJ52" s="10"/>
      <c r="BK52" s="10"/>
      <c r="BL52" s="10"/>
      <c r="BM52" s="136"/>
      <c r="BN52" s="259"/>
      <c r="BO52" s="136"/>
      <c r="BP52" s="10"/>
      <c r="BQ52" s="10"/>
      <c r="BR52" s="10"/>
      <c r="BS52" s="136"/>
      <c r="BT52" s="136"/>
      <c r="BU52" s="136"/>
      <c r="BV52" s="10"/>
      <c r="BW52" s="10"/>
      <c r="BX52" s="10"/>
      <c r="BY52" s="136"/>
      <c r="BZ52" s="136"/>
      <c r="CA52" s="136"/>
      <c r="CB52" s="136"/>
      <c r="CC52" s="136"/>
      <c r="CD52" s="10"/>
      <c r="CE52" s="10"/>
      <c r="CF52" s="10"/>
      <c r="CG52" s="136"/>
      <c r="CH52" s="364" t="s">
        <v>656</v>
      </c>
      <c r="CI52" s="136"/>
      <c r="CJ52" s="10"/>
      <c r="CK52" s="10"/>
      <c r="CL52" s="10"/>
      <c r="CM52" s="136"/>
      <c r="CN52" s="136"/>
      <c r="CO52" s="136"/>
      <c r="CP52" s="10"/>
      <c r="CQ52" s="10"/>
      <c r="CR52" s="10"/>
      <c r="CS52" s="136"/>
      <c r="CT52" s="136"/>
      <c r="CU52" s="136"/>
      <c r="CV52" s="10"/>
      <c r="CW52" s="10"/>
      <c r="CX52" s="10"/>
      <c r="CY52" s="136"/>
      <c r="CZ52" s="136"/>
      <c r="DA52" s="136"/>
      <c r="DB52" s="10"/>
      <c r="DC52" s="10"/>
      <c r="DD52" s="10"/>
      <c r="DE52" s="136"/>
      <c r="DF52" s="136"/>
      <c r="DG52" s="136"/>
      <c r="DH52" s="10"/>
      <c r="DI52" s="10"/>
      <c r="DJ52" s="10"/>
      <c r="DK52" s="136"/>
      <c r="DL52" s="136"/>
      <c r="DM52" s="136"/>
      <c r="DN52" s="10"/>
      <c r="DO52" s="10"/>
      <c r="DP52" s="10"/>
      <c r="DQ52" s="136"/>
      <c r="DS52" s="136"/>
      <c r="DT52" s="10"/>
      <c r="DU52" s="10"/>
      <c r="DV52" s="10"/>
      <c r="DW52" s="136"/>
      <c r="DX52" s="136"/>
      <c r="DY52" s="136"/>
      <c r="DZ52" s="10"/>
      <c r="EA52" s="10"/>
      <c r="EB52" s="10"/>
    </row>
    <row r="53" spans="1:133" customFormat="1" ht="12" customHeight="1"/>
    <row r="54" spans="1:133" ht="12.95" customHeight="1">
      <c r="A54" s="12"/>
      <c r="B54" s="12"/>
      <c r="C54" s="12"/>
      <c r="D54" s="353" t="s">
        <v>322</v>
      </c>
      <c r="E54" s="12"/>
      <c r="F54" s="351"/>
      <c r="G54" s="351" t="s">
        <v>323</v>
      </c>
      <c r="I54" s="414">
        <v>4.0000000000000001E-3</v>
      </c>
      <c r="J54" s="10"/>
      <c r="K54" s="10"/>
      <c r="L54" s="10"/>
      <c r="M54" s="356">
        <v>0.78769999999999996</v>
      </c>
      <c r="N54" s="413">
        <v>5.5500000000000001E-2</v>
      </c>
      <c r="O54" s="10"/>
      <c r="P54" s="383">
        <v>5.5399999999999998E-2</v>
      </c>
      <c r="Q54" s="10"/>
      <c r="R54" s="10"/>
      <c r="S54" s="414">
        <v>1.8700000000000001E-2</v>
      </c>
      <c r="T54" s="414">
        <v>1.9599999999999999E-2</v>
      </c>
      <c r="U54" s="10"/>
      <c r="V54" s="384">
        <v>1.9599999999999999E-2</v>
      </c>
      <c r="W54" s="10"/>
      <c r="X54" s="10"/>
      <c r="Y54" s="356" t="s">
        <v>324</v>
      </c>
      <c r="Z54" s="413">
        <v>8.7900000000000006E-2</v>
      </c>
      <c r="AA54" s="10"/>
      <c r="AB54" s="383">
        <v>8.77E-2</v>
      </c>
      <c r="AC54" s="10"/>
      <c r="AD54" s="10"/>
      <c r="AE54" s="356" t="s">
        <v>324</v>
      </c>
      <c r="AF54" s="356">
        <v>0.12690000000000001</v>
      </c>
      <c r="AG54" s="10"/>
      <c r="AH54" s="10">
        <v>0.12690000000000001</v>
      </c>
      <c r="AI54" s="10"/>
      <c r="AJ54" s="10"/>
      <c r="AK54" s="356" t="s">
        <v>324</v>
      </c>
      <c r="AL54" s="356">
        <v>0.19189999999999999</v>
      </c>
      <c r="AM54" s="10"/>
      <c r="AN54" s="10">
        <v>0.192</v>
      </c>
      <c r="AO54" s="10"/>
      <c r="AP54" s="10"/>
      <c r="AQ54" s="356" t="s">
        <v>324</v>
      </c>
      <c r="AR54" s="356">
        <v>0.19040000000000001</v>
      </c>
      <c r="AS54" s="10"/>
      <c r="AT54" s="10">
        <v>0.1905</v>
      </c>
      <c r="AU54" s="10"/>
      <c r="AV54" s="10"/>
      <c r="AW54" s="356">
        <v>0.15029999999999999</v>
      </c>
      <c r="AX54" s="413">
        <v>5.8999999999999997E-2</v>
      </c>
      <c r="AY54" s="10"/>
      <c r="AZ54" s="383">
        <v>5.8999999999999997E-2</v>
      </c>
      <c r="BA54" s="10"/>
      <c r="BB54" s="10"/>
      <c r="BC54" s="356">
        <v>0.75009999999999999</v>
      </c>
      <c r="BD54" s="356">
        <v>0.1953</v>
      </c>
      <c r="BE54" s="10"/>
      <c r="BF54" s="10">
        <v>0.19520000000000001</v>
      </c>
      <c r="BG54" s="10"/>
      <c r="BH54" s="10"/>
      <c r="BI54" s="356" t="s">
        <v>324</v>
      </c>
      <c r="BJ54" s="356">
        <v>0.22289999999999999</v>
      </c>
      <c r="BK54" s="10"/>
      <c r="BL54" s="10">
        <v>0.22270000000000001</v>
      </c>
      <c r="BM54" s="10"/>
      <c r="BN54" s="10"/>
      <c r="BO54" s="356">
        <v>0.28070000000000001</v>
      </c>
      <c r="BP54" s="356">
        <v>0.61270000000000002</v>
      </c>
      <c r="BQ54" s="10"/>
      <c r="BR54" s="10">
        <v>0.61260000000000003</v>
      </c>
      <c r="BS54" s="10"/>
      <c r="BT54" s="10"/>
      <c r="BU54" s="356">
        <v>0.18099999999999999</v>
      </c>
      <c r="BV54" s="356" t="s">
        <v>324</v>
      </c>
      <c r="BW54" s="10"/>
      <c r="BX54" s="10" t="s">
        <v>324</v>
      </c>
      <c r="BY54" s="10"/>
      <c r="BZ54" s="10"/>
      <c r="CA54" s="356"/>
      <c r="CB54" s="10"/>
      <c r="CC54" s="414">
        <v>1.3899999999999999E-2</v>
      </c>
      <c r="CD54" s="10" t="s">
        <v>324</v>
      </c>
      <c r="CE54" s="10"/>
      <c r="CF54" s="10" t="s">
        <v>324</v>
      </c>
      <c r="CG54" s="10"/>
      <c r="CH54" s="10"/>
      <c r="CI54" s="356">
        <v>0.30020000000000002</v>
      </c>
      <c r="CJ54" s="356" t="s">
        <v>324</v>
      </c>
      <c r="CK54" s="10"/>
      <c r="CL54" s="10" t="s">
        <v>324</v>
      </c>
      <c r="CM54" s="10"/>
      <c r="CN54" s="10"/>
      <c r="CO54" s="356">
        <v>0.1348</v>
      </c>
      <c r="CP54" s="356" t="s">
        <v>324</v>
      </c>
      <c r="CQ54" s="10"/>
      <c r="CR54" s="10" t="s">
        <v>324</v>
      </c>
      <c r="CS54" s="10"/>
      <c r="CT54" s="10"/>
      <c r="CU54" s="356">
        <v>0.8841</v>
      </c>
      <c r="CV54" s="356" t="s">
        <v>324</v>
      </c>
      <c r="CW54" s="10"/>
      <c r="CX54" s="10" t="s">
        <v>324</v>
      </c>
      <c r="CY54" s="10"/>
      <c r="CZ54" s="10"/>
      <c r="DA54" s="356" t="s">
        <v>324</v>
      </c>
      <c r="DB54" s="356" t="s">
        <v>324</v>
      </c>
      <c r="DC54" s="10"/>
      <c r="DD54" s="10" t="s">
        <v>324</v>
      </c>
      <c r="DE54" s="10"/>
      <c r="DF54" s="10"/>
      <c r="DG54" s="356" t="s">
        <v>324</v>
      </c>
      <c r="DH54" s="356" t="s">
        <v>324</v>
      </c>
      <c r="DI54" s="10"/>
      <c r="DJ54" s="10" t="s">
        <v>324</v>
      </c>
      <c r="DK54" s="10"/>
      <c r="DL54" s="10"/>
      <c r="DM54" s="414">
        <v>1.52E-2</v>
      </c>
      <c r="DN54" s="356" t="s">
        <v>324</v>
      </c>
      <c r="DO54" s="10"/>
      <c r="DP54" s="10" t="s">
        <v>324</v>
      </c>
      <c r="DQ54" s="10"/>
      <c r="DR54" s="10"/>
      <c r="DS54" s="356">
        <v>0.20200000000000001</v>
      </c>
      <c r="DT54" s="356" t="s">
        <v>324</v>
      </c>
      <c r="DU54" s="10"/>
      <c r="DV54" s="10">
        <v>0.99690000000000001</v>
      </c>
      <c r="DW54" s="10"/>
      <c r="DX54" s="10"/>
      <c r="DY54" s="356">
        <v>0.8871</v>
      </c>
      <c r="DZ54" s="356">
        <v>0.96740000000000004</v>
      </c>
      <c r="EA54" s="10"/>
      <c r="EB54" s="10">
        <v>0.90720000000000001</v>
      </c>
      <c r="EC54" s="356"/>
    </row>
    <row r="55" spans="1:133">
      <c r="A55" s="12"/>
      <c r="B55" s="12"/>
      <c r="C55" s="12"/>
      <c r="D55" s="353"/>
      <c r="E55" s="12"/>
      <c r="F55" s="351"/>
      <c r="G55" s="62" t="s">
        <v>326</v>
      </c>
      <c r="I55" s="414">
        <v>2.7000000000000001E-3</v>
      </c>
      <c r="J55" s="356"/>
      <c r="K55" s="10"/>
      <c r="L55" s="10"/>
      <c r="M55" s="356">
        <v>0.18690000000000001</v>
      </c>
      <c r="N55" s="414">
        <v>1.43E-2</v>
      </c>
      <c r="O55" s="10"/>
      <c r="P55" s="384">
        <v>1.44E-2</v>
      </c>
      <c r="Q55" s="10"/>
      <c r="R55" s="10"/>
      <c r="S55" s="356" t="s">
        <v>324</v>
      </c>
      <c r="T55" s="356">
        <v>0.12039999999999999</v>
      </c>
      <c r="U55" s="10"/>
      <c r="V55" s="10">
        <v>0.1207</v>
      </c>
      <c r="W55" s="10"/>
      <c r="X55" s="10"/>
      <c r="Y55" s="356">
        <v>0.92549999999999999</v>
      </c>
      <c r="Z55" s="356">
        <v>0.19170000000000001</v>
      </c>
      <c r="AA55" s="10"/>
      <c r="AB55" s="10">
        <v>0.1918</v>
      </c>
      <c r="AC55" s="10"/>
      <c r="AD55" s="10"/>
      <c r="AE55" s="356" t="s">
        <v>324</v>
      </c>
      <c r="AF55" s="356">
        <v>0.44069999999999998</v>
      </c>
      <c r="AG55" s="10"/>
      <c r="AH55" s="10">
        <v>0.441</v>
      </c>
      <c r="AI55" s="10"/>
      <c r="AJ55" s="10"/>
      <c r="AK55" s="356" t="s">
        <v>324</v>
      </c>
      <c r="AL55" s="356">
        <v>0.5645</v>
      </c>
      <c r="AM55" s="10"/>
      <c r="AN55" s="10">
        <v>0.56459999999999999</v>
      </c>
      <c r="AO55" s="10"/>
      <c r="AP55" s="10"/>
      <c r="AQ55" s="356">
        <v>0.2001</v>
      </c>
      <c r="AR55" s="356">
        <v>0.31119999999999998</v>
      </c>
      <c r="AS55" s="10"/>
      <c r="AT55" s="10">
        <v>0.31109999999999999</v>
      </c>
      <c r="AU55" s="10"/>
      <c r="AV55" s="10"/>
      <c r="AW55" s="356" t="s">
        <v>324</v>
      </c>
      <c r="AX55" s="356">
        <v>0.25669999999999998</v>
      </c>
      <c r="AY55" s="10"/>
      <c r="AZ55" s="10">
        <v>0.25679999999999997</v>
      </c>
      <c r="BA55" s="10"/>
      <c r="BB55" s="10"/>
      <c r="BC55" s="414">
        <v>3.9E-2</v>
      </c>
      <c r="BD55" s="356">
        <v>0.151</v>
      </c>
      <c r="BE55" s="10"/>
      <c r="BF55" s="10">
        <v>0.15079999999999999</v>
      </c>
      <c r="BG55" s="10"/>
      <c r="BH55" s="10"/>
      <c r="BI55" s="414">
        <v>1.6999999999999999E-3</v>
      </c>
      <c r="BJ55" s="413">
        <v>7.0099999999999996E-2</v>
      </c>
      <c r="BK55" s="10"/>
      <c r="BL55" s="383">
        <v>7.0099999999999996E-2</v>
      </c>
      <c r="BM55" s="10"/>
      <c r="BN55" s="10"/>
      <c r="BO55" s="413">
        <v>6.7799999999999999E-2</v>
      </c>
      <c r="BP55" s="414">
        <v>4.9399999999999999E-2</v>
      </c>
      <c r="BQ55" s="10"/>
      <c r="BR55" s="384">
        <v>4.9500000000000002E-2</v>
      </c>
      <c r="BS55" s="10"/>
      <c r="BT55" s="10"/>
      <c r="BU55" s="414">
        <v>2.7799999999999998E-2</v>
      </c>
      <c r="BV55" s="414">
        <v>3.5999999999999997E-2</v>
      </c>
      <c r="BW55" s="10"/>
      <c r="BX55" s="384">
        <v>3.5999999999999997E-2</v>
      </c>
      <c r="BY55" s="10"/>
      <c r="BZ55" s="10"/>
      <c r="CA55" s="356"/>
      <c r="CB55" s="10"/>
      <c r="CC55" s="413">
        <v>6.0299999999999999E-2</v>
      </c>
      <c r="CD55" s="384">
        <v>8.5000000000000006E-3</v>
      </c>
      <c r="CE55" s="10"/>
      <c r="CF55" s="384">
        <v>8.3000000000000001E-3</v>
      </c>
      <c r="CG55" s="10"/>
      <c r="CH55" s="10"/>
      <c r="CI55" s="356">
        <v>0.1726</v>
      </c>
      <c r="CJ55" s="414">
        <v>8.9999999999999993E-3</v>
      </c>
      <c r="CK55" s="10"/>
      <c r="CL55" s="384">
        <v>8.9999999999999993E-3</v>
      </c>
      <c r="CM55" s="10"/>
      <c r="CN55" s="10"/>
      <c r="CO55" s="414">
        <v>0.02</v>
      </c>
      <c r="CP55" s="414">
        <v>5.0000000000000001E-3</v>
      </c>
      <c r="CQ55" s="10"/>
      <c r="CR55" s="384">
        <v>4.8999999999999998E-3</v>
      </c>
      <c r="CS55" s="10"/>
      <c r="CT55" s="10"/>
      <c r="CU55" s="356" t="s">
        <v>324</v>
      </c>
      <c r="CV55" s="414">
        <v>5.8999999999999999E-3</v>
      </c>
      <c r="CW55" s="10"/>
      <c r="CX55" s="384">
        <v>5.7999999999999996E-3</v>
      </c>
      <c r="CY55" s="10"/>
      <c r="CZ55" s="10"/>
      <c r="DA55" s="356">
        <v>0.44030000000000002</v>
      </c>
      <c r="DB55" s="414">
        <v>6.7000000000000002E-3</v>
      </c>
      <c r="DC55" s="10"/>
      <c r="DD55" s="384">
        <v>6.6E-3</v>
      </c>
      <c r="DE55" s="10"/>
      <c r="DF55" s="10"/>
      <c r="DG55" s="356">
        <v>0.25619999999999998</v>
      </c>
      <c r="DH55" s="414">
        <v>5.5999999999999999E-3</v>
      </c>
      <c r="DI55" s="10"/>
      <c r="DJ55" s="384">
        <v>5.5999999999999999E-3</v>
      </c>
      <c r="DK55" s="10"/>
      <c r="DL55" s="10"/>
      <c r="DM55" s="414">
        <v>8.0000000000000004E-4</v>
      </c>
      <c r="DN55" s="414">
        <v>2.3E-3</v>
      </c>
      <c r="DO55" s="10"/>
      <c r="DP55" s="384">
        <v>2.3E-3</v>
      </c>
      <c r="DQ55" s="10"/>
      <c r="DR55" s="10"/>
      <c r="DS55" s="356">
        <v>0.70960000000000001</v>
      </c>
      <c r="DT55" s="414">
        <v>2.8E-3</v>
      </c>
      <c r="DU55" s="10"/>
      <c r="DV55" s="384">
        <v>2.7000000000000001E-3</v>
      </c>
      <c r="DW55" s="10"/>
      <c r="DX55" s="10"/>
      <c r="DY55" s="356" t="s">
        <v>324</v>
      </c>
      <c r="DZ55" s="414">
        <v>3.5999999999999999E-3</v>
      </c>
      <c r="EA55" s="10"/>
      <c r="EB55" s="384">
        <v>3.5999999999999999E-3</v>
      </c>
      <c r="EC55" s="356"/>
    </row>
    <row r="56" spans="1:133">
      <c r="A56" s="12"/>
      <c r="B56" s="12"/>
      <c r="C56" s="12"/>
      <c r="D56" s="12"/>
      <c r="E56" s="12"/>
      <c r="F56" s="351"/>
      <c r="G56" s="351" t="s">
        <v>328</v>
      </c>
      <c r="H56" s="10"/>
      <c r="I56" s="414" t="s">
        <v>327</v>
      </c>
      <c r="J56" s="10"/>
      <c r="K56" s="10"/>
      <c r="L56" s="10"/>
      <c r="M56" s="414">
        <v>1.7100000000000001E-2</v>
      </c>
      <c r="N56" s="414" t="s">
        <v>327</v>
      </c>
      <c r="O56" s="10"/>
      <c r="P56" s="384" t="s">
        <v>327</v>
      </c>
      <c r="Q56" s="10"/>
      <c r="R56" s="10"/>
      <c r="S56" s="414">
        <v>3.1099999999999999E-2</v>
      </c>
      <c r="T56" s="414">
        <v>1E-4</v>
      </c>
      <c r="U56" s="10"/>
      <c r="V56" s="384">
        <v>1E-4</v>
      </c>
      <c r="W56" s="10"/>
      <c r="X56" s="10"/>
      <c r="Y56" s="356">
        <v>0.64980000000000004</v>
      </c>
      <c r="Z56" s="414">
        <v>1E-3</v>
      </c>
      <c r="AA56" s="10"/>
      <c r="AB56" s="384">
        <v>1E-3</v>
      </c>
      <c r="AC56" s="10"/>
      <c r="AD56" s="10"/>
      <c r="AE56" s="356" t="s">
        <v>324</v>
      </c>
      <c r="AF56" s="414">
        <v>4.4999999999999997E-3</v>
      </c>
      <c r="AG56" s="10"/>
      <c r="AH56" s="384">
        <v>4.4999999999999997E-3</v>
      </c>
      <c r="AI56" s="10"/>
      <c r="AJ56" s="10"/>
      <c r="AK56" s="356" t="s">
        <v>324</v>
      </c>
      <c r="AL56" s="414">
        <v>1.03E-2</v>
      </c>
      <c r="AM56" s="10"/>
      <c r="AN56" s="384">
        <v>1.03E-2</v>
      </c>
      <c r="AO56" s="10"/>
      <c r="AP56" s="10"/>
      <c r="AQ56" s="413">
        <v>9.5500000000000002E-2</v>
      </c>
      <c r="AR56" s="414">
        <v>4.5999999999999999E-3</v>
      </c>
      <c r="AS56" s="10"/>
      <c r="AT56" s="384">
        <v>4.5999999999999999E-3</v>
      </c>
      <c r="AU56" s="10"/>
      <c r="AV56" s="10"/>
      <c r="AW56" s="414">
        <v>3.5200000000000002E-2</v>
      </c>
      <c r="AX56" s="414">
        <v>8.9999999999999998E-4</v>
      </c>
      <c r="AY56" s="10"/>
      <c r="AZ56" s="384">
        <v>8.9999999999999998E-4</v>
      </c>
      <c r="BA56" s="10"/>
      <c r="BB56" s="10"/>
      <c r="BC56" s="356">
        <v>0.49659999999999999</v>
      </c>
      <c r="BD56" s="414">
        <v>2E-3</v>
      </c>
      <c r="BE56" s="10"/>
      <c r="BF56" s="384">
        <v>2E-3</v>
      </c>
      <c r="BG56" s="10"/>
      <c r="BH56" s="10"/>
      <c r="BI56" s="414">
        <v>6.9999999999999999E-4</v>
      </c>
      <c r="BJ56" s="414">
        <v>1E-3</v>
      </c>
      <c r="BK56" s="10"/>
      <c r="BL56" s="384">
        <v>1E-3</v>
      </c>
      <c r="BM56" s="10"/>
      <c r="BN56" s="10"/>
      <c r="BO56" s="356" t="s">
        <v>324</v>
      </c>
      <c r="BP56" s="414">
        <v>2.7000000000000001E-3</v>
      </c>
      <c r="BQ56" s="10"/>
      <c r="BR56" s="384">
        <v>2.7000000000000001E-3</v>
      </c>
      <c r="BS56" s="10"/>
      <c r="BT56" s="10"/>
      <c r="BU56" s="356" t="s">
        <v>324</v>
      </c>
      <c r="BV56" s="414">
        <v>5.8999999999999999E-3</v>
      </c>
      <c r="BW56" s="10"/>
      <c r="BX56" s="384">
        <v>5.8999999999999999E-3</v>
      </c>
      <c r="BY56" s="10"/>
      <c r="BZ56" s="10"/>
      <c r="CA56" s="356"/>
      <c r="CB56" s="10"/>
      <c r="CC56" s="356" t="s">
        <v>324</v>
      </c>
      <c r="CD56" s="384">
        <v>1.1900000000000001E-2</v>
      </c>
      <c r="CE56" s="10"/>
      <c r="CF56" s="384">
        <v>1.38E-2</v>
      </c>
      <c r="CG56" s="10"/>
      <c r="CH56" s="10"/>
      <c r="CI56" s="356" t="s">
        <v>324</v>
      </c>
      <c r="CJ56" s="414">
        <v>2.6100000000000002E-2</v>
      </c>
      <c r="CK56" s="10"/>
      <c r="CL56" s="384">
        <v>2.9899999999999999E-2</v>
      </c>
      <c r="CM56" s="10"/>
      <c r="CN56" s="10"/>
      <c r="CO56" s="356" t="s">
        <v>324</v>
      </c>
      <c r="CP56" s="414">
        <v>2.2800000000000001E-2</v>
      </c>
      <c r="CQ56" s="10"/>
      <c r="CR56" s="384">
        <v>2.6100000000000002E-2</v>
      </c>
      <c r="CS56" s="10"/>
      <c r="CT56" s="10"/>
      <c r="CU56" s="356">
        <v>0.1663</v>
      </c>
      <c r="CV56" s="414">
        <v>1.9199999999999998E-2</v>
      </c>
      <c r="CW56" s="10"/>
      <c r="CX56" s="384">
        <v>2.18E-2</v>
      </c>
      <c r="CY56" s="10"/>
      <c r="CZ56" s="10"/>
      <c r="DA56" s="356" t="s">
        <v>324</v>
      </c>
      <c r="DB56" s="414">
        <v>2.35E-2</v>
      </c>
      <c r="DC56" s="10"/>
      <c r="DD56" s="384">
        <v>2.6499999999999999E-2</v>
      </c>
      <c r="DE56" s="10"/>
      <c r="DF56" s="10"/>
      <c r="DG56" s="356">
        <v>0.54410000000000003</v>
      </c>
      <c r="DH56" s="414">
        <v>2.1299999999999999E-2</v>
      </c>
      <c r="DI56" s="10"/>
      <c r="DJ56" s="384">
        <v>2.4E-2</v>
      </c>
      <c r="DK56" s="10"/>
      <c r="DL56" s="10"/>
      <c r="DM56" s="356">
        <v>0.8508</v>
      </c>
      <c r="DN56" s="414">
        <v>2.12E-2</v>
      </c>
      <c r="DO56" s="10"/>
      <c r="DP56" s="384">
        <v>2.3699999999999999E-2</v>
      </c>
      <c r="DQ56" s="10"/>
      <c r="DR56" s="10"/>
      <c r="DS56" s="356" t="s">
        <v>324</v>
      </c>
      <c r="DT56" s="414">
        <v>3.4700000000000002E-2</v>
      </c>
      <c r="DU56" s="10"/>
      <c r="DV56" s="384">
        <v>3.8300000000000001E-2</v>
      </c>
      <c r="DW56" s="10"/>
      <c r="DX56" s="10"/>
      <c r="DY56" s="356" t="s">
        <v>324</v>
      </c>
      <c r="DZ56" s="413">
        <v>5.1700000000000003E-2</v>
      </c>
      <c r="EA56" s="10"/>
      <c r="EB56" s="383">
        <v>5.7000000000000002E-2</v>
      </c>
      <c r="EC56" s="356"/>
    </row>
    <row r="57" spans="1:133" customFormat="1" ht="12" customHeight="1"/>
    <row r="58" spans="1:133" s="266" customFormat="1">
      <c r="A58" s="262" t="s">
        <v>407</v>
      </c>
      <c r="B58" s="263" t="s">
        <v>408</v>
      </c>
      <c r="C58" s="264"/>
      <c r="D58" s="265" t="s">
        <v>22</v>
      </c>
      <c r="E58" s="266" t="s">
        <v>303</v>
      </c>
      <c r="F58" s="290">
        <v>42890</v>
      </c>
      <c r="G58" s="291">
        <v>248.85</v>
      </c>
      <c r="H58" s="286">
        <v>247.1</v>
      </c>
      <c r="I58" s="266">
        <f t="shared" ref="I58" si="790">G58-H58</f>
        <v>1.75</v>
      </c>
      <c r="J58" s="292">
        <f t="shared" ref="J58" si="791">I58*$T$1</f>
        <v>6.36173517798</v>
      </c>
      <c r="K58" s="293">
        <v>250.55</v>
      </c>
      <c r="L58" s="266">
        <v>248.43</v>
      </c>
      <c r="M58" s="266">
        <f t="shared" ref="M58" si="792">K58-L58</f>
        <v>2.1200000000000045</v>
      </c>
      <c r="N58" s="266">
        <f t="shared" ref="N58" si="793">I58+M58</f>
        <v>3.8700000000000045</v>
      </c>
      <c r="O58" s="292">
        <f t="shared" ref="O58" si="794">M58*$T$1</f>
        <v>7.7067877584672164</v>
      </c>
      <c r="P58" s="292">
        <f t="shared" ref="P58" si="795">J58+O58</f>
        <v>14.068522936447216</v>
      </c>
      <c r="Q58" s="293">
        <v>253.16</v>
      </c>
      <c r="R58" s="266">
        <v>251.1</v>
      </c>
      <c r="S58" s="266">
        <f>Q58-R58</f>
        <v>2.0600000000000023</v>
      </c>
      <c r="T58" s="266">
        <f>N58+S58</f>
        <v>5.9300000000000068</v>
      </c>
      <c r="U58" s="292">
        <f>S58*$T$1</f>
        <v>7.4886711237936083</v>
      </c>
      <c r="V58" s="292">
        <f>P58+U58</f>
        <v>21.557194060240825</v>
      </c>
      <c r="W58" s="293">
        <v>254.82</v>
      </c>
      <c r="X58" s="266">
        <v>253.11</v>
      </c>
      <c r="Y58" s="266">
        <f t="shared" ref="Y58" si="796">W58-X58</f>
        <v>1.7099999999999795</v>
      </c>
      <c r="Z58" s="266">
        <f t="shared" ref="Z58" si="797">T58+Y58</f>
        <v>7.6399999999999864</v>
      </c>
      <c r="AA58" s="292">
        <f t="shared" ref="AA58" si="798">Y58*$T$1</f>
        <v>6.2163240881975259</v>
      </c>
      <c r="AB58" s="292">
        <f t="shared" ref="AB58" si="799">V58+AA58</f>
        <v>27.773518148438349</v>
      </c>
      <c r="AC58" s="293">
        <v>256.82</v>
      </c>
      <c r="AD58" s="266">
        <v>254.93</v>
      </c>
      <c r="AE58" s="266">
        <f t="shared" ref="AE58" si="800">AC58-AD58</f>
        <v>1.8899999999999864</v>
      </c>
      <c r="AF58" s="266">
        <f t="shared" ref="AF58" si="801">Z58+AE58</f>
        <v>9.5299999999999727</v>
      </c>
      <c r="AG58" s="292">
        <f>AE58*$T$1</f>
        <v>6.8706739922183511</v>
      </c>
      <c r="AH58" s="292">
        <f t="shared" ref="AH58" si="802">AB58+AG58</f>
        <v>34.644192140656699</v>
      </c>
      <c r="AI58" s="293">
        <v>261.16000000000003</v>
      </c>
      <c r="AJ58" s="266">
        <v>258.94</v>
      </c>
      <c r="AK58" s="266">
        <f>AI58-AJ58</f>
        <v>2.2200000000000273</v>
      </c>
      <c r="AL58" s="266">
        <f>AF58+AK58</f>
        <v>11.75</v>
      </c>
      <c r="AM58" s="292">
        <f>AK58*$T$1</f>
        <v>8.0703154829232986</v>
      </c>
      <c r="AN58" s="292">
        <f>AH58+AM58</f>
        <v>42.714507623579998</v>
      </c>
      <c r="AO58" s="293">
        <v>263.70999999999998</v>
      </c>
      <c r="AP58" s="266">
        <v>261.42</v>
      </c>
      <c r="AQ58" s="266">
        <f>AO58-AP58</f>
        <v>2.2899999999999636</v>
      </c>
      <c r="AR58" s="266">
        <f>AL58+AQ58</f>
        <v>14.039999999999964</v>
      </c>
      <c r="AS58" s="292">
        <f>AQ58*$T$1</f>
        <v>8.3247848900422685</v>
      </c>
      <c r="AT58" s="292">
        <f>AN58+AS58</f>
        <v>51.039292513622264</v>
      </c>
      <c r="AU58" s="293">
        <v>267.83999999999997</v>
      </c>
      <c r="AV58" s="286">
        <v>265.32</v>
      </c>
      <c r="AW58" s="266">
        <f>AU58-AV58</f>
        <v>2.5199999999999818</v>
      </c>
      <c r="AX58" s="266">
        <f>AR58+AW58</f>
        <v>16.559999999999945</v>
      </c>
      <c r="AY58" s="292">
        <f>AW58*$T$1</f>
        <v>9.1608986562911348</v>
      </c>
      <c r="AZ58" s="292">
        <f>AT58+AY58</f>
        <v>60.200191169913396</v>
      </c>
      <c r="BA58" s="293">
        <v>268.38</v>
      </c>
      <c r="BB58" s="266">
        <v>265.45999999999998</v>
      </c>
      <c r="BC58" s="266">
        <f>BA58-BB58</f>
        <v>2.9200000000000159</v>
      </c>
      <c r="BD58" s="266">
        <f t="shared" ref="BD58" si="803">AX58+BC58</f>
        <v>19.479999999999961</v>
      </c>
      <c r="BE58" s="292">
        <f t="shared" ref="BE58" si="804">BC58*$T$1</f>
        <v>10.615009554115257</v>
      </c>
      <c r="BF58" s="292">
        <f t="shared" ref="BF58" si="805">AZ58+BE58</f>
        <v>70.815200724028657</v>
      </c>
      <c r="BG58" s="293">
        <v>263.05</v>
      </c>
      <c r="BH58" s="266">
        <v>259.89999999999998</v>
      </c>
      <c r="BI58" s="266">
        <f>BG58-BH58</f>
        <v>3.1500000000000341</v>
      </c>
      <c r="BJ58" s="266">
        <f t="shared" ref="BJ58" si="806">BD58+BI58</f>
        <v>22.629999999999995</v>
      </c>
      <c r="BK58" s="292">
        <f t="shared" ref="BK58" si="807">BI58*$T$1</f>
        <v>11.451123320364124</v>
      </c>
      <c r="BL58" s="292">
        <f t="shared" ref="BL58" si="808">BF58+BK58</f>
        <v>82.266324044392775</v>
      </c>
      <c r="BM58" s="293">
        <v>263.89</v>
      </c>
      <c r="BN58" s="266">
        <v>260.83999999999997</v>
      </c>
      <c r="BO58" s="266">
        <f>BM58-BN58</f>
        <v>3.0500000000000114</v>
      </c>
      <c r="BP58" s="266">
        <f t="shared" ref="BP58" si="809">BJ58+BO58</f>
        <v>25.680000000000007</v>
      </c>
      <c r="BQ58" s="292">
        <f t="shared" ref="BQ58" si="810">BO58*$T$1</f>
        <v>11.087595595908041</v>
      </c>
      <c r="BR58" s="292">
        <f t="shared" ref="BR58" si="811">BL58+BQ58</f>
        <v>93.353919640300816</v>
      </c>
      <c r="BS58" s="293">
        <v>264.16000000000003</v>
      </c>
      <c r="BT58" s="295">
        <v>261.13</v>
      </c>
      <c r="BU58" s="266">
        <f>BS58-BT58</f>
        <v>3.0300000000000296</v>
      </c>
      <c r="BV58" s="266">
        <f t="shared" ref="BV58" si="812">BP58+BU58</f>
        <v>28.710000000000036</v>
      </c>
      <c r="BW58" s="292">
        <f t="shared" ref="BW58" si="813">BU58*$T$1</f>
        <v>11.014890051016907</v>
      </c>
      <c r="BX58" s="292">
        <f t="shared" ref="BX58" si="814">BR58+BW58</f>
        <v>104.36880969131772</v>
      </c>
      <c r="BY58" s="293">
        <v>264.39</v>
      </c>
      <c r="BZ58" s="266">
        <v>262.75</v>
      </c>
      <c r="CA58" s="266">
        <f>BY58-BZ58</f>
        <v>1.6399999999999864</v>
      </c>
      <c r="CB58" s="294" t="e">
        <f>#REF!</f>
        <v>#REF!</v>
      </c>
      <c r="CC58" s="294" t="e">
        <f t="shared" ref="CC58" si="815">CA58+CB58</f>
        <v>#REF!</v>
      </c>
      <c r="CD58" s="266" t="e">
        <f t="shared" ref="CD58" si="816">BV58+CC58</f>
        <v>#REF!</v>
      </c>
      <c r="CE58" s="371">
        <f>(CA58*$T$1)+10.5028</f>
        <v>16.464654681078351</v>
      </c>
      <c r="CF58" s="292">
        <f t="shared" ref="CF58" si="817">BX58+CE58</f>
        <v>120.83346437239607</v>
      </c>
      <c r="CG58" s="293">
        <v>265.76</v>
      </c>
      <c r="CH58" s="295">
        <v>262.8</v>
      </c>
      <c r="CI58" s="266">
        <f>CG58-CH58</f>
        <v>2.9599999999999795</v>
      </c>
      <c r="CJ58" s="266" t="e">
        <f>CD58+CI58</f>
        <v>#REF!</v>
      </c>
      <c r="CK58" s="292">
        <f>CI58*$T$1</f>
        <v>10.760420643897525</v>
      </c>
      <c r="CL58" s="292">
        <f>CF58+CK58</f>
        <v>131.5938850162936</v>
      </c>
      <c r="CM58" s="293">
        <v>259.8</v>
      </c>
      <c r="CN58" s="286">
        <v>256.55</v>
      </c>
      <c r="CO58" s="266">
        <f>CM58-CN58</f>
        <v>3.25</v>
      </c>
      <c r="CP58" s="266" t="e">
        <f>CJ58+CO58</f>
        <v>#REF!</v>
      </c>
      <c r="CQ58" s="292">
        <f>CO58*$T$1</f>
        <v>11.81465104482</v>
      </c>
      <c r="CR58" s="292">
        <f>CL58+CQ58</f>
        <v>143.40853606111361</v>
      </c>
      <c r="CS58" s="293">
        <v>254.26</v>
      </c>
      <c r="CT58" s="266">
        <v>249.62</v>
      </c>
      <c r="CU58" s="266">
        <f>CS58-CT58</f>
        <v>4.6399999999999864</v>
      </c>
      <c r="CV58" s="266" t="e">
        <f>CP58+CU58</f>
        <v>#REF!</v>
      </c>
      <c r="CW58" s="292">
        <f>CU58*$T$1</f>
        <v>16.867686414758349</v>
      </c>
      <c r="CX58" s="292">
        <f>CR58+CW58</f>
        <v>160.27622247587195</v>
      </c>
      <c r="CY58" s="293">
        <v>255.65</v>
      </c>
      <c r="CZ58" s="266">
        <v>252.93</v>
      </c>
      <c r="DA58" s="266">
        <f>CY58-CZ58</f>
        <v>2.7199999999999989</v>
      </c>
      <c r="DB58" s="266" t="e">
        <f>CV58+DA58</f>
        <v>#REF!</v>
      </c>
      <c r="DC58" s="292">
        <f>DA58*$T$1</f>
        <v>9.8879541052031961</v>
      </c>
      <c r="DD58" s="292">
        <f>CX58+DC58</f>
        <v>170.16417658107514</v>
      </c>
      <c r="DE58" s="293">
        <v>256.97000000000003</v>
      </c>
      <c r="DG58" s="296">
        <v>1.07</v>
      </c>
      <c r="DH58" s="266" t="e">
        <f t="shared" ref="DH58" si="818">DB58+DG58</f>
        <v>#REF!</v>
      </c>
      <c r="DI58" s="292">
        <f t="shared" ref="DI58" si="819">DG58*$T$1</f>
        <v>3.8897466516792005</v>
      </c>
      <c r="DJ58" s="292">
        <f t="shared" ref="DJ58" si="820">DD58+DI58</f>
        <v>174.05392323275433</v>
      </c>
      <c r="DK58" s="293">
        <v>256.97000000000003</v>
      </c>
      <c r="DO58" s="292"/>
      <c r="DP58" s="292"/>
      <c r="DQ58" s="293"/>
      <c r="DU58" s="292"/>
      <c r="DV58" s="292"/>
      <c r="DW58" s="293"/>
      <c r="EA58" s="292"/>
      <c r="EB58" s="303"/>
      <c r="EC58" s="266" t="s">
        <v>332</v>
      </c>
    </row>
    <row r="59" spans="1:133">
      <c r="A59" s="12"/>
      <c r="B59" s="12"/>
      <c r="C59" s="12"/>
      <c r="D59" s="12"/>
      <c r="E59" s="12"/>
      <c r="F59" s="12"/>
      <c r="AV59" s="12"/>
    </row>
    <row r="60" spans="1:133" ht="15.75" customHeight="1">
      <c r="A60" s="55" t="s">
        <v>579</v>
      </c>
      <c r="B60" s="12"/>
      <c r="C60" s="12"/>
      <c r="D60" s="12"/>
      <c r="E60" s="12"/>
      <c r="F60" s="12"/>
    </row>
    <row r="61" spans="1:133" ht="15.75" customHeight="1">
      <c r="A61" s="97"/>
      <c r="B61" s="98" t="s">
        <v>580</v>
      </c>
      <c r="C61" s="99"/>
      <c r="D61" s="100" t="s">
        <v>581</v>
      </c>
      <c r="E61" s="101" t="s">
        <v>582</v>
      </c>
      <c r="F61" s="101" t="s">
        <v>657</v>
      </c>
      <c r="G61" s="101" t="s">
        <v>584</v>
      </c>
      <c r="H61" s="101" t="s">
        <v>585</v>
      </c>
      <c r="I61" s="101" t="s">
        <v>586</v>
      </c>
      <c r="J61" s="101" t="s">
        <v>587</v>
      </c>
      <c r="K61" s="101" t="s">
        <v>588</v>
      </c>
      <c r="L61" s="101" t="s">
        <v>589</v>
      </c>
      <c r="M61" s="101" t="s">
        <v>590</v>
      </c>
      <c r="N61" s="101" t="s">
        <v>591</v>
      </c>
      <c r="O61" s="101" t="s">
        <v>592</v>
      </c>
      <c r="P61" s="101" t="s">
        <v>593</v>
      </c>
      <c r="Q61" s="101" t="s">
        <v>594</v>
      </c>
      <c r="R61" s="101" t="s">
        <v>595</v>
      </c>
      <c r="S61" s="101" t="s">
        <v>596</v>
      </c>
      <c r="T61" s="101" t="s">
        <v>597</v>
      </c>
      <c r="U61" s="101" t="s">
        <v>598</v>
      </c>
      <c r="V61" s="101" t="s">
        <v>599</v>
      </c>
      <c r="W61" s="101" t="s">
        <v>600</v>
      </c>
      <c r="X61" s="113" t="s">
        <v>601</v>
      </c>
      <c r="Y61" s="13" t="s">
        <v>602</v>
      </c>
    </row>
    <row r="62" spans="1:133" ht="15.75" customHeight="1">
      <c r="A62" s="251" t="s">
        <v>603</v>
      </c>
      <c r="B62" s="102" t="s">
        <v>604</v>
      </c>
      <c r="C62" s="99"/>
      <c r="D62" s="100"/>
      <c r="E62" s="101">
        <f>AVERAGE(I4:I6)</f>
        <v>2.8266666666666631</v>
      </c>
      <c r="F62" s="101">
        <f>AVERAGE(M4)</f>
        <v>4.1499999999999915</v>
      </c>
      <c r="G62" s="101">
        <f>AVERAGE(S4:S6)</f>
        <v>4.0233333333333361</v>
      </c>
      <c r="H62" s="101">
        <f>AVERAGE(Y4:Y6)</f>
        <v>4.5633333333333326</v>
      </c>
      <c r="I62" s="101">
        <v>5.01</v>
      </c>
      <c r="J62" s="101">
        <f>AVERAGE(AK4:AK6)</f>
        <v>4.3900000000000006</v>
      </c>
      <c r="K62" s="101">
        <v>4.97</v>
      </c>
      <c r="L62" s="101">
        <f>AVERAGE(AW4:AW6)</f>
        <v>4.1633333333333313</v>
      </c>
      <c r="M62" s="101">
        <v>5.19</v>
      </c>
      <c r="N62" s="101">
        <f>AVERAGE(BI4:BI6)</f>
        <v>4.13</v>
      </c>
      <c r="O62" s="101">
        <f>AVERAGE(BO4)</f>
        <v>4.9399999999999977</v>
      </c>
      <c r="P62" s="101">
        <v>4.97</v>
      </c>
      <c r="Q62" s="101">
        <f>CC16</f>
        <v>6.1622222222222254</v>
      </c>
      <c r="R62" s="101">
        <v>4.7300000000000004</v>
      </c>
      <c r="S62" s="101">
        <v>4.6100000000000003</v>
      </c>
      <c r="T62" s="101">
        <v>4.3369999999999997</v>
      </c>
      <c r="U62" s="101">
        <f>AVERAGE(DA4:DA6)</f>
        <v>4.9466666666666681</v>
      </c>
      <c r="V62" s="101">
        <f>AVERAGE(DG4:DG6)</f>
        <v>5.5066666666666704</v>
      </c>
      <c r="W62" s="101">
        <f>AVERAGE(DM4:DM6)</f>
        <v>4.8266666666666609</v>
      </c>
      <c r="X62" s="101">
        <f>AVERAGE(DS4:DS6)</f>
        <v>4.063333333333329</v>
      </c>
      <c r="Y62"/>
      <c r="Z62"/>
    </row>
    <row r="63" spans="1:133" ht="15.75" customHeight="1">
      <c r="A63" s="188">
        <v>42587</v>
      </c>
      <c r="B63" s="10" t="s">
        <v>605</v>
      </c>
      <c r="C63" s="103"/>
      <c r="D63" s="104">
        <f t="shared" ref="D63:X63" si="821">D62/24</f>
        <v>0</v>
      </c>
      <c r="E63" s="15">
        <f t="shared" si="821"/>
        <v>0.11777777777777763</v>
      </c>
      <c r="F63" s="15">
        <f t="shared" si="821"/>
        <v>0.1729166666666663</v>
      </c>
      <c r="G63" s="15">
        <f t="shared" si="821"/>
        <v>0.167638888888889</v>
      </c>
      <c r="H63" s="15">
        <f t="shared" si="821"/>
        <v>0.19013888888888886</v>
      </c>
      <c r="I63" s="15">
        <f t="shared" si="821"/>
        <v>0.20874999999999999</v>
      </c>
      <c r="J63" s="15">
        <f t="shared" si="821"/>
        <v>0.1829166666666667</v>
      </c>
      <c r="K63" s="15">
        <f t="shared" si="821"/>
        <v>0.20708333333333331</v>
      </c>
      <c r="L63" s="15">
        <f t="shared" si="821"/>
        <v>0.17347222222222214</v>
      </c>
      <c r="M63" s="15">
        <f t="shared" si="821"/>
        <v>0.21625000000000003</v>
      </c>
      <c r="N63" s="15">
        <f>N62/24</f>
        <v>0.17208333333333334</v>
      </c>
      <c r="O63" s="15">
        <f>O62/24</f>
        <v>0.20583333333333323</v>
      </c>
      <c r="P63" s="15">
        <f t="shared" si="821"/>
        <v>0.20708333333333331</v>
      </c>
      <c r="Q63" s="15">
        <f t="shared" si="821"/>
        <v>0.25675925925925941</v>
      </c>
      <c r="R63" s="15">
        <f t="shared" si="821"/>
        <v>0.19708333333333336</v>
      </c>
      <c r="S63" s="15">
        <f t="shared" si="821"/>
        <v>0.19208333333333336</v>
      </c>
      <c r="T63" s="15">
        <f t="shared" si="821"/>
        <v>0.18070833333333333</v>
      </c>
      <c r="U63" s="15">
        <f t="shared" si="821"/>
        <v>0.20611111111111116</v>
      </c>
      <c r="V63" s="15">
        <f t="shared" si="821"/>
        <v>0.22944444444444459</v>
      </c>
      <c r="W63" s="15">
        <f t="shared" si="821"/>
        <v>0.20111111111111088</v>
      </c>
      <c r="X63" s="15">
        <f t="shared" si="821"/>
        <v>0.16930555555555538</v>
      </c>
      <c r="Y63"/>
      <c r="Z63"/>
      <c r="CU63"/>
      <c r="CV63"/>
    </row>
    <row r="64" spans="1:133" ht="15.75" customHeight="1">
      <c r="A64" s="252"/>
      <c r="B64" s="24" t="s">
        <v>606</v>
      </c>
      <c r="C64" s="105"/>
      <c r="D64" s="106">
        <v>0.22</v>
      </c>
      <c r="E64" s="29">
        <v>0.22</v>
      </c>
      <c r="F64" s="29">
        <v>0.22</v>
      </c>
      <c r="G64" s="29">
        <v>0.22</v>
      </c>
      <c r="H64" s="29">
        <v>0.22</v>
      </c>
      <c r="I64" s="32">
        <v>0.22</v>
      </c>
      <c r="J64" s="32">
        <v>0.22</v>
      </c>
      <c r="K64" s="32">
        <v>0.22</v>
      </c>
      <c r="L64" s="32">
        <v>0.22</v>
      </c>
      <c r="M64" s="32">
        <v>0.22</v>
      </c>
      <c r="N64" s="32">
        <v>0.22</v>
      </c>
      <c r="O64" s="32">
        <v>0.22</v>
      </c>
      <c r="P64" s="32">
        <v>0.23</v>
      </c>
      <c r="Q64" s="32">
        <v>0.23</v>
      </c>
      <c r="R64" s="32">
        <v>0.23</v>
      </c>
      <c r="S64" s="32">
        <v>0.23</v>
      </c>
      <c r="T64" s="32">
        <v>0.23</v>
      </c>
      <c r="U64" s="32">
        <v>0.23</v>
      </c>
      <c r="V64" s="32">
        <v>0.23</v>
      </c>
      <c r="W64" s="32">
        <v>0.23</v>
      </c>
      <c r="X64" s="32">
        <v>0.23</v>
      </c>
      <c r="Y64"/>
      <c r="Z64"/>
      <c r="CU64"/>
      <c r="CV64"/>
    </row>
    <row r="65" spans="1:132" ht="15.75" customHeight="1">
      <c r="A65" s="253" t="s">
        <v>607</v>
      </c>
      <c r="B65" s="102" t="s">
        <v>604</v>
      </c>
      <c r="C65" s="99"/>
      <c r="D65" s="100"/>
      <c r="E65" s="101">
        <v>3.1749999999999998</v>
      </c>
      <c r="F65" s="101">
        <v>3.6150000000000002</v>
      </c>
      <c r="G65" s="101">
        <v>3.37</v>
      </c>
      <c r="H65" s="101">
        <v>3.91</v>
      </c>
      <c r="I65" s="101">
        <v>2.8050000000000002</v>
      </c>
      <c r="J65" s="101">
        <v>4.3099999999999996</v>
      </c>
      <c r="K65" s="101">
        <v>4.585</v>
      </c>
      <c r="L65" s="101">
        <v>3.9049999999999998</v>
      </c>
      <c r="M65" s="101">
        <v>3.78</v>
      </c>
      <c r="N65" s="101">
        <v>4.04</v>
      </c>
      <c r="O65" s="101">
        <v>4.1749999999999998</v>
      </c>
      <c r="P65" s="101">
        <v>3.52</v>
      </c>
      <c r="Q65" s="101">
        <f>AVERAGE(CC7:CC8)</f>
        <v>4.5000000000000018</v>
      </c>
      <c r="R65" s="101">
        <v>3.65</v>
      </c>
      <c r="S65" s="101">
        <v>4.9649999999999999</v>
      </c>
      <c r="T65" s="101">
        <v>3.7949999999999999</v>
      </c>
      <c r="U65" s="101">
        <v>4.1349999999999998</v>
      </c>
      <c r="V65" s="101">
        <v>5.29</v>
      </c>
      <c r="W65" s="101">
        <v>4.84</v>
      </c>
      <c r="X65" s="101">
        <v>3.77</v>
      </c>
      <c r="Y65"/>
      <c r="Z65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W65" s="10"/>
      <c r="BX65" s="10"/>
      <c r="CE65" s="10"/>
      <c r="CF65" s="10"/>
      <c r="CK65" s="10"/>
      <c r="CL65" s="10"/>
      <c r="CQ65" s="10"/>
      <c r="CR65" s="10"/>
      <c r="CU65"/>
      <c r="CV65"/>
      <c r="CW65" s="10"/>
      <c r="CX65" s="10"/>
      <c r="DC65" s="10"/>
      <c r="DD65" s="10"/>
      <c r="DI65" s="10"/>
      <c r="DJ65" s="10"/>
      <c r="DO65" s="10"/>
      <c r="DP65" s="10"/>
      <c r="DU65" s="10"/>
      <c r="DV65" s="10"/>
      <c r="EA65" s="10"/>
      <c r="EB65" s="10"/>
    </row>
    <row r="66" spans="1:132" ht="15.75" customHeight="1">
      <c r="A66" s="187">
        <v>42657</v>
      </c>
      <c r="B66" s="10" t="s">
        <v>605</v>
      </c>
      <c r="C66" s="103"/>
      <c r="D66" s="104">
        <v>0</v>
      </c>
      <c r="E66" s="15">
        <f>E65/24</f>
        <v>0.13229166666666667</v>
      </c>
      <c r="F66" s="15">
        <f t="shared" ref="F66:X66" si="822">F65/24</f>
        <v>0.15062500000000001</v>
      </c>
      <c r="G66" s="15">
        <f t="shared" si="822"/>
        <v>0.14041666666666666</v>
      </c>
      <c r="H66" s="15">
        <f t="shared" si="822"/>
        <v>0.16291666666666668</v>
      </c>
      <c r="I66" s="15">
        <f t="shared" si="822"/>
        <v>0.11687500000000001</v>
      </c>
      <c r="J66" s="15">
        <f t="shared" si="822"/>
        <v>0.17958333333333332</v>
      </c>
      <c r="K66" s="15">
        <f t="shared" si="822"/>
        <v>0.19104166666666667</v>
      </c>
      <c r="L66" s="15">
        <f t="shared" si="822"/>
        <v>0.16270833333333332</v>
      </c>
      <c r="M66" s="15">
        <f t="shared" si="822"/>
        <v>0.1575</v>
      </c>
      <c r="N66" s="15">
        <f t="shared" si="822"/>
        <v>0.16833333333333333</v>
      </c>
      <c r="O66" s="15">
        <f t="shared" si="822"/>
        <v>0.17395833333333333</v>
      </c>
      <c r="P66" s="15">
        <f t="shared" si="822"/>
        <v>0.14666666666666667</v>
      </c>
      <c r="Q66" s="15">
        <f t="shared" si="822"/>
        <v>0.18750000000000008</v>
      </c>
      <c r="R66" s="15">
        <f t="shared" si="822"/>
        <v>0.15208333333333332</v>
      </c>
      <c r="S66" s="15">
        <f t="shared" si="822"/>
        <v>0.206875</v>
      </c>
      <c r="T66" s="15">
        <f t="shared" si="822"/>
        <v>0.15812499999999999</v>
      </c>
      <c r="U66" s="15">
        <f t="shared" si="822"/>
        <v>0.17229166666666665</v>
      </c>
      <c r="V66" s="15">
        <f t="shared" si="822"/>
        <v>0.22041666666666668</v>
      </c>
      <c r="W66" s="15">
        <f t="shared" si="822"/>
        <v>0.20166666666666666</v>
      </c>
      <c r="X66" s="15">
        <f t="shared" si="822"/>
        <v>0.15708333333333332</v>
      </c>
      <c r="Y66"/>
      <c r="Z66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W66" s="12"/>
      <c r="BX66" s="12"/>
      <c r="CE66" s="12"/>
      <c r="CF66" s="12"/>
      <c r="CK66" s="12"/>
      <c r="CL66" s="12"/>
      <c r="CQ66" s="12"/>
      <c r="CR66" s="12"/>
      <c r="CU66"/>
      <c r="CV66"/>
      <c r="CW66" s="12"/>
      <c r="CX66" s="12"/>
      <c r="DC66" s="12"/>
      <c r="DD66" s="12"/>
      <c r="DI66" s="12"/>
      <c r="DJ66" s="12"/>
      <c r="DO66" s="12"/>
      <c r="DP66" s="12"/>
      <c r="DU66" s="12"/>
      <c r="DV66" s="12"/>
      <c r="EA66" s="12"/>
      <c r="EB66" s="12"/>
    </row>
    <row r="67" spans="1:132" ht="15.75" customHeight="1">
      <c r="A67" s="254"/>
      <c r="B67" s="108" t="s">
        <v>606</v>
      </c>
      <c r="C67" s="109"/>
      <c r="D67" s="110">
        <v>0.2</v>
      </c>
      <c r="E67" s="107">
        <v>0.2</v>
      </c>
      <c r="F67" s="111">
        <v>0.2</v>
      </c>
      <c r="G67" s="111">
        <v>0.2</v>
      </c>
      <c r="H67" s="111">
        <v>0.2</v>
      </c>
      <c r="I67" s="111">
        <v>0.2</v>
      </c>
      <c r="J67" s="111">
        <v>0.2</v>
      </c>
      <c r="K67" s="111">
        <v>0.21</v>
      </c>
      <c r="L67" s="111">
        <v>0.21</v>
      </c>
      <c r="M67" s="111">
        <v>0.21</v>
      </c>
      <c r="N67" s="111">
        <v>0.21</v>
      </c>
      <c r="O67" s="111">
        <v>0.21</v>
      </c>
      <c r="P67" s="111">
        <v>0.21</v>
      </c>
      <c r="Q67" s="111">
        <v>0.21</v>
      </c>
      <c r="R67" s="111">
        <v>0.21</v>
      </c>
      <c r="S67" s="111">
        <v>0.21</v>
      </c>
      <c r="T67" s="111">
        <v>0.21</v>
      </c>
      <c r="U67" s="111">
        <v>0.21</v>
      </c>
      <c r="V67" s="111">
        <v>0.23</v>
      </c>
      <c r="W67" s="111">
        <v>0.23</v>
      </c>
      <c r="X67" s="111">
        <v>0.23</v>
      </c>
      <c r="Y67"/>
      <c r="Z67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W67" s="12"/>
      <c r="BX67" s="12"/>
      <c r="CE67" s="12"/>
      <c r="CF67" s="12"/>
      <c r="CK67" s="12"/>
      <c r="CL67" s="12"/>
      <c r="CQ67" s="12"/>
      <c r="CR67" s="12"/>
      <c r="CU67"/>
      <c r="CV67"/>
      <c r="CW67" s="12"/>
      <c r="CX67" s="12"/>
      <c r="DC67" s="12"/>
      <c r="DD67" s="12"/>
      <c r="DI67" s="12"/>
      <c r="DJ67" s="12"/>
      <c r="DO67" s="12"/>
      <c r="DP67" s="12"/>
      <c r="DU67" s="12"/>
      <c r="DV67" s="12"/>
      <c r="EA67" s="12"/>
      <c r="EB67" s="12"/>
    </row>
    <row r="68" spans="1:132" ht="15.75" customHeight="1">
      <c r="A68" s="253" t="s">
        <v>608</v>
      </c>
      <c r="B68" s="102" t="s">
        <v>604</v>
      </c>
      <c r="C68" s="99"/>
      <c r="D68" s="100"/>
      <c r="E68" s="101">
        <v>3.3570000000000002</v>
      </c>
      <c r="F68" s="101">
        <v>3.9470000000000001</v>
      </c>
      <c r="G68" s="101">
        <v>3.89</v>
      </c>
      <c r="H68" s="101">
        <f>AVERAGE(Y9:Y11)</f>
        <v>4.846666666666664</v>
      </c>
      <c r="I68" s="101">
        <v>5.56</v>
      </c>
      <c r="J68" s="101">
        <v>5.226</v>
      </c>
      <c r="K68" s="101">
        <v>4.49</v>
      </c>
      <c r="L68" s="101">
        <v>4.66</v>
      </c>
      <c r="M68" s="101">
        <v>4.8600000000000003</v>
      </c>
      <c r="N68" s="101">
        <v>4.74</v>
      </c>
      <c r="O68" s="101">
        <v>5.9</v>
      </c>
      <c r="P68" s="101">
        <v>6.6</v>
      </c>
      <c r="Q68" s="101">
        <v>5.61</v>
      </c>
      <c r="R68" s="101">
        <v>4.53</v>
      </c>
      <c r="S68" s="101">
        <v>4.87</v>
      </c>
      <c r="T68" s="101">
        <v>4.59</v>
      </c>
      <c r="U68" s="101">
        <v>3.92</v>
      </c>
      <c r="V68" s="228">
        <v>6.5659999999999998</v>
      </c>
      <c r="W68" s="101">
        <v>4.4459999999999997</v>
      </c>
      <c r="X68" s="101">
        <v>4.34</v>
      </c>
      <c r="Y68"/>
      <c r="Z68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W68" s="10"/>
      <c r="BX68" s="10"/>
      <c r="CE68" s="10"/>
      <c r="CF68" s="10"/>
      <c r="CK68" s="10"/>
      <c r="CL68" s="10"/>
      <c r="CQ68" s="10"/>
      <c r="CR68" s="10"/>
      <c r="CU68"/>
      <c r="CV68"/>
      <c r="CW68" s="10"/>
      <c r="CX68" s="10"/>
      <c r="DC68" s="10"/>
      <c r="DD68" s="10"/>
      <c r="DI68" s="10"/>
      <c r="DJ68" s="10"/>
      <c r="DO68" s="10"/>
      <c r="DP68" s="10"/>
      <c r="DU68" s="10"/>
      <c r="DV68" s="10"/>
      <c r="EA68" s="10"/>
      <c r="EB68" s="10"/>
    </row>
    <row r="69" spans="1:132" ht="15.75" customHeight="1">
      <c r="A69" s="187">
        <v>42705</v>
      </c>
      <c r="B69" s="10" t="s">
        <v>605</v>
      </c>
      <c r="C69" s="103"/>
      <c r="D69" s="104">
        <v>0</v>
      </c>
      <c r="E69" s="15">
        <f t="shared" ref="E69:X69" si="823">E68/24</f>
        <v>0.139875</v>
      </c>
      <c r="F69" s="15">
        <f t="shared" si="823"/>
        <v>0.16445833333333335</v>
      </c>
      <c r="G69" s="15">
        <f t="shared" si="823"/>
        <v>0.16208333333333333</v>
      </c>
      <c r="H69" s="15">
        <f t="shared" si="823"/>
        <v>0.20194444444444434</v>
      </c>
      <c r="I69" s="15">
        <f>I68/24</f>
        <v>0.23166666666666666</v>
      </c>
      <c r="J69" s="15">
        <f t="shared" si="823"/>
        <v>0.21775</v>
      </c>
      <c r="K69" s="15">
        <f t="shared" si="823"/>
        <v>0.18708333333333335</v>
      </c>
      <c r="L69" s="15">
        <f t="shared" si="823"/>
        <v>0.19416666666666668</v>
      </c>
      <c r="M69" s="15">
        <f t="shared" si="823"/>
        <v>0.20250000000000001</v>
      </c>
      <c r="N69" s="15">
        <f>N68/24</f>
        <v>0.19750000000000001</v>
      </c>
      <c r="O69" s="15">
        <f t="shared" si="823"/>
        <v>0.24583333333333335</v>
      </c>
      <c r="P69" s="15">
        <f t="shared" si="823"/>
        <v>0.27499999999999997</v>
      </c>
      <c r="Q69" s="15">
        <f t="shared" si="823"/>
        <v>0.23375000000000001</v>
      </c>
      <c r="R69" s="15">
        <f>R68/24</f>
        <v>0.18875</v>
      </c>
      <c r="S69" s="15">
        <f>S68/24</f>
        <v>0.20291666666666666</v>
      </c>
      <c r="T69" s="15">
        <f>T68/24</f>
        <v>0.19125</v>
      </c>
      <c r="U69" s="15">
        <f t="shared" si="823"/>
        <v>0.16333333333333333</v>
      </c>
      <c r="V69" s="15">
        <f t="shared" si="823"/>
        <v>0.27358333333333335</v>
      </c>
      <c r="W69" s="15">
        <f t="shared" si="823"/>
        <v>0.18525</v>
      </c>
      <c r="X69" s="15">
        <f t="shared" si="823"/>
        <v>0.18083333333333332</v>
      </c>
      <c r="Y69"/>
      <c r="Z69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W69" s="12"/>
      <c r="BX69" s="12"/>
      <c r="CE69" s="12"/>
      <c r="CF69" s="12"/>
      <c r="CK69" s="12"/>
      <c r="CL69" s="12"/>
      <c r="CQ69" s="12"/>
      <c r="CR69" s="12"/>
      <c r="CU69"/>
      <c r="CV69"/>
      <c r="CW69" s="12"/>
      <c r="CX69" s="12"/>
      <c r="DC69" s="12"/>
      <c r="DD69" s="12"/>
      <c r="DI69" s="12"/>
      <c r="DJ69" s="12"/>
      <c r="DO69" s="12"/>
      <c r="DP69" s="12"/>
      <c r="DU69" s="12"/>
      <c r="DV69" s="12"/>
      <c r="EA69" s="12"/>
      <c r="EB69" s="12"/>
    </row>
    <row r="70" spans="1:132" ht="15.75" customHeight="1">
      <c r="A70" s="254"/>
      <c r="B70" s="108" t="s">
        <v>606</v>
      </c>
      <c r="C70" s="109"/>
      <c r="D70" s="110">
        <v>0.2</v>
      </c>
      <c r="E70" s="107">
        <v>0.2</v>
      </c>
      <c r="F70" s="111">
        <v>0.2</v>
      </c>
      <c r="G70" s="111">
        <v>0.2</v>
      </c>
      <c r="H70" s="111">
        <v>0.2</v>
      </c>
      <c r="I70" s="111">
        <v>0.24</v>
      </c>
      <c r="J70" s="111">
        <v>0.24</v>
      </c>
      <c r="K70" s="111">
        <v>0.24</v>
      </c>
      <c r="L70" s="111">
        <v>0.24</v>
      </c>
      <c r="M70" s="111">
        <v>0.24</v>
      </c>
      <c r="N70" s="111">
        <v>0.24</v>
      </c>
      <c r="O70" s="111">
        <v>0.24</v>
      </c>
      <c r="P70" s="111">
        <v>0.24</v>
      </c>
      <c r="Q70" s="111">
        <v>0.24</v>
      </c>
      <c r="R70" s="111">
        <v>0.24</v>
      </c>
      <c r="S70" s="111">
        <v>0.24</v>
      </c>
      <c r="T70" s="111">
        <v>0.24</v>
      </c>
      <c r="U70" s="111" t="s">
        <v>658</v>
      </c>
      <c r="V70" s="111">
        <v>0.24</v>
      </c>
      <c r="W70" s="111">
        <v>0.24</v>
      </c>
      <c r="X70" s="111">
        <v>0.24</v>
      </c>
      <c r="Y70"/>
      <c r="Z70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W70" s="12"/>
      <c r="BX70" s="12"/>
      <c r="CE70" s="12"/>
      <c r="CF70" s="12"/>
      <c r="CK70" s="12"/>
      <c r="CL70" s="12"/>
      <c r="CQ70" s="12"/>
      <c r="CR70" s="12"/>
      <c r="CU70"/>
      <c r="CV70"/>
      <c r="CW70" s="12"/>
      <c r="CX70" s="12"/>
      <c r="DC70" s="12"/>
      <c r="DD70" s="12"/>
      <c r="DI70" s="12"/>
      <c r="DJ70" s="12"/>
      <c r="DO70" s="12"/>
      <c r="DP70" s="12"/>
      <c r="DU70" s="12"/>
      <c r="DV70" s="12"/>
      <c r="EA70" s="12"/>
      <c r="EB70" s="12"/>
    </row>
    <row r="71" spans="1:132" ht="15.75" customHeight="1">
      <c r="A71" s="253" t="s">
        <v>659</v>
      </c>
      <c r="B71" s="102" t="s">
        <v>660</v>
      </c>
      <c r="C71" s="99"/>
      <c r="D71" s="100"/>
      <c r="E71" s="101">
        <v>3.1124999999999998</v>
      </c>
      <c r="F71" s="101">
        <v>4.0650000000000004</v>
      </c>
      <c r="G71" s="12">
        <f>$S$16</f>
        <v>3.852222222222224</v>
      </c>
      <c r="H71" s="101">
        <v>4.5060000000000002</v>
      </c>
      <c r="I71" s="101">
        <v>4.5599999999999996</v>
      </c>
      <c r="J71" s="101">
        <v>4.6825000000000001</v>
      </c>
      <c r="K71" s="101">
        <v>4.6900000000000004</v>
      </c>
      <c r="L71" s="101">
        <v>4.2850000000000001</v>
      </c>
      <c r="M71" s="101">
        <v>4.6440000000000001</v>
      </c>
      <c r="N71" s="101">
        <v>4.3360000000000003</v>
      </c>
      <c r="O71" s="101">
        <v>4.6550000000000002</v>
      </c>
      <c r="P71" s="101">
        <v>4.9509999999999996</v>
      </c>
      <c r="Q71" s="101">
        <v>3.7687500000000025</v>
      </c>
      <c r="R71" s="101">
        <v>4.7774999999999999</v>
      </c>
      <c r="S71" s="101">
        <v>4.6639999999999997</v>
      </c>
      <c r="T71" s="101">
        <v>4.4012500000000001</v>
      </c>
      <c r="U71" s="101">
        <v>4.6109999999999998</v>
      </c>
      <c r="V71" s="101">
        <v>4.8587499999999997</v>
      </c>
      <c r="W71" s="101">
        <v>5.4824999999999973</v>
      </c>
      <c r="X71" s="101">
        <v>4.0949999999999998</v>
      </c>
      <c r="Y71"/>
      <c r="Z71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W71" s="10"/>
      <c r="BX71" s="10"/>
      <c r="CE71" s="10"/>
      <c r="CF71" s="10"/>
      <c r="CK71" s="10"/>
      <c r="CL71" s="10"/>
      <c r="CQ71" s="10"/>
      <c r="CR71" s="10"/>
      <c r="CU71"/>
      <c r="CW71" s="10"/>
      <c r="CX71" s="10"/>
      <c r="DC71" s="10"/>
      <c r="DD71" s="10"/>
      <c r="DI71" s="10"/>
      <c r="DJ71" s="10"/>
      <c r="DO71" s="10"/>
      <c r="DP71" s="10"/>
      <c r="DU71" s="10"/>
      <c r="DV71" s="10"/>
      <c r="EA71" s="10"/>
      <c r="EB71" s="10"/>
    </row>
    <row r="72" spans="1:132" ht="15.75" customHeight="1">
      <c r="A72" s="20" t="s">
        <v>309</v>
      </c>
      <c r="B72" s="10" t="s">
        <v>605</v>
      </c>
      <c r="C72" s="103"/>
      <c r="D72" s="104">
        <v>0.2</v>
      </c>
      <c r="E72" s="15">
        <f>E71/24</f>
        <v>0.12968749999999998</v>
      </c>
      <c r="F72" s="15">
        <f t="shared" ref="F72:X72" si="824">F71/24</f>
        <v>0.16937500000000003</v>
      </c>
      <c r="G72" s="15">
        <f t="shared" si="824"/>
        <v>0.16050925925925932</v>
      </c>
      <c r="H72" s="15">
        <f t="shared" si="824"/>
        <v>0.18775</v>
      </c>
      <c r="I72" s="15">
        <f t="shared" si="824"/>
        <v>0.18999999999999997</v>
      </c>
      <c r="J72" s="15">
        <f t="shared" si="824"/>
        <v>0.19510416666666666</v>
      </c>
      <c r="K72" s="15">
        <f t="shared" si="824"/>
        <v>0.19541666666666668</v>
      </c>
      <c r="L72" s="15">
        <f t="shared" si="824"/>
        <v>0.17854166666666668</v>
      </c>
      <c r="M72" s="15">
        <f t="shared" si="824"/>
        <v>0.19350000000000001</v>
      </c>
      <c r="N72" s="15">
        <f t="shared" si="824"/>
        <v>0.18066666666666667</v>
      </c>
      <c r="O72" s="15">
        <f t="shared" si="824"/>
        <v>0.19395833333333334</v>
      </c>
      <c r="P72" s="15">
        <f t="shared" si="824"/>
        <v>0.20629166666666665</v>
      </c>
      <c r="Q72" s="15">
        <f t="shared" si="824"/>
        <v>0.15703125000000009</v>
      </c>
      <c r="R72" s="15">
        <f t="shared" si="824"/>
        <v>0.1990625</v>
      </c>
      <c r="S72" s="15">
        <f t="shared" si="824"/>
        <v>0.19433333333333333</v>
      </c>
      <c r="T72" s="15">
        <f t="shared" si="824"/>
        <v>0.18338541666666666</v>
      </c>
      <c r="U72" s="15">
        <f t="shared" si="824"/>
        <v>0.19212499999999999</v>
      </c>
      <c r="V72" s="15">
        <f t="shared" si="824"/>
        <v>0.20244791666666664</v>
      </c>
      <c r="W72" s="15">
        <f t="shared" si="824"/>
        <v>0.22843749999999988</v>
      </c>
      <c r="X72" s="15">
        <f t="shared" si="824"/>
        <v>0.170625</v>
      </c>
      <c r="Y72"/>
      <c r="Z7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W72" s="12"/>
      <c r="BX72" s="12"/>
      <c r="CE72" s="12"/>
      <c r="CF72" s="12"/>
      <c r="CK72" s="12"/>
      <c r="CL72" s="12"/>
      <c r="CQ72" s="12"/>
      <c r="CR72" s="12"/>
      <c r="CU72"/>
      <c r="CW72" s="12"/>
      <c r="CX72" s="12"/>
      <c r="DC72" s="12"/>
      <c r="DD72" s="12"/>
      <c r="DI72" s="12"/>
      <c r="DJ72" s="12"/>
      <c r="DO72" s="12"/>
      <c r="DP72" s="12"/>
      <c r="DU72" s="12"/>
      <c r="DV72" s="12"/>
      <c r="EA72" s="12"/>
      <c r="EB72" s="12"/>
    </row>
    <row r="73" spans="1:132" ht="15.75" customHeight="1">
      <c r="A73" s="254"/>
      <c r="B73" s="108" t="s">
        <v>606</v>
      </c>
      <c r="C73" s="109"/>
      <c r="D73" s="110">
        <v>0.2</v>
      </c>
      <c r="E73" s="107">
        <v>0.2</v>
      </c>
      <c r="F73" s="111">
        <v>0.2</v>
      </c>
      <c r="G73" s="111">
        <v>0.2</v>
      </c>
      <c r="H73" s="111">
        <v>0.2</v>
      </c>
      <c r="I73" s="111">
        <v>0.21</v>
      </c>
      <c r="J73" s="111">
        <v>0.21</v>
      </c>
      <c r="K73" s="111">
        <v>0.21</v>
      </c>
      <c r="L73" s="111">
        <v>0.21</v>
      </c>
      <c r="M73" s="111">
        <v>0.21</v>
      </c>
      <c r="N73" s="111">
        <v>0.21</v>
      </c>
      <c r="O73" s="111">
        <v>0.21</v>
      </c>
      <c r="P73" s="111">
        <v>0.22</v>
      </c>
      <c r="Q73" s="111">
        <v>0.22</v>
      </c>
      <c r="R73" s="111">
        <v>0.22</v>
      </c>
      <c r="S73" s="111">
        <v>0.22</v>
      </c>
      <c r="T73" s="111">
        <v>0.22</v>
      </c>
      <c r="U73" s="111">
        <v>0.22</v>
      </c>
      <c r="V73" s="111">
        <v>0.22</v>
      </c>
      <c r="W73" s="111">
        <v>0.22</v>
      </c>
      <c r="X73" s="111">
        <v>0.22</v>
      </c>
      <c r="Y73"/>
      <c r="Z73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W73" s="12"/>
      <c r="BX73" s="12"/>
      <c r="CE73" s="12"/>
      <c r="CF73" s="12"/>
      <c r="CK73" s="12"/>
      <c r="CL73" s="12"/>
      <c r="CQ73" s="12"/>
      <c r="CR73" s="12"/>
      <c r="CU73"/>
      <c r="CW73" s="12"/>
      <c r="CX73" s="12"/>
      <c r="DC73" s="12"/>
      <c r="DD73" s="12"/>
      <c r="DI73" s="12"/>
      <c r="DJ73" s="12"/>
      <c r="DO73" s="12"/>
      <c r="DP73" s="12"/>
      <c r="DU73" s="12"/>
      <c r="DV73" s="12"/>
      <c r="EA73" s="12"/>
      <c r="EB73" s="12"/>
    </row>
    <row r="74" spans="1:132" ht="15.75" customHeight="1">
      <c r="A74" s="253" t="s">
        <v>610</v>
      </c>
      <c r="B74" s="102" t="s">
        <v>604</v>
      </c>
      <c r="C74" s="99"/>
      <c r="D74" s="100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/>
      <c r="Z74" s="10"/>
      <c r="AA74" s="10"/>
      <c r="AB74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W74" s="10"/>
      <c r="BX74" s="10"/>
      <c r="CE74" s="10"/>
      <c r="CF74" s="10"/>
      <c r="CK74" s="10"/>
      <c r="CL74" s="10"/>
      <c r="CQ74" s="10"/>
      <c r="CR74" s="10"/>
      <c r="CU74"/>
      <c r="CW74" s="10"/>
      <c r="CX74" s="10"/>
      <c r="DC74" s="10"/>
      <c r="DD74" s="10"/>
      <c r="DI74" s="10"/>
      <c r="DJ74" s="10"/>
      <c r="DO74" s="10"/>
      <c r="DP74" s="10"/>
      <c r="DU74" s="10"/>
      <c r="DV74" s="10"/>
      <c r="EA74" s="10"/>
      <c r="EB74" s="10"/>
    </row>
    <row r="75" spans="1:132" ht="15.75" customHeight="1">
      <c r="A75" s="187">
        <v>43112</v>
      </c>
      <c r="B75" s="10" t="s">
        <v>605</v>
      </c>
      <c r="C75" s="103"/>
      <c r="D75" s="104">
        <v>0</v>
      </c>
      <c r="E75" s="15">
        <f>E74/24</f>
        <v>0</v>
      </c>
      <c r="F75" s="15">
        <f t="shared" ref="F75:X75" si="825">F74/24</f>
        <v>0</v>
      </c>
      <c r="G75" s="15">
        <f t="shared" si="825"/>
        <v>0</v>
      </c>
      <c r="H75" s="15">
        <f t="shared" si="825"/>
        <v>0</v>
      </c>
      <c r="I75" s="15">
        <f t="shared" si="825"/>
        <v>0</v>
      </c>
      <c r="J75" s="15">
        <f t="shared" si="825"/>
        <v>0</v>
      </c>
      <c r="K75" s="15">
        <f t="shared" si="825"/>
        <v>0</v>
      </c>
      <c r="L75" s="15">
        <f t="shared" si="825"/>
        <v>0</v>
      </c>
      <c r="M75" s="15">
        <f t="shared" si="825"/>
        <v>0</v>
      </c>
      <c r="N75" s="15">
        <f t="shared" si="825"/>
        <v>0</v>
      </c>
      <c r="O75" s="15">
        <f t="shared" si="825"/>
        <v>0</v>
      </c>
      <c r="P75" s="15">
        <f t="shared" si="825"/>
        <v>0</v>
      </c>
      <c r="Q75" s="15">
        <f t="shared" si="825"/>
        <v>0</v>
      </c>
      <c r="R75" s="15">
        <f t="shared" si="825"/>
        <v>0</v>
      </c>
      <c r="S75" s="15">
        <f t="shared" si="825"/>
        <v>0</v>
      </c>
      <c r="T75" s="15">
        <f t="shared" si="825"/>
        <v>0</v>
      </c>
      <c r="U75" s="15">
        <f t="shared" si="825"/>
        <v>0</v>
      </c>
      <c r="V75" s="15">
        <f t="shared" si="825"/>
        <v>0</v>
      </c>
      <c r="W75" s="15">
        <f t="shared" si="825"/>
        <v>0</v>
      </c>
      <c r="X75" s="15">
        <f t="shared" si="825"/>
        <v>0</v>
      </c>
      <c r="Y75"/>
      <c r="Z75" s="10"/>
      <c r="AA75" s="10"/>
      <c r="AB75"/>
      <c r="AC75" s="12"/>
      <c r="AD75" s="12"/>
      <c r="AE75" s="12"/>
      <c r="AF75" s="10"/>
      <c r="AG75" s="10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W75" s="12"/>
      <c r="BX75" s="12"/>
      <c r="CE75" s="12"/>
      <c r="CF75" s="12"/>
      <c r="CK75" s="12"/>
      <c r="CL75" s="12"/>
      <c r="CQ75" s="12"/>
      <c r="CR75" s="12"/>
      <c r="CU75"/>
      <c r="CW75" s="12"/>
      <c r="CX75" s="12"/>
      <c r="DC75" s="12"/>
      <c r="DD75" s="12"/>
      <c r="DI75" s="12"/>
      <c r="DJ75" s="12"/>
      <c r="DO75" s="12"/>
      <c r="DP75" s="12"/>
      <c r="DU75" s="12"/>
      <c r="DV75" s="12"/>
      <c r="EA75" s="12"/>
      <c r="EB75" s="12"/>
    </row>
    <row r="76" spans="1:132" ht="15.75" customHeight="1">
      <c r="A76" s="254"/>
      <c r="B76" s="108" t="s">
        <v>606</v>
      </c>
      <c r="C76" s="109"/>
      <c r="D76" s="110">
        <v>0.2</v>
      </c>
      <c r="E76" s="107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/>
      <c r="Z76" s="10"/>
      <c r="AA76" s="10"/>
      <c r="AB76"/>
      <c r="AC76" s="12"/>
      <c r="AD76" s="12"/>
      <c r="AE76" s="12"/>
      <c r="AF76" s="10"/>
      <c r="AG76" s="10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W76" s="12"/>
      <c r="BX76" s="12"/>
      <c r="CE76" s="12"/>
      <c r="CF76" s="12"/>
      <c r="CK76" s="12"/>
      <c r="CL76" s="12"/>
      <c r="CQ76" s="12"/>
      <c r="CR76" s="12"/>
      <c r="CU76"/>
      <c r="CW76" s="12"/>
      <c r="CX76" s="12"/>
      <c r="DC76" s="12"/>
      <c r="DD76" s="12"/>
      <c r="DI76" s="12"/>
      <c r="DJ76" s="12"/>
      <c r="DO76" s="12"/>
      <c r="DP76" s="12"/>
      <c r="DU76" s="12"/>
      <c r="DV76" s="12"/>
      <c r="EA76" s="12"/>
      <c r="EB76" s="12"/>
    </row>
    <row r="77" spans="1:132" ht="15.75" customHeight="1">
      <c r="A77" s="253" t="s">
        <v>611</v>
      </c>
      <c r="B77" s="102" t="s">
        <v>604</v>
      </c>
      <c r="C77" s="99"/>
      <c r="D77" s="100"/>
      <c r="E77" s="101"/>
      <c r="F77" s="101"/>
      <c r="G77" s="101"/>
      <c r="H77" s="101">
        <v>4.5060000000000002</v>
      </c>
      <c r="I77" s="101">
        <v>4.6637499999999985</v>
      </c>
      <c r="J77" s="101">
        <v>4.2</v>
      </c>
      <c r="K77" s="101">
        <v>4.6937500000000014</v>
      </c>
      <c r="L77" s="101">
        <v>4.2850000000000001</v>
      </c>
      <c r="M77" s="101"/>
      <c r="N77" s="101">
        <v>4.3362499999999979</v>
      </c>
      <c r="O77" s="101">
        <v>4.6549999999999994</v>
      </c>
      <c r="P77" s="101">
        <v>4.9512499999999999</v>
      </c>
      <c r="Q77" s="101">
        <v>3.7687500000000025</v>
      </c>
      <c r="R77" s="101">
        <v>4.7774999999999999</v>
      </c>
      <c r="S77" s="101">
        <v>4.6639999999999997</v>
      </c>
      <c r="T77" s="101">
        <v>4.4012500000000001</v>
      </c>
      <c r="U77" s="101">
        <v>4.6109999999999998</v>
      </c>
      <c r="V77" s="101">
        <v>4.8587499999999997</v>
      </c>
      <c r="W77" s="101">
        <v>5.4824999999999973</v>
      </c>
      <c r="X77" s="101">
        <v>4.0949999999999998</v>
      </c>
      <c r="Y77"/>
      <c r="Z77" s="10"/>
      <c r="AA77" s="10"/>
      <c r="AB77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W77" s="10"/>
      <c r="BX77" s="10"/>
      <c r="CE77" s="10"/>
      <c r="CF77" s="10"/>
      <c r="CK77" s="10"/>
      <c r="CL77" s="10"/>
      <c r="CQ77" s="10"/>
      <c r="CR77" s="10"/>
      <c r="CU77"/>
      <c r="CW77" s="10"/>
      <c r="CX77" s="10"/>
      <c r="DC77" s="10"/>
      <c r="DD77" s="10"/>
      <c r="DI77" s="10"/>
      <c r="DJ77" s="10"/>
      <c r="DO77" s="10"/>
      <c r="DP77" s="10"/>
      <c r="DU77" s="10"/>
      <c r="DV77" s="10"/>
      <c r="EA77" s="10"/>
      <c r="EB77" s="10"/>
    </row>
    <row r="78" spans="1:132" ht="15.75" customHeight="1">
      <c r="A78" s="187">
        <v>43203</v>
      </c>
      <c r="B78" s="10" t="s">
        <v>605</v>
      </c>
      <c r="C78" s="103"/>
      <c r="D78" s="104">
        <v>0</v>
      </c>
      <c r="E78" s="15">
        <f>E77/24</f>
        <v>0</v>
      </c>
      <c r="F78" s="15">
        <f t="shared" ref="F78:X78" si="826">F77/24</f>
        <v>0</v>
      </c>
      <c r="G78" s="15">
        <f t="shared" si="826"/>
        <v>0</v>
      </c>
      <c r="H78" s="15">
        <f t="shared" si="826"/>
        <v>0.18775</v>
      </c>
      <c r="I78" s="15">
        <f t="shared" si="826"/>
        <v>0.1943229166666666</v>
      </c>
      <c r="J78" s="15">
        <f t="shared" si="826"/>
        <v>0.17500000000000002</v>
      </c>
      <c r="K78" s="15">
        <f t="shared" si="826"/>
        <v>0.19557291666666674</v>
      </c>
      <c r="L78" s="15">
        <f t="shared" si="826"/>
        <v>0.17854166666666668</v>
      </c>
      <c r="M78" s="15">
        <f t="shared" si="826"/>
        <v>0</v>
      </c>
      <c r="N78" s="15">
        <f t="shared" si="826"/>
        <v>0.18067708333333324</v>
      </c>
      <c r="O78" s="15">
        <f t="shared" si="826"/>
        <v>0.19395833333333332</v>
      </c>
      <c r="P78" s="15">
        <f t="shared" si="826"/>
        <v>0.20630208333333333</v>
      </c>
      <c r="Q78" s="15">
        <f t="shared" si="826"/>
        <v>0.15703125000000009</v>
      </c>
      <c r="R78" s="15">
        <f t="shared" si="826"/>
        <v>0.1990625</v>
      </c>
      <c r="S78" s="15">
        <f t="shared" si="826"/>
        <v>0.19433333333333333</v>
      </c>
      <c r="T78" s="15">
        <f t="shared" si="826"/>
        <v>0.18338541666666666</v>
      </c>
      <c r="U78" s="15">
        <f t="shared" si="826"/>
        <v>0.19212499999999999</v>
      </c>
      <c r="V78" s="15">
        <f t="shared" si="826"/>
        <v>0.20244791666666664</v>
      </c>
      <c r="W78" s="15">
        <f t="shared" si="826"/>
        <v>0.22843749999999988</v>
      </c>
      <c r="X78" s="15">
        <f t="shared" si="826"/>
        <v>0.170625</v>
      </c>
      <c r="Y78"/>
      <c r="Z78" s="10"/>
      <c r="AA78" s="10"/>
      <c r="AB78"/>
      <c r="AC78" s="12"/>
      <c r="AD78" s="12"/>
      <c r="AE78" s="12"/>
      <c r="AF78" s="10"/>
      <c r="AG78" s="10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W78" s="12"/>
      <c r="BX78" s="12"/>
      <c r="CE78" s="12"/>
      <c r="CF78" s="12"/>
      <c r="CK78" s="12"/>
      <c r="CL78" s="12"/>
      <c r="CQ78" s="12"/>
      <c r="CR78" s="12"/>
      <c r="CU78"/>
      <c r="CW78" s="12"/>
      <c r="CX78" s="12"/>
      <c r="DC78" s="12"/>
      <c r="DD78" s="12"/>
      <c r="DI78" s="12"/>
      <c r="DJ78" s="12"/>
      <c r="DO78" s="12"/>
      <c r="DP78" s="12"/>
      <c r="DU78" s="12"/>
      <c r="DV78" s="12"/>
      <c r="EA78" s="12"/>
      <c r="EB78" s="12"/>
    </row>
    <row r="79" spans="1:132" ht="15.75" customHeight="1">
      <c r="A79" s="254"/>
      <c r="B79" s="108" t="s">
        <v>606</v>
      </c>
      <c r="C79" s="109"/>
      <c r="D79" s="110">
        <v>0.2</v>
      </c>
      <c r="E79" s="107">
        <v>0.2</v>
      </c>
      <c r="F79" s="111">
        <v>0.2</v>
      </c>
      <c r="G79" s="111">
        <v>0.2</v>
      </c>
      <c r="H79" s="111">
        <v>0.2</v>
      </c>
      <c r="I79" s="111">
        <v>0.2</v>
      </c>
      <c r="J79" s="111">
        <v>0.2</v>
      </c>
      <c r="K79" s="111">
        <v>0.21</v>
      </c>
      <c r="L79" s="111">
        <v>0.21</v>
      </c>
      <c r="M79" s="111">
        <v>0.21</v>
      </c>
      <c r="N79" s="111">
        <v>0.21</v>
      </c>
      <c r="O79" s="111">
        <v>0.21</v>
      </c>
      <c r="P79" s="111">
        <v>0.21</v>
      </c>
      <c r="Q79" s="111">
        <v>0.21</v>
      </c>
      <c r="R79" s="111">
        <v>0.21</v>
      </c>
      <c r="S79" s="111">
        <v>0.21</v>
      </c>
      <c r="T79" s="111"/>
      <c r="U79" s="111"/>
      <c r="V79" s="111"/>
      <c r="W79" s="111"/>
      <c r="X79" s="111"/>
      <c r="Y79"/>
      <c r="Z79" s="10"/>
      <c r="AA79" s="10"/>
      <c r="AB79"/>
      <c r="AC79" s="12"/>
      <c r="AD79" s="12"/>
      <c r="AE79" s="12"/>
      <c r="AF79" s="10"/>
      <c r="AG79" s="10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W79" s="12"/>
      <c r="BX79" s="12"/>
      <c r="CE79" s="12"/>
      <c r="CF79" s="12"/>
      <c r="CK79" s="12"/>
      <c r="CL79" s="12"/>
      <c r="CQ79" s="12"/>
      <c r="CR79" s="12"/>
      <c r="CU79"/>
      <c r="CW79" s="12"/>
      <c r="CX79" s="12"/>
      <c r="DC79" s="12"/>
      <c r="DD79" s="12"/>
      <c r="DI79" s="12"/>
      <c r="DJ79" s="12"/>
      <c r="DO79" s="12"/>
      <c r="DP79" s="12"/>
      <c r="DU79" s="12"/>
      <c r="DV79" s="12"/>
      <c r="EA79" s="12"/>
      <c r="EB79" s="12"/>
    </row>
    <row r="80" spans="1:132" ht="15.75" customHeight="1">
      <c r="A80" s="253" t="s">
        <v>612</v>
      </c>
      <c r="B80" s="102" t="s">
        <v>604</v>
      </c>
      <c r="C80" s="99"/>
      <c r="D80" s="100"/>
      <c r="E80" s="101"/>
      <c r="F80" s="101"/>
      <c r="G80" s="101">
        <v>3.7875000000000014</v>
      </c>
      <c r="H80" s="101">
        <v>4.5062499999999996</v>
      </c>
      <c r="I80" s="101">
        <v>4.6639999999999997</v>
      </c>
      <c r="J80" s="101">
        <v>4.2</v>
      </c>
      <c r="K80" s="101">
        <v>4.694</v>
      </c>
      <c r="L80" s="101">
        <v>4.2850000000000001</v>
      </c>
      <c r="M80" s="101"/>
      <c r="N80" s="101">
        <v>4.3360000000000003</v>
      </c>
      <c r="O80" s="101">
        <v>4.6550000000000002</v>
      </c>
      <c r="P80" s="101">
        <v>4.9509999999999996</v>
      </c>
      <c r="Q80" s="101">
        <v>3.7687500000000025</v>
      </c>
      <c r="R80" s="101">
        <v>4.7774999999999999</v>
      </c>
      <c r="S80" s="101">
        <v>4.6639999999999997</v>
      </c>
      <c r="T80" s="101">
        <v>4.4012500000000001</v>
      </c>
      <c r="U80" s="101">
        <v>4.6109999999999998</v>
      </c>
      <c r="V80" s="101">
        <v>4.8587499999999997</v>
      </c>
      <c r="W80" s="101">
        <v>5.4824999999999973</v>
      </c>
      <c r="X80" s="101">
        <v>4.0949999999999998</v>
      </c>
      <c r="Y80"/>
      <c r="Z80" s="10"/>
      <c r="AA80" s="10"/>
      <c r="AB8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W80" s="10"/>
      <c r="BX80" s="10"/>
      <c r="CE80" s="10"/>
      <c r="CF80" s="10"/>
      <c r="CK80" s="10"/>
      <c r="CL80" s="10"/>
      <c r="CQ80" s="10"/>
      <c r="CR80" s="10"/>
      <c r="CU80"/>
      <c r="CW80" s="10"/>
      <c r="CX80" s="10"/>
      <c r="DC80" s="10"/>
      <c r="DD80" s="10"/>
      <c r="DI80" s="10"/>
      <c r="DJ80" s="10"/>
      <c r="DO80" s="10"/>
      <c r="DP80" s="10"/>
      <c r="DU80" s="10"/>
      <c r="DV80" s="10"/>
      <c r="EA80" s="10"/>
      <c r="EB80" s="10"/>
    </row>
    <row r="81" spans="1:132" ht="15.75" customHeight="1">
      <c r="A81" s="187">
        <v>43287</v>
      </c>
      <c r="B81" s="10" t="s">
        <v>605</v>
      </c>
      <c r="C81" s="103"/>
      <c r="D81" s="104">
        <v>0</v>
      </c>
      <c r="E81" s="15">
        <f>E80/24</f>
        <v>0</v>
      </c>
      <c r="F81" s="15">
        <f t="shared" ref="F81:X81" si="827">F80/24</f>
        <v>0</v>
      </c>
      <c r="G81" s="15">
        <f t="shared" si="827"/>
        <v>0.15781250000000005</v>
      </c>
      <c r="H81" s="15">
        <f t="shared" si="827"/>
        <v>0.18776041666666665</v>
      </c>
      <c r="I81" s="15">
        <f t="shared" si="827"/>
        <v>0.19433333333333333</v>
      </c>
      <c r="J81" s="15">
        <f t="shared" si="827"/>
        <v>0.17500000000000002</v>
      </c>
      <c r="K81" s="15">
        <f t="shared" si="827"/>
        <v>0.19558333333333333</v>
      </c>
      <c r="L81" s="15">
        <f t="shared" si="827"/>
        <v>0.17854166666666668</v>
      </c>
      <c r="M81" s="15">
        <f t="shared" si="827"/>
        <v>0</v>
      </c>
      <c r="N81" s="15">
        <f t="shared" si="827"/>
        <v>0.18066666666666667</v>
      </c>
      <c r="O81" s="15">
        <f t="shared" si="827"/>
        <v>0.19395833333333334</v>
      </c>
      <c r="P81" s="15">
        <f t="shared" si="827"/>
        <v>0.20629166666666665</v>
      </c>
      <c r="Q81" s="15">
        <f t="shared" si="827"/>
        <v>0.15703125000000009</v>
      </c>
      <c r="R81" s="15">
        <f t="shared" si="827"/>
        <v>0.1990625</v>
      </c>
      <c r="S81" s="15">
        <f t="shared" si="827"/>
        <v>0.19433333333333333</v>
      </c>
      <c r="T81" s="15">
        <f t="shared" si="827"/>
        <v>0.18338541666666666</v>
      </c>
      <c r="U81" s="15">
        <f t="shared" si="827"/>
        <v>0.19212499999999999</v>
      </c>
      <c r="V81" s="15">
        <f t="shared" si="827"/>
        <v>0.20244791666666664</v>
      </c>
      <c r="W81" s="15">
        <f t="shared" si="827"/>
        <v>0.22843749999999988</v>
      </c>
      <c r="X81" s="15">
        <f t="shared" si="827"/>
        <v>0.170625</v>
      </c>
      <c r="Y81"/>
      <c r="Z81" s="10"/>
      <c r="AA81" s="10"/>
      <c r="AB81"/>
      <c r="AC81" s="12"/>
      <c r="AD81" s="12"/>
      <c r="AE81" s="12"/>
      <c r="AF81" s="10"/>
      <c r="AG81" s="10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W81" s="12"/>
      <c r="BX81" s="12"/>
      <c r="CE81" s="12"/>
      <c r="CF81" s="12"/>
      <c r="CK81" s="12"/>
      <c r="CL81" s="12"/>
      <c r="CQ81" s="12"/>
      <c r="CR81" s="12"/>
      <c r="CU81"/>
      <c r="CW81" s="12"/>
      <c r="CX81" s="12"/>
      <c r="DC81" s="12"/>
      <c r="DD81" s="12"/>
      <c r="DI81" s="12"/>
      <c r="DJ81" s="12"/>
      <c r="DO81" s="12"/>
      <c r="DP81" s="12"/>
      <c r="DU81" s="12"/>
      <c r="DV81" s="12"/>
      <c r="EA81" s="12"/>
      <c r="EB81" s="12"/>
    </row>
    <row r="82" spans="1:132" ht="15.75" customHeight="1">
      <c r="A82" s="254"/>
      <c r="B82" s="108" t="s">
        <v>606</v>
      </c>
      <c r="C82" s="109"/>
      <c r="D82" s="110">
        <v>0.2</v>
      </c>
      <c r="E82" s="107">
        <v>0.2</v>
      </c>
      <c r="F82" s="111">
        <v>0.2</v>
      </c>
      <c r="G82" s="111">
        <v>0.2</v>
      </c>
      <c r="H82" s="111">
        <v>0.2</v>
      </c>
      <c r="I82" s="111">
        <v>0.2</v>
      </c>
      <c r="J82" s="111">
        <v>0.2</v>
      </c>
      <c r="K82" s="111">
        <v>0.21</v>
      </c>
      <c r="L82" s="111">
        <v>0.21</v>
      </c>
      <c r="M82" s="111">
        <v>0.21</v>
      </c>
      <c r="N82" s="111">
        <v>0.21</v>
      </c>
      <c r="O82" s="111">
        <v>0.21</v>
      </c>
      <c r="P82" s="111">
        <v>0.22</v>
      </c>
      <c r="Q82" s="111">
        <v>0.22</v>
      </c>
      <c r="R82" s="111">
        <v>0.22</v>
      </c>
      <c r="S82" s="111">
        <v>0.22</v>
      </c>
      <c r="T82" s="111">
        <v>0.22</v>
      </c>
      <c r="U82" s="111">
        <v>0.22</v>
      </c>
      <c r="V82" s="111">
        <v>0.22</v>
      </c>
      <c r="W82" s="111"/>
      <c r="X82" s="111"/>
      <c r="Y82"/>
      <c r="Z82" s="10"/>
      <c r="AA82" s="10"/>
      <c r="AB82"/>
      <c r="AC82" s="12"/>
      <c r="AD82" s="12"/>
      <c r="AE82" s="12"/>
      <c r="AF82" s="10"/>
      <c r="AG82" s="10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W82" s="12"/>
      <c r="BX82" s="12"/>
      <c r="CE82" s="12"/>
      <c r="CF82" s="12"/>
      <c r="CK82" s="12"/>
      <c r="CL82" s="12"/>
      <c r="CQ82" s="12"/>
      <c r="CR82" s="12"/>
      <c r="CU82"/>
      <c r="CW82" s="12"/>
      <c r="CX82" s="12"/>
      <c r="DC82" s="12"/>
      <c r="DD82" s="12"/>
      <c r="DI82" s="12"/>
      <c r="DJ82" s="12"/>
      <c r="DO82" s="12"/>
      <c r="DP82" s="12"/>
      <c r="DU82" s="12"/>
      <c r="DV82" s="12"/>
      <c r="EA82" s="12"/>
      <c r="EB82" s="12"/>
    </row>
    <row r="83" spans="1:132" ht="15.75" customHeight="1">
      <c r="A83" s="253" t="s">
        <v>613</v>
      </c>
      <c r="B83" s="102" t="s">
        <v>604</v>
      </c>
      <c r="C83" s="99"/>
      <c r="D83" s="100"/>
      <c r="E83" s="101">
        <f>AVERAGE(I4:I12)</f>
        <v>3.1911111111111108</v>
      </c>
      <c r="F83" s="101">
        <f>AVERAGE(M4:M12)</f>
        <v>4.0377777777777784</v>
      </c>
      <c r="G83" s="101">
        <f>AVERAGE(S4:S12)</f>
        <v>3.852222222222224</v>
      </c>
      <c r="H83" s="101">
        <f>AVERAGE(Y4:Y12)</f>
        <v>4.5111111111111102</v>
      </c>
      <c r="I83" s="101">
        <f>AVERAGE(AE4:AE12)</f>
        <v>4.5011111111111104</v>
      </c>
      <c r="J83" s="101">
        <f>AVERAGE(AK4:AK12)</f>
        <v>4.4877777777777776</v>
      </c>
      <c r="K83" s="101">
        <f>AVERAGE(AQ4:AQ12)</f>
        <v>4.5966666666666676</v>
      </c>
      <c r="L83" s="101">
        <f>AVERAGE(AW4:AW12)</f>
        <v>4.2533333333333339</v>
      </c>
      <c r="M83" s="101">
        <f>AVERAGE(BC4:BC12)</f>
        <v>4.6344444444444486</v>
      </c>
      <c r="N83" s="101">
        <f>AVERAGE(BI4:BI12)</f>
        <v>4.3355555555555521</v>
      </c>
      <c r="O83" s="101">
        <f>AVERAGE(BO4:BO12)</f>
        <v>4.6677777777777782</v>
      </c>
      <c r="P83" s="101">
        <f>AVERAGE(BU4:BU12)</f>
        <v>4.8066666666666675</v>
      </c>
      <c r="Q83" s="101">
        <f>AVERAGE(CC4:CC12)</f>
        <v>6.1622222222222254</v>
      </c>
      <c r="R83" s="101">
        <f>AVERAGE(CI4:CI12)</f>
        <v>4.5988888888888901</v>
      </c>
      <c r="S83" s="101">
        <f>AVERAGE(CO4:CO12)</f>
        <v>4.5577777777777824</v>
      </c>
      <c r="T83" s="101">
        <f>AVERAGE(CU4:CU12)</f>
        <v>4.3333333333333348</v>
      </c>
      <c r="U83" s="101">
        <f>AVERAGE(DA4:DA12)</f>
        <v>4.4655555555555555</v>
      </c>
      <c r="V83" s="101">
        <f>AVERAGE(DG4:DG12)</f>
        <v>4.7400000000000011</v>
      </c>
      <c r="W83" s="101">
        <f>AVERAGE(DM4:DM12)</f>
        <v>5.2822222222222202</v>
      </c>
      <c r="X83" s="101">
        <f>AVERAGE(DS4:DS12)</f>
        <v>4.1277777777777755</v>
      </c>
      <c r="Y83" s="397"/>
      <c r="Z83" s="10"/>
      <c r="AA83" s="10"/>
      <c r="AB83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W83" s="10"/>
      <c r="BX83" s="10"/>
      <c r="CE83" s="10"/>
      <c r="CF83" s="10"/>
      <c r="CK83" s="10"/>
      <c r="CL83" s="10"/>
      <c r="CQ83" s="10"/>
      <c r="CR83" s="10"/>
      <c r="CU83"/>
      <c r="CW83" s="10"/>
      <c r="CX83" s="10"/>
      <c r="DC83" s="10"/>
      <c r="DD83" s="10"/>
      <c r="DI83" s="10"/>
      <c r="DJ83" s="10"/>
      <c r="DO83" s="10"/>
      <c r="DP83" s="10"/>
      <c r="DU83" s="10"/>
      <c r="DV83" s="10"/>
      <c r="EA83" s="10"/>
      <c r="EB83" s="10"/>
    </row>
    <row r="84" spans="1:132" ht="15.75" customHeight="1">
      <c r="A84" s="187">
        <v>43742</v>
      </c>
      <c r="B84" s="10" t="s">
        <v>605</v>
      </c>
      <c r="C84" s="103"/>
      <c r="D84" s="104">
        <v>0</v>
      </c>
      <c r="E84" s="15">
        <f>E83/24</f>
        <v>0.13296296296296295</v>
      </c>
      <c r="F84" s="15">
        <f>F83/24</f>
        <v>0.16824074074074077</v>
      </c>
      <c r="G84" s="15">
        <f t="shared" ref="G84:U84" si="828">G83/24</f>
        <v>0.16050925925925932</v>
      </c>
      <c r="H84" s="15">
        <f t="shared" ref="H84:I84" si="829">H83/24</f>
        <v>0.18796296296296292</v>
      </c>
      <c r="I84" s="15">
        <f t="shared" si="829"/>
        <v>0.18754629629629627</v>
      </c>
      <c r="J84" s="15">
        <f t="shared" ref="J84:K84" si="830">J83/24</f>
        <v>0.18699074074074074</v>
      </c>
      <c r="K84" s="15">
        <f t="shared" si="830"/>
        <v>0.19152777777777782</v>
      </c>
      <c r="L84" s="15">
        <f t="shared" ref="L84:M84" si="831">L83/24</f>
        <v>0.17722222222222225</v>
      </c>
      <c r="M84" s="15">
        <f t="shared" si="831"/>
        <v>0.19310185185185202</v>
      </c>
      <c r="N84" s="15">
        <f t="shared" si="828"/>
        <v>0.180648148148148</v>
      </c>
      <c r="O84" s="15">
        <f t="shared" ref="O84" si="832">O83/24</f>
        <v>0.19449074074074077</v>
      </c>
      <c r="P84" s="15">
        <f t="shared" ref="P84:Q84" si="833">P83/24</f>
        <v>0.2002777777777778</v>
      </c>
      <c r="Q84" s="15">
        <f t="shared" si="833"/>
        <v>0.25675925925925941</v>
      </c>
      <c r="R84" s="15">
        <f t="shared" ref="R84:S84" si="834">R83/24</f>
        <v>0.19162037037037041</v>
      </c>
      <c r="S84" s="15">
        <f t="shared" si="834"/>
        <v>0.18990740740740761</v>
      </c>
      <c r="T84" s="15">
        <f t="shared" ref="T84" si="835">T83/24</f>
        <v>0.18055555555555561</v>
      </c>
      <c r="U84" s="15">
        <f t="shared" si="828"/>
        <v>0.18606481481481482</v>
      </c>
      <c r="V84" s="15">
        <f t="shared" ref="V84:W84" si="836">V83/24</f>
        <v>0.19750000000000004</v>
      </c>
      <c r="W84" s="15">
        <f t="shared" si="836"/>
        <v>0.22009259259259251</v>
      </c>
      <c r="X84" s="15">
        <f t="shared" ref="X84" si="837">X83/24</f>
        <v>0.17199074074074064</v>
      </c>
      <c r="Y84"/>
      <c r="Z84" s="10"/>
      <c r="AA84" s="10"/>
      <c r="AB84"/>
      <c r="AC84" s="12"/>
      <c r="AD84" s="12"/>
      <c r="AE84" s="12"/>
      <c r="AF84" s="10"/>
      <c r="AG84" s="10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W84" s="12"/>
      <c r="BX84" s="12"/>
      <c r="CE84" s="12"/>
      <c r="CF84" s="12"/>
      <c r="CK84" s="12"/>
      <c r="CL84" s="12"/>
      <c r="CQ84" s="12"/>
      <c r="CR84" s="12"/>
      <c r="CU84"/>
      <c r="CW84" s="12"/>
      <c r="CX84" s="12"/>
      <c r="DC84" s="12"/>
      <c r="DD84" s="12"/>
      <c r="DI84" s="12"/>
      <c r="DJ84" s="12"/>
      <c r="DO84" s="12"/>
      <c r="DP84" s="12"/>
      <c r="DU84" s="12"/>
      <c r="DV84" s="12"/>
      <c r="EA84" s="12"/>
      <c r="EB84" s="12"/>
    </row>
    <row r="85" spans="1:132" ht="15.75" customHeight="1">
      <c r="A85" s="254"/>
      <c r="B85" s="108" t="s">
        <v>606</v>
      </c>
      <c r="C85" s="109"/>
      <c r="D85" s="110">
        <v>0.2</v>
      </c>
      <c r="E85" s="107">
        <v>0.2</v>
      </c>
      <c r="F85" s="111">
        <v>0.2</v>
      </c>
      <c r="G85" s="111">
        <v>0.2</v>
      </c>
      <c r="H85" s="111">
        <v>0.2</v>
      </c>
      <c r="I85" s="111">
        <v>0.2</v>
      </c>
      <c r="J85" s="111">
        <v>0.2</v>
      </c>
      <c r="K85" s="111">
        <v>0.2</v>
      </c>
      <c r="L85" s="111">
        <v>0.22</v>
      </c>
      <c r="M85" s="111">
        <v>0.22</v>
      </c>
      <c r="N85" s="111">
        <v>0.22</v>
      </c>
      <c r="O85" s="111">
        <v>0.22</v>
      </c>
      <c r="P85" s="111">
        <v>0.22</v>
      </c>
      <c r="Q85" s="111">
        <v>0.22</v>
      </c>
      <c r="R85" s="111">
        <v>0.22</v>
      </c>
      <c r="S85" s="111">
        <v>0.22</v>
      </c>
      <c r="T85" s="111">
        <v>0.22</v>
      </c>
      <c r="U85" s="111">
        <v>0.22</v>
      </c>
      <c r="V85" s="111">
        <v>0.22</v>
      </c>
      <c r="W85" s="111">
        <v>0.22</v>
      </c>
      <c r="X85" s="111">
        <v>0.22</v>
      </c>
      <c r="Y85"/>
      <c r="Z85" s="10"/>
      <c r="AA85" s="10"/>
      <c r="AB85"/>
      <c r="AC85" s="12"/>
      <c r="AD85" s="12"/>
      <c r="AE85" s="12"/>
      <c r="AF85" s="10"/>
      <c r="AG85" s="10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W85" s="12"/>
      <c r="BX85" s="12"/>
      <c r="CE85" s="12"/>
      <c r="CF85" s="12"/>
      <c r="CK85" s="12"/>
      <c r="CL85" s="12"/>
      <c r="CQ85" s="12"/>
      <c r="CR85" s="12"/>
      <c r="CU85"/>
      <c r="CW85" s="12"/>
      <c r="CX85" s="12"/>
      <c r="DC85" s="12"/>
      <c r="DD85" s="12"/>
      <c r="DI85" s="12"/>
      <c r="DJ85" s="12"/>
      <c r="DO85" s="12"/>
      <c r="DP85" s="12"/>
      <c r="DU85" s="12"/>
      <c r="DV85" s="12"/>
      <c r="EA85" s="12"/>
      <c r="EB85" s="12"/>
    </row>
    <row r="86" spans="1:132" ht="15.75"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E86" s="12"/>
      <c r="CF86" s="12"/>
      <c r="CK86" s="12"/>
      <c r="CL86" s="12"/>
      <c r="CQ86" s="12"/>
      <c r="CR86" s="12"/>
      <c r="CW86" s="12"/>
      <c r="CX86" s="12"/>
      <c r="DC86" s="12"/>
      <c r="DD86" s="12"/>
      <c r="DE86"/>
      <c r="DI86" s="12"/>
      <c r="DJ86" s="12"/>
      <c r="DO86" s="12"/>
      <c r="DP86" s="12"/>
      <c r="DU86" s="12"/>
      <c r="DV86" s="12"/>
      <c r="EA86" s="12"/>
      <c r="EB86" s="12"/>
    </row>
    <row r="87" spans="1:132" ht="15.75">
      <c r="A87" s="3" t="s">
        <v>614</v>
      </c>
      <c r="S87" s="3" t="s">
        <v>616</v>
      </c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E87" s="12"/>
      <c r="CF87" s="12"/>
      <c r="CK87" s="12"/>
      <c r="CL87" s="12"/>
      <c r="CQ87" s="12"/>
      <c r="CR87" s="12"/>
      <c r="CW87" s="12"/>
      <c r="CX87" s="12"/>
      <c r="DC87" s="12"/>
      <c r="DD87" s="12"/>
      <c r="DE87"/>
      <c r="DI87" s="12"/>
      <c r="DJ87" s="12"/>
      <c r="DO87" s="12"/>
      <c r="DP87" s="12"/>
      <c r="DU87" s="12"/>
      <c r="DV87" s="12"/>
      <c r="EA87" s="12"/>
      <c r="EB87" s="12"/>
    </row>
    <row r="88" spans="1:132" ht="15.75">
      <c r="A88" s="79" t="s">
        <v>347</v>
      </c>
      <c r="B88" s="80" t="s">
        <v>617</v>
      </c>
      <c r="C88" s="81" t="s">
        <v>618</v>
      </c>
      <c r="D88" s="80" t="s">
        <v>284</v>
      </c>
      <c r="E88" s="81" t="s">
        <v>344</v>
      </c>
      <c r="F88" s="80" t="s">
        <v>345</v>
      </c>
      <c r="G88" s="81" t="s">
        <v>346</v>
      </c>
      <c r="I88" s="79" t="s">
        <v>347</v>
      </c>
      <c r="J88" s="82" t="s">
        <v>619</v>
      </c>
      <c r="K88" s="82" t="s">
        <v>620</v>
      </c>
      <c r="L88" s="82" t="s">
        <v>621</v>
      </c>
      <c r="M88" s="82" t="s">
        <v>622</v>
      </c>
      <c r="N88" s="82" t="s">
        <v>623</v>
      </c>
      <c r="O88" s="82" t="s">
        <v>624</v>
      </c>
      <c r="Q88" s="79" t="s">
        <v>347</v>
      </c>
      <c r="R88" s="80" t="s">
        <v>617</v>
      </c>
      <c r="S88" s="81" t="s">
        <v>618</v>
      </c>
      <c r="T88" s="80" t="s">
        <v>284</v>
      </c>
      <c r="U88" s="81" t="s">
        <v>344</v>
      </c>
      <c r="V88" s="80" t="s">
        <v>345</v>
      </c>
      <c r="W88" s="81" t="s">
        <v>346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W88" s="12"/>
      <c r="BX88" s="12"/>
      <c r="CE88" s="12"/>
      <c r="CF88" s="12"/>
      <c r="CK88" s="12"/>
      <c r="CL88" s="12"/>
      <c r="CQ88" s="12"/>
      <c r="CR88" s="12"/>
      <c r="CU88"/>
      <c r="CW88" s="12"/>
      <c r="CX88" s="12"/>
      <c r="DC88" s="12"/>
      <c r="DD88" s="12"/>
      <c r="DI88" s="12"/>
      <c r="DJ88" s="12"/>
      <c r="DO88" s="12"/>
      <c r="DP88" s="12"/>
      <c r="DU88" s="12"/>
      <c r="DV88" s="12"/>
      <c r="EA88" s="12"/>
      <c r="EB88" s="12"/>
    </row>
    <row r="89" spans="1:132">
      <c r="A89" s="83">
        <v>0</v>
      </c>
      <c r="B89" s="10">
        <v>0</v>
      </c>
      <c r="C89" s="14">
        <v>0</v>
      </c>
      <c r="D89" s="10">
        <v>0</v>
      </c>
      <c r="E89" s="14">
        <v>0</v>
      </c>
      <c r="F89" s="10">
        <v>0</v>
      </c>
      <c r="G89" s="14">
        <v>0</v>
      </c>
      <c r="I89" s="83">
        <v>0</v>
      </c>
      <c r="J89" s="84"/>
      <c r="K89" s="84"/>
      <c r="L89" s="84"/>
      <c r="M89" s="84"/>
      <c r="N89" s="84"/>
      <c r="O89" s="84"/>
      <c r="Q89" s="83">
        <v>0</v>
      </c>
      <c r="R89" s="10">
        <f t="shared" ref="R89:W89" si="838">B89*3.6352772</f>
        <v>0</v>
      </c>
      <c r="S89" s="135">
        <f t="shared" si="838"/>
        <v>0</v>
      </c>
      <c r="T89" s="10">
        <f t="shared" si="838"/>
        <v>0</v>
      </c>
      <c r="U89" s="135">
        <f t="shared" si="838"/>
        <v>0</v>
      </c>
      <c r="V89" s="10">
        <f t="shared" si="838"/>
        <v>0</v>
      </c>
      <c r="W89" s="135">
        <f t="shared" si="838"/>
        <v>0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DC89" s="12"/>
      <c r="DD89" s="12"/>
      <c r="DI89" s="12"/>
      <c r="DJ89" s="12"/>
      <c r="DO89" s="12"/>
      <c r="DP89" s="12"/>
      <c r="DU89" s="12"/>
      <c r="DV89" s="12"/>
      <c r="EA89" s="12"/>
      <c r="EB89" s="12"/>
    </row>
    <row r="90" spans="1:132">
      <c r="A90" s="83">
        <v>1</v>
      </c>
      <c r="B90" s="10">
        <f>I16</f>
        <v>3.1911111111111108</v>
      </c>
      <c r="C90" s="14">
        <f>I17</f>
        <v>0.15658193137960749</v>
      </c>
      <c r="D90" s="10">
        <f>I28</f>
        <v>4.202500000000005</v>
      </c>
      <c r="E90" s="14">
        <f>I29</f>
        <v>0.16265377339613113</v>
      </c>
      <c r="F90" s="10">
        <f>I42</f>
        <v>2.16777777777778</v>
      </c>
      <c r="G90" s="14">
        <f>I43</f>
        <v>0.27722875448431644</v>
      </c>
      <c r="H90" s="3"/>
      <c r="I90" s="83">
        <v>1</v>
      </c>
      <c r="J90" s="56">
        <f>I16</f>
        <v>3.1911111111111108</v>
      </c>
      <c r="K90" s="56">
        <f>I17</f>
        <v>0.15658193137960749</v>
      </c>
      <c r="L90" s="56">
        <f>I28</f>
        <v>4.202500000000005</v>
      </c>
      <c r="M90" s="56">
        <f>I29</f>
        <v>0.16265377339613113</v>
      </c>
      <c r="N90" s="56">
        <f>I42</f>
        <v>2.16777777777778</v>
      </c>
      <c r="O90" s="56">
        <f>I43</f>
        <v>0.27722875448431644</v>
      </c>
      <c r="P90" s="3"/>
      <c r="Q90" s="83">
        <v>1</v>
      </c>
      <c r="R90" s="168">
        <f>$J$16</f>
        <v>11.600573607084801</v>
      </c>
      <c r="S90" s="14">
        <f>$J$17</f>
        <v>0.56921873205354345</v>
      </c>
      <c r="T90" s="10">
        <f>$J$28</f>
        <v>15.27725262026342</v>
      </c>
      <c r="U90" s="14">
        <f>$J$29</f>
        <v>0.59129156116876957</v>
      </c>
      <c r="V90" s="10">
        <f>$J$42</f>
        <v>7.8804732268184079</v>
      </c>
      <c r="W90" s="14">
        <f>$J$43</f>
        <v>1.0078033827145476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DC90" s="3"/>
      <c r="DD90" s="3"/>
      <c r="DI90" s="3"/>
      <c r="DJ90" s="3"/>
      <c r="DO90" s="3"/>
      <c r="DP90" s="3"/>
      <c r="DU90" s="3"/>
      <c r="DV90" s="3"/>
      <c r="EA90" s="3"/>
      <c r="EB90" s="3"/>
    </row>
    <row r="91" spans="1:132">
      <c r="A91" s="83">
        <v>2</v>
      </c>
      <c r="B91" s="10">
        <f>N16</f>
        <v>7.2288888888888891</v>
      </c>
      <c r="C91" s="14">
        <f>N17</f>
        <v>0.22433509437424629</v>
      </c>
      <c r="D91" s="12">
        <f>N28</f>
        <v>8.6437500000000043</v>
      </c>
      <c r="E91" s="50">
        <f>N29</f>
        <v>0.32342993003563736</v>
      </c>
      <c r="F91" s="12">
        <f>N42</f>
        <v>5.5377777777777757</v>
      </c>
      <c r="G91" s="50">
        <f>N43</f>
        <v>0.53824503346466979</v>
      </c>
      <c r="I91" s="83">
        <v>2</v>
      </c>
      <c r="J91" s="84">
        <f>M16</f>
        <v>4.0377777777777784</v>
      </c>
      <c r="K91" s="84">
        <f>M17</f>
        <v>0.18993988652683616</v>
      </c>
      <c r="L91" s="84">
        <f>M28</f>
        <v>4.4412500000000001</v>
      </c>
      <c r="M91" s="84">
        <f>M29</f>
        <v>0.19805696781481819</v>
      </c>
      <c r="N91" s="84">
        <f>M42</f>
        <v>3.3699999999999957</v>
      </c>
      <c r="O91" s="84">
        <f>M43</f>
        <v>0.31684644019882263</v>
      </c>
      <c r="Q91" s="83">
        <v>2</v>
      </c>
      <c r="R91" s="168">
        <f>$P$16</f>
        <v>26.2790152812304</v>
      </c>
      <c r="S91" s="14">
        <f>$P$17</f>
        <v>0.81552026373491771</v>
      </c>
      <c r="T91" s="10">
        <f>$P$28</f>
        <v>31.422427682665521</v>
      </c>
      <c r="U91" s="14">
        <f>$P$29</f>
        <v>1.1757574648681859</v>
      </c>
      <c r="V91" s="10">
        <f>$P$42</f>
        <v>20.131357540985594</v>
      </c>
      <c r="W91" s="14">
        <f>$P$43</f>
        <v>1.9566699221515478</v>
      </c>
    </row>
    <row r="92" spans="1:132">
      <c r="A92" s="83">
        <v>3</v>
      </c>
      <c r="B92" s="10">
        <f>T16</f>
        <v>11.081111111111113</v>
      </c>
      <c r="C92" s="14">
        <f>T17</f>
        <v>0.33995279265593492</v>
      </c>
      <c r="D92" s="10">
        <f>T28</f>
        <v>13.386250000000002</v>
      </c>
      <c r="E92" s="14">
        <f>T29</f>
        <v>0.40556810904141655</v>
      </c>
      <c r="F92" s="10">
        <f>T42</f>
        <v>9.4544444444444409</v>
      </c>
      <c r="G92" s="14">
        <f>T43</f>
        <v>0.74851911411634731</v>
      </c>
      <c r="I92" s="83">
        <v>3</v>
      </c>
      <c r="J92" s="84">
        <f>S16</f>
        <v>3.852222222222224</v>
      </c>
      <c r="K92" s="84">
        <f>S17</f>
        <v>0.21040818648111459</v>
      </c>
      <c r="L92" s="84">
        <f>S28</f>
        <v>4.7424999999999979</v>
      </c>
      <c r="M92" s="84">
        <f>S29</f>
        <v>0.11983247234607064</v>
      </c>
      <c r="N92" s="84">
        <f>S42</f>
        <v>3.9166666666666652</v>
      </c>
      <c r="O92" s="84">
        <f>S43</f>
        <v>0.25089838580588347</v>
      </c>
      <c r="Q92" s="83">
        <v>3</v>
      </c>
      <c r="R92" s="10">
        <f>$V$16</f>
        <v>40.28291106666321</v>
      </c>
      <c r="S92" s="14">
        <f>$V$17</f>
        <v>1.2358226513667436</v>
      </c>
      <c r="T92" s="10">
        <f>$V$28</f>
        <v>48.662730014991311</v>
      </c>
      <c r="U92" s="14">
        <f>$V$29</f>
        <v>1.4743525179174912</v>
      </c>
      <c r="V92" s="10">
        <f>$V$42</f>
        <v>34.369526748845587</v>
      </c>
      <c r="W92" s="14">
        <f>$V$43</f>
        <v>2.721074502665374</v>
      </c>
    </row>
    <row r="93" spans="1:132">
      <c r="A93" s="83">
        <v>4</v>
      </c>
      <c r="B93" s="10">
        <f>Z16</f>
        <v>15.592222222222224</v>
      </c>
      <c r="C93" s="14">
        <f>Z17</f>
        <v>0.44684317960610526</v>
      </c>
      <c r="D93" s="10">
        <f>Z28</f>
        <v>17.977499999999999</v>
      </c>
      <c r="E93" s="14">
        <f>Z29</f>
        <v>0.53903601125395406</v>
      </c>
      <c r="F93" s="10">
        <f>Z42</f>
        <v>13.654444444444444</v>
      </c>
      <c r="G93" s="14">
        <f>Z43</f>
        <v>0.99948196458507776</v>
      </c>
      <c r="I93" s="83">
        <v>4</v>
      </c>
      <c r="J93" s="84">
        <f>Y16</f>
        <v>4.5111111111111102</v>
      </c>
      <c r="K93" s="84">
        <f>Y17</f>
        <v>0.20219245812704453</v>
      </c>
      <c r="L93" s="84">
        <f>Y28</f>
        <v>4.5912499999999969</v>
      </c>
      <c r="M93" s="84">
        <f>Y29</f>
        <v>0.15026687568646205</v>
      </c>
      <c r="N93" s="84">
        <f>Y42</f>
        <v>4.2000000000000028</v>
      </c>
      <c r="O93" s="84">
        <f>Y43</f>
        <v>0.26428625053570415</v>
      </c>
      <c r="Q93" s="83">
        <v>4</v>
      </c>
      <c r="R93" s="10">
        <f>$AB$16</f>
        <v>56.682050636567205</v>
      </c>
      <c r="S93" s="14">
        <f>$AB$17</f>
        <v>1.6243988427089116</v>
      </c>
      <c r="T93" s="10">
        <f>$AB$28</f>
        <v>65.353196664077402</v>
      </c>
      <c r="U93" s="14">
        <f>$AB$29</f>
        <v>1.9595453457098884</v>
      </c>
      <c r="V93" s="10">
        <f>$AB$42</f>
        <v>49.637691175997595</v>
      </c>
      <c r="W93" s="14">
        <f>$AB$43</f>
        <v>3.6333940422042765</v>
      </c>
    </row>
    <row r="94" spans="1:132">
      <c r="A94" s="83">
        <v>5</v>
      </c>
      <c r="B94" s="10">
        <f>AF16</f>
        <v>20.093333333333334</v>
      </c>
      <c r="C94" s="14">
        <f>AF17</f>
        <v>0.69885819575774866</v>
      </c>
      <c r="D94" s="10">
        <f>AF28</f>
        <v>22.606249999999996</v>
      </c>
      <c r="E94" s="14">
        <f>AF29</f>
        <v>0.64708394658542967</v>
      </c>
      <c r="F94" s="10">
        <f>AF42</f>
        <v>18.391111111111115</v>
      </c>
      <c r="G94" s="14">
        <f>AF43</f>
        <v>1.0169049508249663</v>
      </c>
      <c r="I94" s="83">
        <v>5</v>
      </c>
      <c r="J94" s="84">
        <f>AE16</f>
        <v>4.5011111111111104</v>
      </c>
      <c r="K94" s="84">
        <f>AE17</f>
        <v>0.48231053978751409</v>
      </c>
      <c r="L94" s="84">
        <f>AE28</f>
        <v>4.6287499999999966</v>
      </c>
      <c r="M94" s="84">
        <f>AE29</f>
        <v>0.14534979360150521</v>
      </c>
      <c r="N94" s="84">
        <f>AE42</f>
        <v>4.7366666666666744</v>
      </c>
      <c r="O94" s="84">
        <f>AE43</f>
        <v>0.27138021707969356</v>
      </c>
      <c r="Q94" s="83">
        <v>5</v>
      </c>
      <c r="R94" s="10">
        <f>$AH$16</f>
        <v>73.044837434025609</v>
      </c>
      <c r="S94" s="14">
        <f>$AH$17</f>
        <v>2.5405432962124004</v>
      </c>
      <c r="T94" s="10">
        <f>$AH$28</f>
        <v>82.179986209834482</v>
      </c>
      <c r="U94" s="14">
        <f>$AH$29</f>
        <v>2.3523295463420921</v>
      </c>
      <c r="V94" s="10">
        <f>$AH$42</f>
        <v>66.856787724396838</v>
      </c>
      <c r="W94" s="14">
        <f>$AH$43</f>
        <v>3.6967314276143939</v>
      </c>
    </row>
    <row r="95" spans="1:132">
      <c r="A95" s="83">
        <v>6</v>
      </c>
      <c r="B95" s="12">
        <f>AL16</f>
        <v>24.581111111111113</v>
      </c>
      <c r="C95" s="50">
        <f>AL17</f>
        <v>0.85972935735685496</v>
      </c>
      <c r="D95" s="12">
        <f>AL28</f>
        <v>27.344999999999985</v>
      </c>
      <c r="E95" s="50">
        <f>AL29</f>
        <v>0.89209624720974756</v>
      </c>
      <c r="F95" s="12">
        <f>AL42</f>
        <v>22.712222222222231</v>
      </c>
      <c r="G95" s="50">
        <f>AL43</f>
        <v>1.1709241100963494</v>
      </c>
      <c r="H95" s="10"/>
      <c r="I95" s="83">
        <v>6</v>
      </c>
      <c r="J95" s="84">
        <f>AK16</f>
        <v>4.4877777777777776</v>
      </c>
      <c r="K95" s="84">
        <f>AK17</f>
        <v>0.31215548911194191</v>
      </c>
      <c r="L95" s="84">
        <f>AK28</f>
        <v>4.7387499999999889</v>
      </c>
      <c r="M95" s="84">
        <f>AK29</f>
        <v>0.3685271723845</v>
      </c>
      <c r="N95" s="84">
        <f>AK42</f>
        <v>4.3211111111111142</v>
      </c>
      <c r="O95" s="84">
        <f>AK43</f>
        <v>0.31658965925260102</v>
      </c>
      <c r="P95" s="10"/>
      <c r="Q95" s="83">
        <v>6</v>
      </c>
      <c r="R95" s="10">
        <f>$AN$16</f>
        <v>89.359153868223203</v>
      </c>
      <c r="S95" s="14">
        <f>$AN$17</f>
        <v>3.1253545692795659</v>
      </c>
      <c r="T95" s="10">
        <f>$AN$28</f>
        <v>99.40665625249315</v>
      </c>
      <c r="U95" s="14">
        <f>$AN$29</f>
        <v>3.2430171874389693</v>
      </c>
      <c r="V95" s="10">
        <f>$AN$42</f>
        <v>82.565224617834431</v>
      </c>
      <c r="W95" s="14">
        <f>$AN$43</f>
        <v>4.2566337725399128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DC95" s="10"/>
      <c r="DD95" s="10"/>
      <c r="DI95" s="10"/>
      <c r="DJ95" s="10"/>
      <c r="DO95" s="10"/>
      <c r="DP95" s="10"/>
      <c r="DU95" s="10"/>
      <c r="DV95" s="10"/>
      <c r="EA95" s="10"/>
      <c r="EB95" s="10"/>
    </row>
    <row r="96" spans="1:132">
      <c r="A96" s="83">
        <v>7</v>
      </c>
      <c r="B96" s="10">
        <f>AR16</f>
        <v>29.177777777777781</v>
      </c>
      <c r="C96" s="14">
        <f>AR17</f>
        <v>0.92887892073332745</v>
      </c>
      <c r="D96" s="10">
        <f>AR28</f>
        <v>32.068749999999987</v>
      </c>
      <c r="E96" s="14">
        <f>AR29</f>
        <v>0.9842318206528915</v>
      </c>
      <c r="F96" s="10">
        <f>AR42</f>
        <v>26.741111111111117</v>
      </c>
      <c r="G96" s="14">
        <f>AR43</f>
        <v>1.1650231810336038</v>
      </c>
      <c r="I96" s="83">
        <v>7</v>
      </c>
      <c r="J96" s="84">
        <f>AQ16</f>
        <v>4.5966666666666676</v>
      </c>
      <c r="K96" s="84">
        <f>AQ17</f>
        <v>0.16295023098411929</v>
      </c>
      <c r="L96" s="84">
        <f>AQ28</f>
        <v>4.7237500000000052</v>
      </c>
      <c r="M96" s="84">
        <f>AQ29</f>
        <v>0.26650474064397922</v>
      </c>
      <c r="N96" s="84">
        <f>AQ42</f>
        <v>4.0288888888888845</v>
      </c>
      <c r="O96" s="84">
        <f>AQ43</f>
        <v>0.20804943619542463</v>
      </c>
      <c r="Q96" s="83">
        <v>7</v>
      </c>
      <c r="R96" s="10">
        <f>$AT$16</f>
        <v>106.06931160238402</v>
      </c>
      <c r="S96" s="14">
        <f>$AT$17</f>
        <v>3.3767324034933157</v>
      </c>
      <c r="T96" s="10">
        <f>$AT$28</f>
        <v>116.57879713648349</v>
      </c>
      <c r="U96" s="14">
        <f>$AT$29</f>
        <v>3.5779555409913177</v>
      </c>
      <c r="V96" s="10">
        <f>$AT$42</f>
        <v>97.211352716472831</v>
      </c>
      <c r="W96" s="14">
        <f>$AT$43</f>
        <v>4.235182259396379</v>
      </c>
    </row>
    <row r="97" spans="1:23" ht="12" customHeight="1">
      <c r="A97" s="83">
        <v>8</v>
      </c>
      <c r="B97" s="10">
        <f>AX16</f>
        <v>33.431111111111107</v>
      </c>
      <c r="C97" s="14">
        <f>AX17</f>
        <v>1.0820549437226206</v>
      </c>
      <c r="D97" s="10">
        <f>AX28</f>
        <v>37.473749999999988</v>
      </c>
      <c r="E97" s="14">
        <f>AX29</f>
        <v>0.92852790076550507</v>
      </c>
      <c r="F97" s="10">
        <f>AX42</f>
        <v>30.621111111111119</v>
      </c>
      <c r="G97" s="14">
        <f>AX43</f>
        <v>1.294450166892432</v>
      </c>
      <c r="I97" s="83">
        <v>8</v>
      </c>
      <c r="J97" s="84">
        <f>AW16</f>
        <v>4.2533333333333339</v>
      </c>
      <c r="K97" s="84">
        <f>AW17</f>
        <v>0.28362729848243534</v>
      </c>
      <c r="L97" s="84">
        <f>AW28</f>
        <v>5.4049999999999958</v>
      </c>
      <c r="M97" s="84">
        <f>AW29</f>
        <v>0.56251666641976117</v>
      </c>
      <c r="N97" s="84">
        <f>AW42</f>
        <v>3.8799999999999986</v>
      </c>
      <c r="O97" s="84">
        <f>AW43</f>
        <v>0.30533679037344008</v>
      </c>
      <c r="Q97" s="83">
        <v>8</v>
      </c>
      <c r="R97" s="10">
        <f>AZ16</f>
        <v>121.53135748257922</v>
      </c>
      <c r="S97" s="14">
        <f>AZ17</f>
        <v>3.9335697142784927</v>
      </c>
      <c r="T97" s="10">
        <f>AZ28</f>
        <v>136.22747064333024</v>
      </c>
      <c r="U97" s="14">
        <f>AZ29</f>
        <v>3.3754563485919085</v>
      </c>
      <c r="V97" s="10">
        <f t="shared" ref="V97" si="839">AZ42</f>
        <v>111.31622842536564</v>
      </c>
      <c r="W97" s="14">
        <f>AZ43</f>
        <v>4.7056852359209582</v>
      </c>
    </row>
    <row r="98" spans="1:23">
      <c r="A98" s="83">
        <v>9</v>
      </c>
      <c r="B98" s="10">
        <f>BD16</f>
        <v>38.065555555555555</v>
      </c>
      <c r="C98" s="14">
        <f>BD17</f>
        <v>1.3600001134713235</v>
      </c>
      <c r="D98" s="10">
        <f>BD28</f>
        <v>41.685937499999994</v>
      </c>
      <c r="E98" s="14">
        <f>BD29</f>
        <v>0.94525151810387031</v>
      </c>
      <c r="F98" s="10">
        <f>BD42</f>
        <v>34.32083333333334</v>
      </c>
      <c r="G98" s="14">
        <f>BD43</f>
        <v>1.4766186974902311</v>
      </c>
      <c r="I98" s="83">
        <v>9</v>
      </c>
      <c r="J98" s="84">
        <f>BC16</f>
        <v>4.6344444444444486</v>
      </c>
      <c r="K98" s="84">
        <f>BC17</f>
        <v>0.3269348861059122</v>
      </c>
      <c r="L98" s="84">
        <f>BC28</f>
        <v>4.2121875000000033</v>
      </c>
      <c r="M98" s="84">
        <f>BC29</f>
        <v>0.12152439266827658</v>
      </c>
      <c r="N98" s="84">
        <f>BC42</f>
        <v>3.6997222222222224</v>
      </c>
      <c r="O98" s="84">
        <f>BC43</f>
        <v>0.23420093330406341</v>
      </c>
      <c r="Q98" s="83">
        <v>9</v>
      </c>
      <c r="R98" s="77">
        <f>BF16</f>
        <v>138.37884791264563</v>
      </c>
      <c r="S98" s="14">
        <f>BF17</f>
        <v>4.9439774651012272</v>
      </c>
      <c r="T98" s="77">
        <f>BF28</f>
        <v>151.53994001190034</v>
      </c>
      <c r="U98" s="14">
        <f>BF29</f>
        <v>3.4362513341487952</v>
      </c>
      <c r="V98" s="166">
        <f t="shared" ref="V98" si="840">BF42</f>
        <v>124.76574443100301</v>
      </c>
      <c r="W98" s="14">
        <f>BF43</f>
        <v>5.3679183498781313</v>
      </c>
    </row>
    <row r="99" spans="1:23">
      <c r="A99" s="83">
        <v>10</v>
      </c>
      <c r="B99" s="10">
        <f>BJ16</f>
        <v>42.401111111111113</v>
      </c>
      <c r="C99" s="14">
        <f>BJ17</f>
        <v>1.5127389108321567</v>
      </c>
      <c r="D99" s="10">
        <f>BJ28</f>
        <v>46.143124999999976</v>
      </c>
      <c r="E99" s="14">
        <f>BJ29</f>
        <v>0.93833103048329469</v>
      </c>
      <c r="F99" s="10">
        <f>BJ42</f>
        <v>37.684999999999995</v>
      </c>
      <c r="G99" s="14">
        <f>BJ43</f>
        <v>1.5637335131025203</v>
      </c>
      <c r="I99" s="83">
        <v>10</v>
      </c>
      <c r="J99" s="84">
        <f>BI16</f>
        <v>4.3355555555555521</v>
      </c>
      <c r="K99" s="84">
        <f>BI17</f>
        <v>0.22234926923843021</v>
      </c>
      <c r="L99" s="84">
        <f>BI28</f>
        <v>4.4571874999999892</v>
      </c>
      <c r="M99" s="84">
        <f>BI29</f>
        <v>7.7175931753133462E-2</v>
      </c>
      <c r="N99" s="84">
        <f>BI42</f>
        <v>3.3641666666666623</v>
      </c>
      <c r="O99" s="84">
        <f>BI43</f>
        <v>0.17617265836546148</v>
      </c>
      <c r="Q99" s="83">
        <v>10</v>
      </c>
      <c r="R99" s="77">
        <f>BL16</f>
        <v>154.13979436628242</v>
      </c>
      <c r="S99" s="14">
        <f>BL17</f>
        <v>5.4992253395086754</v>
      </c>
      <c r="T99" s="77">
        <f>BL28</f>
        <v>167.74305230538761</v>
      </c>
      <c r="U99" s="14">
        <f>BL29</f>
        <v>3.41109344298046</v>
      </c>
      <c r="V99" s="166">
        <f t="shared" ref="V99" si="841">BL42</f>
        <v>136.99542296124361</v>
      </c>
      <c r="W99" s="14">
        <f>BL43</f>
        <v>5.6846048567374998</v>
      </c>
    </row>
    <row r="100" spans="1:23">
      <c r="A100" s="83">
        <v>11</v>
      </c>
      <c r="B100" s="10">
        <f>BP16</f>
        <v>47.068888888888893</v>
      </c>
      <c r="C100" s="14">
        <f>BP17</f>
        <v>1.7228460339769647</v>
      </c>
      <c r="D100" s="10">
        <f>BP28</f>
        <v>50.056562499999991</v>
      </c>
      <c r="E100" s="14">
        <f>BP29</f>
        <v>1.0431687793068378</v>
      </c>
      <c r="F100" s="10">
        <f>BP42</f>
        <v>41.330277777777773</v>
      </c>
      <c r="G100" s="14">
        <f>BP43</f>
        <v>1.8050048305396815</v>
      </c>
      <c r="I100" s="83">
        <v>11</v>
      </c>
      <c r="J100" s="84">
        <f>BO16</f>
        <v>4.6677777777777782</v>
      </c>
      <c r="K100" s="84">
        <f>BO17</f>
        <v>0.2988904378315918</v>
      </c>
      <c r="L100" s="84">
        <f>BO28</f>
        <v>3.9134375000000041</v>
      </c>
      <c r="M100" s="84">
        <f>BO29</f>
        <v>0.26461770668639528</v>
      </c>
      <c r="N100" s="84">
        <f>BO42</f>
        <v>3.6452777777777752</v>
      </c>
      <c r="O100" s="84">
        <f>BO43</f>
        <v>0.32829114694199646</v>
      </c>
      <c r="Q100" s="83">
        <v>11</v>
      </c>
      <c r="R100" s="77">
        <f>BR16</f>
        <v>171.1084607045008</v>
      </c>
      <c r="S100" s="14">
        <f>BR17</f>
        <v>6.2630229831968336</v>
      </c>
      <c r="T100" s="77">
        <f>BR28</f>
        <v>181.96948259714534</v>
      </c>
      <c r="U100" s="14">
        <f>BR29</f>
        <v>3.7922077256495834</v>
      </c>
      <c r="V100" s="166">
        <f t="shared" ref="V100" si="842">BR42</f>
        <v>150.24701831689939</v>
      </c>
      <c r="W100" s="14">
        <f>BR43</f>
        <v>6.5616929867817504</v>
      </c>
    </row>
    <row r="101" spans="1:23">
      <c r="A101" s="83">
        <v>12</v>
      </c>
      <c r="B101" s="10">
        <f>BV16</f>
        <v>51.875555555555565</v>
      </c>
      <c r="C101" s="14">
        <f>BV17</f>
        <v>2.0032252543718174</v>
      </c>
      <c r="D101" s="10">
        <f>BV28</f>
        <v>54.059999999999974</v>
      </c>
      <c r="E101" s="14">
        <f>BV29</f>
        <v>1.1641658571084814</v>
      </c>
      <c r="F101" s="10">
        <f>BV42</f>
        <v>45.016666666666673</v>
      </c>
      <c r="G101" s="14">
        <f>BV43</f>
        <v>2.0046543065797766</v>
      </c>
      <c r="I101" s="83">
        <v>12</v>
      </c>
      <c r="J101" s="84">
        <f>BU16</f>
        <v>4.8066666666666675</v>
      </c>
      <c r="K101" s="84">
        <f>BU17</f>
        <v>0.34947182369334873</v>
      </c>
      <c r="L101" s="84">
        <f>BU28</f>
        <v>4.0034374999999915</v>
      </c>
      <c r="M101" s="84">
        <f>BU29</f>
        <v>0.1781934000877162</v>
      </c>
      <c r="N101" s="84">
        <f>BU42</f>
        <v>3.6863888888888976</v>
      </c>
      <c r="O101" s="84">
        <f>BU43</f>
        <v>0.2772506108822313</v>
      </c>
      <c r="Q101" s="83">
        <v>12</v>
      </c>
      <c r="R101" s="77">
        <f>BX16</f>
        <v>188.58202666001924</v>
      </c>
      <c r="S101" s="14">
        <f>BX17</f>
        <v>7.2822791829457332</v>
      </c>
      <c r="T101" s="77">
        <f>BX28</f>
        <v>196.52308784091349</v>
      </c>
      <c r="U101" s="14">
        <f>BX29</f>
        <v>4.2320656492401536</v>
      </c>
      <c r="V101" s="166">
        <f t="shared" ref="V101" si="843">BX42</f>
        <v>163.64806395927602</v>
      </c>
      <c r="W101" s="14">
        <f>BX43</f>
        <v>7.287474183918758</v>
      </c>
    </row>
    <row r="102" spans="1:23">
      <c r="A102" s="83">
        <v>13</v>
      </c>
      <c r="B102" s="10">
        <f>CD16</f>
        <v>58.037777777777784</v>
      </c>
      <c r="C102" s="14">
        <f>CD17</f>
        <v>2.2618114531018501</v>
      </c>
      <c r="D102" s="10">
        <f>CD28</f>
        <v>57.933124999999976</v>
      </c>
      <c r="E102" s="14">
        <f>CD29</f>
        <v>1.4658849525786135</v>
      </c>
      <c r="F102" s="10">
        <f>CD42</f>
        <v>49.411111111111111</v>
      </c>
      <c r="G102" s="14">
        <f>CD43</f>
        <v>1.6712789883170591</v>
      </c>
      <c r="I102" s="83">
        <v>13</v>
      </c>
      <c r="J102" s="84">
        <f>$CC$16</f>
        <v>6.1622222222222254</v>
      </c>
      <c r="K102" s="84">
        <f>$CC$17</f>
        <v>0.39856261803363618</v>
      </c>
      <c r="L102" s="84">
        <f>$CC$28</f>
        <v>3.873125000000003</v>
      </c>
      <c r="M102" s="84">
        <f>$CC$29</f>
        <v>0.3921244079871673</v>
      </c>
      <c r="N102" s="84">
        <f>$CC$42</f>
        <v>4.3944444444444404</v>
      </c>
      <c r="O102" s="84">
        <f>$CC$43</f>
        <v>0.66460328833387583</v>
      </c>
      <c r="Q102" s="83">
        <v>13</v>
      </c>
      <c r="R102" s="77">
        <f>CF16</f>
        <v>213.06512102251241</v>
      </c>
      <c r="S102" s="14">
        <f>CF17</f>
        <v>8.3092064457527766</v>
      </c>
      <c r="T102" s="77">
        <f>CF28</f>
        <v>211.99574427808074</v>
      </c>
      <c r="U102" s="14">
        <f>CF29</f>
        <v>5.3813886770155621</v>
      </c>
      <c r="V102" s="166">
        <f t="shared" ref="V102" si="844">CF42</f>
        <v>181.5537013670363</v>
      </c>
      <c r="W102" s="14">
        <f>CF43</f>
        <v>5.9710693538720854</v>
      </c>
    </row>
    <row r="103" spans="1:23">
      <c r="A103" s="83">
        <v>14</v>
      </c>
      <c r="B103" s="10">
        <f>CJ16</f>
        <v>62.636666666666684</v>
      </c>
      <c r="C103" s="14">
        <f>CJ17</f>
        <v>2.5597026737059942</v>
      </c>
      <c r="D103" s="10">
        <f>CJ28</f>
        <v>61.583749999999974</v>
      </c>
      <c r="E103" s="14">
        <f>CJ29</f>
        <v>2.5964741718337963</v>
      </c>
      <c r="F103" s="10">
        <f>CJ42</f>
        <v>52.936666666666682</v>
      </c>
      <c r="G103" s="14">
        <f>CJ43</f>
        <v>1.7692402638169547</v>
      </c>
      <c r="I103" s="83">
        <v>14</v>
      </c>
      <c r="J103" s="84">
        <f>CI16</f>
        <v>4.5988888888888901</v>
      </c>
      <c r="K103" s="84">
        <f>CI17</f>
        <v>0.37169822154704413</v>
      </c>
      <c r="L103" s="84">
        <f>CI28</f>
        <v>3.6506250000000033</v>
      </c>
      <c r="M103" s="84">
        <f>CI29</f>
        <v>0.47218379205786515</v>
      </c>
      <c r="N103" s="84">
        <f>CI42</f>
        <v>3.5255555555555582</v>
      </c>
      <c r="O103" s="84">
        <f>CI43</f>
        <v>0.3205555555555562</v>
      </c>
      <c r="Q103" s="83">
        <v>14</v>
      </c>
      <c r="R103" s="77">
        <f>CL16</f>
        <v>229.78335715055002</v>
      </c>
      <c r="S103" s="14">
        <f>CL17</f>
        <v>9.3889462213467283</v>
      </c>
      <c r="T103" s="77">
        <f>CL28</f>
        <v>225.26677826900263</v>
      </c>
      <c r="U103" s="14">
        <f>CL29</f>
        <v>6.7405560760016039</v>
      </c>
      <c r="V103" s="166">
        <f t="shared" ref="V103" si="845">CL42</f>
        <v>194.37007325257949</v>
      </c>
      <c r="W103" s="14">
        <f>CL43</f>
        <v>6.3381234186324633</v>
      </c>
    </row>
    <row r="104" spans="1:23">
      <c r="A104" s="83">
        <v>15</v>
      </c>
      <c r="B104" s="10">
        <f>CP16</f>
        <v>67.194444444444443</v>
      </c>
      <c r="C104" s="14">
        <f>CP17</f>
        <v>2.5104543143020361</v>
      </c>
      <c r="D104" s="10">
        <f>CP28</f>
        <v>64.964285714285694</v>
      </c>
      <c r="E104" s="14">
        <f>CP29</f>
        <v>1.5574539408206447</v>
      </c>
      <c r="F104" s="10">
        <f>CP42</f>
        <v>56.748888888888892</v>
      </c>
      <c r="G104" s="14">
        <f>CP43</f>
        <v>1.8168221985749009</v>
      </c>
      <c r="I104" s="83">
        <v>15</v>
      </c>
      <c r="J104" s="84">
        <f>CO16</f>
        <v>4.5577777777777824</v>
      </c>
      <c r="K104" s="84">
        <f>CO17</f>
        <v>0.24114759068634206</v>
      </c>
      <c r="L104" s="84">
        <f>CO28</f>
        <v>3.9114285714285737</v>
      </c>
      <c r="M104" s="84">
        <f>CO29</f>
        <v>8.3483198575792381E-2</v>
      </c>
      <c r="N104" s="84">
        <f>CO42</f>
        <v>3.812222222222216</v>
      </c>
      <c r="O104" s="84">
        <f>CO43</f>
        <v>0.14449892135100656</v>
      </c>
      <c r="Q104" s="83">
        <v>15</v>
      </c>
      <c r="R104" s="77">
        <f>CR16</f>
        <v>246.3521429918668</v>
      </c>
      <c r="S104" s="14">
        <f>CR17</f>
        <v>9.2184281482264812</v>
      </c>
      <c r="T104" s="77">
        <f>CR28</f>
        <v>239.84878411624396</v>
      </c>
      <c r="U104" s="14">
        <f>CR29</f>
        <v>6.9197670643067548</v>
      </c>
      <c r="V104" s="166">
        <f t="shared" ref="V104" si="846">CR42</f>
        <v>208.22855794822988</v>
      </c>
      <c r="W104" s="14">
        <f>CR43</f>
        <v>6.4950192283455701</v>
      </c>
    </row>
    <row r="105" spans="1:23">
      <c r="A105" s="83">
        <v>16</v>
      </c>
      <c r="B105" s="10">
        <f>CV16</f>
        <v>71.527777777777786</v>
      </c>
      <c r="C105" s="14">
        <f>CV17</f>
        <v>2.6488193270135283</v>
      </c>
      <c r="D105" s="10">
        <f>CV28</f>
        <v>70.28749999999998</v>
      </c>
      <c r="E105" s="14">
        <f>CV29</f>
        <v>2.0598749528620823</v>
      </c>
      <c r="F105" s="10">
        <f>CV42</f>
        <v>60.765555555555551</v>
      </c>
      <c r="G105" s="14">
        <f>CV43</f>
        <v>1.8218459130409912</v>
      </c>
      <c r="I105" s="83">
        <v>16</v>
      </c>
      <c r="J105" s="84">
        <f>CU16</f>
        <v>4.3333333333333348</v>
      </c>
      <c r="K105" s="84">
        <f>CU17</f>
        <v>0.22477148889977508</v>
      </c>
      <c r="L105" s="84">
        <f>CU28</f>
        <v>4.692499999999999</v>
      </c>
      <c r="M105" s="84">
        <f>CU29</f>
        <v>0.28844255432036781</v>
      </c>
      <c r="N105" s="84">
        <f>CU42</f>
        <v>4.0166666666666622</v>
      </c>
      <c r="O105" s="84">
        <f>CU43</f>
        <v>0.19119507199599897</v>
      </c>
      <c r="Q105" s="83">
        <v>16</v>
      </c>
      <c r="R105" s="77">
        <f>CX16</f>
        <v>262.10501105162689</v>
      </c>
      <c r="S105" s="14">
        <f>CX17</f>
        <v>9.7262710166784014</v>
      </c>
      <c r="T105" s="77">
        <f>CX28</f>
        <v>256.90732258634176</v>
      </c>
      <c r="U105" s="14">
        <f>CX29</f>
        <v>7.554974370006363</v>
      </c>
      <c r="V105" s="166">
        <f t="shared" ref="V105" si="847">CX42</f>
        <v>222.83025488054585</v>
      </c>
      <c r="W105" s="14">
        <f>CX43</f>
        <v>6.4970420140776364</v>
      </c>
    </row>
    <row r="106" spans="1:23">
      <c r="A106" s="83">
        <v>17</v>
      </c>
      <c r="B106" s="10">
        <f>DB16</f>
        <v>75.993333333333339</v>
      </c>
      <c r="C106" s="14">
        <f>DB17</f>
        <v>2.793490449042014</v>
      </c>
      <c r="D106" s="10">
        <f>DB28</f>
        <v>74.561249999999987</v>
      </c>
      <c r="E106" s="14">
        <f>DB29</f>
        <v>2.1871593102045126</v>
      </c>
      <c r="F106" s="10">
        <f>DB42</f>
        <v>64.726666666666659</v>
      </c>
      <c r="G106" s="14">
        <f>DB43</f>
        <v>1.975921725845085</v>
      </c>
      <c r="I106" s="83">
        <v>17</v>
      </c>
      <c r="J106" s="84">
        <f>$DA$16</f>
        <v>4.4655555555555555</v>
      </c>
      <c r="K106" s="84">
        <f>$DA$17</f>
        <v>0.23231391066059623</v>
      </c>
      <c r="L106" s="84">
        <f>$DA$28</f>
        <v>4.2737499999999997</v>
      </c>
      <c r="M106" s="84">
        <f>$DA$29</f>
        <v>0.21266117836999512</v>
      </c>
      <c r="N106" s="84">
        <f>$DA$42</f>
        <v>3.9611111111111135</v>
      </c>
      <c r="O106" s="84">
        <f>$DA$43</f>
        <v>0.27026450235753646</v>
      </c>
      <c r="Q106" s="83">
        <v>17</v>
      </c>
      <c r="R106" s="77">
        <f>DD16</f>
        <v>278.33854354705642</v>
      </c>
      <c r="S106" s="14">
        <f>DD17</f>
        <v>10.256476154766565</v>
      </c>
      <c r="T106" s="77">
        <f>DD28</f>
        <v>272.44358871028004</v>
      </c>
      <c r="U106" s="14">
        <f>DD29</f>
        <v>8.0265216378160407</v>
      </c>
      <c r="V106" s="166">
        <f t="shared" ref="V106" si="848">DD42</f>
        <v>237.22999196594188</v>
      </c>
      <c r="W106" s="14">
        <f>DD43</f>
        <v>7.0457753403354593</v>
      </c>
    </row>
    <row r="107" spans="1:23">
      <c r="A107" s="83">
        <v>18</v>
      </c>
      <c r="B107" s="10">
        <f>DH16</f>
        <v>80.733333333333348</v>
      </c>
      <c r="C107" s="14">
        <f>DH17</f>
        <v>2.7515954967577936</v>
      </c>
      <c r="D107" s="10">
        <f>DH28</f>
        <v>79.124999999999972</v>
      </c>
      <c r="E107" s="14">
        <f>DH29</f>
        <v>2.5368399915755671</v>
      </c>
      <c r="F107" s="10">
        <f>DH42</f>
        <v>68.625555555555565</v>
      </c>
      <c r="G107" s="14">
        <f>DH43</f>
        <v>2.1217367827580746</v>
      </c>
      <c r="I107" s="83">
        <v>18</v>
      </c>
      <c r="J107" s="84">
        <f>DG16</f>
        <v>4.7400000000000011</v>
      </c>
      <c r="K107" s="84">
        <f>DG17</f>
        <v>0.31690342026834989</v>
      </c>
      <c r="L107" s="84">
        <f>DG28</f>
        <v>4.56374999999999</v>
      </c>
      <c r="M107" s="84">
        <f>DG29</f>
        <v>0.40753149527718191</v>
      </c>
      <c r="N107" s="84">
        <f>DG42</f>
        <v>3.8988888888889033</v>
      </c>
      <c r="O107" s="84">
        <f>DG43</f>
        <v>0.29186871308691276</v>
      </c>
      <c r="Q107" s="83">
        <v>18</v>
      </c>
      <c r="R107" s="77">
        <f>DJ16</f>
        <v>295.5697576862708</v>
      </c>
      <c r="S107" s="14">
        <f>DJ17</f>
        <v>10.113776586130431</v>
      </c>
      <c r="T107" s="77">
        <f>DJ28</f>
        <v>289.03408523514065</v>
      </c>
      <c r="U107" s="14">
        <f>DJ29</f>
        <v>9.305019089548443</v>
      </c>
      <c r="V107" s="166">
        <f t="shared" ref="V107" si="849">DJ42</f>
        <v>251.40353402278754</v>
      </c>
      <c r="W107" s="14">
        <f>DJ43</f>
        <v>7.5803957071277175</v>
      </c>
    </row>
    <row r="108" spans="1:23">
      <c r="A108" s="83">
        <v>19</v>
      </c>
      <c r="B108" s="10">
        <f>DN16</f>
        <v>86.015555555555551</v>
      </c>
      <c r="C108" s="14">
        <f>DN17</f>
        <v>2.9993522963351342</v>
      </c>
      <c r="D108" s="10">
        <f>DN28</f>
        <v>83.028124999999974</v>
      </c>
      <c r="E108" s="14">
        <f>DN29</f>
        <v>2.6919496283064523</v>
      </c>
      <c r="F108" s="10">
        <f>DN42</f>
        <v>72.04000000000002</v>
      </c>
      <c r="G108" s="14">
        <f>DN43</f>
        <v>2.0153191090026059</v>
      </c>
      <c r="I108" s="83">
        <v>19</v>
      </c>
      <c r="J108" s="84">
        <f>DM16</f>
        <v>5.2822222222222202</v>
      </c>
      <c r="K108" s="84">
        <f>DM17</f>
        <v>0.37023932866974912</v>
      </c>
      <c r="L108" s="84">
        <f>DM28</f>
        <v>3.9031249999999984</v>
      </c>
      <c r="M108" s="84">
        <f>DM29</f>
        <v>0.24022113603184189</v>
      </c>
      <c r="N108" s="84">
        <f>DM42</f>
        <v>3.4144444444444435</v>
      </c>
      <c r="O108" s="84">
        <f>DM43</f>
        <v>0.29334806360320781</v>
      </c>
      <c r="Q108" s="83">
        <v>19</v>
      </c>
      <c r="R108" s="77">
        <f>DP16</f>
        <v>314.77209993142441</v>
      </c>
      <c r="S108" s="86">
        <f>DP17</f>
        <v>10.989325622807277</v>
      </c>
      <c r="T108" s="77">
        <f>DP28</f>
        <v>303.2230267303139</v>
      </c>
      <c r="U108" s="14">
        <f>DP29</f>
        <v>9.8644798083507297</v>
      </c>
      <c r="V108" s="166">
        <f t="shared" ref="V108" si="850">DP42</f>
        <v>263.81598621449075</v>
      </c>
      <c r="W108" s="14">
        <f>DP43</f>
        <v>7.1882792842095427</v>
      </c>
    </row>
    <row r="109" spans="1:23">
      <c r="A109" s="83">
        <v>20</v>
      </c>
      <c r="B109" s="10">
        <f>DT16</f>
        <v>90.143333333333345</v>
      </c>
      <c r="C109" s="14">
        <f>DT17</f>
        <v>3.1387820532457744</v>
      </c>
      <c r="D109" s="10">
        <f>DT28</f>
        <v>86.457499999999982</v>
      </c>
      <c r="E109" s="14">
        <f>DT29</f>
        <v>2.9140183044331414</v>
      </c>
      <c r="F109" s="10">
        <f>DT42</f>
        <v>75.738888888888908</v>
      </c>
      <c r="G109" s="14">
        <f>DT43</f>
        <v>2.0483336346924328</v>
      </c>
      <c r="I109" s="83">
        <v>20</v>
      </c>
      <c r="J109" s="84">
        <f>DS16</f>
        <v>4.1277777777777755</v>
      </c>
      <c r="K109" s="84">
        <f>DS17</f>
        <v>0.32914357631155527</v>
      </c>
      <c r="L109" s="84">
        <f>DS28</f>
        <v>3.4293750000000043</v>
      </c>
      <c r="M109" s="86">
        <f>DS29</f>
        <v>0.27076683020504594</v>
      </c>
      <c r="N109" s="84">
        <f>DS42</f>
        <v>3.6988888888888982</v>
      </c>
      <c r="O109" s="86">
        <f>DS43</f>
        <v>0.11677904640393498</v>
      </c>
      <c r="Q109" s="83">
        <v>20</v>
      </c>
      <c r="R109" s="77">
        <f>DV16</f>
        <v>329.77771655758045</v>
      </c>
      <c r="S109" s="86">
        <f>DV17</f>
        <v>11.490612028326103</v>
      </c>
      <c r="T109" s="77">
        <f>DV28</f>
        <v>315.6897556308769</v>
      </c>
      <c r="U109" s="86">
        <f>DV29</f>
        <v>10.671514902878815</v>
      </c>
      <c r="V109" s="77">
        <f>DV42</f>
        <v>277.26247282242434</v>
      </c>
      <c r="W109" s="86">
        <f>DV43</f>
        <v>7.297291750311274</v>
      </c>
    </row>
    <row r="110" spans="1:23">
      <c r="A110" s="42">
        <v>21</v>
      </c>
      <c r="B110" s="34">
        <f>$DZ$16</f>
        <v>93.993333333333339</v>
      </c>
      <c r="C110" s="36">
        <f>$DZ$17</f>
        <v>3.3243558273245419</v>
      </c>
      <c r="D110" s="34">
        <f>$DZ$28</f>
        <v>89.909999999999968</v>
      </c>
      <c r="E110" s="36">
        <f>$DZ$29</f>
        <v>2.9954751590643154</v>
      </c>
      <c r="F110" s="34">
        <f>$DZ$42</f>
        <v>79.543333333333351</v>
      </c>
      <c r="G110" s="36">
        <f>$DZ$43</f>
        <v>2.0087620565910687</v>
      </c>
      <c r="I110" s="42">
        <v>21</v>
      </c>
      <c r="J110" s="85">
        <f>$DY$16</f>
        <v>3.8499999999999974</v>
      </c>
      <c r="K110" s="85">
        <f>$DY$17</f>
        <v>0.32017790193717133</v>
      </c>
      <c r="L110" s="85">
        <f>$DY$28</f>
        <v>3.4524999999999944</v>
      </c>
      <c r="M110" s="87">
        <f>$DY$29</f>
        <v>0.13983089276489388</v>
      </c>
      <c r="N110" s="85">
        <f>$DY$42</f>
        <v>3.8044444444444445</v>
      </c>
      <c r="O110" s="87">
        <f>$DY$43</f>
        <v>0.26261564178212959</v>
      </c>
      <c r="Q110" s="42">
        <v>21</v>
      </c>
      <c r="R110" s="34">
        <f>EB16</f>
        <v>343.77353394913638</v>
      </c>
      <c r="S110" s="87">
        <f>EB17</f>
        <v>12.174855948376582</v>
      </c>
      <c r="T110" s="34">
        <f>EB28</f>
        <v>328.24055031772031</v>
      </c>
      <c r="U110" s="87">
        <f>EB29</f>
        <v>10.970095041372405</v>
      </c>
      <c r="V110" s="34">
        <f t="shared" ref="V110" si="851">EB42</f>
        <v>291.09268313950594</v>
      </c>
      <c r="W110" s="171">
        <f>EB43</f>
        <v>7.1770409430369702</v>
      </c>
    </row>
    <row r="111" spans="1:23">
      <c r="A111" s="12"/>
      <c r="B111" s="10"/>
      <c r="C111" s="10"/>
      <c r="D111" s="10"/>
      <c r="E111" s="10"/>
      <c r="G111" s="12"/>
    </row>
    <row r="112" spans="1:23">
      <c r="A112" s="12"/>
    </row>
    <row r="114" spans="2:2">
      <c r="B114" s="31"/>
    </row>
  </sheetData>
  <phoneticPr fontId="9" type="noConversion"/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f
Effect of Meal Feeding and Grazing on food selection (Male SD Rats)
(Anish Kundu FYP)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2A13-3652-4597-8E51-9B2F15C00717}">
  <dimension ref="A1:GF69"/>
  <sheetViews>
    <sheetView topLeftCell="A44" zoomScaleNormal="100" workbookViewId="0">
      <selection activeCell="AX92" sqref="AX92"/>
    </sheetView>
  </sheetViews>
  <sheetFormatPr defaultColWidth="12.5" defaultRowHeight="16.350000000000001" customHeight="1"/>
  <cols>
    <col min="1" max="1" width="9.5" style="12" customWidth="1"/>
    <col min="2" max="2" width="10.125" style="12" bestFit="1" customWidth="1"/>
    <col min="3" max="45" width="9.5" style="12" customWidth="1"/>
    <col min="46" max="84" width="9.5" customWidth="1"/>
    <col min="85" max="175" width="11" customWidth="1"/>
    <col min="176" max="16384" width="12.5" style="12"/>
  </cols>
  <sheetData>
    <row r="1" spans="1:188" s="3" customFormat="1" ht="16.350000000000001" customHeight="1">
      <c r="A1" s="1" t="s">
        <v>661</v>
      </c>
      <c r="B1" s="1" t="s">
        <v>1</v>
      </c>
      <c r="C1" s="1" t="s">
        <v>2</v>
      </c>
      <c r="D1" s="1" t="s">
        <v>3</v>
      </c>
      <c r="E1" s="1"/>
      <c r="F1" s="1"/>
      <c r="O1" s="129" t="s">
        <v>416</v>
      </c>
      <c r="P1" s="77" t="s">
        <v>417</v>
      </c>
      <c r="Q1" s="77"/>
      <c r="R1" s="77" t="s">
        <v>418</v>
      </c>
      <c r="S1" s="77" t="s">
        <v>419</v>
      </c>
      <c r="T1" s="77" t="s">
        <v>420</v>
      </c>
      <c r="U1" s="77">
        <v>239.00573600000001</v>
      </c>
      <c r="V1" s="77"/>
      <c r="W1" s="77">
        <f>(15.21*U1)/1000</f>
        <v>3.6352772445600001</v>
      </c>
      <c r="X1" s="77" t="s">
        <v>421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</row>
    <row r="2" spans="1:188" s="3" customFormat="1" ht="16.350000000000001" customHeight="1">
      <c r="P2" s="12"/>
      <c r="AL2" s="3" t="s">
        <v>662</v>
      </c>
      <c r="AO2" s="3" t="s">
        <v>662</v>
      </c>
      <c r="AR2" s="3" t="s">
        <v>662</v>
      </c>
      <c r="AV2" s="3" t="s">
        <v>662</v>
      </c>
      <c r="AW2"/>
      <c r="AY2" s="3" t="s">
        <v>662</v>
      </c>
      <c r="AZ2"/>
      <c r="BA2"/>
      <c r="BB2"/>
      <c r="BC2"/>
      <c r="BD2"/>
      <c r="BE2"/>
      <c r="BF2"/>
      <c r="BG2"/>
      <c r="BH2" s="3" t="s">
        <v>663</v>
      </c>
      <c r="BI2"/>
      <c r="BJ2"/>
      <c r="BK2"/>
      <c r="BL2"/>
      <c r="BM2" s="3" t="s">
        <v>664</v>
      </c>
      <c r="BN2"/>
      <c r="BO2"/>
      <c r="BP2"/>
      <c r="BQ2"/>
      <c r="BR2" s="3" t="s">
        <v>665</v>
      </c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</row>
    <row r="3" spans="1:188" s="57" customFormat="1" ht="16.350000000000001" customHeight="1">
      <c r="A3" s="7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5" t="s">
        <v>666</v>
      </c>
      <c r="H3" s="4" t="s">
        <v>195</v>
      </c>
      <c r="I3" s="5" t="s">
        <v>196</v>
      </c>
      <c r="J3" s="4" t="s">
        <v>667</v>
      </c>
      <c r="K3" s="53" t="s">
        <v>668</v>
      </c>
      <c r="L3" s="4" t="s">
        <v>669</v>
      </c>
      <c r="M3" s="6" t="s">
        <v>670</v>
      </c>
      <c r="N3" s="128" t="s">
        <v>671</v>
      </c>
      <c r="O3" s="4" t="s">
        <v>672</v>
      </c>
      <c r="P3" s="6" t="s">
        <v>673</v>
      </c>
      <c r="Q3" s="7" t="s">
        <v>674</v>
      </c>
      <c r="R3" s="7" t="s">
        <v>675</v>
      </c>
      <c r="S3" s="7" t="s">
        <v>676</v>
      </c>
      <c r="T3" s="7" t="s">
        <v>677</v>
      </c>
      <c r="U3" s="7" t="s">
        <v>678</v>
      </c>
      <c r="V3" s="7" t="s">
        <v>679</v>
      </c>
      <c r="W3" s="4" t="s">
        <v>680</v>
      </c>
      <c r="X3" s="6" t="s">
        <v>681</v>
      </c>
      <c r="Y3" s="127" t="s">
        <v>682</v>
      </c>
      <c r="Z3" s="53" t="s">
        <v>683</v>
      </c>
      <c r="AA3" s="127" t="s">
        <v>684</v>
      </c>
      <c r="AB3" s="53" t="s">
        <v>685</v>
      </c>
      <c r="AC3" s="127" t="s">
        <v>686</v>
      </c>
      <c r="AD3" s="8" t="s">
        <v>687</v>
      </c>
      <c r="AE3" s="273" t="s">
        <v>688</v>
      </c>
      <c r="AF3" s="53" t="s">
        <v>689</v>
      </c>
      <c r="AG3" s="127" t="s">
        <v>690</v>
      </c>
      <c r="AH3" s="53" t="s">
        <v>691</v>
      </c>
      <c r="AI3" s="127" t="s">
        <v>692</v>
      </c>
      <c r="AJ3" s="127" t="s">
        <v>693</v>
      </c>
      <c r="AK3" s="8" t="s">
        <v>694</v>
      </c>
      <c r="AL3" s="53" t="s">
        <v>695</v>
      </c>
      <c r="AM3" s="127" t="s">
        <v>696</v>
      </c>
      <c r="AN3" s="8" t="s">
        <v>697</v>
      </c>
      <c r="AO3" s="53" t="s">
        <v>698</v>
      </c>
      <c r="AP3" s="127" t="s">
        <v>699</v>
      </c>
      <c r="AQ3" s="8" t="s">
        <v>700</v>
      </c>
      <c r="AR3" s="53" t="s">
        <v>701</v>
      </c>
      <c r="AS3" s="127" t="s">
        <v>702</v>
      </c>
      <c r="AT3" s="127" t="s">
        <v>703</v>
      </c>
      <c r="AU3" s="8" t="s">
        <v>704</v>
      </c>
      <c r="AV3" s="53" t="s">
        <v>705</v>
      </c>
      <c r="AW3" s="127" t="s">
        <v>706</v>
      </c>
      <c r="AX3" s="8" t="s">
        <v>707</v>
      </c>
      <c r="AY3" s="53" t="s">
        <v>708</v>
      </c>
      <c r="AZ3" s="7" t="s">
        <v>191</v>
      </c>
      <c r="BA3" s="4" t="s">
        <v>709</v>
      </c>
      <c r="BB3" s="5" t="s">
        <v>710</v>
      </c>
      <c r="BC3" s="6" t="s">
        <v>711</v>
      </c>
      <c r="BD3" s="4" t="s">
        <v>712</v>
      </c>
      <c r="BE3" s="5" t="s">
        <v>713</v>
      </c>
      <c r="BF3" s="6"/>
      <c r="BG3"/>
      <c r="BH3" s="4" t="s">
        <v>714</v>
      </c>
      <c r="BI3" s="5" t="s">
        <v>715</v>
      </c>
      <c r="BJ3" s="5" t="s">
        <v>716</v>
      </c>
      <c r="BK3" s="5" t="s">
        <v>717</v>
      </c>
      <c r="BL3" s="6" t="s">
        <v>718</v>
      </c>
      <c r="BM3" s="4" t="s">
        <v>719</v>
      </c>
      <c r="BN3" s="5" t="s">
        <v>720</v>
      </c>
      <c r="BO3" s="5" t="s">
        <v>721</v>
      </c>
      <c r="BP3" s="6" t="s">
        <v>722</v>
      </c>
      <c r="BQ3" s="7" t="s">
        <v>191</v>
      </c>
      <c r="BR3" s="4" t="s">
        <v>714</v>
      </c>
      <c r="BS3" s="5" t="s">
        <v>715</v>
      </c>
      <c r="BT3" s="5" t="s">
        <v>716</v>
      </c>
      <c r="BU3" s="5" t="s">
        <v>717</v>
      </c>
      <c r="BV3" s="6" t="s">
        <v>718</v>
      </c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</row>
    <row r="4" spans="1:188" s="10" customFormat="1" ht="16.350000000000001" customHeight="1">
      <c r="A4" s="185" t="s">
        <v>260</v>
      </c>
      <c r="B4" s="182" t="s">
        <v>261</v>
      </c>
      <c r="C4" s="183">
        <v>42548</v>
      </c>
      <c r="D4" s="10" t="s">
        <v>26</v>
      </c>
      <c r="E4" s="10" t="s">
        <v>262</v>
      </c>
      <c r="F4" s="89">
        <v>43258</v>
      </c>
      <c r="G4" s="164">
        <v>0.46527777777777773</v>
      </c>
      <c r="H4" s="63">
        <v>20</v>
      </c>
      <c r="I4" s="64">
        <f>H14-H4</f>
        <v>-0.74250000000000327</v>
      </c>
      <c r="J4" s="63">
        <v>23.03</v>
      </c>
      <c r="K4" s="14">
        <f>J4-H4</f>
        <v>3.0300000000000011</v>
      </c>
      <c r="L4" s="13">
        <v>88.45</v>
      </c>
      <c r="M4" s="186">
        <v>323.02625369999998</v>
      </c>
      <c r="N4" s="15">
        <v>9.3000000000000007</v>
      </c>
      <c r="O4" s="13">
        <v>14.64</v>
      </c>
      <c r="P4" s="14">
        <v>17.305</v>
      </c>
      <c r="Q4" s="15">
        <v>78.14</v>
      </c>
      <c r="R4" s="15">
        <v>14.1</v>
      </c>
      <c r="S4" s="15">
        <v>39.770000000000003</v>
      </c>
      <c r="T4" s="15">
        <v>24.44</v>
      </c>
      <c r="U4" s="15">
        <v>3604.3440249603</v>
      </c>
      <c r="V4" s="15"/>
      <c r="W4" s="13">
        <v>1.7</v>
      </c>
      <c r="X4" s="14">
        <f>(100/J4)*(W4/1000)</f>
        <v>7.3816760746851914E-3</v>
      </c>
      <c r="Y4" s="13">
        <v>1.1405000000000001</v>
      </c>
      <c r="Z4" s="14">
        <f>(100/J4)*Y4</f>
        <v>4.9522362136343894</v>
      </c>
      <c r="AA4" s="13">
        <v>0.1477</v>
      </c>
      <c r="AB4" s="14">
        <f>(100/J4)*AA4</f>
        <v>0.64133738601823698</v>
      </c>
      <c r="AC4" s="13">
        <v>2.9</v>
      </c>
      <c r="AD4" s="10">
        <f>(100/J4)*(AC4/1000)</f>
        <v>1.2592270950933562E-2</v>
      </c>
      <c r="AE4" s="230">
        <v>7.4099999999999999E-2</v>
      </c>
      <c r="AF4" s="14">
        <f>(100/J4)*AE4</f>
        <v>0.32175423360833688</v>
      </c>
      <c r="AG4" s="13">
        <v>8.6199999999999999E-2</v>
      </c>
      <c r="AH4" s="14">
        <f>(100/J4)*AG4</f>
        <v>0.37429439861050795</v>
      </c>
      <c r="AI4" s="13"/>
      <c r="AJ4" s="13">
        <v>5.7299999999999997E-2</v>
      </c>
      <c r="AK4" s="10">
        <f>(100/J4)*AJ4</f>
        <v>0.2488059053408597</v>
      </c>
      <c r="AL4" s="14">
        <f>(AJ4*1000)/M4</f>
        <v>0.17738496281238952</v>
      </c>
      <c r="AM4" s="13">
        <v>0.1201</v>
      </c>
      <c r="AN4" s="10">
        <f>(100/J4)*AM4</f>
        <v>0.52149370386452443</v>
      </c>
      <c r="AO4" s="14">
        <f>(AM4*1000)/M4</f>
        <v>0.371796405475881</v>
      </c>
      <c r="AP4" s="13">
        <v>1.9199999999999998E-2</v>
      </c>
      <c r="AQ4" s="10">
        <f>(100/J4)*AP4</f>
        <v>8.3369518019973929E-2</v>
      </c>
      <c r="AR4" s="14">
        <f>(AP4*1000)/M4</f>
        <v>5.9437893298392296E-2</v>
      </c>
      <c r="AS4" s="13"/>
      <c r="AT4" s="13">
        <f>AJ4+AM4+AP4</f>
        <v>0.1966</v>
      </c>
      <c r="AU4" s="10">
        <f>(100/J4)*AT4</f>
        <v>0.85366912722535815</v>
      </c>
      <c r="AV4" s="14">
        <f>(AT4*1000)/M4</f>
        <v>0.6086192615866628</v>
      </c>
      <c r="AW4" s="13">
        <v>9.4399999999999998E-2</v>
      </c>
      <c r="AX4" s="10">
        <f>(100/J4)*AW4</f>
        <v>0.40990013026487182</v>
      </c>
      <c r="AY4" s="14">
        <f>(AW4*1000)/M4</f>
        <v>0.29223630871709544</v>
      </c>
      <c r="AZ4" s="123"/>
      <c r="BA4" s="13"/>
      <c r="BC4" s="14"/>
      <c r="BD4" s="13"/>
      <c r="BF4" s="14"/>
      <c r="BG4"/>
      <c r="BH4" s="13">
        <v>18.142859999999999</v>
      </c>
      <c r="BI4" s="10">
        <v>13</v>
      </c>
      <c r="BJ4" s="10">
        <v>5</v>
      </c>
      <c r="BK4" s="10">
        <v>13.66667</v>
      </c>
      <c r="BL4" s="14">
        <v>4.6666699999999999</v>
      </c>
      <c r="BM4">
        <v>0.43</v>
      </c>
      <c r="BN4">
        <v>17.488934574918368</v>
      </c>
      <c r="BO4">
        <v>52</v>
      </c>
      <c r="BP4">
        <v>4.375</v>
      </c>
      <c r="BQ4" s="185" t="s">
        <v>260</v>
      </c>
      <c r="BR4" s="13">
        <v>1.428571</v>
      </c>
      <c r="BS4" s="10">
        <v>1.75</v>
      </c>
      <c r="BT4" s="10">
        <v>0.75</v>
      </c>
      <c r="BU4" s="10">
        <v>0</v>
      </c>
      <c r="BV4" s="14">
        <v>0</v>
      </c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</row>
    <row r="5" spans="1:188" s="10" customFormat="1" ht="16.350000000000001" customHeight="1">
      <c r="A5" s="121" t="s">
        <v>265</v>
      </c>
      <c r="B5" s="182" t="s">
        <v>266</v>
      </c>
      <c r="C5" s="183">
        <v>42549</v>
      </c>
      <c r="D5" s="10" t="s">
        <v>26</v>
      </c>
      <c r="E5" s="10" t="s">
        <v>262</v>
      </c>
      <c r="F5" s="89">
        <v>43258</v>
      </c>
      <c r="G5" s="164">
        <v>0.68611111111111101</v>
      </c>
      <c r="H5" s="63">
        <v>18.52</v>
      </c>
      <c r="I5" s="64">
        <f>H14-H5</f>
        <v>0.73749999999999716</v>
      </c>
      <c r="J5" s="63">
        <v>22.02</v>
      </c>
      <c r="K5" s="14">
        <f>J5-H5</f>
        <v>3.5</v>
      </c>
      <c r="L5" s="13">
        <v>101.32</v>
      </c>
      <c r="M5" s="186">
        <v>369.65368869999998</v>
      </c>
      <c r="N5" s="15">
        <v>9.1</v>
      </c>
      <c r="O5" s="13">
        <v>14.648</v>
      </c>
      <c r="P5" s="14">
        <v>17.030999999999999</v>
      </c>
      <c r="Q5" s="15">
        <v>83</v>
      </c>
      <c r="R5" s="15">
        <v>14.23</v>
      </c>
      <c r="S5" s="15">
        <v>42.98</v>
      </c>
      <c r="T5" s="15">
        <v>26.3</v>
      </c>
      <c r="U5" s="15">
        <v>2472.7499418351099</v>
      </c>
      <c r="V5" s="15"/>
      <c r="W5" s="13">
        <v>1.3</v>
      </c>
      <c r="X5" s="14">
        <f>(100/J5)*(W5/1000)</f>
        <v>5.903723887375114E-3</v>
      </c>
      <c r="Y5" s="13">
        <v>1.0386</v>
      </c>
      <c r="Z5" s="14">
        <f>(100/J5)*Y5</f>
        <v>4.7166212534059948</v>
      </c>
      <c r="AA5" s="13">
        <v>0.1472</v>
      </c>
      <c r="AB5" s="14">
        <f>(100/J5)*AA5</f>
        <v>0.66848319709355142</v>
      </c>
      <c r="AC5" s="13">
        <v>3.3</v>
      </c>
      <c r="AD5" s="10">
        <f>(100/J5)*(AC5/1000)</f>
        <v>1.4986376021798366E-2</v>
      </c>
      <c r="AE5" s="230">
        <v>6.6900000000000001E-2</v>
      </c>
      <c r="AF5" s="14">
        <f>(100/J5)*AE5</f>
        <v>0.30381471389645781</v>
      </c>
      <c r="AG5" s="13">
        <v>8.8700000000000001E-2</v>
      </c>
      <c r="AH5" s="14">
        <f>(100/J5)*AG5</f>
        <v>0.40281562216167127</v>
      </c>
      <c r="AI5" s="13"/>
      <c r="AJ5" s="13">
        <v>6.3100000000000003E-2</v>
      </c>
      <c r="AK5" s="10">
        <f>(100/J5)*AJ5</f>
        <v>0.28655767484105366</v>
      </c>
      <c r="AL5" s="14">
        <f t="shared" ref="AL5:AL8" si="0">(AJ5*1000)/M5</f>
        <v>0.17070031201882607</v>
      </c>
      <c r="AM5" s="13">
        <v>8.3799999999999999E-2</v>
      </c>
      <c r="AN5" s="10">
        <f>(100/J5)*AM5</f>
        <v>0.38056312443233425</v>
      </c>
      <c r="AO5" s="14">
        <f t="shared" ref="AO5:AO8" si="1">(AM5*1000)/M5</f>
        <v>0.22669867111216521</v>
      </c>
      <c r="AP5" s="13">
        <v>1.29E-2</v>
      </c>
      <c r="AQ5" s="10">
        <f>(100/J5)*AP5</f>
        <v>5.8583106267029977E-2</v>
      </c>
      <c r="AR5" s="14">
        <f t="shared" ref="AR5:AR8" si="2">(AP5*1000)/M5</f>
        <v>3.4897528130631641E-2</v>
      </c>
      <c r="AS5" s="13"/>
      <c r="AT5" s="13">
        <f>AJ5+AM5+AP5</f>
        <v>0.1598</v>
      </c>
      <c r="AU5" s="10">
        <f>(100/J5)*AT5</f>
        <v>0.72570390554041786</v>
      </c>
      <c r="AV5" s="14">
        <f t="shared" ref="AV5:AV7" si="3">(AT5*1000)/M5</f>
        <v>0.432296511261623</v>
      </c>
      <c r="AW5" s="13">
        <v>0.1016</v>
      </c>
      <c r="AX5" s="10">
        <f>(100/J5)*AW5</f>
        <v>0.46139872842870122</v>
      </c>
      <c r="AY5" s="14">
        <f t="shared" ref="AY5:AY8" si="4">(AW5*1000)/M5</f>
        <v>0.27485184946295926</v>
      </c>
      <c r="AZ5" s="123"/>
      <c r="BA5" s="13"/>
      <c r="BC5" s="14"/>
      <c r="BD5" s="13"/>
      <c r="BF5" s="14"/>
      <c r="BG5"/>
      <c r="BH5" s="13">
        <v>15.1426</v>
      </c>
      <c r="BI5" s="10">
        <v>9.8000000000000007</v>
      </c>
      <c r="BJ5" s="10">
        <v>4</v>
      </c>
      <c r="BK5" s="10">
        <v>10.33333</v>
      </c>
      <c r="BL5" s="14">
        <v>6.6666699999999999</v>
      </c>
      <c r="BM5">
        <v>0.51</v>
      </c>
      <c r="BN5">
        <v>15.304162</v>
      </c>
      <c r="BO5">
        <v>43</v>
      </c>
      <c r="BP5">
        <v>4.461538</v>
      </c>
      <c r="BQ5" s="121" t="s">
        <v>265</v>
      </c>
      <c r="BR5" s="13">
        <v>0.42857099999999998</v>
      </c>
      <c r="BS5" s="10">
        <v>0</v>
      </c>
      <c r="BT5" s="10">
        <v>0.25</v>
      </c>
      <c r="BU5" s="10">
        <v>0.66666700000000001</v>
      </c>
      <c r="BV5" s="14">
        <v>0</v>
      </c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</row>
    <row r="6" spans="1:188" s="10" customFormat="1" ht="16.350000000000001" customHeight="1">
      <c r="A6" s="121" t="s">
        <v>267</v>
      </c>
      <c r="B6" s="182" t="s">
        <v>268</v>
      </c>
      <c r="C6" s="89">
        <v>42550</v>
      </c>
      <c r="D6" s="10" t="s">
        <v>26</v>
      </c>
      <c r="E6" s="10" t="s">
        <v>262</v>
      </c>
      <c r="F6" s="89">
        <v>43258</v>
      </c>
      <c r="G6" s="164">
        <v>0.78819444444444453</v>
      </c>
      <c r="H6" s="63">
        <v>17.91</v>
      </c>
      <c r="I6" s="64">
        <f>H14-H6</f>
        <v>1.3474999999999966</v>
      </c>
      <c r="J6" s="63">
        <v>20.82</v>
      </c>
      <c r="K6" s="14">
        <f>J6-H6</f>
        <v>2.91</v>
      </c>
      <c r="L6" s="13">
        <v>93.11</v>
      </c>
      <c r="M6" s="186">
        <v>341.18523540000001</v>
      </c>
      <c r="N6" s="15">
        <v>8.9</v>
      </c>
      <c r="O6" s="13">
        <v>14.683</v>
      </c>
      <c r="P6" s="14">
        <v>16.975000000000001</v>
      </c>
      <c r="Q6" s="15">
        <v>79.760000000000005</v>
      </c>
      <c r="R6" s="15">
        <v>12.77</v>
      </c>
      <c r="S6" s="15">
        <v>42.05</v>
      </c>
      <c r="T6" s="15">
        <v>24.96</v>
      </c>
      <c r="U6" s="15">
        <v>2643.1465137088703</v>
      </c>
      <c r="V6" s="15"/>
      <c r="W6" s="13">
        <v>1.1000000000000001</v>
      </c>
      <c r="X6" s="14">
        <f>(100/J6)*(W6/1000)</f>
        <v>5.2833813640730072E-3</v>
      </c>
      <c r="Y6" s="13">
        <v>1.0152000000000001</v>
      </c>
      <c r="Z6" s="14">
        <f>(100/J6)*Y6</f>
        <v>4.8760806916426516</v>
      </c>
      <c r="AA6" s="13">
        <v>0.159</v>
      </c>
      <c r="AB6" s="14">
        <f>(100/J6)*AA6</f>
        <v>0.7636887608069165</v>
      </c>
      <c r="AC6" s="13">
        <v>3.6</v>
      </c>
      <c r="AD6" s="10">
        <f>(100/J6)*(AC6/1000)</f>
        <v>1.7291066282420751E-2</v>
      </c>
      <c r="AE6" s="230">
        <v>5.3999999999999999E-2</v>
      </c>
      <c r="AF6" s="14">
        <f>(100/J6)*AE6</f>
        <v>0.25936599423631124</v>
      </c>
      <c r="AG6" s="13">
        <v>7.8700000000000006E-2</v>
      </c>
      <c r="AH6" s="14">
        <f>(100/J6)*AG6</f>
        <v>0.37800192122958698</v>
      </c>
      <c r="AI6" s="13"/>
      <c r="AJ6" s="13">
        <v>8.0399999999999999E-2</v>
      </c>
      <c r="AK6" s="10">
        <f>(100/J6)*AJ6</f>
        <v>0.3861671469740634</v>
      </c>
      <c r="AL6" s="14">
        <f t="shared" si="0"/>
        <v>0.23564911859606222</v>
      </c>
      <c r="AM6" s="13">
        <v>9.9599999999999994E-2</v>
      </c>
      <c r="AN6" s="10">
        <f>(100/J6)*AM6</f>
        <v>0.47838616714697407</v>
      </c>
      <c r="AO6" s="14">
        <f t="shared" si="1"/>
        <v>0.29192353497721135</v>
      </c>
      <c r="AP6" s="13">
        <v>1.9199999999999998E-2</v>
      </c>
      <c r="AQ6" s="10">
        <f>(100/J6)*AP6</f>
        <v>9.2219020172910657E-2</v>
      </c>
      <c r="AR6" s="14">
        <f t="shared" si="2"/>
        <v>5.6274416381149175E-2</v>
      </c>
      <c r="AS6" s="13"/>
      <c r="AT6" s="13">
        <f>AJ6+AM6+AP6</f>
        <v>0.19919999999999999</v>
      </c>
      <c r="AU6" s="10">
        <f>(100/J6)*AT6</f>
        <v>0.95677233429394815</v>
      </c>
      <c r="AV6" s="14">
        <f t="shared" si="3"/>
        <v>0.5838470699544227</v>
      </c>
      <c r="AW6" s="13">
        <v>8.0199999999999994E-2</v>
      </c>
      <c r="AX6" s="10">
        <f>(100/J6)*AW6</f>
        <v>0.38520653218059558</v>
      </c>
      <c r="AY6" s="14">
        <f t="shared" si="4"/>
        <v>0.23506292675875853</v>
      </c>
      <c r="AZ6" s="123"/>
      <c r="BA6" s="13"/>
      <c r="BC6" s="14"/>
      <c r="BD6" s="13"/>
      <c r="BF6" s="14"/>
      <c r="BG6"/>
      <c r="BH6" s="13">
        <v>21.166667</v>
      </c>
      <c r="BI6" s="10">
        <v>20.3</v>
      </c>
      <c r="BJ6" s="10">
        <v>7.7</v>
      </c>
      <c r="BK6" s="10">
        <v>11</v>
      </c>
      <c r="BL6" s="14">
        <v>3.3333300000000001</v>
      </c>
      <c r="BM6">
        <v>-0.57999999999999996</v>
      </c>
      <c r="BN6">
        <v>15.911526078640209</v>
      </c>
      <c r="BO6">
        <v>41</v>
      </c>
      <c r="BP6">
        <v>3.15</v>
      </c>
      <c r="BQ6" s="121" t="s">
        <v>267</v>
      </c>
      <c r="BR6" s="13">
        <v>1.933333</v>
      </c>
      <c r="BS6" s="10">
        <v>1.33</v>
      </c>
      <c r="BT6" s="10">
        <v>1</v>
      </c>
      <c r="BU6" s="10">
        <v>1</v>
      </c>
      <c r="BV6" s="14">
        <v>0.33333000000000002</v>
      </c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</row>
    <row r="7" spans="1:188" s="10" customFormat="1" ht="16.350000000000001" customHeight="1">
      <c r="A7" s="133" t="s">
        <v>269</v>
      </c>
      <c r="B7" s="224" t="s">
        <v>270</v>
      </c>
      <c r="C7" s="11">
        <v>42529</v>
      </c>
      <c r="D7" s="12" t="s">
        <v>26</v>
      </c>
      <c r="E7" s="10" t="s">
        <v>262</v>
      </c>
      <c r="F7" s="11" t="s">
        <v>271</v>
      </c>
      <c r="G7" s="164">
        <v>0.63888888888888895</v>
      </c>
      <c r="H7" s="63">
        <v>20.61</v>
      </c>
      <c r="I7" s="64">
        <f>H14-H7</f>
        <v>-1.3525000000000027</v>
      </c>
      <c r="J7" s="63">
        <v>24.79</v>
      </c>
      <c r="K7" s="14">
        <f>J7-H7</f>
        <v>4.18</v>
      </c>
      <c r="L7" s="13">
        <v>89.79</v>
      </c>
      <c r="M7" s="86">
        <v>326.420591</v>
      </c>
      <c r="N7" s="15">
        <v>9.1999999999999993</v>
      </c>
      <c r="O7" s="13">
        <v>15.096</v>
      </c>
      <c r="P7" s="14">
        <v>17.314</v>
      </c>
      <c r="Q7" s="15">
        <v>80.459999999999994</v>
      </c>
      <c r="R7" s="15">
        <v>10.47</v>
      </c>
      <c r="S7" s="15">
        <v>35.659999999999997</v>
      </c>
      <c r="T7" s="15">
        <v>36.090000000000003</v>
      </c>
      <c r="U7" s="15">
        <v>1468.7840360495302</v>
      </c>
      <c r="V7" s="15"/>
      <c r="W7" s="13">
        <v>2</v>
      </c>
      <c r="X7" s="14">
        <f>(100/J7)*(W7/1000)</f>
        <v>8.0677692617991126E-3</v>
      </c>
      <c r="Y7" s="13">
        <v>1.1418999999999999</v>
      </c>
      <c r="Z7" s="14">
        <f>(100/J7)*Y7</f>
        <v>4.6062928600242028</v>
      </c>
      <c r="AA7" s="13">
        <v>0.16800000000000001</v>
      </c>
      <c r="AB7" s="14">
        <f>(100/J7)*AA7</f>
        <v>0.67769261799112546</v>
      </c>
      <c r="AC7" s="13">
        <v>3.1</v>
      </c>
      <c r="AD7" s="10">
        <f>(100/J7)*(AC7/1000)</f>
        <v>1.2505042355788623E-2</v>
      </c>
      <c r="AE7" s="230">
        <v>6.3E-2</v>
      </c>
      <c r="AF7" s="14">
        <f>(100/J7)*AE7</f>
        <v>0.25413473174667206</v>
      </c>
      <c r="AG7" s="13">
        <v>7.8899999999999998E-2</v>
      </c>
      <c r="AH7" s="14">
        <f>(100/J7)*AG7</f>
        <v>0.318273497377975</v>
      </c>
      <c r="AI7" s="13"/>
      <c r="AJ7" s="13">
        <v>8.2699999999999996E-2</v>
      </c>
      <c r="AK7" s="10">
        <f>(100/J7)*AJ7</f>
        <v>0.33360225897539325</v>
      </c>
      <c r="AL7" s="14">
        <f t="shared" si="0"/>
        <v>0.25335411515139372</v>
      </c>
      <c r="AM7" s="13">
        <v>0.16250000000000001</v>
      </c>
      <c r="AN7" s="10">
        <f>(100/J7)*AM7</f>
        <v>0.65550625252117789</v>
      </c>
      <c r="AO7" s="14">
        <f t="shared" si="1"/>
        <v>0.49782398684524165</v>
      </c>
      <c r="AP7" s="13">
        <v>2.4E-2</v>
      </c>
      <c r="AQ7" s="10">
        <f>(100/J7)*AP7</f>
        <v>9.6813231141589351E-2</v>
      </c>
      <c r="AR7" s="14">
        <f t="shared" si="2"/>
        <v>7.352477344175877E-2</v>
      </c>
      <c r="AS7" s="13"/>
      <c r="AT7" s="13">
        <f>AJ7+AM7+AP7</f>
        <v>0.26919999999999999</v>
      </c>
      <c r="AU7" s="10">
        <f>(100/J7)*AT7</f>
        <v>1.0859217426381604</v>
      </c>
      <c r="AV7" s="14">
        <f t="shared" si="3"/>
        <v>0.82470287543839416</v>
      </c>
      <c r="AW7" s="13">
        <v>9.9199999999999997E-2</v>
      </c>
      <c r="AX7" s="10">
        <f>(100/J7)*AW7</f>
        <v>0.40016135538523595</v>
      </c>
      <c r="AY7" s="14">
        <f t="shared" si="4"/>
        <v>0.3039023968926029</v>
      </c>
      <c r="AZ7" s="123"/>
      <c r="BA7" s="13"/>
      <c r="BC7" s="14"/>
      <c r="BD7" s="13"/>
      <c r="BF7" s="14"/>
      <c r="BG7"/>
      <c r="BH7" s="13">
        <v>21.142859999999999</v>
      </c>
      <c r="BI7" s="10">
        <v>9</v>
      </c>
      <c r="BJ7" s="10">
        <v>9.5</v>
      </c>
      <c r="BK7" s="10">
        <v>16.66667</v>
      </c>
      <c r="BL7" s="14">
        <v>8</v>
      </c>
      <c r="BM7">
        <v>0.02</v>
      </c>
      <c r="BN7">
        <v>5.6160263557520391</v>
      </c>
      <c r="BO7">
        <v>18</v>
      </c>
      <c r="BP7">
        <v>3.625</v>
      </c>
      <c r="BQ7" s="134" t="s">
        <v>269</v>
      </c>
      <c r="BR7" s="13">
        <v>0.57142899999999996</v>
      </c>
      <c r="BS7" s="10">
        <v>0.5</v>
      </c>
      <c r="BT7" s="10">
        <v>0.25</v>
      </c>
      <c r="BU7" s="10">
        <v>0.33333299999999999</v>
      </c>
      <c r="BV7" s="14">
        <v>0</v>
      </c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</row>
    <row r="8" spans="1:188" s="10" customFormat="1" ht="16.350000000000001" customHeight="1">
      <c r="A8" s="133" t="s">
        <v>272</v>
      </c>
      <c r="B8" s="224" t="s">
        <v>273</v>
      </c>
      <c r="C8" s="11"/>
      <c r="D8" s="12" t="s">
        <v>26</v>
      </c>
      <c r="E8" s="10" t="s">
        <v>262</v>
      </c>
      <c r="F8" s="11">
        <v>42411</v>
      </c>
      <c r="G8" s="164">
        <v>0.59861111111111109</v>
      </c>
      <c r="H8" s="63">
        <v>17.77</v>
      </c>
      <c r="I8" s="64">
        <f>H14-H8</f>
        <v>1.4874999999999972</v>
      </c>
      <c r="J8" s="63">
        <v>20.73</v>
      </c>
      <c r="K8" s="14">
        <f>J8-H8</f>
        <v>2.9600000000000009</v>
      </c>
      <c r="L8" s="13">
        <v>85.319999999999965</v>
      </c>
      <c r="M8" s="86">
        <v>311.50084418390998</v>
      </c>
      <c r="N8" s="15">
        <v>8.8000000000000007</v>
      </c>
      <c r="O8" s="13">
        <v>14.406000000000001</v>
      </c>
      <c r="P8" s="14">
        <v>16.797999999999998</v>
      </c>
      <c r="Q8" s="15">
        <v>75.510000000000005</v>
      </c>
      <c r="R8" s="15">
        <v>10.32</v>
      </c>
      <c r="S8" s="15">
        <v>31.87</v>
      </c>
      <c r="T8" s="15">
        <v>33.380000000000003</v>
      </c>
      <c r="U8" s="15">
        <v>1912.4144868752799</v>
      </c>
      <c r="V8" s="15"/>
      <c r="W8" s="13">
        <v>1.2</v>
      </c>
      <c r="X8" s="14">
        <f>(100/J8)*(W8/1000)</f>
        <v>5.7887120115774236E-3</v>
      </c>
      <c r="Y8" s="13">
        <v>1.0230999999999999</v>
      </c>
      <c r="Z8" s="14">
        <f>(100/J8)*Y8</f>
        <v>4.9353593825373849</v>
      </c>
      <c r="AA8" s="13">
        <v>0.13619999999999999</v>
      </c>
      <c r="AB8" s="14">
        <f>(100/J8)*AA8</f>
        <v>0.65701881331403755</v>
      </c>
      <c r="AC8" s="13">
        <v>3</v>
      </c>
      <c r="AD8" s="10">
        <f>(100/J8)*(AC8/1000)</f>
        <v>1.4471780028943561E-2</v>
      </c>
      <c r="AE8" s="230">
        <v>5.8400000000000001E-2</v>
      </c>
      <c r="AF8" s="14">
        <f>(100/J8)*AE8</f>
        <v>0.28171731789676796</v>
      </c>
      <c r="AG8" s="13">
        <v>8.2600000000000007E-2</v>
      </c>
      <c r="AH8" s="14">
        <f>(100/J8)*AG8</f>
        <v>0.39845634346357939</v>
      </c>
      <c r="AI8" s="13"/>
      <c r="AJ8" s="13">
        <v>8.0799999999999997E-2</v>
      </c>
      <c r="AK8" s="10">
        <f>(100/J8)*AJ8</f>
        <v>0.38977327544621321</v>
      </c>
      <c r="AL8" s="14">
        <f t="shared" si="0"/>
        <v>0.2593893451932211</v>
      </c>
      <c r="AM8" s="13">
        <v>8.6499999999999994E-2</v>
      </c>
      <c r="AN8" s="10">
        <f>(100/J8)*AM8</f>
        <v>0.41726965750120598</v>
      </c>
      <c r="AO8" s="14">
        <f t="shared" si="1"/>
        <v>0.27768785098036664</v>
      </c>
      <c r="AP8" s="13">
        <v>1.35E-2</v>
      </c>
      <c r="AQ8" s="10">
        <f>(100/J8)*AP8</f>
        <v>6.5123010130246017E-2</v>
      </c>
      <c r="AR8" s="14">
        <f t="shared" si="2"/>
        <v>4.3338566337976295E-2</v>
      </c>
      <c r="AS8" s="13"/>
      <c r="AT8" s="13">
        <f>AJ8+AM8+AP8</f>
        <v>0.18080000000000002</v>
      </c>
      <c r="AU8" s="10">
        <f>(100/J8)*AT8</f>
        <v>0.87216594307766526</v>
      </c>
      <c r="AV8" s="14">
        <f t="shared" ref="AV8" si="5">(AT8*1000)/M8</f>
        <v>0.58041576251156402</v>
      </c>
      <c r="AW8" s="13">
        <v>8.5900000000000004E-2</v>
      </c>
      <c r="AX8" s="10">
        <f>(100/J8)*AW8</f>
        <v>0.41437530149541729</v>
      </c>
      <c r="AY8" s="14">
        <f t="shared" si="4"/>
        <v>0.2757616924764566</v>
      </c>
      <c r="AZ8" s="123"/>
      <c r="BA8" s="13"/>
      <c r="BC8" s="14"/>
      <c r="BD8" s="13"/>
      <c r="BF8" s="14"/>
      <c r="BG8"/>
      <c r="BH8" s="13">
        <v>16.625</v>
      </c>
      <c r="BI8" s="10">
        <v>9.5</v>
      </c>
      <c r="BJ8" s="10">
        <v>12.2</v>
      </c>
      <c r="BK8" s="10">
        <v>8.6666699999999999</v>
      </c>
      <c r="BL8" s="14">
        <v>2.6666699999999999</v>
      </c>
      <c r="BM8">
        <v>0.26</v>
      </c>
      <c r="BN8">
        <v>10.731384848025231</v>
      </c>
      <c r="BO8">
        <v>35</v>
      </c>
      <c r="BP8">
        <v>4.1818179999999998</v>
      </c>
      <c r="BQ8" s="134" t="s">
        <v>272</v>
      </c>
      <c r="BR8" s="13">
        <v>0.25</v>
      </c>
      <c r="BS8" s="10">
        <v>0</v>
      </c>
      <c r="BT8" s="10">
        <v>0</v>
      </c>
      <c r="BU8" s="10">
        <v>0</v>
      </c>
      <c r="BV8" s="14">
        <v>0.66666999999999998</v>
      </c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</row>
    <row r="9" spans="1:188" s="10" customFormat="1" ht="16.350000000000001" customHeight="1">
      <c r="A9" s="123"/>
      <c r="B9" s="62"/>
      <c r="C9" s="11"/>
      <c r="D9" s="12"/>
      <c r="F9" s="11"/>
      <c r="G9" s="164"/>
      <c r="H9" s="13"/>
      <c r="I9" s="64"/>
      <c r="J9" s="63"/>
      <c r="K9" s="14"/>
      <c r="L9" s="13"/>
      <c r="M9" s="86"/>
      <c r="N9" s="15"/>
      <c r="O9" s="13"/>
      <c r="P9" s="14"/>
      <c r="Q9" s="15"/>
      <c r="R9" s="15"/>
      <c r="S9" s="15"/>
      <c r="T9" s="15"/>
      <c r="U9" s="15"/>
      <c r="V9" s="15"/>
      <c r="W9" s="13"/>
      <c r="X9" s="14"/>
      <c r="Y9" s="13"/>
      <c r="Z9" s="14"/>
      <c r="AA9" s="13"/>
      <c r="AB9" s="14"/>
      <c r="AC9" s="13"/>
      <c r="AE9" s="13"/>
      <c r="AF9" s="14"/>
      <c r="AG9" s="13"/>
      <c r="AH9" s="14"/>
      <c r="AI9" s="13"/>
      <c r="AJ9" s="13"/>
      <c r="AL9" s="14"/>
      <c r="AM9" s="13"/>
      <c r="AO9" s="14"/>
      <c r="AP9" s="13"/>
      <c r="AR9" s="14"/>
      <c r="AS9" s="13"/>
      <c r="AT9" s="13"/>
      <c r="AV9" s="14"/>
      <c r="AW9" s="13"/>
      <c r="AY9" s="14"/>
      <c r="AZ9" s="123"/>
      <c r="BA9" s="13"/>
      <c r="BC9" s="14"/>
      <c r="BD9" s="13"/>
      <c r="BF9" s="14"/>
      <c r="BG9"/>
      <c r="BH9" s="13"/>
      <c r="BL9" s="14"/>
      <c r="BM9"/>
      <c r="BP9" s="14"/>
      <c r="BQ9" s="134"/>
      <c r="BR9" s="13"/>
      <c r="BV9" s="14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</row>
    <row r="10" spans="1:188" s="10" customFormat="1" ht="16.350000000000001" customHeight="1">
      <c r="A10" s="123"/>
      <c r="C10" s="89"/>
      <c r="F10" s="89"/>
      <c r="G10" s="164"/>
      <c r="H10" s="13"/>
      <c r="I10" s="64"/>
      <c r="J10" s="63"/>
      <c r="K10" s="14"/>
      <c r="L10" s="13"/>
      <c r="M10" s="86"/>
      <c r="N10" s="15"/>
      <c r="O10" s="13"/>
      <c r="P10" s="14"/>
      <c r="Q10" s="15"/>
      <c r="R10" s="15"/>
      <c r="S10" s="15"/>
      <c r="T10" s="15"/>
      <c r="U10" s="15"/>
      <c r="V10" s="15"/>
      <c r="W10" s="13"/>
      <c r="X10" s="14"/>
      <c r="Y10" s="13"/>
      <c r="Z10" s="14"/>
      <c r="AA10" s="13"/>
      <c r="AB10" s="14"/>
      <c r="AC10" s="13"/>
      <c r="AE10" s="13"/>
      <c r="AF10" s="14"/>
      <c r="AG10" s="13"/>
      <c r="AH10" s="14"/>
      <c r="AI10" s="13"/>
      <c r="AJ10" s="13"/>
      <c r="AL10" s="14"/>
      <c r="AM10" s="13"/>
      <c r="AO10" s="14"/>
      <c r="AP10" s="13"/>
      <c r="AR10" s="14"/>
      <c r="AS10" s="13"/>
      <c r="AT10" s="13"/>
      <c r="AV10" s="14"/>
      <c r="AW10" s="13"/>
      <c r="AY10" s="14"/>
      <c r="AZ10" s="123"/>
      <c r="BA10" s="13"/>
      <c r="BC10" s="14"/>
      <c r="BD10" s="13"/>
      <c r="BF10" s="14"/>
      <c r="BG10"/>
      <c r="BH10" s="13"/>
      <c r="BL10" s="14"/>
      <c r="BM10" s="13"/>
      <c r="BP10" s="14"/>
      <c r="BQ10" s="134"/>
      <c r="BR10" s="13"/>
      <c r="BV10" s="14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</row>
    <row r="11" spans="1:188" s="10" customFormat="1" ht="16.350000000000001" customHeight="1">
      <c r="A11" s="313" t="s">
        <v>274</v>
      </c>
      <c r="B11" s="13" t="s">
        <v>275</v>
      </c>
      <c r="C11" s="142">
        <v>43705</v>
      </c>
      <c r="D11" s="10" t="s">
        <v>26</v>
      </c>
      <c r="E11" s="10" t="s">
        <v>262</v>
      </c>
      <c r="F11" s="89">
        <v>43742</v>
      </c>
      <c r="G11" s="164">
        <v>0.47569444444444442</v>
      </c>
      <c r="H11" s="13">
        <v>18.760000000000002</v>
      </c>
      <c r="I11" s="64">
        <f>H14-H11</f>
        <v>0.49749999999999517</v>
      </c>
      <c r="J11" s="63">
        <v>23.12</v>
      </c>
      <c r="K11" s="14">
        <f t="shared" ref="K11:K13" si="6">J11-H11</f>
        <v>4.3599999999999994</v>
      </c>
      <c r="L11" s="13">
        <v>82.450000000000045</v>
      </c>
      <c r="M11" s="86">
        <v>303.43857536361782</v>
      </c>
      <c r="N11" s="15">
        <v>9.4</v>
      </c>
      <c r="O11" s="13">
        <v>14.651</v>
      </c>
      <c r="P11" s="401">
        <v>17.18</v>
      </c>
      <c r="Q11" s="15">
        <v>93.5</v>
      </c>
      <c r="R11" s="15">
        <v>12.02</v>
      </c>
      <c r="S11" s="15">
        <v>43.49</v>
      </c>
      <c r="T11" s="15">
        <v>38.58</v>
      </c>
      <c r="U11" s="15">
        <v>2660.3187732209199</v>
      </c>
      <c r="V11" s="15"/>
      <c r="W11" s="13">
        <v>1.4</v>
      </c>
      <c r="X11" s="14">
        <f t="shared" ref="X11:X13" si="7">(100/J11)*(W11/1000)</f>
        <v>6.0553633217993079E-3</v>
      </c>
      <c r="Y11" s="10">
        <v>1.3011999999999999</v>
      </c>
      <c r="Z11" s="14">
        <f t="shared" ref="Z11:Z13" si="8">(100/J11)*Y11</f>
        <v>5.6280276816608996</v>
      </c>
      <c r="AA11" s="10">
        <v>0.1245</v>
      </c>
      <c r="AB11" s="14">
        <f t="shared" ref="AB11:AB13" si="9">(100/J11)*AA11</f>
        <v>0.53849480968858132</v>
      </c>
      <c r="AC11" s="13">
        <v>2.7</v>
      </c>
      <c r="AD11" s="10">
        <f t="shared" ref="AD11:AD13" si="10">(100/J11)*(AC11/1000)</f>
        <v>1.1678200692041523E-2</v>
      </c>
      <c r="AE11" s="13">
        <v>6.6500000000000004E-2</v>
      </c>
      <c r="AF11" s="14">
        <f t="shared" ref="AF11:AF13" si="11">(100/J11)*AE11</f>
        <v>0.28762975778546718</v>
      </c>
      <c r="AG11" s="10">
        <v>7.6700000000000004E-2</v>
      </c>
      <c r="AH11" s="14">
        <f t="shared" ref="AH11:AH13" si="12">(100/J11)*AG11</f>
        <v>0.33174740484429066</v>
      </c>
      <c r="AI11" s="13"/>
      <c r="AJ11" s="13">
        <v>8.7599999999999997E-2</v>
      </c>
      <c r="AK11" s="10">
        <f t="shared" ref="AK11:AK13" si="13">(100/J11)*AJ11</f>
        <v>0.37889273356401382</v>
      </c>
      <c r="AL11" s="14">
        <f t="shared" ref="AL11:AL13" si="14">(AJ11*1000)/M11</f>
        <v>0.28869104692779018</v>
      </c>
      <c r="AM11" s="10">
        <v>0.122</v>
      </c>
      <c r="AN11" s="10">
        <f t="shared" ref="AN11:AN13" si="15">(100/J11)*AM11</f>
        <v>0.52768166089965396</v>
      </c>
      <c r="AO11" s="14">
        <f t="shared" ref="AO11:AO13" si="16">(AM11*1000)/M11</f>
        <v>0.40205830736518727</v>
      </c>
      <c r="AP11" s="10">
        <v>2.3900000000000001E-2</v>
      </c>
      <c r="AQ11" s="10">
        <f t="shared" ref="AQ11:AQ13" si="17">(100/J11)*AP11</f>
        <v>0.10337370242214533</v>
      </c>
      <c r="AR11" s="14">
        <f t="shared" ref="AR11:AR13" si="18">(AP11*1000)/M11</f>
        <v>7.8763881524819487E-2</v>
      </c>
      <c r="AS11" s="13"/>
      <c r="AT11" s="13">
        <f t="shared" ref="AT11:AT13" si="19">AJ11+AM11+AP11</f>
        <v>0.23350000000000001</v>
      </c>
      <c r="AU11" s="10">
        <f t="shared" ref="AU11:AU13" si="20">(100/J11)*AT11</f>
        <v>1.0099480968858132</v>
      </c>
      <c r="AV11" s="14">
        <f t="shared" ref="AV11:AV13" si="21">(AT11*1000)/M11</f>
        <v>0.76951323581779696</v>
      </c>
      <c r="AW11" s="10">
        <v>0.1032</v>
      </c>
      <c r="AX11" s="10">
        <f t="shared" ref="AX11:AX13" si="22">(100/J11)*AW11</f>
        <v>0.44636678200692043</v>
      </c>
      <c r="AY11" s="14">
        <f t="shared" ref="AY11:AY13" si="23">(AW11*1000)/M11</f>
        <v>0.34010178131219121</v>
      </c>
      <c r="AZ11" s="123"/>
      <c r="BA11" s="13"/>
      <c r="BC11" s="14"/>
      <c r="BD11" s="13"/>
      <c r="BF11" s="14"/>
      <c r="BG11"/>
      <c r="BH11" s="13"/>
      <c r="BL11" s="14"/>
      <c r="BM11" s="13"/>
      <c r="BP11" s="14"/>
      <c r="BQ11" s="134"/>
      <c r="BR11" s="13"/>
      <c r="BV11" s="14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</row>
    <row r="12" spans="1:188" s="10" customFormat="1" ht="16.350000000000001" customHeight="1">
      <c r="A12" s="313" t="s">
        <v>277</v>
      </c>
      <c r="B12" s="13" t="s">
        <v>278</v>
      </c>
      <c r="C12" s="142">
        <v>43703</v>
      </c>
      <c r="D12" s="10" t="s">
        <v>26</v>
      </c>
      <c r="E12" s="10" t="s">
        <v>262</v>
      </c>
      <c r="F12" s="89">
        <v>43742</v>
      </c>
      <c r="G12" s="164">
        <v>0.76736111111111116</v>
      </c>
      <c r="H12" s="13">
        <v>20.079999999999998</v>
      </c>
      <c r="I12" s="64">
        <f>H14-H12</f>
        <v>-0.82250000000000156</v>
      </c>
      <c r="J12" s="63">
        <v>23.84</v>
      </c>
      <c r="K12" s="14">
        <f t="shared" si="6"/>
        <v>3.7600000000000016</v>
      </c>
      <c r="L12" s="13">
        <v>74.149999999999963</v>
      </c>
      <c r="M12" s="86">
        <v>270.5459558714702</v>
      </c>
      <c r="N12" s="15">
        <v>9</v>
      </c>
      <c r="O12" s="13">
        <v>14.965999999999999</v>
      </c>
      <c r="P12" s="14">
        <v>17.119</v>
      </c>
      <c r="Q12" s="15">
        <v>81.47</v>
      </c>
      <c r="R12" s="15">
        <v>8.3699999999999992</v>
      </c>
      <c r="S12" s="15">
        <v>39.11</v>
      </c>
      <c r="T12" s="15">
        <v>34.049999999999997</v>
      </c>
      <c r="U12" s="15">
        <v>2567.3468659220403</v>
      </c>
      <c r="V12" s="15"/>
      <c r="W12" s="13"/>
      <c r="X12" s="14"/>
      <c r="Y12" s="10">
        <v>0.9597</v>
      </c>
      <c r="Z12" s="14">
        <f t="shared" si="8"/>
        <v>4.0255872483221475</v>
      </c>
      <c r="AA12" s="10">
        <v>0.1346</v>
      </c>
      <c r="AB12" s="14">
        <f t="shared" si="9"/>
        <v>0.56459731543624159</v>
      </c>
      <c r="AC12" s="13">
        <v>2</v>
      </c>
      <c r="AD12" s="14">
        <f t="shared" si="10"/>
        <v>8.389261744966443E-3</v>
      </c>
      <c r="AE12" s="10">
        <v>7.0300000000000001E-2</v>
      </c>
      <c r="AF12" s="14">
        <f t="shared" si="11"/>
        <v>0.29488255033557048</v>
      </c>
      <c r="AG12" s="10">
        <v>8.4900000000000003E-2</v>
      </c>
      <c r="AH12" s="14">
        <f t="shared" si="12"/>
        <v>0.35612416107382555</v>
      </c>
      <c r="AI12" s="376"/>
      <c r="AJ12" s="10">
        <v>9.4299999999999995E-2</v>
      </c>
      <c r="AK12" s="10">
        <f t="shared" si="13"/>
        <v>0.39555369127516776</v>
      </c>
      <c r="AL12" s="14">
        <f t="shared" si="14"/>
        <v>0.34855446164865106</v>
      </c>
      <c r="AM12" s="10">
        <f>0.0968+0.0202</f>
        <v>0.11699999999999999</v>
      </c>
      <c r="AN12" s="10">
        <f t="shared" si="15"/>
        <v>0.49077181208053694</v>
      </c>
      <c r="AO12" s="14">
        <f t="shared" si="16"/>
        <v>0.43245887606460415</v>
      </c>
      <c r="AP12" s="10">
        <v>2.7799999999999998E-2</v>
      </c>
      <c r="AQ12" s="10">
        <f t="shared" si="17"/>
        <v>0.11661073825503356</v>
      </c>
      <c r="AR12" s="14">
        <f t="shared" si="18"/>
        <v>0.10275518593671791</v>
      </c>
      <c r="AS12" s="13"/>
      <c r="AT12" s="13">
        <f t="shared" si="19"/>
        <v>0.23909999999999998</v>
      </c>
      <c r="AU12" s="10">
        <f t="shared" si="20"/>
        <v>1.0029362416107381</v>
      </c>
      <c r="AV12" s="14">
        <f t="shared" si="21"/>
        <v>0.88376852364997305</v>
      </c>
      <c r="AW12" s="10">
        <v>0.105</v>
      </c>
      <c r="AX12" s="10">
        <f t="shared" si="22"/>
        <v>0.44043624161073824</v>
      </c>
      <c r="AY12" s="14">
        <f t="shared" si="23"/>
        <v>0.38810411954515761</v>
      </c>
      <c r="AZ12" s="123"/>
      <c r="BA12" s="13"/>
      <c r="BC12" s="14"/>
      <c r="BD12" s="13"/>
      <c r="BF12" s="14"/>
      <c r="BG12"/>
      <c r="BH12" s="13"/>
      <c r="BL12" s="14"/>
      <c r="BM12" s="13"/>
      <c r="BP12" s="14"/>
      <c r="BQ12" s="123"/>
      <c r="BR12" s="13"/>
      <c r="BV12" s="14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</row>
    <row r="13" spans="1:188" s="10" customFormat="1" ht="16.350000000000001" customHeight="1">
      <c r="A13" s="313" t="s">
        <v>279</v>
      </c>
      <c r="B13" s="13" t="s">
        <v>280</v>
      </c>
      <c r="C13" s="142">
        <v>43706</v>
      </c>
      <c r="D13" s="10" t="s">
        <v>26</v>
      </c>
      <c r="E13" s="10" t="s">
        <v>262</v>
      </c>
      <c r="F13" s="89">
        <v>43742</v>
      </c>
      <c r="G13" s="400">
        <v>0.62847222222222221</v>
      </c>
      <c r="H13" s="13">
        <v>20.41</v>
      </c>
      <c r="I13" s="64">
        <f>H14-H13</f>
        <v>-1.1525000000000034</v>
      </c>
      <c r="J13" s="63">
        <v>26.3</v>
      </c>
      <c r="K13" s="14">
        <f t="shared" si="6"/>
        <v>5.8900000000000006</v>
      </c>
      <c r="L13" s="13">
        <v>92.309999999999945</v>
      </c>
      <c r="M13" s="86">
        <v>337.28777705838945</v>
      </c>
      <c r="N13" s="15">
        <v>8.6999999999999993</v>
      </c>
      <c r="O13" s="13">
        <v>14.929</v>
      </c>
      <c r="P13" s="14">
        <v>17.129000000000001</v>
      </c>
      <c r="Q13" s="15">
        <v>86.09</v>
      </c>
      <c r="R13" s="15">
        <v>9.68</v>
      </c>
      <c r="S13" s="15">
        <v>45.47</v>
      </c>
      <c r="T13" s="15">
        <v>31.55</v>
      </c>
      <c r="U13" s="15">
        <v>3474.8821478967698</v>
      </c>
      <c r="V13" s="15"/>
      <c r="W13" s="13">
        <v>1.3</v>
      </c>
      <c r="X13" s="14">
        <f t="shared" si="7"/>
        <v>4.9429657794676802E-3</v>
      </c>
      <c r="Y13" s="13">
        <v>1.3088</v>
      </c>
      <c r="Z13" s="14">
        <f t="shared" si="8"/>
        <v>4.9764258555133081</v>
      </c>
      <c r="AA13" s="13">
        <v>0.1411</v>
      </c>
      <c r="AB13" s="14">
        <f t="shared" si="9"/>
        <v>0.53650190114068441</v>
      </c>
      <c r="AC13" s="13">
        <v>2.2000000000000002</v>
      </c>
      <c r="AD13" s="10">
        <f t="shared" si="10"/>
        <v>8.3650190114068455E-3</v>
      </c>
      <c r="AE13" s="230">
        <v>7.1599999999999997E-2</v>
      </c>
      <c r="AF13" s="14">
        <f t="shared" si="11"/>
        <v>0.27224334600760458</v>
      </c>
      <c r="AG13" s="13">
        <v>8.4599999999999995E-2</v>
      </c>
      <c r="AH13" s="14">
        <f t="shared" si="12"/>
        <v>0.32167300380228137</v>
      </c>
      <c r="AI13" s="13"/>
      <c r="AJ13" s="13">
        <v>8.0699999999999994E-2</v>
      </c>
      <c r="AK13" s="10">
        <f t="shared" si="13"/>
        <v>0.30684410646387833</v>
      </c>
      <c r="AL13" s="14">
        <f t="shared" si="14"/>
        <v>0.2392615608659594</v>
      </c>
      <c r="AM13" s="13">
        <v>0.11899999999999999</v>
      </c>
      <c r="AN13" s="10">
        <f t="shared" si="15"/>
        <v>0.45247148288973382</v>
      </c>
      <c r="AO13" s="14">
        <f t="shared" si="16"/>
        <v>0.35281444539094386</v>
      </c>
      <c r="AP13" s="13">
        <v>2.1100000000000001E-2</v>
      </c>
      <c r="AQ13" s="10">
        <f t="shared" si="17"/>
        <v>8.0228136882129278E-2</v>
      </c>
      <c r="AR13" s="14">
        <f t="shared" si="18"/>
        <v>6.2557855443268209E-2</v>
      </c>
      <c r="AS13" s="13"/>
      <c r="AT13" s="13">
        <f t="shared" si="19"/>
        <v>0.2208</v>
      </c>
      <c r="AU13" s="10">
        <f t="shared" si="20"/>
        <v>0.83954372623574147</v>
      </c>
      <c r="AV13" s="14">
        <f t="shared" si="21"/>
        <v>0.65463386170017146</v>
      </c>
      <c r="AW13" s="13">
        <v>8.2299999999999998E-2</v>
      </c>
      <c r="AX13" s="10">
        <f t="shared" si="22"/>
        <v>0.31292775665399242</v>
      </c>
      <c r="AY13" s="14">
        <f t="shared" si="23"/>
        <v>0.24400528450146791</v>
      </c>
      <c r="AZ13" s="123"/>
      <c r="BA13" s="13"/>
      <c r="BC13" s="14"/>
      <c r="BD13" s="13"/>
      <c r="BF13" s="14"/>
      <c r="BG13"/>
      <c r="BH13" s="13"/>
      <c r="BL13" s="14"/>
      <c r="BM13" s="13"/>
      <c r="BP13" s="14"/>
      <c r="BQ13" s="123"/>
      <c r="BR13" s="13"/>
      <c r="BV13" s="14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</row>
    <row r="14" spans="1:188" s="10" customFormat="1" ht="16.350000000000001" customHeight="1">
      <c r="A14" s="126"/>
      <c r="B14" s="62"/>
      <c r="C14" s="11"/>
      <c r="D14" s="3"/>
      <c r="E14" s="3"/>
      <c r="F14" s="3" t="s">
        <v>281</v>
      </c>
      <c r="G14" s="332">
        <f>AVERAGE(G4:G13)</f>
        <v>0.63107638888888895</v>
      </c>
      <c r="H14" s="18">
        <f>AVERAGE(H4:H13)</f>
        <v>19.257499999999997</v>
      </c>
      <c r="I14" s="19">
        <f t="shared" ref="I14:AY14" si="24">AVERAGE(I4:I13)</f>
        <v>-3.1086244689504383E-15</v>
      </c>
      <c r="J14" s="18">
        <f t="shared" si="24"/>
        <v>23.081250000000001</v>
      </c>
      <c r="K14" s="88">
        <f t="shared" si="24"/>
        <v>3.8237500000000004</v>
      </c>
      <c r="L14" s="59">
        <f t="shared" si="24"/>
        <v>88.362499999999997</v>
      </c>
      <c r="M14" s="88">
        <f t="shared" si="24"/>
        <v>322.88236515967344</v>
      </c>
      <c r="N14" s="58">
        <f t="shared" si="24"/>
        <v>9.0499999999999989</v>
      </c>
      <c r="O14" s="59">
        <f t="shared" si="24"/>
        <v>14.752375000000001</v>
      </c>
      <c r="P14" s="88">
        <f t="shared" si="24"/>
        <v>17.106375</v>
      </c>
      <c r="Q14" s="58">
        <f t="shared" si="24"/>
        <v>82.241249999999994</v>
      </c>
      <c r="R14" s="58">
        <f t="shared" si="24"/>
        <v>11.495000000000001</v>
      </c>
      <c r="S14" s="58">
        <f t="shared" si="24"/>
        <v>40.049999999999997</v>
      </c>
      <c r="T14" s="58">
        <f t="shared" si="24"/>
        <v>31.168750000000003</v>
      </c>
      <c r="U14" s="59">
        <f t="shared" si="24"/>
        <v>2600.4983488086027</v>
      </c>
      <c r="V14" s="59" t="e">
        <f t="shared" si="24"/>
        <v>#DIV/0!</v>
      </c>
      <c r="W14" s="59">
        <f t="shared" si="24"/>
        <v>1.4285714285714286</v>
      </c>
      <c r="X14" s="88">
        <f t="shared" si="24"/>
        <v>6.2033702429681193E-3</v>
      </c>
      <c r="Y14" s="59">
        <f t="shared" si="24"/>
        <v>1.1161249999999998</v>
      </c>
      <c r="Z14" s="88">
        <f t="shared" si="24"/>
        <v>4.839578898342622</v>
      </c>
      <c r="AA14" s="59">
        <f t="shared" si="24"/>
        <v>0.14478750000000001</v>
      </c>
      <c r="AB14" s="88">
        <f t="shared" si="24"/>
        <v>0.63097685018617178</v>
      </c>
      <c r="AC14" s="59">
        <f t="shared" si="24"/>
        <v>2.8499999999999996</v>
      </c>
      <c r="AD14" s="55">
        <f t="shared" si="24"/>
        <v>1.2534877136037461E-2</v>
      </c>
      <c r="AE14" s="274">
        <f t="shared" si="24"/>
        <v>6.5600000000000006E-2</v>
      </c>
      <c r="AF14" s="88">
        <f t="shared" si="24"/>
        <v>0.28444283068914855</v>
      </c>
      <c r="AG14" s="59">
        <f t="shared" si="24"/>
        <v>8.26625E-2</v>
      </c>
      <c r="AH14" s="88">
        <f t="shared" si="24"/>
        <v>0.36017329407046478</v>
      </c>
      <c r="AI14" s="59" t="e">
        <f t="shared" si="24"/>
        <v>#DIV/0!</v>
      </c>
      <c r="AJ14" s="59">
        <f t="shared" si="24"/>
        <v>7.8362500000000002E-2</v>
      </c>
      <c r="AK14" s="55">
        <f t="shared" si="24"/>
        <v>0.34077459911008046</v>
      </c>
      <c r="AL14" s="88">
        <f t="shared" si="24"/>
        <v>0.24662311540178666</v>
      </c>
      <c r="AM14" s="59">
        <f t="shared" si="24"/>
        <v>0.1138125</v>
      </c>
      <c r="AN14" s="55">
        <f t="shared" si="24"/>
        <v>0.49051798266701774</v>
      </c>
      <c r="AO14" s="88">
        <f t="shared" si="24"/>
        <v>0.35665775977645009</v>
      </c>
      <c r="AP14" s="59">
        <f t="shared" si="24"/>
        <v>2.0200000000000003E-2</v>
      </c>
      <c r="AQ14" s="55">
        <f>AVERAGE(AQ4:AQ13)</f>
        <v>8.7040057911382265E-2</v>
      </c>
      <c r="AR14" s="88">
        <f t="shared" si="24"/>
        <v>6.3943762561839229E-2</v>
      </c>
      <c r="AS14" s="59" t="e">
        <f t="shared" si="24"/>
        <v>#DIV/0!</v>
      </c>
      <c r="AT14" s="59">
        <f t="shared" si="24"/>
        <v>0.21237500000000004</v>
      </c>
      <c r="AU14" s="281">
        <f>AVERAGE(AU4:AU13)</f>
        <v>0.91833263968848045</v>
      </c>
      <c r="AV14" s="88">
        <f t="shared" si="24"/>
        <v>0.66722463774007601</v>
      </c>
      <c r="AW14" s="59">
        <f t="shared" si="24"/>
        <v>9.3975000000000003E-2</v>
      </c>
      <c r="AX14" s="334">
        <f t="shared" si="24"/>
        <v>0.40884660350330909</v>
      </c>
      <c r="AY14" s="88">
        <f t="shared" si="24"/>
        <v>0.29425329495833613</v>
      </c>
      <c r="AZ14" s="126"/>
      <c r="BA14" s="59" t="e">
        <f t="shared" ref="BA14:BF14" si="25">AVERAGE(BA4:BA13)</f>
        <v>#DIV/0!</v>
      </c>
      <c r="BB14" s="55" t="e">
        <f t="shared" si="25"/>
        <v>#DIV/0!</v>
      </c>
      <c r="BC14" s="88" t="e">
        <f t="shared" si="25"/>
        <v>#DIV/0!</v>
      </c>
      <c r="BD14" s="59" t="e">
        <f t="shared" si="25"/>
        <v>#DIV/0!</v>
      </c>
      <c r="BE14" s="55" t="e">
        <f t="shared" si="25"/>
        <v>#DIV/0!</v>
      </c>
      <c r="BF14" s="88" t="e">
        <f t="shared" si="25"/>
        <v>#DIV/0!</v>
      </c>
      <c r="BG14"/>
      <c r="BH14" s="59">
        <f t="shared" ref="BH14:BM14" si="26">AVERAGE(BH4:BH13)</f>
        <v>18.443997400000001</v>
      </c>
      <c r="BI14" s="55">
        <f t="shared" ref="BI14:BJ14" si="27">AVERAGE(BI4:BI13)</f>
        <v>12.32</v>
      </c>
      <c r="BJ14" s="55">
        <f t="shared" si="27"/>
        <v>7.68</v>
      </c>
      <c r="BK14" s="55">
        <f t="shared" si="26"/>
        <v>12.066667999999998</v>
      </c>
      <c r="BL14" s="88">
        <f t="shared" si="26"/>
        <v>5.0666679999999999</v>
      </c>
      <c r="BM14" s="59">
        <f t="shared" si="26"/>
        <v>0.128</v>
      </c>
      <c r="BN14" s="55">
        <f t="shared" ref="BN14" si="28">AVERAGE(BN4:BN13)</f>
        <v>13.010406771467169</v>
      </c>
      <c r="BO14" s="55">
        <f>AVERAGE(BO4:BO13)</f>
        <v>37.799999999999997</v>
      </c>
      <c r="BP14" s="88">
        <f>AVERAGE(BP4:BP13)</f>
        <v>3.9586712000000004</v>
      </c>
      <c r="BQ14" s="126"/>
      <c r="BR14" s="59">
        <f t="shared" ref="BR14:BV14" si="29">AVERAGE(BR4:BR13)</f>
        <v>0.9223808</v>
      </c>
      <c r="BS14" s="55">
        <f t="shared" si="29"/>
        <v>0.71599999999999997</v>
      </c>
      <c r="BT14" s="55">
        <f t="shared" si="29"/>
        <v>0.45</v>
      </c>
      <c r="BU14" s="55">
        <f t="shared" si="29"/>
        <v>0.4</v>
      </c>
      <c r="BV14" s="88">
        <f t="shared" si="29"/>
        <v>0.2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</row>
    <row r="15" spans="1:188" s="10" customFormat="1" ht="16.350000000000001" customHeight="1">
      <c r="A15" s="126"/>
      <c r="B15" s="62"/>
      <c r="C15" s="17"/>
      <c r="D15" s="3"/>
      <c r="E15" s="3"/>
      <c r="F15" s="3" t="s">
        <v>45</v>
      </c>
      <c r="G15" s="19">
        <f>STDEV(G4:G13)/SQRT(COUNT(G4:G13))</f>
        <v>4.2055016846557922E-2</v>
      </c>
      <c r="H15" s="18">
        <f>STDEV(H4:H13)/SQRT(COUNT(H4:H13))</f>
        <v>0.40543517184801381</v>
      </c>
      <c r="I15" s="19">
        <f>STDEV(I4:I13)/SQRT(COUNT(I4:I13))</f>
        <v>0.40543517184801381</v>
      </c>
      <c r="J15" s="18">
        <f>STDEV(J4:J13)/SQRT(COUNT(J4:J13))</f>
        <v>0.67649157290707296</v>
      </c>
      <c r="K15" s="88">
        <f t="shared" ref="K15:AY15" si="30">(STDEV(K4:K13)/(SQRT(COUNT(K4:K13))))</f>
        <v>0.35364902647762397</v>
      </c>
      <c r="L15" s="59">
        <f t="shared" si="30"/>
        <v>2.8481615310833162</v>
      </c>
      <c r="M15" s="88">
        <f t="shared" si="30"/>
        <v>10.341755792889071</v>
      </c>
      <c r="N15" s="58">
        <f>(STDEV(N4:N13)/(SQRT(COUNT(N4:N13))))</f>
        <v>8.6602540378443893E-2</v>
      </c>
      <c r="O15" s="59">
        <f t="shared" si="30"/>
        <v>7.9451004106753848E-2</v>
      </c>
      <c r="P15" s="88">
        <f t="shared" si="30"/>
        <v>6.075240662487618E-2</v>
      </c>
      <c r="Q15" s="58">
        <f t="shared" si="30"/>
        <v>1.9557711645829847</v>
      </c>
      <c r="R15" s="58">
        <f t="shared" si="30"/>
        <v>0.75188572459991443</v>
      </c>
      <c r="S15" s="58">
        <f t="shared" si="30"/>
        <v>1.5864459380280527</v>
      </c>
      <c r="T15" s="58">
        <f t="shared" si="30"/>
        <v>1.8898756927185878</v>
      </c>
      <c r="U15" s="59">
        <f t="shared" si="30"/>
        <v>251.75476594443182</v>
      </c>
      <c r="V15" s="59" t="e">
        <f t="shared" si="30"/>
        <v>#DIV/0!</v>
      </c>
      <c r="W15" s="59">
        <f t="shared" si="30"/>
        <v>0.11895234282663579</v>
      </c>
      <c r="X15" s="88">
        <f t="shared" si="30"/>
        <v>4.2490959036608307E-4</v>
      </c>
      <c r="Y15" s="59">
        <f t="shared" si="30"/>
        <v>4.6666237986977124E-2</v>
      </c>
      <c r="Z15" s="88">
        <f t="shared" si="30"/>
        <v>0.15787087234645489</v>
      </c>
      <c r="AA15" s="59">
        <f t="shared" si="30"/>
        <v>4.9241183946251458E-3</v>
      </c>
      <c r="AB15" s="88">
        <f t="shared" si="30"/>
        <v>2.7989714702839699E-2</v>
      </c>
      <c r="AC15" s="59">
        <f t="shared" si="30"/>
        <v>0.18992479714726232</v>
      </c>
      <c r="AD15" s="55">
        <f t="shared" si="30"/>
        <v>1.0994698173896005E-3</v>
      </c>
      <c r="AE15" s="274">
        <f t="shared" si="30"/>
        <v>2.4127636791506481E-3</v>
      </c>
      <c r="AF15" s="88">
        <f t="shared" si="30"/>
        <v>8.0069605119933145E-3</v>
      </c>
      <c r="AG15" s="59">
        <f t="shared" si="30"/>
        <v>1.4828709485319343E-3</v>
      </c>
      <c r="AH15" s="88">
        <f t="shared" si="30"/>
        <v>1.184989264991544E-2</v>
      </c>
      <c r="AI15" s="59" t="e">
        <f t="shared" si="30"/>
        <v>#DIV/0!</v>
      </c>
      <c r="AJ15" s="59">
        <f t="shared" si="30"/>
        <v>4.330701753592737E-3</v>
      </c>
      <c r="AK15" s="55">
        <f t="shared" si="30"/>
        <v>1.9601171203157585E-2</v>
      </c>
      <c r="AL15" s="88">
        <f t="shared" si="30"/>
        <v>2.0310451272457154E-2</v>
      </c>
      <c r="AM15" s="59">
        <f t="shared" si="30"/>
        <v>8.8265313827119891E-3</v>
      </c>
      <c r="AN15" s="55">
        <f t="shared" si="30"/>
        <v>2.9463031613618733E-2</v>
      </c>
      <c r="AO15" s="88">
        <f t="shared" si="30"/>
        <v>3.1423093008928628E-2</v>
      </c>
      <c r="AP15" s="59">
        <f t="shared" si="30"/>
        <v>1.8267848415023703E-3</v>
      </c>
      <c r="AQ15" s="55">
        <f t="shared" si="30"/>
        <v>6.8316227098915716E-3</v>
      </c>
      <c r="AR15" s="88">
        <f t="shared" si="30"/>
        <v>7.5202804293249392E-3</v>
      </c>
      <c r="AS15" s="59" t="e">
        <f t="shared" si="30"/>
        <v>#DIV/0!</v>
      </c>
      <c r="AT15" s="59">
        <f t="shared" si="30"/>
        <v>1.2424123280365204E-2</v>
      </c>
      <c r="AU15" s="281">
        <f t="shared" si="30"/>
        <v>4.1131569129507599E-2</v>
      </c>
      <c r="AV15" s="88">
        <f t="shared" si="30"/>
        <v>5.2682598978045704E-2</v>
      </c>
      <c r="AW15" s="59">
        <f t="shared" si="30"/>
        <v>3.4937060756247288E-3</v>
      </c>
      <c r="AX15" s="55">
        <f t="shared" si="30"/>
        <v>1.6384761524987076E-2</v>
      </c>
      <c r="AY15" s="88">
        <f t="shared" si="30"/>
        <v>1.7805472709221452E-2</v>
      </c>
      <c r="AZ15" s="126"/>
      <c r="BA15" s="59" t="e">
        <f t="shared" ref="BA15:BF15" si="31">(STDEV(BA4:BA13)/(SQRT(COUNT(BA4:BA13))))</f>
        <v>#DIV/0!</v>
      </c>
      <c r="BB15" s="55" t="e">
        <f t="shared" si="31"/>
        <v>#DIV/0!</v>
      </c>
      <c r="BC15" s="88" t="e">
        <f t="shared" si="31"/>
        <v>#DIV/0!</v>
      </c>
      <c r="BD15" s="59" t="e">
        <f t="shared" si="31"/>
        <v>#DIV/0!</v>
      </c>
      <c r="BE15" s="55" t="e">
        <f t="shared" si="31"/>
        <v>#DIV/0!</v>
      </c>
      <c r="BF15" s="88" t="e">
        <f t="shared" si="31"/>
        <v>#DIV/0!</v>
      </c>
      <c r="BG15"/>
      <c r="BH15" s="59">
        <f t="shared" ref="BH15:BM15" si="32">(STDEV(BH4:BH13)/(SQRT(COUNT(BH4:BH13))))</f>
        <v>1.2040649723344414</v>
      </c>
      <c r="BI15" s="55">
        <f t="shared" ref="BI15:BJ15" si="33">(STDEV(BI4:BI13)/(SQRT(COUNT(BI4:BI13))))</f>
        <v>2.1150413707537741</v>
      </c>
      <c r="BJ15" s="55">
        <f t="shared" si="33"/>
        <v>1.4911069713471268</v>
      </c>
      <c r="BK15" s="55">
        <f t="shared" si="32"/>
        <v>1.403963184070014</v>
      </c>
      <c r="BL15" s="88">
        <f t="shared" si="32"/>
        <v>1.0022198472510908</v>
      </c>
      <c r="BM15" s="59">
        <f t="shared" si="32"/>
        <v>0.19589282784216472</v>
      </c>
      <c r="BN15" s="55">
        <f t="shared" ref="BN15" si="34">(STDEV(BN4:BN13)/(SQRT(COUNT(BN4:BN13))))</f>
        <v>2.1633980242780089</v>
      </c>
      <c r="BO15" s="55">
        <f>(STDEV(BO4:BO13)/(SQRT(COUNT(BO4:BO13))))</f>
        <v>5.6515484603779171</v>
      </c>
      <c r="BP15" s="88">
        <f>(STDEV(BP4:BP13)/(SQRT(COUNT(BP4:BP13))))</f>
        <v>0.24912695177567284</v>
      </c>
      <c r="BQ15" s="126"/>
      <c r="BR15" s="59">
        <f t="shared" ref="BR15:BV15" si="35">(STDEV(BR4:BR13)/(SQRT(COUNT(BR4:BR13))))</f>
        <v>0.32383360649944892</v>
      </c>
      <c r="BS15" s="55">
        <f t="shared" si="35"/>
        <v>0.35483235478180397</v>
      </c>
      <c r="BT15" s="55">
        <f t="shared" si="35"/>
        <v>0.18371173070873836</v>
      </c>
      <c r="BU15" s="55">
        <f t="shared" si="35"/>
        <v>0.19436509174463401</v>
      </c>
      <c r="BV15" s="88">
        <f t="shared" si="35"/>
        <v>0.13333375000351561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</row>
    <row r="16" spans="1:188" s="22" customFormat="1" ht="16.350000000000001" customHeight="1">
      <c r="A16" s="125"/>
      <c r="B16" s="65"/>
      <c r="C16" s="23"/>
      <c r="D16" s="24"/>
      <c r="E16" s="24"/>
      <c r="F16" s="25"/>
      <c r="G16" s="24"/>
      <c r="H16" s="26"/>
      <c r="I16" s="27"/>
      <c r="J16" s="26"/>
      <c r="K16" s="28"/>
      <c r="L16" s="26"/>
      <c r="M16" s="28"/>
      <c r="N16" s="32"/>
      <c r="O16" s="30"/>
      <c r="P16" s="28"/>
      <c r="Q16" s="32"/>
      <c r="R16" s="32"/>
      <c r="S16" s="32"/>
      <c r="T16" s="32"/>
      <c r="U16" s="32"/>
      <c r="V16" s="32"/>
      <c r="W16" s="30"/>
      <c r="X16" s="28"/>
      <c r="Y16" s="30"/>
      <c r="AA16" s="30"/>
      <c r="AB16" s="28"/>
      <c r="AC16" s="30"/>
      <c r="AE16" s="275"/>
      <c r="AF16" s="28"/>
      <c r="AG16" s="30"/>
      <c r="AH16" s="28"/>
      <c r="AI16" s="30"/>
      <c r="AJ16" s="30"/>
      <c r="AL16" s="28"/>
      <c r="AM16" s="30"/>
      <c r="AO16" s="28"/>
      <c r="AP16" s="30"/>
      <c r="AR16" s="28"/>
      <c r="AS16" s="30"/>
      <c r="AT16" s="30"/>
      <c r="AV16" s="28"/>
      <c r="AW16" s="30"/>
      <c r="AY16" s="28"/>
      <c r="AZ16" s="125"/>
      <c r="BA16" s="30"/>
      <c r="BC16" s="28"/>
      <c r="BD16" s="30"/>
      <c r="BF16" s="28"/>
      <c r="BG16"/>
      <c r="BH16" s="30"/>
      <c r="BL16" s="28"/>
      <c r="BM16" s="30"/>
      <c r="BP16" s="28"/>
      <c r="BQ16" s="125"/>
      <c r="BR16" s="30"/>
      <c r="BV16" s="28"/>
      <c r="BW16" s="10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</row>
    <row r="17" spans="1:188" s="10" customFormat="1" ht="16.350000000000001" customHeight="1">
      <c r="A17" s="121" t="s">
        <v>282</v>
      </c>
      <c r="B17" s="182" t="s">
        <v>283</v>
      </c>
      <c r="C17" s="184">
        <v>42548</v>
      </c>
      <c r="D17" s="10" t="s">
        <v>26</v>
      </c>
      <c r="E17" s="10" t="s">
        <v>284</v>
      </c>
      <c r="F17" s="89">
        <v>43258</v>
      </c>
      <c r="G17" s="164">
        <v>0.49791666666666662</v>
      </c>
      <c r="H17" s="63">
        <v>20.3</v>
      </c>
      <c r="I17" s="64">
        <f>H26-H17</f>
        <v>-0.89124999999999943</v>
      </c>
      <c r="J17" s="63">
        <v>24.45</v>
      </c>
      <c r="K17" s="14">
        <f t="shared" ref="K17:K21" si="36">J17-H17</f>
        <v>4.1499999999999986</v>
      </c>
      <c r="L17" s="13">
        <v>103.97</v>
      </c>
      <c r="M17" s="186">
        <v>379.68490689999999</v>
      </c>
      <c r="N17" s="15">
        <v>9.1999999999999993</v>
      </c>
      <c r="O17" s="13">
        <v>15.066000000000001</v>
      </c>
      <c r="P17" s="14">
        <v>17.295999999999999</v>
      </c>
      <c r="Q17" s="15">
        <v>79.38</v>
      </c>
      <c r="R17" s="15">
        <v>11.97</v>
      </c>
      <c r="S17" s="15">
        <v>46.04</v>
      </c>
      <c r="T17" s="15">
        <v>22.37</v>
      </c>
      <c r="U17" s="15">
        <v>3142.9434615643599</v>
      </c>
      <c r="V17" s="15"/>
      <c r="W17" s="13">
        <v>1.2</v>
      </c>
      <c r="X17" s="14">
        <f t="shared" ref="X17:X21" si="37">(100/J17)*(W17/1000)</f>
        <v>4.9079754601226988E-3</v>
      </c>
      <c r="Y17" s="13">
        <v>1.4129</v>
      </c>
      <c r="Z17" s="14">
        <f t="shared" ref="Z17:Z21" si="38">(100/J17)*Y17</f>
        <v>5.7787321063394685</v>
      </c>
      <c r="AA17" s="13">
        <v>0.16020000000000001</v>
      </c>
      <c r="AB17" s="14">
        <f t="shared" ref="AB17:AB21" si="39">(100/J17)*AA17</f>
        <v>0.65521472392638047</v>
      </c>
      <c r="AC17" s="13">
        <v>2.2000000000000002</v>
      </c>
      <c r="AD17" s="10">
        <f t="shared" ref="AD17:AD21" si="40">(100/J17)*(AC17/1000)</f>
        <v>8.9979550102249495E-3</v>
      </c>
      <c r="AE17" s="230">
        <v>7.1599999999999997E-2</v>
      </c>
      <c r="AF17" s="14">
        <f t="shared" ref="AF17:AF21" si="41">(100/J17)*AE17</f>
        <v>0.29284253578732106</v>
      </c>
      <c r="AG17" s="13">
        <v>8.8700000000000001E-2</v>
      </c>
      <c r="AH17" s="14">
        <f t="shared" ref="AH17:AH21" si="42">(100/J17)*AG17</f>
        <v>0.36278118609406956</v>
      </c>
      <c r="AI17" s="13"/>
      <c r="AJ17" s="13">
        <v>0.1241</v>
      </c>
      <c r="AK17" s="10">
        <f>(100/J17)*AJ17</f>
        <v>0.50756646216768919</v>
      </c>
      <c r="AL17" s="14">
        <f>(AJ17*1000)/M17</f>
        <v>0.32684996886822526</v>
      </c>
      <c r="AM17" s="13">
        <v>0.16889999999999999</v>
      </c>
      <c r="AN17" s="10">
        <f>(100/J17)*AM17</f>
        <v>0.69079754601226995</v>
      </c>
      <c r="AO17" s="14">
        <f>(AM17*1000)/M17</f>
        <v>0.44484254425337022</v>
      </c>
      <c r="AP17" s="13">
        <v>5.3800000000000001E-2</v>
      </c>
      <c r="AQ17" s="10">
        <f>(100/J17)*AP17</f>
        <v>0.22004089979550104</v>
      </c>
      <c r="AR17" s="14">
        <f>(AP17*1000)/M17</f>
        <v>0.14169644097591069</v>
      </c>
      <c r="AS17" s="13"/>
      <c r="AT17" s="13">
        <f>AJ17+AM17+AP17</f>
        <v>0.3468</v>
      </c>
      <c r="AU17" s="10">
        <f>(100/J17)*AT17</f>
        <v>1.4184049079754601</v>
      </c>
      <c r="AV17" s="14">
        <f>(AT17*1000)/M17</f>
        <v>0.9133889540975062</v>
      </c>
      <c r="AW17" s="13">
        <v>0.13869999999999999</v>
      </c>
      <c r="AX17" s="10">
        <f>(100/J17)*AW17</f>
        <v>0.56728016359918199</v>
      </c>
      <c r="AY17" s="14">
        <f>(AW17*1000)/M17</f>
        <v>0.36530290638213408</v>
      </c>
      <c r="AZ17" s="123"/>
      <c r="BA17" s="13"/>
      <c r="BC17" s="14"/>
      <c r="BD17" s="13"/>
      <c r="BF17" s="14"/>
      <c r="BG17"/>
      <c r="BH17" s="13">
        <v>12.16667</v>
      </c>
      <c r="BI17" s="10">
        <v>5.3333300000000001</v>
      </c>
      <c r="BJ17" s="10">
        <v>7</v>
      </c>
      <c r="BK17" s="10">
        <v>6.3333300000000001</v>
      </c>
      <c r="BL17" s="14">
        <v>5.6666699999999999</v>
      </c>
      <c r="BM17">
        <v>0.28999999999999998</v>
      </c>
      <c r="BN17">
        <v>18.850041684868792</v>
      </c>
      <c r="BO17">
        <v>60</v>
      </c>
      <c r="BP17">
        <v>4.7332900000000002</v>
      </c>
      <c r="BQ17" s="121" t="s">
        <v>282</v>
      </c>
      <c r="BR17" s="13">
        <v>0.3333333</v>
      </c>
      <c r="BS17" s="10">
        <v>0.66666700000000001</v>
      </c>
      <c r="BT17" s="10">
        <v>0</v>
      </c>
      <c r="BU17" s="10">
        <v>0</v>
      </c>
      <c r="BV17" s="14">
        <v>0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</row>
    <row r="18" spans="1:188" s="10" customFormat="1" ht="16.350000000000001" customHeight="1">
      <c r="A18" s="9" t="s">
        <v>285</v>
      </c>
      <c r="B18" s="224" t="s">
        <v>286</v>
      </c>
      <c r="C18" s="11">
        <v>42621</v>
      </c>
      <c r="D18" s="12" t="s">
        <v>26</v>
      </c>
      <c r="E18" s="10" t="s">
        <v>284</v>
      </c>
      <c r="F18" s="11" t="s">
        <v>271</v>
      </c>
      <c r="G18" s="164">
        <v>0.76180555555555562</v>
      </c>
      <c r="H18" s="63">
        <v>17.57</v>
      </c>
      <c r="I18" s="64">
        <f>H26-H18</f>
        <v>1.838750000000001</v>
      </c>
      <c r="J18" s="63">
        <v>21.31</v>
      </c>
      <c r="K18" s="14">
        <f t="shared" si="36"/>
        <v>3.7399999999999984</v>
      </c>
      <c r="L18" s="13">
        <v>85.57</v>
      </c>
      <c r="M18" s="86">
        <v>305.36328800000001</v>
      </c>
      <c r="N18" s="15">
        <v>8.9</v>
      </c>
      <c r="O18" s="13">
        <v>14.249000000000001</v>
      </c>
      <c r="P18" s="14">
        <v>16.91</v>
      </c>
      <c r="Q18" s="15">
        <v>84.96</v>
      </c>
      <c r="R18" s="15">
        <v>10.79</v>
      </c>
      <c r="S18" s="15">
        <v>40.11</v>
      </c>
      <c r="T18" s="15">
        <v>34.54</v>
      </c>
      <c r="U18" s="15">
        <v>1720.38468795364</v>
      </c>
      <c r="V18" s="15"/>
      <c r="W18" s="13">
        <v>1.3</v>
      </c>
      <c r="X18" s="14">
        <f t="shared" si="37"/>
        <v>6.100422336931019E-3</v>
      </c>
      <c r="Y18" s="13">
        <v>0.93540000000000001</v>
      </c>
      <c r="Z18" s="14">
        <f t="shared" si="38"/>
        <v>4.3894885030502113</v>
      </c>
      <c r="AA18" s="13">
        <v>0.1075</v>
      </c>
      <c r="AB18" s="14">
        <f t="shared" si="39"/>
        <v>0.50445800093852655</v>
      </c>
      <c r="AC18" s="13">
        <v>2.4</v>
      </c>
      <c r="AD18" s="10">
        <f t="shared" si="40"/>
        <v>1.1262318160488035E-2</v>
      </c>
      <c r="AE18" s="230">
        <v>4.4299999999999999E-2</v>
      </c>
      <c r="AF18" s="14">
        <f t="shared" si="41"/>
        <v>0.20788362271234165</v>
      </c>
      <c r="AG18" s="13">
        <v>7.2700000000000001E-2</v>
      </c>
      <c r="AH18" s="14">
        <f t="shared" si="42"/>
        <v>0.34115438761145006</v>
      </c>
      <c r="AI18" s="13"/>
      <c r="AJ18" s="13">
        <v>7.3200000000000001E-2</v>
      </c>
      <c r="AK18" s="10">
        <f>(100/J18)*AJ18</f>
        <v>0.34350070389488507</v>
      </c>
      <c r="AL18" s="14">
        <f t="shared" ref="AL18:AL19" si="43">(AJ18*1000)/M18</f>
        <v>0.23971447412499697</v>
      </c>
      <c r="AM18" s="13">
        <v>9.6799999999999997E-2</v>
      </c>
      <c r="AN18" s="10">
        <f>(100/J18)*AM18</f>
        <v>0.45424683247301739</v>
      </c>
      <c r="AO18" s="14">
        <f t="shared" ref="AO18:AO19" si="44">(AM18*1000)/M18</f>
        <v>0.31699946851502331</v>
      </c>
      <c r="AP18" s="13">
        <v>1.89E-2</v>
      </c>
      <c r="AQ18" s="10">
        <f>(100/J18)*AP18</f>
        <v>8.8690755513843283E-2</v>
      </c>
      <c r="AR18" s="14">
        <f t="shared" ref="AR18:AR19" si="45">(AP18*1000)/M18</f>
        <v>6.1893491269978722E-2</v>
      </c>
      <c r="AS18" s="13"/>
      <c r="AT18" s="13">
        <f>AJ18+AM18+AP18</f>
        <v>0.18889999999999998</v>
      </c>
      <c r="AU18" s="10">
        <f>(100/J18)*AT18</f>
        <v>0.88643829188174572</v>
      </c>
      <c r="AV18" s="14">
        <f t="shared" ref="AV18:AV19" si="46">(AT18*1000)/M18</f>
        <v>0.61860743390999895</v>
      </c>
      <c r="AW18" s="13">
        <v>9.5000000000000001E-2</v>
      </c>
      <c r="AX18" s="10">
        <f>(100/J18)*AW18</f>
        <v>0.4458000938526514</v>
      </c>
      <c r="AY18" s="14">
        <f t="shared" ref="AY18:AY19" si="47">(AW18*1000)/M18</f>
        <v>0.31110485029883489</v>
      </c>
      <c r="AZ18" s="123"/>
      <c r="BA18" s="13"/>
      <c r="BC18" s="14"/>
      <c r="BD18" s="13"/>
      <c r="BF18" s="14"/>
      <c r="BG18"/>
      <c r="BH18" s="13">
        <v>27.428570000000001</v>
      </c>
      <c r="BI18" s="10">
        <v>16.25</v>
      </c>
      <c r="BJ18" s="10">
        <v>13.75</v>
      </c>
      <c r="BK18" s="10">
        <v>15.33333</v>
      </c>
      <c r="BL18" s="14">
        <v>8.6666699999999999</v>
      </c>
      <c r="BM18">
        <v>0.42</v>
      </c>
      <c r="BN18">
        <v>8.7065790310305928</v>
      </c>
      <c r="BO18">
        <v>37</v>
      </c>
      <c r="BP18">
        <v>8.4</v>
      </c>
      <c r="BQ18" s="123" t="s">
        <v>285</v>
      </c>
      <c r="BR18" s="13">
        <v>1.142857</v>
      </c>
      <c r="BS18" s="10">
        <v>0.5</v>
      </c>
      <c r="BT18" s="10">
        <v>0</v>
      </c>
      <c r="BU18" s="10">
        <v>1.3333333000000001</v>
      </c>
      <c r="BV18" s="14">
        <v>0.66666999999999998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</row>
    <row r="19" spans="1:188" s="10" customFormat="1" ht="16.350000000000001" customHeight="1">
      <c r="A19" s="133" t="s">
        <v>287</v>
      </c>
      <c r="B19" s="224" t="s">
        <v>288</v>
      </c>
      <c r="C19" s="114"/>
      <c r="D19" s="12" t="s">
        <v>26</v>
      </c>
      <c r="E19" s="10" t="s">
        <v>284</v>
      </c>
      <c r="F19" s="11">
        <v>42411</v>
      </c>
      <c r="G19" s="164">
        <v>0.68958333333333333</v>
      </c>
      <c r="H19" s="63">
        <v>19.25</v>
      </c>
      <c r="I19" s="64">
        <f>H26-H19</f>
        <v>0.15875000000000128</v>
      </c>
      <c r="J19" s="63">
        <v>21.59</v>
      </c>
      <c r="K19" s="14">
        <f t="shared" si="36"/>
        <v>2.34</v>
      </c>
      <c r="L19" s="13">
        <v>86.190000000000069</v>
      </c>
      <c r="M19" s="86">
        <v>361.41926365415543</v>
      </c>
      <c r="N19" s="15">
        <v>8.6999999999999993</v>
      </c>
      <c r="O19" s="13">
        <v>14.569000000000001</v>
      </c>
      <c r="P19" s="14">
        <v>17.209</v>
      </c>
      <c r="Q19" s="15">
        <v>79.709999999999994</v>
      </c>
      <c r="R19" s="15">
        <v>10.77</v>
      </c>
      <c r="S19" s="15">
        <v>44.15</v>
      </c>
      <c r="T19" s="15">
        <v>26.03</v>
      </c>
      <c r="U19" s="15">
        <v>1901.75533100231</v>
      </c>
      <c r="V19" s="15"/>
      <c r="W19" s="13">
        <v>1.2</v>
      </c>
      <c r="X19" s="14">
        <f t="shared" si="37"/>
        <v>5.5581287633163492E-3</v>
      </c>
      <c r="Y19" s="13">
        <v>1.0044999999999999</v>
      </c>
      <c r="Z19" s="14">
        <f t="shared" si="38"/>
        <v>4.6526169522927274</v>
      </c>
      <c r="AA19" s="13">
        <v>0.1411</v>
      </c>
      <c r="AB19" s="14">
        <f t="shared" si="39"/>
        <v>0.65354330708661412</v>
      </c>
      <c r="AC19" s="13">
        <v>2.5</v>
      </c>
      <c r="AD19" s="10">
        <f t="shared" si="40"/>
        <v>1.1579434923575729E-2</v>
      </c>
      <c r="AE19" s="230">
        <v>6.7599999999999993E-2</v>
      </c>
      <c r="AF19" s="14">
        <f t="shared" si="41"/>
        <v>0.31310792033348767</v>
      </c>
      <c r="AG19" s="13">
        <v>7.4999999999999997E-2</v>
      </c>
      <c r="AH19" s="14">
        <f t="shared" si="42"/>
        <v>0.34738304770727185</v>
      </c>
      <c r="AI19" s="13"/>
      <c r="AJ19" s="13">
        <v>9.01E-2</v>
      </c>
      <c r="AK19" s="10">
        <f>(100/J19)*AJ19</f>
        <v>0.41732283464566927</v>
      </c>
      <c r="AL19" s="14">
        <f t="shared" si="43"/>
        <v>0.24929495757652062</v>
      </c>
      <c r="AM19" s="13">
        <v>0.12239999999999999</v>
      </c>
      <c r="AN19" s="10">
        <f>(100/J19)*AM19</f>
        <v>0.56692913385826771</v>
      </c>
      <c r="AO19" s="14">
        <f t="shared" si="44"/>
        <v>0.33866484802848085</v>
      </c>
      <c r="AP19" s="13">
        <v>2.0899999999999998E-2</v>
      </c>
      <c r="AQ19" s="10">
        <f>(100/J19)*AP19</f>
        <v>9.6804075961093083E-2</v>
      </c>
      <c r="AR19" s="14">
        <f t="shared" si="45"/>
        <v>5.7827576174797786E-2</v>
      </c>
      <c r="AS19" s="13"/>
      <c r="AT19" s="13">
        <f>AJ19+AM19+AP19</f>
        <v>0.2334</v>
      </c>
      <c r="AU19" s="10">
        <f>(100/J19)*AT19</f>
        <v>1.0810560444650301</v>
      </c>
      <c r="AV19" s="14">
        <f t="shared" si="46"/>
        <v>0.64578738177979933</v>
      </c>
      <c r="AW19" s="13">
        <v>0.1021</v>
      </c>
      <c r="AX19" s="10">
        <f>(100/J19)*AW19</f>
        <v>0.47290412227883277</v>
      </c>
      <c r="AY19" s="14">
        <f t="shared" si="47"/>
        <v>0.28249739365774423</v>
      </c>
      <c r="AZ19" s="123"/>
      <c r="BA19" s="13"/>
      <c r="BC19" s="14"/>
      <c r="BD19" s="13"/>
      <c r="BF19" s="14"/>
      <c r="BG19"/>
      <c r="BH19" s="13">
        <v>17</v>
      </c>
      <c r="BI19" s="10">
        <v>14</v>
      </c>
      <c r="BJ19" s="10">
        <v>7.2</v>
      </c>
      <c r="BK19" s="10">
        <v>12</v>
      </c>
      <c r="BL19" s="14">
        <v>2.6666699999999999</v>
      </c>
      <c r="BM19">
        <v>0</v>
      </c>
      <c r="BN19">
        <v>12.62796229748832</v>
      </c>
      <c r="BO19">
        <v>37</v>
      </c>
      <c r="BP19">
        <v>2.85</v>
      </c>
      <c r="BQ19" s="134" t="s">
        <v>287</v>
      </c>
      <c r="BR19" s="13">
        <v>0.25</v>
      </c>
      <c r="BS19" s="10">
        <v>0.25</v>
      </c>
      <c r="BT19" s="10">
        <v>0.2</v>
      </c>
      <c r="BU19" s="10">
        <v>0</v>
      </c>
      <c r="BV19" s="14">
        <v>0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</row>
    <row r="20" spans="1:188" s="10" customFormat="1" ht="16.350000000000001" customHeight="1">
      <c r="A20" s="134" t="s">
        <v>289</v>
      </c>
      <c r="B20" s="12" t="s">
        <v>290</v>
      </c>
      <c r="C20" s="305">
        <v>42927</v>
      </c>
      <c r="D20" s="12" t="s">
        <v>26</v>
      </c>
      <c r="E20" s="10" t="s">
        <v>284</v>
      </c>
      <c r="F20" s="11" t="s">
        <v>291</v>
      </c>
      <c r="G20" s="164">
        <v>0.58194444444444449</v>
      </c>
      <c r="H20" s="63">
        <v>19.239999999999998</v>
      </c>
      <c r="I20" s="64">
        <f>H26-H20</f>
        <v>0.16875000000000284</v>
      </c>
      <c r="J20" s="63">
        <v>21.12</v>
      </c>
      <c r="K20" s="14">
        <f t="shared" si="36"/>
        <v>1.8800000000000026</v>
      </c>
      <c r="L20" s="13">
        <v>90.439999999999941</v>
      </c>
      <c r="M20" s="86">
        <v>321.10403860919985</v>
      </c>
      <c r="N20" s="15">
        <v>8.6999999999999993</v>
      </c>
      <c r="O20" s="13">
        <v>14.677</v>
      </c>
      <c r="P20" s="14">
        <v>17.042999999999999</v>
      </c>
      <c r="Q20" s="15">
        <v>84.98</v>
      </c>
      <c r="R20" s="15">
        <v>12.99</v>
      </c>
      <c r="S20" s="15">
        <v>39.42</v>
      </c>
      <c r="T20" s="15">
        <v>33.11</v>
      </c>
      <c r="U20" s="15">
        <v>4361.1584885925995</v>
      </c>
      <c r="V20" s="15"/>
      <c r="W20" s="13">
        <v>1.5</v>
      </c>
      <c r="X20" s="14">
        <f t="shared" si="37"/>
        <v>7.102272727272727E-3</v>
      </c>
      <c r="Y20" s="13">
        <v>1.0117</v>
      </c>
      <c r="Z20" s="14">
        <f t="shared" si="38"/>
        <v>4.7902462121212119</v>
      </c>
      <c r="AA20" s="13">
        <v>0.16009999999999999</v>
      </c>
      <c r="AB20" s="14">
        <f t="shared" si="39"/>
        <v>0.75804924242424232</v>
      </c>
      <c r="AC20" s="13">
        <v>3.2</v>
      </c>
      <c r="AD20" s="10">
        <f t="shared" si="40"/>
        <v>1.515151515151515E-2</v>
      </c>
      <c r="AE20" s="230">
        <v>6.1800000000000001E-2</v>
      </c>
      <c r="AF20" s="14">
        <f t="shared" si="41"/>
        <v>0.29261363636363635</v>
      </c>
      <c r="AG20" s="13">
        <v>7.3599999999999999E-2</v>
      </c>
      <c r="AH20" s="14">
        <f t="shared" si="42"/>
        <v>0.34848484848484845</v>
      </c>
      <c r="AI20" s="13"/>
      <c r="AJ20" s="13">
        <v>0.1198</v>
      </c>
      <c r="AK20" s="10">
        <f>(100/J20)*AJ20</f>
        <v>0.5672348484848484</v>
      </c>
      <c r="AL20" s="14">
        <f t="shared" ref="AL20" si="48">(AJ20*1000)/M20</f>
        <v>0.37308780206842174</v>
      </c>
      <c r="AM20" s="13">
        <v>0.1341</v>
      </c>
      <c r="AN20" s="10">
        <f>(100/J20)*AM20</f>
        <v>0.63494318181818177</v>
      </c>
      <c r="AO20" s="14">
        <f t="shared" ref="AO20" si="49">(AM20*1000)/M20</f>
        <v>0.41762165490296621</v>
      </c>
      <c r="AP20" s="13">
        <v>2.9899999999999999E-2</v>
      </c>
      <c r="AQ20" s="10">
        <f>(100/J20)*AP20</f>
        <v>0.14157196969696967</v>
      </c>
      <c r="AR20" s="14">
        <f t="shared" ref="AR20" si="50">(AP20*1000)/M20</f>
        <v>9.311623774495667E-2</v>
      </c>
      <c r="AS20" s="13"/>
      <c r="AT20" s="13">
        <f>AJ20+AM20+AP20</f>
        <v>0.2838</v>
      </c>
      <c r="AU20" s="10">
        <f>(100/J20)*AT20</f>
        <v>1.3437499999999998</v>
      </c>
      <c r="AV20" s="14">
        <f t="shared" ref="AV20" si="51">(AT20*1000)/M20</f>
        <v>0.88382569471634465</v>
      </c>
      <c r="AW20" s="13">
        <v>0.1065</v>
      </c>
      <c r="AX20" s="10">
        <f>(100/J20)*AW20</f>
        <v>0.50426136363636354</v>
      </c>
      <c r="AY20" s="14">
        <f t="shared" ref="AY20" si="52">(AW20*1000)/M20</f>
        <v>0.33166820467685237</v>
      </c>
      <c r="AZ20" s="123"/>
      <c r="BA20" s="13"/>
      <c r="BC20" s="14"/>
      <c r="BD20" s="13"/>
      <c r="BF20" s="14"/>
      <c r="BG20"/>
      <c r="BH20" s="13"/>
      <c r="BL20" s="14"/>
      <c r="BM20" s="13"/>
      <c r="BP20" s="14"/>
      <c r="BQ20" s="134"/>
      <c r="BR20" s="13"/>
      <c r="BV20" s="14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</row>
    <row r="21" spans="1:188" s="10" customFormat="1" ht="16.350000000000001" customHeight="1">
      <c r="A21" s="123" t="s">
        <v>292</v>
      </c>
      <c r="B21" s="62" t="s">
        <v>293</v>
      </c>
      <c r="C21" s="11">
        <v>43165</v>
      </c>
      <c r="D21" s="12" t="s">
        <v>26</v>
      </c>
      <c r="E21" s="10" t="s">
        <v>284</v>
      </c>
      <c r="F21" s="11" t="s">
        <v>723</v>
      </c>
      <c r="G21" s="164">
        <v>0.4861111111111111</v>
      </c>
      <c r="H21" s="63">
        <v>21.48</v>
      </c>
      <c r="I21" s="64">
        <f>H26-H21</f>
        <v>-2.0712499999999991</v>
      </c>
      <c r="J21" s="63">
        <v>27.68</v>
      </c>
      <c r="K21" s="14">
        <f t="shared" si="36"/>
        <v>6.1999999999999993</v>
      </c>
      <c r="L21" s="13">
        <v>94.62000000000009</v>
      </c>
      <c r="M21" s="86">
        <v>345.35852829516836</v>
      </c>
      <c r="N21" s="15">
        <v>9.1999999999999993</v>
      </c>
      <c r="O21" s="13">
        <v>15.041</v>
      </c>
      <c r="P21" s="14">
        <v>17.605</v>
      </c>
      <c r="Q21" s="15">
        <v>78.97</v>
      </c>
      <c r="R21" s="15">
        <v>9.16</v>
      </c>
      <c r="S21" s="15">
        <v>34.04</v>
      </c>
      <c r="T21" s="15">
        <v>35.92</v>
      </c>
      <c r="U21" s="15">
        <v>3908.7102716579502</v>
      </c>
      <c r="V21" s="15"/>
      <c r="W21" s="13">
        <v>1.6</v>
      </c>
      <c r="X21" s="14">
        <f t="shared" si="37"/>
        <v>5.7803468208092491E-3</v>
      </c>
      <c r="Y21" s="13">
        <v>1.0526</v>
      </c>
      <c r="Z21" s="14">
        <f t="shared" si="38"/>
        <v>3.8027456647398847</v>
      </c>
      <c r="AA21" s="13">
        <v>0.17119999999999999</v>
      </c>
      <c r="AB21" s="14">
        <f t="shared" si="39"/>
        <v>0.61849710982658956</v>
      </c>
      <c r="AC21" s="13">
        <v>2.6</v>
      </c>
      <c r="AD21" s="10">
        <f t="shared" si="40"/>
        <v>9.3930635838150294E-3</v>
      </c>
      <c r="AE21" s="230">
        <v>9.6100000000000005E-2</v>
      </c>
      <c r="AF21" s="14">
        <f t="shared" si="41"/>
        <v>0.34718208092485553</v>
      </c>
      <c r="AG21" s="13">
        <v>7.6300000000000007E-2</v>
      </c>
      <c r="AH21" s="14">
        <f t="shared" si="42"/>
        <v>0.27565028901734107</v>
      </c>
      <c r="AI21" s="13"/>
      <c r="AJ21" s="13">
        <v>0.1736</v>
      </c>
      <c r="AK21" s="10">
        <f t="shared" ref="AK21" si="53">(100/J21)*AJ21</f>
        <v>0.62716763005780352</v>
      </c>
      <c r="AL21" s="14">
        <f t="shared" ref="AL21" si="54">(AJ21*1000)/M21</f>
        <v>0.50266602900168977</v>
      </c>
      <c r="AM21" s="13">
        <v>0.18179999999999999</v>
      </c>
      <c r="AN21" s="10">
        <f t="shared" ref="AN21" si="55">(100/J21)*AM21</f>
        <v>0.65679190751445082</v>
      </c>
      <c r="AO21" s="14">
        <f t="shared" ref="AO21" si="56">(AM21*1000)/M21</f>
        <v>0.52640947046375108</v>
      </c>
      <c r="AP21" s="13">
        <v>9.1499999999999998E-2</v>
      </c>
      <c r="AQ21" s="10">
        <f t="shared" ref="AQ21" si="57">(100/J21)*AP21</f>
        <v>0.33056358381502893</v>
      </c>
      <c r="AR21" s="14">
        <f t="shared" ref="AR21" si="58">(AP21*1000)/M21</f>
        <v>0.26494206021690447</v>
      </c>
      <c r="AS21" s="13"/>
      <c r="AT21" s="13">
        <f t="shared" ref="AT21" si="59">AJ21+AM21+AP21</f>
        <v>0.44689999999999996</v>
      </c>
      <c r="AU21" s="10">
        <f t="shared" ref="AU21" si="60">(100/J21)*AT21</f>
        <v>1.6145231213872833</v>
      </c>
      <c r="AV21" s="14">
        <f t="shared" ref="AV21" si="61">(AT21*1000)/M21</f>
        <v>1.2940175596823453</v>
      </c>
      <c r="AW21" s="13">
        <v>0.13880000000000001</v>
      </c>
      <c r="AX21" s="10">
        <f t="shared" ref="AX21" si="62">(100/J21)*AW21</f>
        <v>0.50144508670520238</v>
      </c>
      <c r="AY21" s="14">
        <f t="shared" ref="AY21" si="63">(AW21*1000)/M21</f>
        <v>0.40190117987001467</v>
      </c>
      <c r="AZ21" s="123"/>
      <c r="BA21" s="13"/>
      <c r="BC21" s="14"/>
      <c r="BD21" s="13"/>
      <c r="BF21" s="14"/>
      <c r="BG21"/>
      <c r="BH21" s="13"/>
      <c r="BL21" s="14"/>
      <c r="BM21" s="13"/>
      <c r="BP21" s="14"/>
      <c r="BQ21" s="123"/>
      <c r="BR21" s="13"/>
      <c r="BV21" s="14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</row>
    <row r="22" spans="1:188" s="10" customFormat="1" ht="16.350000000000001" customHeight="1">
      <c r="A22" s="123" t="s">
        <v>294</v>
      </c>
      <c r="B22" s="12" t="s">
        <v>295</v>
      </c>
      <c r="C22" s="305">
        <v>43253</v>
      </c>
      <c r="D22" s="12" t="s">
        <v>26</v>
      </c>
      <c r="E22" s="10" t="s">
        <v>284</v>
      </c>
      <c r="F22" s="11" t="s">
        <v>724</v>
      </c>
      <c r="G22" s="164">
        <v>0.55208333333333337</v>
      </c>
      <c r="H22" s="63">
        <v>17.98</v>
      </c>
      <c r="I22" s="64">
        <f>H26-H22</f>
        <v>1.4287500000000009</v>
      </c>
      <c r="J22" s="63">
        <v>21.2</v>
      </c>
      <c r="K22" s="14">
        <f t="shared" ref="K22" si="64">J22-H22</f>
        <v>3.2199999999999989</v>
      </c>
      <c r="L22" s="13">
        <v>74.880000000000024</v>
      </c>
      <c r="M22" s="86">
        <v>273.17348569651767</v>
      </c>
      <c r="N22" s="15">
        <v>9.1</v>
      </c>
      <c r="O22" s="13">
        <v>14.265000000000001</v>
      </c>
      <c r="P22" s="14">
        <v>16.881</v>
      </c>
      <c r="Q22" s="15">
        <v>76.78</v>
      </c>
      <c r="R22" s="15">
        <v>8.9700000000000006</v>
      </c>
      <c r="S22" s="15">
        <v>36.71</v>
      </c>
      <c r="T22" s="15">
        <v>33.43</v>
      </c>
      <c r="U22" s="15">
        <v>3011.5643690000002</v>
      </c>
      <c r="V22" s="15"/>
      <c r="W22" s="13">
        <v>1.2</v>
      </c>
      <c r="X22" s="14">
        <f t="shared" ref="X22" si="65">(100/J22)*(W22/1000)</f>
        <v>5.6603773584905656E-3</v>
      </c>
      <c r="Y22" s="13">
        <v>1.0524</v>
      </c>
      <c r="Z22" s="14">
        <f t="shared" ref="Z22" si="66">(100/J22)*Y22</f>
        <v>4.964150943396227</v>
      </c>
      <c r="AA22" s="13">
        <v>0.1348</v>
      </c>
      <c r="AB22" s="14">
        <f t="shared" ref="AB22" si="67">(100/J22)*AA22</f>
        <v>0.63584905660377367</v>
      </c>
      <c r="AC22" s="13">
        <v>2.6</v>
      </c>
      <c r="AD22" s="10">
        <f t="shared" ref="AD22" si="68">(100/J22)*(AC22/1000)</f>
        <v>1.2264150943396227E-2</v>
      </c>
      <c r="AE22" s="230">
        <v>5.586E-2</v>
      </c>
      <c r="AF22" s="14">
        <f t="shared" ref="AF22" si="69">(100/J22)*AE22</f>
        <v>0.26349056603773585</v>
      </c>
      <c r="AG22" s="13">
        <v>6.9199999999999998E-2</v>
      </c>
      <c r="AH22" s="14">
        <f t="shared" ref="AH22" si="70">(100/J22)*AG22</f>
        <v>0.32641509433962262</v>
      </c>
      <c r="AI22" s="13"/>
      <c r="AJ22" s="13">
        <v>0.1105</v>
      </c>
      <c r="AK22" s="10">
        <f t="shared" ref="AK22" si="71">(100/J22)*AJ22</f>
        <v>0.52122641509433965</v>
      </c>
      <c r="AL22" s="14">
        <f t="shared" ref="AL22" si="72">(AJ22*1000)/M22</f>
        <v>0.40450485052842966</v>
      </c>
      <c r="AM22" s="13">
        <v>0.1128</v>
      </c>
      <c r="AN22" s="10">
        <f t="shared" ref="AN22" si="73">(100/J22)*AM22</f>
        <v>0.5320754716981132</v>
      </c>
      <c r="AO22" s="14">
        <f t="shared" ref="AO22" si="74">(AM22*1000)/M22</f>
        <v>0.41292440850322953</v>
      </c>
      <c r="AP22" s="13">
        <v>3.0700000000000002E-2</v>
      </c>
      <c r="AQ22" s="10">
        <f t="shared" ref="AQ22" si="75">(100/J22)*AP22</f>
        <v>0.144811320754717</v>
      </c>
      <c r="AR22" s="14">
        <f t="shared" ref="AR22" si="76">(AP22*1000)/M22</f>
        <v>0.11238279557667685</v>
      </c>
      <c r="AS22" s="13"/>
      <c r="AT22" s="13">
        <f t="shared" ref="AT22" si="77">AJ22+AM22+AP22</f>
        <v>0.254</v>
      </c>
      <c r="AU22" s="10">
        <f t="shared" ref="AU22" si="78">(100/J22)*AT22</f>
        <v>1.1981132075471699</v>
      </c>
      <c r="AV22" s="14">
        <f t="shared" ref="AV22" si="79">(AT22*1000)/M22</f>
        <v>0.92981205460833605</v>
      </c>
      <c r="AW22" s="13">
        <v>0.11609999999999999</v>
      </c>
      <c r="AX22" s="10">
        <f t="shared" ref="AX22" si="80">(100/J22)*AW22</f>
        <v>0.54764150943396228</v>
      </c>
      <c r="AY22" s="14">
        <f t="shared" ref="AY22" si="81">(AW22*1000)/M22</f>
        <v>0.42500464385837722</v>
      </c>
      <c r="AZ22" s="123"/>
      <c r="BA22" s="13"/>
      <c r="BC22" s="14"/>
      <c r="BD22" s="13"/>
      <c r="BF22" s="14"/>
      <c r="BG22"/>
      <c r="BH22" s="13"/>
      <c r="BL22" s="14"/>
      <c r="BM22" s="13"/>
      <c r="BP22" s="14"/>
      <c r="BQ22" s="123"/>
      <c r="BR22" s="13"/>
      <c r="BV22" s="14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</row>
    <row r="23" spans="1:188" s="10" customFormat="1" ht="16.350000000000001" customHeight="1">
      <c r="A23" s="123"/>
      <c r="C23" s="89"/>
      <c r="F23" s="89"/>
      <c r="G23" s="164"/>
      <c r="H23" s="63"/>
      <c r="I23" s="64"/>
      <c r="J23" s="63"/>
      <c r="K23" s="14"/>
      <c r="L23" s="13"/>
      <c r="M23" s="186"/>
      <c r="N23" s="15"/>
      <c r="O23" s="13"/>
      <c r="P23" s="14"/>
      <c r="Q23" s="15"/>
      <c r="R23" s="15"/>
      <c r="S23" s="15"/>
      <c r="T23" s="15"/>
      <c r="U23" s="386"/>
      <c r="V23" s="15"/>
      <c r="W23" s="13"/>
      <c r="X23" s="14"/>
      <c r="Y23" s="13"/>
      <c r="Z23" s="14"/>
      <c r="AA23" s="13"/>
      <c r="AB23" s="14"/>
      <c r="AC23" s="13"/>
      <c r="AE23" s="230"/>
      <c r="AF23" s="14"/>
      <c r="AG23" s="13"/>
      <c r="AH23" s="14"/>
      <c r="AI23" s="13"/>
      <c r="AJ23" s="13"/>
      <c r="AL23" s="14"/>
      <c r="AM23" s="13"/>
      <c r="AO23" s="14"/>
      <c r="AP23" s="13"/>
      <c r="AR23" s="14"/>
      <c r="AS23" s="13"/>
      <c r="AT23" s="13"/>
      <c r="AV23" s="14"/>
      <c r="AW23" s="13"/>
      <c r="AY23" s="14"/>
      <c r="AZ23" s="123"/>
      <c r="BA23" s="13"/>
      <c r="BC23" s="14"/>
      <c r="BD23" s="13"/>
      <c r="BF23" s="14"/>
      <c r="BG23"/>
      <c r="BH23" s="13"/>
      <c r="BL23" s="14"/>
      <c r="BM23" s="13"/>
      <c r="BP23" s="14"/>
      <c r="BQ23" s="123"/>
      <c r="BR23" s="13"/>
      <c r="BV23" s="14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</row>
    <row r="24" spans="1:188" s="10" customFormat="1" ht="16.350000000000001" customHeight="1">
      <c r="A24" s="313" t="s">
        <v>296</v>
      </c>
      <c r="B24" s="13" t="s">
        <v>297</v>
      </c>
      <c r="C24" s="142">
        <v>43705</v>
      </c>
      <c r="D24" s="10" t="s">
        <v>26</v>
      </c>
      <c r="E24" s="10" t="s">
        <v>284</v>
      </c>
      <c r="F24" s="89">
        <v>43742</v>
      </c>
      <c r="G24" s="164">
        <v>0.50694444444444442</v>
      </c>
      <c r="H24" s="63">
        <v>20.36</v>
      </c>
      <c r="I24" s="64">
        <f>H26-H24</f>
        <v>-0.95124999999999815</v>
      </c>
      <c r="J24" s="63">
        <v>23.85</v>
      </c>
      <c r="K24" s="14">
        <f t="shared" ref="K24:K25" si="82">J24-H24</f>
        <v>3.490000000000002</v>
      </c>
      <c r="L24" s="13">
        <v>88.179999999999964</v>
      </c>
      <c r="M24" s="86">
        <v>321.55524838509274</v>
      </c>
      <c r="N24" s="15">
        <v>9.1</v>
      </c>
      <c r="O24" s="13">
        <v>14.741</v>
      </c>
      <c r="P24" s="14">
        <v>17.143999999999998</v>
      </c>
      <c r="Q24" s="15">
        <v>78.02</v>
      </c>
      <c r="R24" s="15">
        <v>8.35</v>
      </c>
      <c r="S24" s="15">
        <v>39.51</v>
      </c>
      <c r="T24" s="15">
        <v>30.21</v>
      </c>
      <c r="U24" s="15">
        <v>1894.11371751249</v>
      </c>
      <c r="V24" s="15"/>
      <c r="W24" s="13">
        <v>1.3</v>
      </c>
      <c r="X24" s="14">
        <f>(100/J24)*(W24/1000)</f>
        <v>5.4507337526205442E-3</v>
      </c>
      <c r="Y24" s="13">
        <v>1.4258999999999999</v>
      </c>
      <c r="Z24" s="14">
        <f>(100/J24)*Y24</f>
        <v>5.9786163522012563</v>
      </c>
      <c r="AA24" s="13">
        <v>0.14749999999999999</v>
      </c>
      <c r="AB24" s="14">
        <f>(100/J24)*AA24</f>
        <v>0.61844863731656174</v>
      </c>
      <c r="AC24" s="13">
        <v>2.8</v>
      </c>
      <c r="AD24" s="10">
        <f>(100/J24)*(AC24/1000)</f>
        <v>1.1740041928721173E-2</v>
      </c>
      <c r="AE24" s="230">
        <v>5.7700000000000001E-2</v>
      </c>
      <c r="AF24" s="14">
        <f>(100/J24)*AE24</f>
        <v>0.24192872117400416</v>
      </c>
      <c r="AG24" s="13">
        <v>7.0800000000000002E-2</v>
      </c>
      <c r="AH24" s="14">
        <f>(100/J24)*AG24</f>
        <v>0.29685534591194968</v>
      </c>
      <c r="AI24" s="13"/>
      <c r="AJ24" s="13">
        <v>7.6899999999999996E-2</v>
      </c>
      <c r="AK24" s="10">
        <f>(100/J24)*AJ24</f>
        <v>0.32243186582809219</v>
      </c>
      <c r="AL24" s="14">
        <f t="shared" ref="AL24:AL25" si="83">(AJ24*1000)/M24</f>
        <v>0.23915019389733297</v>
      </c>
      <c r="AM24" s="13">
        <v>0.1263</v>
      </c>
      <c r="AN24" s="10">
        <f>(100/J24)*AM24</f>
        <v>0.52955974842767284</v>
      </c>
      <c r="AO24" s="14">
        <f t="shared" ref="AO24:AO25" si="84">(AM24*1000)/M24</f>
        <v>0.39277853692110737</v>
      </c>
      <c r="AP24" s="13">
        <v>3.567E-2</v>
      </c>
      <c r="AQ24" s="10">
        <f>(100/J24)*AP24</f>
        <v>0.14955974842767294</v>
      </c>
      <c r="AR24" s="14">
        <f t="shared" ref="AR24:AR25" si="85">(AP24*1000)/M24</f>
        <v>0.11092961529672131</v>
      </c>
      <c r="AS24" s="13"/>
      <c r="AT24" s="13">
        <f>AJ24+AM24+AP24</f>
        <v>0.23887</v>
      </c>
      <c r="AU24" s="10">
        <f>(100/J24)*AT24</f>
        <v>1.001551362683438</v>
      </c>
      <c r="AV24" s="14">
        <f t="shared" ref="AV24:AV25" si="86">(AT24*1000)/M24</f>
        <v>0.74285834611516166</v>
      </c>
      <c r="AW24" s="13">
        <v>0.17730000000000001</v>
      </c>
      <c r="AX24" s="10">
        <f>(100/J24)*AW24</f>
        <v>0.74339622641509429</v>
      </c>
      <c r="AY24" s="14">
        <f t="shared" ref="AY24:AY25" si="87">(AW24*1000)/M24</f>
        <v>0.55138269672297979</v>
      </c>
      <c r="AZ24" s="123"/>
      <c r="BA24" s="13"/>
      <c r="BC24" s="14"/>
      <c r="BD24" s="13"/>
      <c r="BF24" s="14"/>
      <c r="BG24"/>
      <c r="BH24" s="13"/>
      <c r="BL24" s="14"/>
      <c r="BM24" s="13"/>
      <c r="BP24" s="14"/>
      <c r="BQ24" s="123"/>
      <c r="BR24" s="13"/>
      <c r="BV24" s="1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</row>
    <row r="25" spans="1:188" s="10" customFormat="1" ht="16.350000000000001" customHeight="1">
      <c r="A25" s="313" t="s">
        <v>298</v>
      </c>
      <c r="B25" s="13" t="s">
        <v>299</v>
      </c>
      <c r="C25" s="142">
        <v>43703</v>
      </c>
      <c r="D25" s="10" t="s">
        <v>26</v>
      </c>
      <c r="E25" s="10" t="s">
        <v>284</v>
      </c>
      <c r="F25" s="89">
        <v>43742</v>
      </c>
      <c r="G25" s="164">
        <v>0.73263888888888884</v>
      </c>
      <c r="H25" s="63">
        <v>19.09</v>
      </c>
      <c r="I25" s="64">
        <f>H26-H25</f>
        <v>0.31875000000000142</v>
      </c>
      <c r="J25" s="63">
        <v>21.7</v>
      </c>
      <c r="K25" s="14">
        <f t="shared" si="82"/>
        <v>2.6099999999999994</v>
      </c>
      <c r="L25" s="13">
        <v>73.220000000000027</v>
      </c>
      <c r="M25" s="86">
        <v>267.72809258511774</v>
      </c>
      <c r="N25" s="15">
        <v>8.8000000000000007</v>
      </c>
      <c r="O25" s="13">
        <v>14.500999999999999</v>
      </c>
      <c r="P25" s="14">
        <v>16.846</v>
      </c>
      <c r="Q25" s="15">
        <v>73.81</v>
      </c>
      <c r="R25" s="15">
        <v>7.37</v>
      </c>
      <c r="S25" s="15">
        <v>36.54</v>
      </c>
      <c r="T25" s="15">
        <v>30.15</v>
      </c>
      <c r="U25" s="15">
        <v>1680.2017365138599</v>
      </c>
      <c r="V25" s="15"/>
      <c r="W25" s="13">
        <v>1.1000000000000001</v>
      </c>
      <c r="X25" s="14">
        <f>(100/J25)*(W25/1000)</f>
        <v>5.0691244239631341E-3</v>
      </c>
      <c r="Y25" s="13">
        <v>0.99039999999999995</v>
      </c>
      <c r="Z25" s="14">
        <f>(100/J25)*Y25</f>
        <v>4.564055299539171</v>
      </c>
      <c r="AA25" s="13">
        <v>0.11840000000000001</v>
      </c>
      <c r="AB25" s="14">
        <f>(100/J25)*AA25</f>
        <v>0.54562211981566833</v>
      </c>
      <c r="AC25" s="13">
        <v>4.0999999999999996</v>
      </c>
      <c r="AD25" s="10">
        <f>(100/J25)*(AC25/1000)</f>
        <v>1.889400921658986E-2</v>
      </c>
      <c r="AE25" s="230">
        <v>6.4199999999999993E-2</v>
      </c>
      <c r="AF25" s="14">
        <f>(100/J25)*AE25</f>
        <v>0.295852534562212</v>
      </c>
      <c r="AG25" s="13">
        <v>6.54E-2</v>
      </c>
      <c r="AH25" s="14">
        <f>(100/J25)*AG25</f>
        <v>0.30138248847926269</v>
      </c>
      <c r="AI25" s="13"/>
      <c r="AJ25" s="13">
        <v>9.4899999999999998E-2</v>
      </c>
      <c r="AK25" s="10">
        <f>(100/J25)*AJ25</f>
        <v>0.4373271889400922</v>
      </c>
      <c r="AL25" s="14">
        <f t="shared" si="83"/>
        <v>0.35446410977521459</v>
      </c>
      <c r="AM25" s="13">
        <v>0.1244</v>
      </c>
      <c r="AN25" s="10">
        <f>(100/J25)*AM25</f>
        <v>0.57327188940092166</v>
      </c>
      <c r="AO25" s="14">
        <f t="shared" si="84"/>
        <v>0.46465052956835295</v>
      </c>
      <c r="AP25" s="13">
        <v>2.41E-2</v>
      </c>
      <c r="AQ25" s="10">
        <f>(100/J25)*AP25</f>
        <v>0.1110599078341014</v>
      </c>
      <c r="AR25" s="14">
        <f t="shared" si="85"/>
        <v>9.0016702271682542E-2</v>
      </c>
      <c r="AS25" s="13"/>
      <c r="AT25" s="13">
        <f>AJ25+AM25+AP25</f>
        <v>0.24340000000000001</v>
      </c>
      <c r="AU25" s="10">
        <f>(100/J25)*AT25</f>
        <v>1.1216589861751154</v>
      </c>
      <c r="AV25" s="14">
        <f t="shared" si="86"/>
        <v>0.90913134161525022</v>
      </c>
      <c r="AW25" s="13">
        <v>0.1026</v>
      </c>
      <c r="AX25" s="10">
        <f>(100/J25)*AW25</f>
        <v>0.47281105990783412</v>
      </c>
      <c r="AY25" s="14">
        <f t="shared" si="87"/>
        <v>0.3832246329076609</v>
      </c>
      <c r="AZ25" s="123"/>
      <c r="BA25" s="13"/>
      <c r="BC25" s="14"/>
      <c r="BD25" s="13"/>
      <c r="BF25" s="14"/>
      <c r="BG25"/>
      <c r="BH25" s="13"/>
      <c r="BL25" s="14"/>
      <c r="BM25" s="13"/>
      <c r="BP25" s="14"/>
      <c r="BQ25" s="123"/>
      <c r="BR25" s="13"/>
      <c r="BV25" s="14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</row>
    <row r="26" spans="1:188" s="10" customFormat="1" ht="16.350000000000001" customHeight="1">
      <c r="A26" s="123"/>
      <c r="B26" s="11"/>
      <c r="C26" s="3"/>
      <c r="D26" s="12"/>
      <c r="E26" s="12"/>
      <c r="F26" s="3" t="s">
        <v>281</v>
      </c>
      <c r="G26" s="333">
        <f t="shared" ref="G26:AY26" si="88">AVERAGE(G17:G25)</f>
        <v>0.60112847222222232</v>
      </c>
      <c r="H26" s="18">
        <f t="shared" si="88"/>
        <v>19.408750000000001</v>
      </c>
      <c r="I26" s="3">
        <f t="shared" si="88"/>
        <v>1.3322676295501878E-15</v>
      </c>
      <c r="J26" s="18">
        <f t="shared" si="88"/>
        <v>22.862499999999997</v>
      </c>
      <c r="K26" s="88">
        <f t="shared" si="88"/>
        <v>3.4537499999999999</v>
      </c>
      <c r="L26" s="59">
        <f t="shared" si="88"/>
        <v>87.133750000000006</v>
      </c>
      <c r="M26" s="88">
        <f t="shared" si="88"/>
        <v>321.92335651565645</v>
      </c>
      <c r="N26" s="58">
        <f t="shared" si="88"/>
        <v>8.9625000000000004</v>
      </c>
      <c r="O26" s="59">
        <f t="shared" si="88"/>
        <v>14.638625000000001</v>
      </c>
      <c r="P26" s="88">
        <f t="shared" si="88"/>
        <v>17.11675</v>
      </c>
      <c r="Q26" s="58">
        <f t="shared" si="88"/>
        <v>79.576249999999987</v>
      </c>
      <c r="R26" s="58">
        <f t="shared" si="88"/>
        <v>10.046250000000001</v>
      </c>
      <c r="S26" s="58">
        <f t="shared" si="88"/>
        <v>39.565000000000005</v>
      </c>
      <c r="T26" s="58">
        <f t="shared" si="88"/>
        <v>30.720000000000002</v>
      </c>
      <c r="U26" s="59">
        <f t="shared" si="88"/>
        <v>2702.6040079746513</v>
      </c>
      <c r="V26" s="59" t="e">
        <f t="shared" si="88"/>
        <v>#DIV/0!</v>
      </c>
      <c r="W26" s="59">
        <f t="shared" si="88"/>
        <v>1.3</v>
      </c>
      <c r="X26" s="88">
        <f t="shared" si="88"/>
        <v>5.7036727054407864E-3</v>
      </c>
      <c r="Y26" s="59">
        <f t="shared" si="88"/>
        <v>1.110725</v>
      </c>
      <c r="Z26" s="55">
        <f t="shared" si="88"/>
        <v>4.8650815042100195</v>
      </c>
      <c r="AA26" s="59">
        <f t="shared" si="88"/>
        <v>0.1426</v>
      </c>
      <c r="AB26" s="88">
        <f t="shared" si="88"/>
        <v>0.62371027474229457</v>
      </c>
      <c r="AC26" s="59">
        <f t="shared" si="88"/>
        <v>2.8</v>
      </c>
      <c r="AD26" s="55">
        <f t="shared" si="88"/>
        <v>1.2410311114790769E-2</v>
      </c>
      <c r="AE26" s="274">
        <f t="shared" si="88"/>
        <v>6.4895000000000008E-2</v>
      </c>
      <c r="AF26" s="88">
        <f t="shared" si="88"/>
        <v>0.28186270223694931</v>
      </c>
      <c r="AG26" s="59">
        <f t="shared" si="88"/>
        <v>7.39625E-2</v>
      </c>
      <c r="AH26" s="88">
        <f t="shared" si="88"/>
        <v>0.32501333595572696</v>
      </c>
      <c r="AI26" s="59" t="e">
        <f t="shared" si="88"/>
        <v>#DIV/0!</v>
      </c>
      <c r="AJ26" s="59">
        <f t="shared" si="88"/>
        <v>0.1078875</v>
      </c>
      <c r="AK26" s="334">
        <f t="shared" si="88"/>
        <v>0.46797224363917744</v>
      </c>
      <c r="AL26" s="88">
        <f t="shared" si="88"/>
        <v>0.33621654823010394</v>
      </c>
      <c r="AM26" s="59">
        <f t="shared" si="88"/>
        <v>0.13343749999999999</v>
      </c>
      <c r="AN26" s="55">
        <f t="shared" si="88"/>
        <v>0.57982696390036192</v>
      </c>
      <c r="AO26" s="88">
        <f t="shared" si="88"/>
        <v>0.41436143264453523</v>
      </c>
      <c r="AP26" s="59">
        <f t="shared" si="88"/>
        <v>3.8183750000000002E-2</v>
      </c>
      <c r="AQ26" s="55">
        <f t="shared" si="88"/>
        <v>0.16038778272486592</v>
      </c>
      <c r="AR26" s="88">
        <f t="shared" si="88"/>
        <v>0.11660061494095364</v>
      </c>
      <c r="AS26" s="59" t="e">
        <f t="shared" si="88"/>
        <v>#DIV/0!</v>
      </c>
      <c r="AT26" s="59">
        <f t="shared" si="88"/>
        <v>0.27950874999999997</v>
      </c>
      <c r="AU26" s="55">
        <f t="shared" si="88"/>
        <v>1.2081869902644053</v>
      </c>
      <c r="AV26" s="88">
        <f t="shared" si="88"/>
        <v>0.86717859581559276</v>
      </c>
      <c r="AW26" s="59">
        <f t="shared" si="88"/>
        <v>0.1221375</v>
      </c>
      <c r="AX26" s="55">
        <f t="shared" si="88"/>
        <v>0.53194245322864031</v>
      </c>
      <c r="AY26" s="88">
        <f t="shared" si="88"/>
        <v>0.38151081354682481</v>
      </c>
      <c r="AZ26" s="123"/>
      <c r="BA26" s="59" t="e">
        <f t="shared" ref="BA26:BF26" si="89">AVERAGE(BA17:BA25)</f>
        <v>#DIV/0!</v>
      </c>
      <c r="BB26" s="55" t="e">
        <f t="shared" si="89"/>
        <v>#DIV/0!</v>
      </c>
      <c r="BC26" s="88" t="e">
        <f t="shared" si="89"/>
        <v>#DIV/0!</v>
      </c>
      <c r="BD26" s="59" t="e">
        <f t="shared" si="89"/>
        <v>#DIV/0!</v>
      </c>
      <c r="BE26" s="55" t="e">
        <f t="shared" si="89"/>
        <v>#DIV/0!</v>
      </c>
      <c r="BF26" s="88" t="e">
        <f t="shared" si="89"/>
        <v>#DIV/0!</v>
      </c>
      <c r="BG26"/>
      <c r="BH26" s="59">
        <f t="shared" ref="BH26:BP26" si="90">AVERAGE(BH17:BH25)</f>
        <v>18.865080000000003</v>
      </c>
      <c r="BI26" s="55">
        <f t="shared" si="90"/>
        <v>11.861110000000002</v>
      </c>
      <c r="BJ26" s="55">
        <f t="shared" si="90"/>
        <v>9.3166666666666664</v>
      </c>
      <c r="BK26" s="55">
        <f t="shared" si="90"/>
        <v>11.22222</v>
      </c>
      <c r="BL26" s="88">
        <f t="shared" si="90"/>
        <v>5.6666699999999999</v>
      </c>
      <c r="BM26" s="59">
        <f t="shared" si="90"/>
        <v>0.23666666666666666</v>
      </c>
      <c r="BN26" s="55">
        <f t="shared" si="90"/>
        <v>13.39486100446257</v>
      </c>
      <c r="BO26" s="55">
        <f t="shared" si="90"/>
        <v>44.666666666666664</v>
      </c>
      <c r="BP26" s="88">
        <f t="shared" si="90"/>
        <v>5.3277633333333334</v>
      </c>
      <c r="BQ26" s="123"/>
      <c r="BR26" s="59">
        <f>AVERAGE(BR17:BR25)</f>
        <v>0.57539676666666673</v>
      </c>
      <c r="BS26" s="55">
        <f>AVERAGE(BS17:BS25)</f>
        <v>0.4722223333333333</v>
      </c>
      <c r="BT26" s="55">
        <f>AVERAGE(BT17:BT25)</f>
        <v>6.6666666666666666E-2</v>
      </c>
      <c r="BU26" s="55">
        <f>AVERAGE(BU17:BU25)</f>
        <v>0.44444443333333333</v>
      </c>
      <c r="BV26" s="88">
        <f>AVERAGE(BV17:BV25)</f>
        <v>0.22222333333333333</v>
      </c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</row>
    <row r="27" spans="1:188" s="10" customFormat="1" ht="16.350000000000001" customHeight="1">
      <c r="A27" s="123"/>
      <c r="B27" s="31"/>
      <c r="C27" s="3"/>
      <c r="D27" s="12"/>
      <c r="E27" s="12"/>
      <c r="F27" s="3" t="s">
        <v>45</v>
      </c>
      <c r="G27" s="88">
        <f>(STDEV(G17:G25)/(SQRT(COUNT(G17:G25))))</f>
        <v>3.9293340738146346E-2</v>
      </c>
      <c r="H27" s="18">
        <f>STDEV(H17:H25)/SQRT(COUNT(H17:H25))</f>
        <v>0.45447944122919354</v>
      </c>
      <c r="I27" s="3">
        <f>STDEV(I17:I25)/SQRT(COUNT(I17:I25))</f>
        <v>0.45447944122919354</v>
      </c>
      <c r="J27" s="18">
        <f>STDEV(J17:J25)/SQRT(COUNT(J17:J25))</f>
        <v>0.82250434215093549</v>
      </c>
      <c r="K27" s="88">
        <f t="shared" ref="K27:AY27" si="91">(STDEV(K17:K25)/(SQRT(COUNT(K17:K25))))</f>
        <v>0.47422093065514115</v>
      </c>
      <c r="L27" s="59">
        <f t="shared" si="91"/>
        <v>3.5320269056874607</v>
      </c>
      <c r="M27" s="88">
        <f t="shared" si="91"/>
        <v>14.037099982778873</v>
      </c>
      <c r="N27" s="58">
        <f t="shared" si="91"/>
        <v>7.5445107765277117E-2</v>
      </c>
      <c r="O27" s="59">
        <f t="shared" si="91"/>
        <v>0.10952004668096155</v>
      </c>
      <c r="P27" s="88">
        <f t="shared" si="91"/>
        <v>9.0320807205680531E-2</v>
      </c>
      <c r="Q27" s="58">
        <f t="shared" si="91"/>
        <v>1.3502631191998942</v>
      </c>
      <c r="R27" s="58">
        <f t="shared" si="91"/>
        <v>0.67383215772602678</v>
      </c>
      <c r="S27" s="58">
        <f t="shared" si="91"/>
        <v>1.4084959049588015</v>
      </c>
      <c r="T27" s="58">
        <f t="shared" si="91"/>
        <v>1.6201421895271082</v>
      </c>
      <c r="U27" s="59">
        <f t="shared" si="91"/>
        <v>373.20826658939978</v>
      </c>
      <c r="V27" s="59" t="e">
        <f t="shared" si="91"/>
        <v>#DIV/0!</v>
      </c>
      <c r="W27" s="59">
        <f t="shared" si="91"/>
        <v>5.9761430466719577E-2</v>
      </c>
      <c r="X27" s="88">
        <f t="shared" si="91"/>
        <v>2.4061648793356131E-4</v>
      </c>
      <c r="Y27" s="59">
        <f t="shared" si="91"/>
        <v>6.8625796248307849E-2</v>
      </c>
      <c r="Z27" s="55">
        <f t="shared" si="91"/>
        <v>0.25286347443828072</v>
      </c>
      <c r="AA27" s="59">
        <f t="shared" si="91"/>
        <v>7.7213988369983716E-3</v>
      </c>
      <c r="AB27" s="88">
        <f t="shared" si="91"/>
        <v>2.6876229229108855E-2</v>
      </c>
      <c r="AC27" s="59">
        <f t="shared" si="91"/>
        <v>0.21297216451250814</v>
      </c>
      <c r="AD27" s="55">
        <f t="shared" si="91"/>
        <v>1.1400138167985321E-3</v>
      </c>
      <c r="AE27" s="274">
        <f t="shared" si="91"/>
        <v>5.3345929688081153E-3</v>
      </c>
      <c r="AF27" s="88">
        <f t="shared" si="91"/>
        <v>1.5282986609368495E-2</v>
      </c>
      <c r="AG27" s="59">
        <f t="shared" si="91"/>
        <v>2.4328802374962897E-3</v>
      </c>
      <c r="AH27" s="88">
        <f t="shared" si="91"/>
        <v>1.0797010699268328E-2</v>
      </c>
      <c r="AI27" s="59" t="e">
        <f t="shared" si="91"/>
        <v>#DIV/0!</v>
      </c>
      <c r="AJ27" s="59">
        <f t="shared" si="91"/>
        <v>1.1478418219486034E-2</v>
      </c>
      <c r="AK27" s="55">
        <f t="shared" si="91"/>
        <v>3.7744345007987748E-2</v>
      </c>
      <c r="AL27" s="88">
        <f t="shared" si="91"/>
        <v>3.285216016016855E-2</v>
      </c>
      <c r="AM27" s="59">
        <f t="shared" si="91"/>
        <v>1.0017501426075694E-2</v>
      </c>
      <c r="AN27" s="55">
        <f t="shared" si="91"/>
        <v>2.7406516595724614E-2</v>
      </c>
      <c r="AO27" s="88">
        <f t="shared" si="91"/>
        <v>2.3792516331865538E-2</v>
      </c>
      <c r="AP27" s="59">
        <f t="shared" si="91"/>
        <v>8.542309393646759E-3</v>
      </c>
      <c r="AQ27" s="334">
        <f t="shared" si="91"/>
        <v>2.8299670519608251E-2</v>
      </c>
      <c r="AR27" s="88">
        <f t="shared" si="91"/>
        <v>2.3295575514668914E-2</v>
      </c>
      <c r="AS27" s="59" t="e">
        <f t="shared" si="91"/>
        <v>#DIV/0!</v>
      </c>
      <c r="AT27" s="59">
        <f t="shared" si="91"/>
        <v>2.8818510385656925E-2</v>
      </c>
      <c r="AU27" s="55">
        <f t="shared" si="91"/>
        <v>8.4266723166227173E-2</v>
      </c>
      <c r="AV27" s="88">
        <f t="shared" si="91"/>
        <v>7.5183611424036317E-2</v>
      </c>
      <c r="AW27" s="59">
        <f t="shared" si="91"/>
        <v>9.8157114853832956E-3</v>
      </c>
      <c r="AX27" s="55">
        <f t="shared" si="91"/>
        <v>3.3355979517734134E-2</v>
      </c>
      <c r="AY27" s="88">
        <f t="shared" si="91"/>
        <v>2.9481989985780024E-2</v>
      </c>
      <c r="AZ27" s="123"/>
      <c r="BA27" s="59" t="e">
        <f t="shared" ref="BA27:BF27" si="92">(STDEV(BA17:BA25)/(SQRT(COUNT(BA17:BA25))))</f>
        <v>#DIV/0!</v>
      </c>
      <c r="BB27" s="55" t="e">
        <f t="shared" si="92"/>
        <v>#DIV/0!</v>
      </c>
      <c r="BC27" s="88" t="e">
        <f t="shared" si="92"/>
        <v>#DIV/0!</v>
      </c>
      <c r="BD27" s="59" t="e">
        <f t="shared" si="92"/>
        <v>#DIV/0!</v>
      </c>
      <c r="BE27" s="55" t="e">
        <f t="shared" si="92"/>
        <v>#DIV/0!</v>
      </c>
      <c r="BF27" s="88" t="e">
        <f t="shared" si="92"/>
        <v>#DIV/0!</v>
      </c>
      <c r="BG27"/>
      <c r="BH27" s="59">
        <f t="shared" ref="BH27:BP27" si="93">(STDEV(BH17:BH25)/(SQRT(COUNT(BH17:BH25))))</f>
        <v>4.5033428493842154</v>
      </c>
      <c r="BI27" s="55">
        <f t="shared" si="93"/>
        <v>3.327890162264973</v>
      </c>
      <c r="BJ27" s="55">
        <f t="shared" si="93"/>
        <v>2.2174184188926671</v>
      </c>
      <c r="BK27" s="55">
        <f t="shared" si="93"/>
        <v>2.62702025726868</v>
      </c>
      <c r="BL27" s="88">
        <f t="shared" si="93"/>
        <v>1.7320508075688765</v>
      </c>
      <c r="BM27" s="59">
        <f t="shared" si="93"/>
        <v>0.12414149633024045</v>
      </c>
      <c r="BN27" s="55">
        <f t="shared" si="93"/>
        <v>2.953165469600465</v>
      </c>
      <c r="BO27" s="55">
        <f t="shared" si="93"/>
        <v>7.6666666666666705</v>
      </c>
      <c r="BP27" s="88">
        <f t="shared" si="93"/>
        <v>1.6294860036254104</v>
      </c>
      <c r="BQ27" s="123"/>
      <c r="BR27" s="59">
        <f>(STDEV(BR17:BR25)/(SQRT(COUNT(BR17:BR25))))</f>
        <v>0.28474810332014705</v>
      </c>
      <c r="BS27" s="55">
        <f>(STDEV(BS17:BS25)/(SQRT(COUNT(BS17:BS25))))</f>
        <v>0.12108061542671118</v>
      </c>
      <c r="BT27" s="55">
        <f>(STDEV(BT17:BT25)/(SQRT(COUNT(BT17:BT25))))</f>
        <v>6.666666666666668E-2</v>
      </c>
      <c r="BU27" s="55">
        <f>(STDEV(BU17:BU25)/(SQRT(COUNT(BU17:BU25))))</f>
        <v>0.44444443333333333</v>
      </c>
      <c r="BV27" s="88">
        <f>(STDEV(BV17:BV25)/(SQRT(COUNT(BV17:BV25))))</f>
        <v>0.22222333333333336</v>
      </c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</row>
    <row r="28" spans="1:188" s="10" customFormat="1" ht="16.350000000000001" customHeight="1">
      <c r="A28" s="123"/>
      <c r="B28" s="31"/>
      <c r="C28" s="3"/>
      <c r="D28" s="12"/>
      <c r="E28" s="12"/>
      <c r="F28" s="62" t="s">
        <v>300</v>
      </c>
      <c r="G28" s="62">
        <f>(100/G14)*G26</f>
        <v>95.25447042640991</v>
      </c>
      <c r="H28" s="63">
        <f>(100/H14)*H26</f>
        <v>100.78540828248737</v>
      </c>
      <c r="I28" s="62"/>
      <c r="J28" s="63">
        <f t="shared" ref="J28:AH28" si="94">(100/J14)*J26</f>
        <v>99.052261034389375</v>
      </c>
      <c r="K28" s="62">
        <f t="shared" si="94"/>
        <v>90.323635174893738</v>
      </c>
      <c r="L28" s="63">
        <f t="shared" si="94"/>
        <v>98.609421417456502</v>
      </c>
      <c r="M28" s="62">
        <f t="shared" si="94"/>
        <v>99.702985127867635</v>
      </c>
      <c r="N28" s="63">
        <f t="shared" si="94"/>
        <v>99.033149171270736</v>
      </c>
      <c r="O28" s="63">
        <f t="shared" si="94"/>
        <v>99.228937713419029</v>
      </c>
      <c r="P28" s="62">
        <f t="shared" si="94"/>
        <v>100.06064990391009</v>
      </c>
      <c r="Q28" s="63">
        <f t="shared" si="94"/>
        <v>96.759533688994267</v>
      </c>
      <c r="R28" s="63">
        <f t="shared" si="94"/>
        <v>87.396694214876021</v>
      </c>
      <c r="S28" s="63">
        <f t="shared" si="94"/>
        <v>98.789013732833979</v>
      </c>
      <c r="T28" s="63">
        <f t="shared" si="94"/>
        <v>98.560256667335068</v>
      </c>
      <c r="U28" s="63">
        <f t="shared" si="94"/>
        <v>103.92638815605584</v>
      </c>
      <c r="V28" s="63" t="e">
        <f t="shared" si="94"/>
        <v>#DIV/0!</v>
      </c>
      <c r="W28" s="63">
        <f t="shared" si="94"/>
        <v>91</v>
      </c>
      <c r="X28" s="62">
        <f t="shared" si="94"/>
        <v>91.944741036636188</v>
      </c>
      <c r="Y28" s="63">
        <f t="shared" si="94"/>
        <v>99.516183223205303</v>
      </c>
      <c r="Z28" s="62">
        <f t="shared" si="94"/>
        <v>100.5269591921754</v>
      </c>
      <c r="AA28" s="63">
        <f t="shared" si="94"/>
        <v>98.489165155831813</v>
      </c>
      <c r="AB28" s="62">
        <f t="shared" si="94"/>
        <v>98.848361006947684</v>
      </c>
      <c r="AC28" s="63">
        <f t="shared" si="94"/>
        <v>98.245614035087726</v>
      </c>
      <c r="AD28" s="62">
        <f t="shared" si="94"/>
        <v>99.006244577471236</v>
      </c>
      <c r="AE28" s="224">
        <f t="shared" si="94"/>
        <v>98.925304878048792</v>
      </c>
      <c r="AF28" s="62">
        <f t="shared" si="94"/>
        <v>99.092918444824903</v>
      </c>
      <c r="AG28" s="63">
        <f t="shared" si="94"/>
        <v>89.475275971571151</v>
      </c>
      <c r="AH28" s="64">
        <f t="shared" si="94"/>
        <v>90.238044104441826</v>
      </c>
      <c r="AI28" s="63" t="e">
        <f>(100/#REF!)*AI26</f>
        <v>#REF!</v>
      </c>
      <c r="AJ28" s="63">
        <f t="shared" ref="AJ28:AR28" si="95">(100/AJ14)*AJ26</f>
        <v>137.67746052001914</v>
      </c>
      <c r="AK28" s="62">
        <f t="shared" si="95"/>
        <v>137.32603452876731</v>
      </c>
      <c r="AL28" s="62">
        <f t="shared" si="95"/>
        <v>136.32807601280842</v>
      </c>
      <c r="AM28" s="63">
        <f t="shared" si="95"/>
        <v>117.2432729269632</v>
      </c>
      <c r="AN28" s="62">
        <f t="shared" si="95"/>
        <v>118.20707586452961</v>
      </c>
      <c r="AO28" s="62">
        <f t="shared" si="95"/>
        <v>116.17900390117778</v>
      </c>
      <c r="AP28" s="63">
        <f t="shared" si="95"/>
        <v>189.02846534653463</v>
      </c>
      <c r="AQ28" s="62">
        <f t="shared" si="95"/>
        <v>184.26892924193695</v>
      </c>
      <c r="AR28" s="62">
        <f t="shared" si="95"/>
        <v>182.34869245955088</v>
      </c>
      <c r="AS28" s="63" t="e">
        <f>(100/#REF!)*AS26</f>
        <v>#REF!</v>
      </c>
      <c r="AT28" s="63">
        <f t="shared" ref="AT28:AY28" si="96">(100/AT14)*AT26</f>
        <v>131.61094761624483</v>
      </c>
      <c r="AU28" s="62">
        <f t="shared" si="96"/>
        <v>131.56311101762103</v>
      </c>
      <c r="AV28" s="62">
        <f t="shared" si="96"/>
        <v>129.96801178577144</v>
      </c>
      <c r="AW28" s="63">
        <f t="shared" si="96"/>
        <v>129.96807661612132</v>
      </c>
      <c r="AX28" s="62">
        <f t="shared" si="96"/>
        <v>130.1080768852064</v>
      </c>
      <c r="AY28" s="64">
        <f t="shared" si="96"/>
        <v>129.65387986593103</v>
      </c>
      <c r="AZ28" s="123"/>
      <c r="BA28" s="63" t="e">
        <f>(100/#REF!)*BA26</f>
        <v>#REF!</v>
      </c>
      <c r="BB28" s="62" t="e">
        <f>(100/#REF!)*BB26</f>
        <v>#REF!</v>
      </c>
      <c r="BC28" s="64" t="e">
        <f>(100/#REF!)*BC26</f>
        <v>#REF!</v>
      </c>
      <c r="BD28" s="63" t="e">
        <f>(100/#REF!)*BD26</f>
        <v>#REF!</v>
      </c>
      <c r="BE28" s="62" t="e">
        <f>(100/#REF!)*BE26</f>
        <v>#REF!</v>
      </c>
      <c r="BF28" s="64" t="e">
        <f>(100/#REF!)*BF26</f>
        <v>#REF!</v>
      </c>
      <c r="BG28"/>
      <c r="BH28" s="63">
        <f t="shared" ref="BH28:BP28" si="97">(100/BH14)*BH26</f>
        <v>102.28303328648269</v>
      </c>
      <c r="BI28" s="62">
        <f t="shared" si="97"/>
        <v>96.27524350649351</v>
      </c>
      <c r="BJ28" s="62">
        <f t="shared" si="97"/>
        <v>121.31076388888889</v>
      </c>
      <c r="BK28" s="62">
        <f t="shared" si="97"/>
        <v>93.001812927976488</v>
      </c>
      <c r="BL28" s="62">
        <f t="shared" si="97"/>
        <v>111.84214162048904</v>
      </c>
      <c r="BM28" s="63">
        <f t="shared" si="97"/>
        <v>184.89583333333334</v>
      </c>
      <c r="BN28" s="62">
        <f t="shared" si="97"/>
        <v>102.95497473482949</v>
      </c>
      <c r="BO28" s="62">
        <f t="shared" si="97"/>
        <v>118.16578483245149</v>
      </c>
      <c r="BP28" s="64">
        <f t="shared" si="97"/>
        <v>134.58463873769898</v>
      </c>
      <c r="BQ28" s="123"/>
      <c r="BR28" s="63">
        <f>(100/BR14)*BR26</f>
        <v>62.381693836934453</v>
      </c>
      <c r="BS28" s="62">
        <f>(100/BS14)*BS26</f>
        <v>65.952839851024208</v>
      </c>
      <c r="BT28" s="62">
        <f>(100/BT14)*BT26</f>
        <v>14.814814814814815</v>
      </c>
      <c r="BU28" s="62">
        <f>(100/BU14)*BU26</f>
        <v>111.11110833333333</v>
      </c>
      <c r="BV28" s="62">
        <f>(100/BV14)*BV26</f>
        <v>111.11166666666666</v>
      </c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</row>
    <row r="29" spans="1:188" s="22" customFormat="1" ht="16.350000000000001" customHeight="1">
      <c r="A29" s="124"/>
      <c r="B29" s="65"/>
      <c r="C29" s="65"/>
      <c r="D29" s="24"/>
      <c r="E29" s="65"/>
      <c r="F29" s="65"/>
      <c r="G29" s="65"/>
      <c r="H29" s="67"/>
      <c r="I29" s="65"/>
      <c r="J29" s="67"/>
      <c r="K29" s="28"/>
      <c r="L29" s="26"/>
      <c r="M29" s="28"/>
      <c r="N29" s="32"/>
      <c r="O29" s="30"/>
      <c r="P29" s="28"/>
      <c r="Q29" s="32"/>
      <c r="R29" s="32"/>
      <c r="S29" s="32"/>
      <c r="T29" s="32"/>
      <c r="U29" s="32"/>
      <c r="V29" s="32"/>
      <c r="W29" s="30"/>
      <c r="X29" s="28"/>
      <c r="Y29" s="30"/>
      <c r="AA29" s="30"/>
      <c r="AB29" s="28"/>
      <c r="AC29" s="30"/>
      <c r="AE29" s="275"/>
      <c r="AF29" s="28"/>
      <c r="AG29" s="30"/>
      <c r="AH29" s="28"/>
      <c r="AI29" s="30"/>
      <c r="AJ29" s="30"/>
      <c r="AL29" s="28"/>
      <c r="AM29" s="30"/>
      <c r="AO29" s="28"/>
      <c r="AP29" s="30"/>
      <c r="AR29" s="28"/>
      <c r="AS29" s="30"/>
      <c r="AT29" s="30"/>
      <c r="AV29" s="28"/>
      <c r="AW29" s="30"/>
      <c r="AY29" s="28"/>
      <c r="AZ29" s="124"/>
      <c r="BA29" s="30"/>
      <c r="BC29" s="28"/>
      <c r="BD29" s="30"/>
      <c r="BF29" s="28"/>
      <c r="BG29"/>
      <c r="BH29" s="30"/>
      <c r="BL29" s="28"/>
      <c r="BM29" s="30"/>
      <c r="BP29" s="28"/>
      <c r="BQ29" s="124"/>
      <c r="BR29" s="30"/>
      <c r="BV29" s="28"/>
      <c r="BW29" s="10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</row>
    <row r="30" spans="1:188" s="10" customFormat="1" ht="16.350000000000001" customHeight="1">
      <c r="A30" s="9" t="s">
        <v>301</v>
      </c>
      <c r="B30" s="224" t="s">
        <v>302</v>
      </c>
      <c r="C30" s="11">
        <v>42559</v>
      </c>
      <c r="D30" s="12" t="s">
        <v>26</v>
      </c>
      <c r="E30" s="10" t="s">
        <v>303</v>
      </c>
      <c r="F30" s="11" t="s">
        <v>271</v>
      </c>
      <c r="G30" s="336">
        <v>0.60763888888888895</v>
      </c>
      <c r="H30" s="62">
        <v>19.399999999999999</v>
      </c>
      <c r="I30" s="64">
        <f>H39-H30</f>
        <v>-0.32999999999999829</v>
      </c>
      <c r="J30" s="63">
        <v>21.34</v>
      </c>
      <c r="K30" s="14">
        <f t="shared" ref="K30:K34" si="98">J30-H30</f>
        <v>1.9400000000000013</v>
      </c>
      <c r="L30" s="13">
        <v>75.7</v>
      </c>
      <c r="M30" s="86">
        <v>266.64758555399999</v>
      </c>
      <c r="N30" s="15">
        <v>8.5</v>
      </c>
      <c r="O30" s="13">
        <v>14.273999999999999</v>
      </c>
      <c r="P30" s="14">
        <v>16.707000000000001</v>
      </c>
      <c r="Q30" s="15">
        <v>89.75</v>
      </c>
      <c r="R30" s="15">
        <v>13.99</v>
      </c>
      <c r="S30" s="15">
        <v>42.48</v>
      </c>
      <c r="T30" s="15">
        <v>33.840000000000003</v>
      </c>
      <c r="U30" s="15">
        <v>1631.8167733471901</v>
      </c>
      <c r="V30" s="15"/>
      <c r="W30" s="13">
        <v>1.1000000000000001</v>
      </c>
      <c r="X30" s="14">
        <f t="shared" ref="X30:X34" si="99">(100/J30)*(W30/1000)</f>
        <v>5.1546391752577327E-3</v>
      </c>
      <c r="Y30" s="13">
        <v>1.0427</v>
      </c>
      <c r="Z30" s="14">
        <f t="shared" ref="Z30:Z34" si="100">(100/J30)*Y30</f>
        <v>4.8861293345829431</v>
      </c>
      <c r="AA30" s="13">
        <v>0.1376</v>
      </c>
      <c r="AB30" s="14">
        <f t="shared" ref="AB30:AB34" si="101">(100/J30)*AA30</f>
        <v>0.64479850046860365</v>
      </c>
      <c r="AC30" s="13">
        <v>3.1</v>
      </c>
      <c r="AD30" s="10">
        <f t="shared" ref="AD30:AD34" si="102">(100/J30)*(AC30/1000)</f>
        <v>1.4526710402999063E-2</v>
      </c>
      <c r="AE30" s="230">
        <v>4.5100000000000001E-2</v>
      </c>
      <c r="AF30" s="14">
        <f t="shared" ref="AF30:AF34" si="103">(100/J30)*AE30</f>
        <v>0.21134020618556704</v>
      </c>
      <c r="AG30" s="13">
        <v>8.0699999999999994E-2</v>
      </c>
      <c r="AH30" s="14">
        <f t="shared" ref="AH30:AH34" si="104">(100/J30)*AG30</f>
        <v>0.37816307403936272</v>
      </c>
      <c r="AI30" s="13"/>
      <c r="AJ30" s="13">
        <v>9.01E-2</v>
      </c>
      <c r="AK30" s="10">
        <f>(100/J30)*AJ30</f>
        <v>0.42221180880974701</v>
      </c>
      <c r="AL30" s="14">
        <f>(AJ30*1000)/M30</f>
        <v>0.33789917809607711</v>
      </c>
      <c r="AM30" s="13">
        <v>0.1226</v>
      </c>
      <c r="AN30" s="10">
        <f>(100/J30)*AM30</f>
        <v>0.57450796626054368</v>
      </c>
      <c r="AO30" s="14">
        <f>(AM30*1000)/M30</f>
        <v>0.45978289938489514</v>
      </c>
      <c r="AP30" s="13">
        <v>2.8799999999999999E-2</v>
      </c>
      <c r="AQ30" s="10">
        <f>(100/J30)*AP30</f>
        <v>0.13495782567947517</v>
      </c>
      <c r="AR30" s="14">
        <f>(AP30*1000)/M30</f>
        <v>0.10800772840362953</v>
      </c>
      <c r="AS30" s="13"/>
      <c r="AT30" s="13">
        <f>AJ30+AM30+AP30</f>
        <v>0.24149999999999999</v>
      </c>
      <c r="AU30" s="10">
        <f>(100/J30)*AT30</f>
        <v>1.1316776007497658</v>
      </c>
      <c r="AV30" s="14">
        <f>(AT30*1000)/M30</f>
        <v>0.9056898058846018</v>
      </c>
      <c r="AW30" s="13">
        <v>0.1134</v>
      </c>
      <c r="AX30" s="10">
        <f>(100/J30)*AW30</f>
        <v>0.53139643861293351</v>
      </c>
      <c r="AY30" s="14">
        <f>(AW30*1000)/M30</f>
        <v>0.42528043058929133</v>
      </c>
      <c r="AZ30" s="123"/>
      <c r="BA30" s="13"/>
      <c r="BC30" s="14"/>
      <c r="BD30" s="13"/>
      <c r="BF30" s="14"/>
      <c r="BG30"/>
      <c r="BH30" s="13">
        <v>35.5</v>
      </c>
      <c r="BI30" s="10">
        <v>20.25</v>
      </c>
      <c r="BJ30" s="10">
        <v>14</v>
      </c>
      <c r="BK30" s="10">
        <v>23.75</v>
      </c>
      <c r="BL30" s="14">
        <v>13</v>
      </c>
      <c r="BM30">
        <v>0.26</v>
      </c>
      <c r="BN30">
        <v>20.892200347906464</v>
      </c>
      <c r="BO30">
        <v>61</v>
      </c>
      <c r="BP30">
        <v>3.75</v>
      </c>
      <c r="BQ30" s="123" t="s">
        <v>301</v>
      </c>
      <c r="BR30" s="13">
        <v>1.75</v>
      </c>
      <c r="BS30" s="10">
        <v>0.75</v>
      </c>
      <c r="BT30" s="10">
        <v>0.5</v>
      </c>
      <c r="BU30" s="10">
        <v>1</v>
      </c>
      <c r="BV30" s="14">
        <v>1.25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</row>
    <row r="31" spans="1:188" s="10" customFormat="1" ht="16.350000000000001" customHeight="1">
      <c r="A31" s="9" t="s">
        <v>304</v>
      </c>
      <c r="B31" s="224" t="s">
        <v>305</v>
      </c>
      <c r="C31" s="11"/>
      <c r="D31" s="12" t="s">
        <v>26</v>
      </c>
      <c r="E31" s="10" t="s">
        <v>303</v>
      </c>
      <c r="F31" s="11">
        <v>42411</v>
      </c>
      <c r="G31" s="336">
        <v>0.56666666666666665</v>
      </c>
      <c r="H31" s="62">
        <v>16.420000000000002</v>
      </c>
      <c r="I31" s="64">
        <f>H39-H31</f>
        <v>2.6499999999999986</v>
      </c>
      <c r="J31" s="63">
        <v>21.58</v>
      </c>
      <c r="K31" s="14">
        <f t="shared" si="98"/>
        <v>5.1599999999999966</v>
      </c>
      <c r="L31" s="13">
        <v>77.939999999999699</v>
      </c>
      <c r="M31" s="86">
        <v>284.82630098748143</v>
      </c>
      <c r="N31" s="15">
        <v>8.9</v>
      </c>
      <c r="O31" s="13">
        <v>14.124000000000001</v>
      </c>
      <c r="P31" s="14">
        <v>16.795999999999999</v>
      </c>
      <c r="Q31" s="15">
        <v>104.3</v>
      </c>
      <c r="R31" s="15">
        <v>10.95</v>
      </c>
      <c r="S31" s="15">
        <v>52.43</v>
      </c>
      <c r="T31" s="15">
        <v>41.35</v>
      </c>
      <c r="U31" s="15">
        <v>1218.45495502572</v>
      </c>
      <c r="V31" s="15"/>
      <c r="W31" s="13">
        <v>1.1000000000000001</v>
      </c>
      <c r="X31" s="14">
        <f t="shared" si="99"/>
        <v>5.0973123262279896E-3</v>
      </c>
      <c r="Y31" s="13">
        <v>1.2362</v>
      </c>
      <c r="Z31" s="14">
        <f t="shared" si="100"/>
        <v>5.7284522706209451</v>
      </c>
      <c r="AA31" s="13">
        <v>0.128</v>
      </c>
      <c r="AB31" s="14">
        <f t="shared" si="101"/>
        <v>0.59314179796107513</v>
      </c>
      <c r="AC31" s="13">
        <v>2.4</v>
      </c>
      <c r="AD31" s="10">
        <f t="shared" si="102"/>
        <v>1.1121408711770158E-2</v>
      </c>
      <c r="AE31" s="230">
        <v>3.9699999999999999E-2</v>
      </c>
      <c r="AF31" s="14">
        <f t="shared" si="103"/>
        <v>0.18396663577386468</v>
      </c>
      <c r="AG31" s="13">
        <v>8.0699999999999994E-2</v>
      </c>
      <c r="AH31" s="14">
        <f t="shared" si="104"/>
        <v>0.37395736793327156</v>
      </c>
      <c r="AI31" s="13"/>
      <c r="AJ31" s="13">
        <v>9.8199999999999996E-2</v>
      </c>
      <c r="AK31" s="10">
        <f>(100/J31)*AJ31</f>
        <v>0.45505097312326226</v>
      </c>
      <c r="AL31" s="14">
        <f t="shared" ref="AL31" si="105">(AJ31*1000)/M31</f>
        <v>0.34477153148969919</v>
      </c>
      <c r="AM31" s="13">
        <v>8.9700000000000002E-2</v>
      </c>
      <c r="AN31" s="10">
        <f>(100/J31)*AM31</f>
        <v>0.41566265060240964</v>
      </c>
      <c r="AO31" s="14">
        <f>(AM31*1000)/M31</f>
        <v>0.31492878181900225</v>
      </c>
      <c r="AP31" s="13">
        <v>1.83E-2</v>
      </c>
      <c r="AQ31" s="10">
        <f>(100/J31)*AP31</f>
        <v>8.4800741427247459E-2</v>
      </c>
      <c r="AR31" s="14">
        <f>(AP31*1000)/M31</f>
        <v>6.4249684585147612E-2</v>
      </c>
      <c r="AS31" s="13"/>
      <c r="AT31" s="13">
        <f>AJ31+AM31+AP31</f>
        <v>0.20620000000000002</v>
      </c>
      <c r="AU31" s="10">
        <f>(100/J31)*AT31</f>
        <v>0.95551436515291954</v>
      </c>
      <c r="AV31" s="14">
        <f t="shared" ref="AV31" si="106">(AT31*1000)/M31</f>
        <v>0.72394999789384906</v>
      </c>
      <c r="AW31" s="13">
        <v>0.1047</v>
      </c>
      <c r="AX31" s="10">
        <f>(100/J31)*AW31</f>
        <v>0.48517145505097314</v>
      </c>
      <c r="AY31" s="14">
        <f t="shared" ref="AY31" si="107">(AW31*1000)/M31</f>
        <v>0.36759245770846749</v>
      </c>
      <c r="AZ31" s="123"/>
      <c r="BA31" s="13"/>
      <c r="BC31" s="14"/>
      <c r="BD31" s="13"/>
      <c r="BF31" s="14"/>
      <c r="BG31"/>
      <c r="BH31" s="13">
        <v>24.63</v>
      </c>
      <c r="BI31" s="10">
        <v>23.25</v>
      </c>
      <c r="BJ31" s="10">
        <v>11.8</v>
      </c>
      <c r="BK31" s="10">
        <v>8.33</v>
      </c>
      <c r="BL31" s="14">
        <v>6.67</v>
      </c>
      <c r="BM31">
        <v>0.44</v>
      </c>
      <c r="BN31">
        <v>14.17255379911731</v>
      </c>
      <c r="BO31">
        <v>34</v>
      </c>
      <c r="BP31">
        <v>4.1538459999999997</v>
      </c>
      <c r="BQ31" s="123" t="s">
        <v>304</v>
      </c>
      <c r="BR31" s="13">
        <v>1</v>
      </c>
      <c r="BS31" s="10">
        <v>0</v>
      </c>
      <c r="BT31" s="10">
        <v>1.6</v>
      </c>
      <c r="BU31" s="10">
        <v>0</v>
      </c>
      <c r="BV31" s="14">
        <v>0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</row>
    <row r="32" spans="1:188" s="10" customFormat="1" ht="16.350000000000001" customHeight="1">
      <c r="A32" s="133" t="s">
        <v>306</v>
      </c>
      <c r="B32" s="224" t="s">
        <v>307</v>
      </c>
      <c r="C32" s="11" t="s">
        <v>308</v>
      </c>
      <c r="D32" s="12" t="s">
        <v>26</v>
      </c>
      <c r="E32" s="10" t="s">
        <v>303</v>
      </c>
      <c r="F32" s="11" t="s">
        <v>309</v>
      </c>
      <c r="G32" s="336">
        <v>0.52569444444444446</v>
      </c>
      <c r="H32" s="62">
        <v>20.27</v>
      </c>
      <c r="I32" s="64">
        <f>H39-H32</f>
        <v>-1.1999999999999993</v>
      </c>
      <c r="J32" s="63">
        <v>22.35</v>
      </c>
      <c r="K32" s="14">
        <f t="shared" si="98"/>
        <v>2.0800000000000018</v>
      </c>
      <c r="L32" s="13">
        <v>69.06</v>
      </c>
      <c r="M32" s="86">
        <v>244.036</v>
      </c>
      <c r="N32" s="15">
        <v>9.1</v>
      </c>
      <c r="O32" s="13">
        <v>14.688000000000001</v>
      </c>
      <c r="P32" s="14">
        <v>17.460999999999999</v>
      </c>
      <c r="Q32" s="15">
        <v>87.55</v>
      </c>
      <c r="R32" s="15">
        <v>12.6</v>
      </c>
      <c r="S32" s="15">
        <v>41.32</v>
      </c>
      <c r="T32" s="15">
        <v>34.18</v>
      </c>
      <c r="U32" s="15">
        <v>1947.8494493783601</v>
      </c>
      <c r="V32" s="15"/>
      <c r="W32" s="13">
        <v>1.1000000000000001</v>
      </c>
      <c r="X32" s="14">
        <f t="shared" si="99"/>
        <v>4.9217002237136468E-3</v>
      </c>
      <c r="Y32" s="13">
        <v>1.1878</v>
      </c>
      <c r="Z32" s="14">
        <f t="shared" si="100"/>
        <v>5.3145413870246081</v>
      </c>
      <c r="AA32" s="13">
        <v>0.1545</v>
      </c>
      <c r="AB32" s="14">
        <f t="shared" si="101"/>
        <v>0.6912751677852349</v>
      </c>
      <c r="AC32" s="13">
        <v>2.1</v>
      </c>
      <c r="AD32" s="10">
        <f t="shared" si="102"/>
        <v>9.3959731543624171E-3</v>
      </c>
      <c r="AE32" s="230">
        <v>5.5100000000000003E-2</v>
      </c>
      <c r="AF32" s="14">
        <f t="shared" si="103"/>
        <v>0.24653243847874723</v>
      </c>
      <c r="AG32" s="13">
        <v>8.1199999999999994E-2</v>
      </c>
      <c r="AH32" s="14">
        <f t="shared" si="104"/>
        <v>0.36331096196868007</v>
      </c>
      <c r="AI32" s="13"/>
      <c r="AJ32" s="13">
        <v>9.8400000000000001E-2</v>
      </c>
      <c r="AK32" s="10">
        <f>(100/J32)*AJ32</f>
        <v>0.44026845637583895</v>
      </c>
      <c r="AL32" s="14">
        <f t="shared" ref="AL32" si="108">(AJ32*1000)/M32</f>
        <v>0.40321919716763105</v>
      </c>
      <c r="AM32" s="13">
        <v>0.11020000000000001</v>
      </c>
      <c r="AN32" s="10">
        <f>(100/J32)*AM32</f>
        <v>0.49306487695749446</v>
      </c>
      <c r="AO32" s="14">
        <f>(AM32*1000)/M32</f>
        <v>0.45157271877919652</v>
      </c>
      <c r="AP32" s="13">
        <v>1.7999999999999999E-2</v>
      </c>
      <c r="AQ32" s="10">
        <f>(100/J32)*AP32</f>
        <v>8.0536912751677847E-2</v>
      </c>
      <c r="AR32" s="14">
        <f>(AP32*1000)/M32</f>
        <v>7.3759609237981277E-2</v>
      </c>
      <c r="AS32" s="13"/>
      <c r="AT32" s="13">
        <f>AJ32+AM32+AP32</f>
        <v>0.2266</v>
      </c>
      <c r="AU32" s="10">
        <f>(100/J32)*AT32</f>
        <v>1.0138702460850111</v>
      </c>
      <c r="AV32" s="14">
        <f t="shared" ref="AV32" si="109">(AT32*1000)/M32</f>
        <v>0.92855152518480877</v>
      </c>
      <c r="AW32" s="13">
        <v>7.7899999999999997E-2</v>
      </c>
      <c r="AX32" s="10">
        <f>(100/J32)*AW32</f>
        <v>0.34854586129753912</v>
      </c>
      <c r="AY32" s="14">
        <f t="shared" ref="AY32" si="110">(AW32*1000)/M32</f>
        <v>0.31921519775770785</v>
      </c>
      <c r="AZ32" s="123"/>
      <c r="BA32" s="13"/>
      <c r="BC32" s="14"/>
      <c r="BD32" s="13"/>
      <c r="BF32" s="14"/>
      <c r="BG32"/>
      <c r="BH32" s="13">
        <v>30.14</v>
      </c>
      <c r="BI32" s="10">
        <v>18.670000000000002</v>
      </c>
      <c r="BJ32" s="10">
        <v>8.75</v>
      </c>
      <c r="BK32" s="10">
        <v>27.33</v>
      </c>
      <c r="BL32" s="14">
        <v>12.67</v>
      </c>
      <c r="BM32">
        <v>7.0000000000000007E-2</v>
      </c>
      <c r="BN32">
        <v>20.504182613751492</v>
      </c>
      <c r="BO32">
        <v>52</v>
      </c>
      <c r="BP32">
        <v>2.3783780000000001</v>
      </c>
      <c r="BQ32" s="134" t="s">
        <v>306</v>
      </c>
      <c r="BR32" s="13">
        <v>1.428571</v>
      </c>
      <c r="BS32" s="10">
        <v>0.33</v>
      </c>
      <c r="BT32" s="10">
        <v>0.75</v>
      </c>
      <c r="BU32" s="10">
        <v>2</v>
      </c>
      <c r="BV32" s="14">
        <v>0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</row>
    <row r="33" spans="1:188" s="10" customFormat="1" ht="16.350000000000001" customHeight="1">
      <c r="A33" s="123" t="s">
        <v>310</v>
      </c>
      <c r="B33" s="12" t="s">
        <v>311</v>
      </c>
      <c r="C33" s="305">
        <v>42897</v>
      </c>
      <c r="D33" s="12" t="s">
        <v>26</v>
      </c>
      <c r="E33" s="10" t="s">
        <v>303</v>
      </c>
      <c r="F33" s="11" t="s">
        <v>291</v>
      </c>
      <c r="G33" s="336">
        <v>0.51388888888888895</v>
      </c>
      <c r="H33" s="12">
        <v>21.13</v>
      </c>
      <c r="I33" s="64">
        <f>H39-H33</f>
        <v>-2.0599999999999987</v>
      </c>
      <c r="J33" s="63">
        <v>23.62</v>
      </c>
      <c r="K33" s="14">
        <f t="shared" si="98"/>
        <v>2.490000000000002</v>
      </c>
      <c r="L33" s="13">
        <v>93.420000000000059</v>
      </c>
      <c r="M33" s="86">
        <v>331.93716478440024</v>
      </c>
      <c r="N33" s="15">
        <v>8.9</v>
      </c>
      <c r="O33" s="13">
        <v>14.648999999999999</v>
      </c>
      <c r="P33" s="14">
        <v>17.001000000000001</v>
      </c>
      <c r="Q33" s="15">
        <v>84.31</v>
      </c>
      <c r="R33" s="15">
        <v>9.9600000000000009</v>
      </c>
      <c r="S33" s="15">
        <v>41.83</v>
      </c>
      <c r="T33" s="15">
        <v>33.17</v>
      </c>
      <c r="U33" s="15">
        <v>5821.0426325197895</v>
      </c>
      <c r="V33" s="15"/>
      <c r="W33" s="13">
        <v>1.3</v>
      </c>
      <c r="X33" s="14">
        <f t="shared" si="99"/>
        <v>5.5038103302286192E-3</v>
      </c>
      <c r="Y33" s="13">
        <v>1.27</v>
      </c>
      <c r="Z33" s="14">
        <f t="shared" si="100"/>
        <v>5.3767993226079591</v>
      </c>
      <c r="AA33" s="13">
        <v>0.1318</v>
      </c>
      <c r="AB33" s="14">
        <f t="shared" si="101"/>
        <v>0.55800169348010153</v>
      </c>
      <c r="AC33" s="13">
        <v>2.2999999999999998</v>
      </c>
      <c r="AD33" s="10">
        <f t="shared" si="102"/>
        <v>9.7375105842506336E-3</v>
      </c>
      <c r="AE33" s="230">
        <v>5.6099999999999997E-2</v>
      </c>
      <c r="AF33" s="14">
        <f t="shared" si="103"/>
        <v>0.23751058425063501</v>
      </c>
      <c r="AG33" s="13">
        <v>7.8700000000000006E-2</v>
      </c>
      <c r="AH33" s="14">
        <f t="shared" si="104"/>
        <v>0.3331922099915326</v>
      </c>
      <c r="AI33" s="13"/>
      <c r="AJ33" s="13">
        <v>0.15890000000000001</v>
      </c>
      <c r="AK33" s="10">
        <f>(100/J33)*AJ33</f>
        <v>0.67273497036409824</v>
      </c>
      <c r="AL33" s="14">
        <f t="shared" ref="AL33" si="111">(AJ33*1000)/M33</f>
        <v>0.47870505884211156</v>
      </c>
      <c r="AM33" s="13">
        <v>0.155</v>
      </c>
      <c r="AN33" s="10">
        <f>(100/J33)*AM33</f>
        <v>0.65622353937341227</v>
      </c>
      <c r="AO33" s="14">
        <f>(AM33*1000)/M33</f>
        <v>0.46695584720281491</v>
      </c>
      <c r="AP33" s="13">
        <v>5.4399999999999997E-2</v>
      </c>
      <c r="AQ33" s="10">
        <f>(100/J33)*AP33</f>
        <v>0.23031329381879759</v>
      </c>
      <c r="AR33" s="14">
        <f>(AP33*1000)/M33</f>
        <v>0.16388643927634278</v>
      </c>
      <c r="AS33" s="13"/>
      <c r="AT33" s="13">
        <f>AJ33+AM33+AP33</f>
        <v>0.36830000000000002</v>
      </c>
      <c r="AU33" s="10">
        <f>(100/J33)*AT33</f>
        <v>1.559271803556308</v>
      </c>
      <c r="AV33" s="14">
        <f t="shared" ref="AV33" si="112">(AT33*1000)/M33</f>
        <v>1.1095473453212694</v>
      </c>
      <c r="AW33" s="13">
        <v>9.7900000000000001E-2</v>
      </c>
      <c r="AX33" s="10">
        <f>(100/J33)*AW33</f>
        <v>0.41447925486875525</v>
      </c>
      <c r="AY33" s="14">
        <f t="shared" ref="AY33" si="113">(AW33*1000)/M33</f>
        <v>0.29493533833003605</v>
      </c>
      <c r="AZ33" s="123"/>
      <c r="BA33" s="13"/>
      <c r="BC33" s="14"/>
      <c r="BD33" s="13"/>
      <c r="BF33" s="14"/>
      <c r="BG33"/>
      <c r="BH33" s="13"/>
      <c r="BL33" s="14"/>
      <c r="BM33" s="13"/>
      <c r="BP33" s="14"/>
      <c r="BQ33" s="123"/>
      <c r="BR33" s="13"/>
      <c r="BV33" s="14"/>
      <c r="BW33" s="10" t="s">
        <v>725</v>
      </c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</row>
    <row r="34" spans="1:188" s="10" customFormat="1" ht="16.350000000000001" customHeight="1">
      <c r="A34" s="123" t="s">
        <v>312</v>
      </c>
      <c r="B34" s="12" t="s">
        <v>313</v>
      </c>
      <c r="C34" s="305">
        <v>43165</v>
      </c>
      <c r="D34" s="12" t="s">
        <v>26</v>
      </c>
      <c r="E34" s="10" t="s">
        <v>303</v>
      </c>
      <c r="F34" s="11" t="s">
        <v>723</v>
      </c>
      <c r="G34" s="164">
        <v>0.59375</v>
      </c>
      <c r="H34" s="63">
        <v>20.99</v>
      </c>
      <c r="I34" s="64">
        <f>H39-H34</f>
        <v>-1.9199999999999982</v>
      </c>
      <c r="J34" s="63">
        <v>22.66</v>
      </c>
      <c r="K34" s="14">
        <f t="shared" si="98"/>
        <v>1.6700000000000017</v>
      </c>
      <c r="L34" s="13">
        <v>76.61</v>
      </c>
      <c r="M34" s="86">
        <v>280.22606026461119</v>
      </c>
      <c r="N34" s="15">
        <v>9</v>
      </c>
      <c r="O34" s="13">
        <v>14.76</v>
      </c>
      <c r="P34" s="14">
        <v>17.524000000000001</v>
      </c>
      <c r="Q34" s="15">
        <v>95.45</v>
      </c>
      <c r="R34" s="15">
        <v>9.09</v>
      </c>
      <c r="S34" s="15">
        <v>48.1</v>
      </c>
      <c r="T34" s="15">
        <v>38.74</v>
      </c>
      <c r="U34" s="15">
        <v>6262.72587579847</v>
      </c>
      <c r="V34" s="15"/>
      <c r="W34" s="13">
        <v>1</v>
      </c>
      <c r="X34" s="14">
        <f t="shared" si="99"/>
        <v>4.4130626654898504E-3</v>
      </c>
      <c r="Y34" s="13">
        <v>1.117</v>
      </c>
      <c r="Z34" s="14">
        <f t="shared" si="100"/>
        <v>4.9293909973521624</v>
      </c>
      <c r="AA34" s="13">
        <v>0.1424</v>
      </c>
      <c r="AB34" s="14">
        <f t="shared" si="101"/>
        <v>0.62842012356575461</v>
      </c>
      <c r="AC34" s="13">
        <v>3.4</v>
      </c>
      <c r="AD34" s="10">
        <f t="shared" si="102"/>
        <v>1.5004413062665489E-2</v>
      </c>
      <c r="AE34" s="230">
        <v>7.5200000000000003E-2</v>
      </c>
      <c r="AF34" s="14">
        <f t="shared" si="103"/>
        <v>0.33186231244483672</v>
      </c>
      <c r="AG34" s="13">
        <v>7.3599999999999999E-2</v>
      </c>
      <c r="AH34" s="14">
        <f t="shared" si="104"/>
        <v>0.32480141218005293</v>
      </c>
      <c r="AI34" s="13"/>
      <c r="AJ34" s="13">
        <v>0.09</v>
      </c>
      <c r="AK34" s="10">
        <f t="shared" ref="AK34" si="114">(100/J34)*AJ34</f>
        <v>0.3971756398940865</v>
      </c>
      <c r="AL34" s="14">
        <f t="shared" ref="AL34" si="115">(AJ34*1000)/M34</f>
        <v>0.32116927281857732</v>
      </c>
      <c r="AM34" s="13">
        <v>8.6400000000000005E-2</v>
      </c>
      <c r="AN34" s="10">
        <f t="shared" ref="AN34" si="116">(100/J34)*AM34</f>
        <v>0.38128861429832306</v>
      </c>
      <c r="AO34" s="14">
        <f t="shared" ref="AO34" si="117">(AM34*1000)/M34</f>
        <v>0.30832250190583427</v>
      </c>
      <c r="AP34" s="13">
        <v>2.0400000000000001E-2</v>
      </c>
      <c r="AQ34" s="10">
        <f t="shared" ref="AQ34" si="118">(100/J34)*AP34</f>
        <v>9.0026478375992938E-2</v>
      </c>
      <c r="AR34" s="14">
        <f t="shared" ref="AR34" si="119">(AP34*1000)/M34</f>
        <v>7.2798368505544206E-2</v>
      </c>
      <c r="AS34" s="13"/>
      <c r="AT34" s="13">
        <f t="shared" ref="AT34" si="120">AJ34+AM34+AP34</f>
        <v>0.1968</v>
      </c>
      <c r="AU34" s="10">
        <f t="shared" ref="AU34" si="121">(100/J34)*AT34</f>
        <v>0.86849073256840248</v>
      </c>
      <c r="AV34" s="14">
        <f t="shared" ref="AV34" si="122">(AT34*1000)/M34</f>
        <v>0.70229014322995575</v>
      </c>
      <c r="AW34" s="13">
        <v>8.6199999999999999E-2</v>
      </c>
      <c r="AX34" s="10">
        <f t="shared" ref="AX34" si="123">(100/J34)*AW34</f>
        <v>0.38040600176522504</v>
      </c>
      <c r="AY34" s="14">
        <f t="shared" ref="AY34" si="124">(AW34*1000)/M34</f>
        <v>0.30760879241068184</v>
      </c>
      <c r="AZ34" s="123"/>
      <c r="BA34" s="13"/>
      <c r="BC34" s="14"/>
      <c r="BD34" s="13"/>
      <c r="BF34" s="14"/>
      <c r="BG34"/>
      <c r="BH34" s="13"/>
      <c r="BL34" s="14"/>
      <c r="BM34" s="13"/>
      <c r="BP34" s="14"/>
      <c r="BQ34" s="123"/>
      <c r="BR34" s="13"/>
      <c r="BV34" s="1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</row>
    <row r="35" spans="1:188" s="10" customFormat="1" ht="16.350000000000001" customHeight="1">
      <c r="A35" s="123" t="s">
        <v>314</v>
      </c>
      <c r="B35" s="62" t="s">
        <v>315</v>
      </c>
      <c r="C35" s="11">
        <v>43253</v>
      </c>
      <c r="D35" s="12" t="s">
        <v>26</v>
      </c>
      <c r="E35" s="10" t="s">
        <v>303</v>
      </c>
      <c r="F35" s="11" t="s">
        <v>724</v>
      </c>
      <c r="G35" s="164">
        <v>0.58333333333333337</v>
      </c>
      <c r="H35" s="63">
        <v>12.99</v>
      </c>
      <c r="I35" s="64">
        <f>H39-H35</f>
        <v>6.08</v>
      </c>
      <c r="J35" s="63">
        <v>22.06</v>
      </c>
      <c r="K35" s="14">
        <f t="shared" ref="K35" si="125">J35-H35</f>
        <v>9.0699999999999985</v>
      </c>
      <c r="L35" s="13">
        <v>70.880000000000024</v>
      </c>
      <c r="M35" s="86">
        <v>259.77769412078487</v>
      </c>
      <c r="N35" s="15">
        <v>8.6</v>
      </c>
      <c r="O35" s="13">
        <v>13.744999999999999</v>
      </c>
      <c r="P35" s="14">
        <v>16.111000000000001</v>
      </c>
      <c r="Q35" s="15">
        <v>109.73</v>
      </c>
      <c r="R35" s="15">
        <v>9.32</v>
      </c>
      <c r="S35" s="15">
        <v>49.2</v>
      </c>
      <c r="T35" s="15">
        <v>52.3</v>
      </c>
      <c r="U35" s="15">
        <v>3648.9815589999998</v>
      </c>
      <c r="V35" s="15"/>
      <c r="W35" s="13">
        <v>1</v>
      </c>
      <c r="X35" s="14">
        <f t="shared" ref="X35" si="126">(100/J35)*(W35/1000)</f>
        <v>4.5330915684496827E-3</v>
      </c>
      <c r="Y35" s="13">
        <v>0.87019999999999997</v>
      </c>
      <c r="Z35" s="14">
        <f t="shared" ref="Z35" si="127">(100/J35)*Y35</f>
        <v>3.9446962828649137</v>
      </c>
      <c r="AA35" s="13">
        <v>0.14299999999999999</v>
      </c>
      <c r="AB35" s="14">
        <f t="shared" ref="AB35" si="128">(100/J35)*AA35</f>
        <v>0.64823209428830453</v>
      </c>
      <c r="AC35" s="13">
        <v>2.8</v>
      </c>
      <c r="AD35" s="10">
        <f t="shared" ref="AD35" si="129">(100/J35)*(AC35/1000)</f>
        <v>1.2692656391659111E-2</v>
      </c>
      <c r="AE35" s="230">
        <v>5.5500000000000001E-2</v>
      </c>
      <c r="AF35" s="14">
        <f t="shared" ref="AF35" si="130">(100/J35)*AE35</f>
        <v>0.2515865820489574</v>
      </c>
      <c r="AG35" s="13">
        <v>5.1700000000000003E-2</v>
      </c>
      <c r="AH35" s="14">
        <f t="shared" ref="AH35" si="131">(100/J35)*AG35</f>
        <v>0.23436083408884861</v>
      </c>
      <c r="AI35" s="13"/>
      <c r="AJ35" s="13">
        <v>9.0300000000000005E-2</v>
      </c>
      <c r="AK35" s="10">
        <f t="shared" ref="AK35" si="132">(100/J35)*AJ35</f>
        <v>0.40933816863100636</v>
      </c>
      <c r="AL35" s="14">
        <f t="shared" ref="AL35" si="133">(AJ35*1000)/M35</f>
        <v>0.34760490235937885</v>
      </c>
      <c r="AM35" s="13">
        <v>0.11119999999999999</v>
      </c>
      <c r="AN35" s="10">
        <f t="shared" ref="AN35" si="134">(100/J35)*AM35</f>
        <v>0.50407978241160467</v>
      </c>
      <c r="AO35" s="14">
        <f t="shared" ref="AO35" si="135">(AM35*1000)/M35</f>
        <v>0.42805830722439558</v>
      </c>
      <c r="AP35" s="13">
        <v>3.04E-2</v>
      </c>
      <c r="AQ35" s="10">
        <f t="shared" ref="AQ35" si="136">(100/J35)*AP35</f>
        <v>0.13780598368087035</v>
      </c>
      <c r="AR35" s="14">
        <f t="shared" ref="AR35" si="137">(AP35*1000)/M35</f>
        <v>0.11702313434911533</v>
      </c>
      <c r="AS35" s="13"/>
      <c r="AT35" s="13">
        <f t="shared" ref="AT35" si="138">AJ35+AM35+AP35</f>
        <v>0.23190000000000002</v>
      </c>
      <c r="AU35" s="10">
        <f t="shared" ref="AU35" si="139">(100/J35)*AT35</f>
        <v>1.0512239347234815</v>
      </c>
      <c r="AV35" s="14">
        <f t="shared" ref="AV35" si="140">(AT35*1000)/M35</f>
        <v>0.89268634393288993</v>
      </c>
      <c r="AW35" s="13">
        <v>0.1174</v>
      </c>
      <c r="AX35" s="10">
        <f t="shared" ref="AX35" si="141">(100/J35)*AW35</f>
        <v>0.53218495013599276</v>
      </c>
      <c r="AY35" s="14">
        <f t="shared" ref="AY35" si="142">(AW35*1000)/M35</f>
        <v>0.45192486751928101</v>
      </c>
      <c r="AZ35" s="123"/>
      <c r="BA35" s="13"/>
      <c r="BC35" s="14"/>
      <c r="BD35" s="13"/>
      <c r="BF35" s="14"/>
      <c r="BG35"/>
      <c r="BH35" s="13"/>
      <c r="BL35" s="14"/>
      <c r="BM35" s="13"/>
      <c r="BP35" s="14"/>
      <c r="BQ35" s="123"/>
      <c r="BR35" s="13"/>
      <c r="BV35" s="14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</row>
    <row r="36" spans="1:188" s="10" customFormat="1" ht="16.350000000000001" customHeight="1">
      <c r="A36" s="123"/>
      <c r="C36" s="89"/>
      <c r="F36" s="89"/>
      <c r="G36" s="164"/>
      <c r="H36" s="63"/>
      <c r="I36" s="64"/>
      <c r="J36" s="63"/>
      <c r="K36" s="14"/>
      <c r="L36" s="13"/>
      <c r="M36" s="186"/>
      <c r="N36" s="15"/>
      <c r="O36" s="13"/>
      <c r="P36" s="14"/>
      <c r="Q36" s="15"/>
      <c r="R36" s="15"/>
      <c r="S36" s="15"/>
      <c r="T36" s="15"/>
      <c r="U36" s="386"/>
      <c r="V36" s="15"/>
      <c r="W36" s="13"/>
      <c r="X36" s="14"/>
      <c r="Y36" s="13"/>
      <c r="Z36" s="14"/>
      <c r="AA36" s="13"/>
      <c r="AB36" s="14"/>
      <c r="AC36" s="13"/>
      <c r="AE36" s="230"/>
      <c r="AF36" s="14"/>
      <c r="AG36" s="13"/>
      <c r="AH36" s="14"/>
      <c r="AI36" s="13"/>
      <c r="AJ36" s="13"/>
      <c r="AL36" s="14"/>
      <c r="AM36" s="13"/>
      <c r="AO36" s="14"/>
      <c r="AP36" s="13"/>
      <c r="AR36" s="14"/>
      <c r="AS36" s="13"/>
      <c r="AT36" s="13"/>
      <c r="AV36" s="14"/>
      <c r="AW36" s="13"/>
      <c r="AY36" s="14"/>
      <c r="AZ36" s="123"/>
      <c r="BA36" s="13"/>
      <c r="BC36" s="14"/>
      <c r="BD36" s="13"/>
      <c r="BF36" s="14"/>
      <c r="BG36"/>
      <c r="BH36" s="13"/>
      <c r="BL36" s="14"/>
      <c r="BM36" s="13"/>
      <c r="BP36" s="14"/>
      <c r="BQ36" s="123"/>
      <c r="BR36" s="13"/>
      <c r="BV36" s="14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</row>
    <row r="37" spans="1:188" s="10" customFormat="1" ht="16.350000000000001" customHeight="1">
      <c r="A37" s="313" t="s">
        <v>317</v>
      </c>
      <c r="B37" s="13" t="s">
        <v>318</v>
      </c>
      <c r="C37" s="142">
        <v>43704</v>
      </c>
      <c r="D37" s="10" t="s">
        <v>26</v>
      </c>
      <c r="E37" s="10" t="s">
        <v>303</v>
      </c>
      <c r="F37" s="89">
        <v>43742</v>
      </c>
      <c r="G37" s="164">
        <v>0.5625</v>
      </c>
      <c r="H37" s="63">
        <v>21.59</v>
      </c>
      <c r="I37" s="64">
        <f>H39-H37</f>
        <v>-2.5199999999999996</v>
      </c>
      <c r="J37" s="63">
        <v>23.81</v>
      </c>
      <c r="K37" s="14">
        <f t="shared" ref="K37:K38" si="143">J37-H37</f>
        <v>2.2199999999999989</v>
      </c>
      <c r="L37" s="13">
        <v>81.510000000000076</v>
      </c>
      <c r="M37" s="86">
        <v>297.7606547087691</v>
      </c>
      <c r="N37" s="15">
        <v>8.9</v>
      </c>
      <c r="O37" s="13">
        <v>14.483000000000001</v>
      </c>
      <c r="P37" s="14">
        <v>17.332999999999998</v>
      </c>
      <c r="Q37" s="15">
        <v>85.92</v>
      </c>
      <c r="R37" s="15">
        <v>10.55</v>
      </c>
      <c r="S37" s="15">
        <v>42.32</v>
      </c>
      <c r="T37" s="15">
        <v>32.840000000000003</v>
      </c>
      <c r="U37" s="15">
        <v>1999.07784357178</v>
      </c>
      <c r="V37" s="15"/>
      <c r="W37" s="13">
        <v>1.9</v>
      </c>
      <c r="X37" s="14">
        <f>(100/J37)*(W37/1000)</f>
        <v>7.9798404031919366E-3</v>
      </c>
      <c r="Y37" s="13">
        <v>1.3841000000000001</v>
      </c>
      <c r="Z37" s="14">
        <f>(100/J37)*Y37</f>
        <v>5.8131037379252417</v>
      </c>
      <c r="AA37" s="13">
        <v>0.14799999999999999</v>
      </c>
      <c r="AB37" s="14">
        <f>(100/J37)*AA37</f>
        <v>0.62158756824863504</v>
      </c>
      <c r="AC37" s="13">
        <v>2.4</v>
      </c>
      <c r="AD37" s="10">
        <f>(100/J37)*(AC37/1000)</f>
        <v>1.0079798404031918E-2</v>
      </c>
      <c r="AE37" s="230">
        <v>6.1199999999999997E-2</v>
      </c>
      <c r="AF37" s="14">
        <f>(100/J37)*AE37</f>
        <v>0.25703485930281395</v>
      </c>
      <c r="AG37" s="13">
        <v>8.5599999999999996E-2</v>
      </c>
      <c r="AH37" s="14">
        <f>(100/J37)*AG37</f>
        <v>0.35951280974380512</v>
      </c>
      <c r="AI37" s="13"/>
      <c r="AJ37" s="13">
        <v>0.1132</v>
      </c>
      <c r="AK37" s="10">
        <f>(100/J37)*AJ37</f>
        <v>0.47543049139017218</v>
      </c>
      <c r="AL37" s="14">
        <f>(AJ37*1000)/M37</f>
        <v>0.38017111465152292</v>
      </c>
      <c r="AM37" s="13">
        <v>0.1474</v>
      </c>
      <c r="AN37" s="10">
        <f>(100/J37)*AM37</f>
        <v>0.61906761864762705</v>
      </c>
      <c r="AO37" s="14">
        <f>(AM37*1000)/M37</f>
        <v>0.49502846554447427</v>
      </c>
      <c r="AP37" s="13">
        <v>2.6800000000000001E-2</v>
      </c>
      <c r="AQ37" s="10">
        <f>(100/J37)*AP37</f>
        <v>0.11255774884502311</v>
      </c>
      <c r="AR37" s="14">
        <f>(AP37*1000)/M37</f>
        <v>9.0005175553540775E-2</v>
      </c>
      <c r="AS37" s="13"/>
      <c r="AT37" s="13">
        <f>AJ37+AM37+AP37</f>
        <v>0.28739999999999999</v>
      </c>
      <c r="AU37" s="10">
        <f>(100/J37)*AT37</f>
        <v>1.2070558588828222</v>
      </c>
      <c r="AV37" s="14">
        <f>(AT37*1000)/M37</f>
        <v>0.9652047557495379</v>
      </c>
      <c r="AW37" s="13">
        <v>0.10290000000000001</v>
      </c>
      <c r="AX37" s="10">
        <f>(100/J37)*AW37</f>
        <v>0.43217135657286854</v>
      </c>
      <c r="AY37" s="14">
        <f>(AW37*1000)/M37</f>
        <v>0.34557957330072187</v>
      </c>
      <c r="AZ37" s="123"/>
      <c r="BA37" s="13"/>
      <c r="BC37" s="14"/>
      <c r="BD37" s="13"/>
      <c r="BF37" s="14"/>
      <c r="BG37"/>
      <c r="BH37" s="13"/>
      <c r="BL37" s="14"/>
      <c r="BM37" s="13"/>
      <c r="BP37" s="14"/>
      <c r="BQ37" s="123"/>
      <c r="BR37" s="13"/>
      <c r="BV37" s="14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</row>
    <row r="38" spans="1:188" s="10" customFormat="1" ht="16.350000000000001" customHeight="1">
      <c r="A38" s="313" t="s">
        <v>320</v>
      </c>
      <c r="B38" s="13" t="s">
        <v>321</v>
      </c>
      <c r="C38" s="142">
        <v>43703</v>
      </c>
      <c r="D38" s="10" t="s">
        <v>26</v>
      </c>
      <c r="E38" s="10" t="s">
        <v>303</v>
      </c>
      <c r="F38" s="89">
        <v>43742</v>
      </c>
      <c r="G38" s="164">
        <v>0.63888888888888895</v>
      </c>
      <c r="H38" s="63">
        <v>19.77</v>
      </c>
      <c r="I38" s="64">
        <f>H39-H38</f>
        <v>-0.69999999999999929</v>
      </c>
      <c r="J38" s="63">
        <v>23.51</v>
      </c>
      <c r="K38" s="14">
        <f t="shared" si="143"/>
        <v>3.740000000000002</v>
      </c>
      <c r="L38" s="13">
        <v>76.070000000000022</v>
      </c>
      <c r="M38" s="86">
        <v>278.36275797206173</v>
      </c>
      <c r="N38" s="15">
        <v>8.1999999999999993</v>
      </c>
      <c r="O38" s="13">
        <v>14.351000000000001</v>
      </c>
      <c r="P38" s="14">
        <v>16.515999999999998</v>
      </c>
      <c r="Q38" s="15">
        <v>90.46</v>
      </c>
      <c r="R38" s="15">
        <v>9.66</v>
      </c>
      <c r="S38" s="13">
        <v>47.63</v>
      </c>
      <c r="T38" s="202">
        <v>33.08</v>
      </c>
      <c r="U38" s="15">
        <v>2128.6949860459999</v>
      </c>
      <c r="V38" s="15"/>
      <c r="W38" s="13">
        <v>0.9</v>
      </c>
      <c r="X38" s="14">
        <f>(100/J38)*(W38/1000)</f>
        <v>3.8281582305401953E-3</v>
      </c>
      <c r="Y38" s="13">
        <v>1.1075999999999999</v>
      </c>
      <c r="Z38" s="14">
        <f>(100/J38)*Y38</f>
        <v>4.7111867290514668</v>
      </c>
      <c r="AA38" s="13">
        <v>0.1241</v>
      </c>
      <c r="AB38" s="14">
        <f>(100/J38)*AA38</f>
        <v>0.52786048490004256</v>
      </c>
      <c r="AC38" s="13">
        <v>2.5</v>
      </c>
      <c r="AD38" s="10">
        <f>(100/J38)*(AC38/1000)</f>
        <v>1.0633772862611655E-2</v>
      </c>
      <c r="AE38" s="230">
        <v>0.06</v>
      </c>
      <c r="AF38" s="14">
        <f>(100/J38)*AE38</f>
        <v>0.25521054870267967</v>
      </c>
      <c r="AG38" s="13">
        <v>8.5699999999999998E-2</v>
      </c>
      <c r="AH38" s="14">
        <f>(100/J38)*AG38</f>
        <v>0.36452573373032748</v>
      </c>
      <c r="AI38" s="13"/>
      <c r="AJ38" s="13">
        <v>6.2E-2</v>
      </c>
      <c r="AK38" s="10">
        <f>(100/J38)*AJ38</f>
        <v>0.26371756699276905</v>
      </c>
      <c r="AL38" s="14">
        <f>(AJ38*1000)/M38</f>
        <v>0.22273094451170339</v>
      </c>
      <c r="AM38" s="13">
        <v>0.1206</v>
      </c>
      <c r="AN38" s="10">
        <f>(100/J38)*AM38</f>
        <v>0.51297320289238624</v>
      </c>
      <c r="AO38" s="14">
        <f>(AM38*1000)/M38</f>
        <v>0.43324761142115203</v>
      </c>
      <c r="AP38" s="13">
        <v>1.6199999999999999E-2</v>
      </c>
      <c r="AQ38" s="10">
        <f>(100/J38)*AP38</f>
        <v>6.8906848149723518E-2</v>
      </c>
      <c r="AR38" s="14">
        <f>(AP38*1000)/M38</f>
        <v>5.8197440340154755E-2</v>
      </c>
      <c r="AS38" s="13"/>
      <c r="AT38" s="13">
        <f>AJ38+AM38+AP38</f>
        <v>0.19879999999999998</v>
      </c>
      <c r="AU38" s="10">
        <f>(100/J38)*AT38</f>
        <v>0.84559761803487865</v>
      </c>
      <c r="AV38" s="14">
        <f>(AT38*1000)/M38</f>
        <v>0.71417599627301009</v>
      </c>
      <c r="AW38" s="13">
        <v>8.4400000000000003E-2</v>
      </c>
      <c r="AX38" s="10">
        <f>(100/J38)*AW38</f>
        <v>0.35899617184176946</v>
      </c>
      <c r="AY38" s="14">
        <f>(AW38*1000)/M38</f>
        <v>0.30320147930302849</v>
      </c>
      <c r="AZ38" s="123"/>
      <c r="BA38" s="13"/>
      <c r="BC38" s="14"/>
      <c r="BD38" s="13"/>
      <c r="BF38" s="14"/>
      <c r="BG38"/>
      <c r="BH38" s="13"/>
      <c r="BL38" s="14"/>
      <c r="BM38" s="13"/>
      <c r="BP38" s="14"/>
      <c r="BQ38" s="123"/>
      <c r="BR38" s="13"/>
      <c r="BV38" s="14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</row>
    <row r="39" spans="1:188" s="10" customFormat="1" ht="16.350000000000001" customHeight="1">
      <c r="A39" s="121"/>
      <c r="B39" s="89"/>
      <c r="C39" s="55"/>
      <c r="F39" s="55" t="s">
        <v>281</v>
      </c>
      <c r="G39" s="333">
        <f t="shared" ref="G39:AY39" si="144">AVERAGE(G30:G38)</f>
        <v>0.57404513888888897</v>
      </c>
      <c r="H39" s="18">
        <f t="shared" si="144"/>
        <v>19.07</v>
      </c>
      <c r="I39" s="19">
        <f t="shared" si="144"/>
        <v>6.6613381477509392E-16</v>
      </c>
      <c r="J39" s="18">
        <f t="shared" si="144"/>
        <v>22.616250000000001</v>
      </c>
      <c r="K39" s="88">
        <f t="shared" si="144"/>
        <v>3.5462500000000006</v>
      </c>
      <c r="L39" s="59">
        <f t="shared" si="144"/>
        <v>77.648749999999993</v>
      </c>
      <c r="M39" s="88">
        <f t="shared" si="144"/>
        <v>280.44677729901355</v>
      </c>
      <c r="N39" s="59">
        <f t="shared" si="144"/>
        <v>8.7624999999999993</v>
      </c>
      <c r="O39" s="59">
        <f t="shared" si="144"/>
        <v>14.384250000000002</v>
      </c>
      <c r="P39" s="88">
        <f t="shared" si="144"/>
        <v>16.931125000000002</v>
      </c>
      <c r="Q39" s="58">
        <f t="shared" si="144"/>
        <v>93.433750000000003</v>
      </c>
      <c r="R39" s="58">
        <f t="shared" si="144"/>
        <v>10.764999999999999</v>
      </c>
      <c r="S39" s="58">
        <f t="shared" si="144"/>
        <v>45.66375</v>
      </c>
      <c r="T39" s="58">
        <f t="shared" si="144"/>
        <v>37.437500000000007</v>
      </c>
      <c r="U39" s="59">
        <f t="shared" si="144"/>
        <v>3082.330509335914</v>
      </c>
      <c r="V39" s="59" t="e">
        <f t="shared" si="144"/>
        <v>#DIV/0!</v>
      </c>
      <c r="W39" s="59">
        <f t="shared" si="144"/>
        <v>1.175</v>
      </c>
      <c r="X39" s="88">
        <f t="shared" si="144"/>
        <v>5.1789518653874572E-3</v>
      </c>
      <c r="Y39" s="59">
        <f t="shared" si="144"/>
        <v>1.15195</v>
      </c>
      <c r="Z39" s="55">
        <f t="shared" si="144"/>
        <v>5.0880375077537803</v>
      </c>
      <c r="AA39" s="59">
        <f t="shared" si="144"/>
        <v>0.13867500000000002</v>
      </c>
      <c r="AB39" s="88">
        <f t="shared" si="144"/>
        <v>0.61416467883721892</v>
      </c>
      <c r="AC39" s="59">
        <f t="shared" si="144"/>
        <v>2.6249999999999996</v>
      </c>
      <c r="AD39" s="55">
        <f t="shared" si="144"/>
        <v>1.1649030446793805E-2</v>
      </c>
      <c r="AE39" s="274">
        <f t="shared" si="144"/>
        <v>5.5987499999999996E-2</v>
      </c>
      <c r="AF39" s="88">
        <f t="shared" si="144"/>
        <v>0.2468805208985127</v>
      </c>
      <c r="AG39" s="59">
        <f t="shared" si="144"/>
        <v>7.7237500000000001E-2</v>
      </c>
      <c r="AH39" s="88">
        <f t="shared" si="144"/>
        <v>0.34147805045948509</v>
      </c>
      <c r="AI39" s="59" t="e">
        <f t="shared" si="144"/>
        <v>#DIV/0!</v>
      </c>
      <c r="AJ39" s="59">
        <f t="shared" si="144"/>
        <v>0.10013749999999999</v>
      </c>
      <c r="AK39" s="55">
        <f t="shared" si="144"/>
        <v>0.4419910094476226</v>
      </c>
      <c r="AL39" s="88">
        <f t="shared" si="144"/>
        <v>0.35453389999208768</v>
      </c>
      <c r="AM39" s="59">
        <f t="shared" si="144"/>
        <v>0.11788750000000001</v>
      </c>
      <c r="AN39" s="55">
        <f t="shared" si="144"/>
        <v>0.51960853143047514</v>
      </c>
      <c r="AO39" s="88">
        <f t="shared" si="144"/>
        <v>0.41973714166022064</v>
      </c>
      <c r="AP39" s="59">
        <f t="shared" si="144"/>
        <v>2.6662499999999999E-2</v>
      </c>
      <c r="AQ39" s="55">
        <f t="shared" si="144"/>
        <v>0.117488229091101</v>
      </c>
      <c r="AR39" s="88">
        <f t="shared" si="144"/>
        <v>9.3490947531432042E-2</v>
      </c>
      <c r="AS39" s="59" t="e">
        <f t="shared" si="144"/>
        <v>#DIV/0!</v>
      </c>
      <c r="AT39" s="59">
        <f t="shared" si="144"/>
        <v>0.2446875</v>
      </c>
      <c r="AU39" s="55">
        <f t="shared" si="144"/>
        <v>1.0790877699691988</v>
      </c>
      <c r="AV39" s="88">
        <f t="shared" si="144"/>
        <v>0.86776198918374026</v>
      </c>
      <c r="AW39" s="59">
        <f t="shared" si="144"/>
        <v>9.8100000000000007E-2</v>
      </c>
      <c r="AX39" s="55">
        <f t="shared" si="144"/>
        <v>0.43541893626825712</v>
      </c>
      <c r="AY39" s="88">
        <f t="shared" si="144"/>
        <v>0.35191726711490201</v>
      </c>
      <c r="AZ39" s="121"/>
      <c r="BA39" s="59" t="e">
        <f t="shared" ref="BA39:BF39" si="145">AVERAGE(BA30:BA38)</f>
        <v>#DIV/0!</v>
      </c>
      <c r="BB39" s="55" t="e">
        <f t="shared" si="145"/>
        <v>#DIV/0!</v>
      </c>
      <c r="BC39" s="88" t="e">
        <f t="shared" si="145"/>
        <v>#DIV/0!</v>
      </c>
      <c r="BD39" s="59" t="e">
        <f t="shared" si="145"/>
        <v>#DIV/0!</v>
      </c>
      <c r="BE39" s="55" t="e">
        <f t="shared" si="145"/>
        <v>#DIV/0!</v>
      </c>
      <c r="BF39" s="88" t="e">
        <f t="shared" si="145"/>
        <v>#DIV/0!</v>
      </c>
      <c r="BG39"/>
      <c r="BH39" s="59">
        <f t="shared" ref="BH39:BP39" si="146">AVERAGE(BH30:BH38)</f>
        <v>30.09</v>
      </c>
      <c r="BI39" s="55">
        <f t="shared" si="146"/>
        <v>20.723333333333333</v>
      </c>
      <c r="BJ39" s="55">
        <f t="shared" si="146"/>
        <v>11.516666666666666</v>
      </c>
      <c r="BK39" s="55">
        <f t="shared" si="146"/>
        <v>19.803333333333331</v>
      </c>
      <c r="BL39" s="88">
        <f t="shared" si="146"/>
        <v>10.780000000000001</v>
      </c>
      <c r="BM39" s="59">
        <f t="shared" si="146"/>
        <v>0.25666666666666665</v>
      </c>
      <c r="BN39" s="55">
        <f t="shared" si="146"/>
        <v>18.522978920258424</v>
      </c>
      <c r="BO39" s="55">
        <f t="shared" si="146"/>
        <v>49</v>
      </c>
      <c r="BP39" s="88">
        <f t="shared" si="146"/>
        <v>3.4274079999999998</v>
      </c>
      <c r="BQ39" s="121"/>
      <c r="BR39" s="59">
        <f>AVERAGE(BR30:BR38)</f>
        <v>1.392857</v>
      </c>
      <c r="BS39" s="55">
        <f>AVERAGE(BS30:BS38)</f>
        <v>0.36000000000000004</v>
      </c>
      <c r="BT39" s="55">
        <f>AVERAGE(BT30:BT38)</f>
        <v>0.95000000000000007</v>
      </c>
      <c r="BU39" s="55">
        <f>AVERAGE(BU30:BU38)</f>
        <v>1</v>
      </c>
      <c r="BV39" s="88">
        <f>AVERAGE(BV30:BV38)</f>
        <v>0.41666666666666669</v>
      </c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</row>
    <row r="40" spans="1:188" s="10" customFormat="1" ht="16.350000000000001" customHeight="1">
      <c r="A40" s="121"/>
      <c r="B40" s="122"/>
      <c r="C40" s="55"/>
      <c r="F40" s="55" t="s">
        <v>45</v>
      </c>
      <c r="G40" s="88">
        <f>(STDEV(G30:G38)/(SQRT(COUNT(G30:G38))))</f>
        <v>1.4609256002000531E-2</v>
      </c>
      <c r="H40" s="18">
        <f>STDEV(H30:H38)/SQRT(COUNT(H30:H38))</f>
        <v>1.0377534113926745</v>
      </c>
      <c r="I40" s="19">
        <f>STDEV(I30:I38)/SQRT(COUNT(I30:I38))</f>
        <v>1.0377534113926787</v>
      </c>
      <c r="J40" s="18">
        <f>STDEV(J30:J38)/SQRT(COUNT(J30:J38))</f>
        <v>0.33584082911403146</v>
      </c>
      <c r="K40" s="88">
        <f t="shared" ref="K40:AY40" si="147">(STDEV(K30:K38)/(SQRT(COUNT(K30:K38))))</f>
        <v>0.88920497697180434</v>
      </c>
      <c r="L40" s="59">
        <f t="shared" si="147"/>
        <v>2.641286508435404</v>
      </c>
      <c r="M40" s="88">
        <f t="shared" si="147"/>
        <v>9.3712857694015135</v>
      </c>
      <c r="N40" s="59">
        <f t="shared" si="147"/>
        <v>0.10680004681646922</v>
      </c>
      <c r="O40" s="59">
        <f t="shared" si="147"/>
        <v>0.11974135071656986</v>
      </c>
      <c r="P40" s="88">
        <f t="shared" si="147"/>
        <v>0.17485089949317217</v>
      </c>
      <c r="Q40" s="58">
        <f t="shared" si="147"/>
        <v>3.2305444794846228</v>
      </c>
      <c r="R40" s="58">
        <f t="shared" si="147"/>
        <v>0.60667418885970026</v>
      </c>
      <c r="S40" s="58">
        <f t="shared" si="147"/>
        <v>1.4818628930938826</v>
      </c>
      <c r="T40" s="58">
        <f t="shared" si="147"/>
        <v>2.3896643144413003</v>
      </c>
      <c r="U40" s="59">
        <f t="shared" si="147"/>
        <v>692.87803886593247</v>
      </c>
      <c r="V40" s="59" t="e">
        <f t="shared" si="147"/>
        <v>#DIV/0!</v>
      </c>
      <c r="W40" s="59">
        <f t="shared" si="147"/>
        <v>0.11140338543201589</v>
      </c>
      <c r="X40" s="88">
        <f t="shared" si="147"/>
        <v>4.4021726343378039E-4</v>
      </c>
      <c r="Y40" s="59">
        <f t="shared" si="147"/>
        <v>5.521383108295505E-2</v>
      </c>
      <c r="Z40" s="55">
        <f t="shared" si="147"/>
        <v>0.21488039826471514</v>
      </c>
      <c r="AA40" s="59">
        <f t="shared" si="147"/>
        <v>3.6468552989429893E-3</v>
      </c>
      <c r="AB40" s="88">
        <f t="shared" si="147"/>
        <v>1.8587640217737511E-2</v>
      </c>
      <c r="AC40" s="59">
        <f t="shared" si="147"/>
        <v>0.15555201243130468</v>
      </c>
      <c r="AD40" s="55">
        <f t="shared" si="147"/>
        <v>7.6916683532352644E-4</v>
      </c>
      <c r="AE40" s="274">
        <f t="shared" si="147"/>
        <v>3.773139915432322E-3</v>
      </c>
      <c r="AF40" s="88">
        <f t="shared" si="147"/>
        <v>1.5074659225685648E-2</v>
      </c>
      <c r="AG40" s="59">
        <f t="shared" si="147"/>
        <v>3.8931229430882292E-3</v>
      </c>
      <c r="AH40" s="88">
        <f t="shared" si="147"/>
        <v>1.6666200157022953E-2</v>
      </c>
      <c r="AI40" s="59" t="e">
        <f t="shared" si="147"/>
        <v>#DIV/0!</v>
      </c>
      <c r="AJ40" s="335">
        <f t="shared" si="147"/>
        <v>9.8063379195731191E-3</v>
      </c>
      <c r="AK40" s="55">
        <f t="shared" si="147"/>
        <v>4.0040552371603887E-2</v>
      </c>
      <c r="AL40" s="88">
        <f t="shared" si="147"/>
        <v>2.5826083114488519E-2</v>
      </c>
      <c r="AM40" s="59">
        <f t="shared" si="147"/>
        <v>8.6268980830721681E-3</v>
      </c>
      <c r="AN40" s="55">
        <f t="shared" si="147"/>
        <v>3.3406746327390616E-2</v>
      </c>
      <c r="AO40" s="88">
        <f t="shared" si="147"/>
        <v>2.470011029519787E-2</v>
      </c>
      <c r="AP40" s="59">
        <f t="shared" si="147"/>
        <v>4.394758952434138E-3</v>
      </c>
      <c r="AQ40" s="55">
        <f t="shared" si="147"/>
        <v>1.8429388786419938E-2</v>
      </c>
      <c r="AR40" s="88">
        <f t="shared" si="147"/>
        <v>1.2428630724022918E-2</v>
      </c>
      <c r="AS40" s="59" t="e">
        <f t="shared" si="147"/>
        <v>#DIV/0!</v>
      </c>
      <c r="AT40" s="59">
        <f t="shared" si="147"/>
        <v>2.0478825628124885E-2</v>
      </c>
      <c r="AU40" s="55">
        <f t="shared" si="147"/>
        <v>8.1161995913826751E-2</v>
      </c>
      <c r="AV40" s="88">
        <f t="shared" si="147"/>
        <v>5.0948475283091967E-2</v>
      </c>
      <c r="AW40" s="59">
        <f t="shared" si="147"/>
        <v>5.0188217171534665E-3</v>
      </c>
      <c r="AX40" s="55">
        <f t="shared" si="147"/>
        <v>2.6019726579928501E-2</v>
      </c>
      <c r="AY40" s="88">
        <f t="shared" si="147"/>
        <v>2.0840545268808835E-2</v>
      </c>
      <c r="AZ40" s="121"/>
      <c r="BA40" s="59" t="e">
        <f t="shared" ref="BA40:BF40" si="148">(STDEV(BA30:BA38)/(SQRT(COUNT(BA30:BA38))))</f>
        <v>#DIV/0!</v>
      </c>
      <c r="BB40" s="55" t="e">
        <f t="shared" si="148"/>
        <v>#DIV/0!</v>
      </c>
      <c r="BC40" s="88" t="e">
        <f t="shared" si="148"/>
        <v>#DIV/0!</v>
      </c>
      <c r="BD40" s="59" t="e">
        <f t="shared" si="148"/>
        <v>#DIV/0!</v>
      </c>
      <c r="BE40" s="55" t="e">
        <f t="shared" si="148"/>
        <v>#DIV/0!</v>
      </c>
      <c r="BF40" s="88" t="e">
        <f t="shared" si="148"/>
        <v>#DIV/0!</v>
      </c>
      <c r="BG40"/>
      <c r="BH40" s="59">
        <f t="shared" ref="BH40:BP40" si="149">(STDEV(BH30:BH38)/(SQRT(COUNT(BH30:BH38))))</f>
        <v>3.1379983004032015</v>
      </c>
      <c r="BI40" s="55">
        <f t="shared" si="149"/>
        <v>1.3431472162218272</v>
      </c>
      <c r="BJ40" s="55">
        <f t="shared" si="149"/>
        <v>1.5221512554422605</v>
      </c>
      <c r="BK40" s="55">
        <f t="shared" si="149"/>
        <v>5.8290117325133073</v>
      </c>
      <c r="BL40" s="88">
        <f t="shared" si="149"/>
        <v>2.057206844242935</v>
      </c>
      <c r="BM40" s="59">
        <f t="shared" si="149"/>
        <v>0.10682280239308045</v>
      </c>
      <c r="BN40" s="55">
        <f t="shared" si="149"/>
        <v>2.1780946177409528</v>
      </c>
      <c r="BO40" s="55">
        <f t="shared" si="149"/>
        <v>7.9372539331937721</v>
      </c>
      <c r="BP40" s="88">
        <f t="shared" si="149"/>
        <v>0.53731457378460723</v>
      </c>
      <c r="BQ40" s="121"/>
      <c r="BR40" s="59">
        <f>(STDEV(BR30:BR38)/(SQRT(COUNT(BR30:BR38))))</f>
        <v>0.21724150719648411</v>
      </c>
      <c r="BS40" s="55">
        <f>(STDEV(BS30:BS38)/(SQRT(COUNT(BS30:BS38))))</f>
        <v>0.21702534414210706</v>
      </c>
      <c r="BT40" s="55">
        <f>(STDEV(BT30:BT38)/(SQRT(COUNT(BT30:BT38))))</f>
        <v>0.33291640592396982</v>
      </c>
      <c r="BU40" s="55">
        <f>(STDEV(BU30:BU38)/(SQRT(COUNT(BU30:BU38))))</f>
        <v>0.57735026918962584</v>
      </c>
      <c r="BV40" s="88">
        <f>(STDEV(BV30:BV38)/(SQRT(COUNT(BV30:BV38))))</f>
        <v>0.41666666666666669</v>
      </c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</row>
    <row r="41" spans="1:188" s="10" customFormat="1" ht="16.350000000000001" customHeight="1">
      <c r="A41" s="37"/>
      <c r="B41" s="34"/>
      <c r="C41" s="34"/>
      <c r="D41" s="34"/>
      <c r="E41" s="34"/>
      <c r="F41" s="34" t="s">
        <v>300</v>
      </c>
      <c r="G41" s="69">
        <f>(100/G14)*G39</f>
        <v>90.962861072902342</v>
      </c>
      <c r="H41" s="69">
        <f>(100/H14)*H39</f>
        <v>99.026353368817368</v>
      </c>
      <c r="I41" s="69"/>
      <c r="J41" s="68">
        <f t="shared" ref="J41:AH41" si="150">(100/J14)*J39</f>
        <v>97.985377741673446</v>
      </c>
      <c r="K41" s="69">
        <f t="shared" si="150"/>
        <v>92.742726381170328</v>
      </c>
      <c r="L41" s="68">
        <f t="shared" si="150"/>
        <v>87.87522987692742</v>
      </c>
      <c r="M41" s="69">
        <f t="shared" si="150"/>
        <v>86.857260587869391</v>
      </c>
      <c r="N41" s="68">
        <f t="shared" si="150"/>
        <v>96.823204419889507</v>
      </c>
      <c r="O41" s="68">
        <f t="shared" si="150"/>
        <v>97.504639083537398</v>
      </c>
      <c r="P41" s="69">
        <f t="shared" si="150"/>
        <v>98.975528129133153</v>
      </c>
      <c r="Q41" s="68">
        <f t="shared" si="150"/>
        <v>113.60935053881113</v>
      </c>
      <c r="R41" s="68">
        <f t="shared" si="150"/>
        <v>93.649412788168746</v>
      </c>
      <c r="S41" s="68">
        <f t="shared" si="150"/>
        <v>114.01685393258428</v>
      </c>
      <c r="T41" s="68">
        <f t="shared" si="150"/>
        <v>120.11229195909365</v>
      </c>
      <c r="U41" s="68">
        <f t="shared" si="150"/>
        <v>118.52845477667998</v>
      </c>
      <c r="V41" s="68" t="e">
        <f t="shared" si="150"/>
        <v>#DIV/0!</v>
      </c>
      <c r="W41" s="68">
        <f t="shared" si="150"/>
        <v>82.25</v>
      </c>
      <c r="X41" s="69">
        <f t="shared" si="150"/>
        <v>83.486099693277211</v>
      </c>
      <c r="Y41" s="68">
        <f t="shared" si="150"/>
        <v>103.20976593123532</v>
      </c>
      <c r="Z41" s="69">
        <f t="shared" si="150"/>
        <v>105.13388901452244</v>
      </c>
      <c r="AA41" s="68">
        <f t="shared" si="150"/>
        <v>95.778295778295785</v>
      </c>
      <c r="AB41" s="69">
        <f t="shared" si="150"/>
        <v>97.335532778422476</v>
      </c>
      <c r="AC41" s="68">
        <f t="shared" si="150"/>
        <v>92.105263157894726</v>
      </c>
      <c r="AD41" s="69">
        <f t="shared" si="150"/>
        <v>92.932944777760383</v>
      </c>
      <c r="AE41" s="210">
        <f t="shared" si="150"/>
        <v>85.346798780487788</v>
      </c>
      <c r="AF41" s="69">
        <f t="shared" si="150"/>
        <v>86.794425544272002</v>
      </c>
      <c r="AG41" s="68">
        <f t="shared" si="150"/>
        <v>93.437169212157869</v>
      </c>
      <c r="AH41" s="70">
        <f t="shared" si="150"/>
        <v>94.809375398243134</v>
      </c>
      <c r="AI41" s="68" t="e">
        <f>(100/#REF!)*AI39</f>
        <v>#REF!</v>
      </c>
      <c r="AJ41" s="68">
        <f t="shared" ref="AJ41:AR41" si="151">(100/AJ14)*AJ39</f>
        <v>127.78752592119955</v>
      </c>
      <c r="AK41" s="69">
        <f t="shared" si="151"/>
        <v>129.70186469351438</v>
      </c>
      <c r="AL41" s="69">
        <f t="shared" si="151"/>
        <v>143.75534078162053</v>
      </c>
      <c r="AM41" s="68">
        <f t="shared" si="151"/>
        <v>103.58045030203186</v>
      </c>
      <c r="AN41" s="69">
        <f t="shared" si="151"/>
        <v>105.93057742863735</v>
      </c>
      <c r="AO41" s="69">
        <f t="shared" si="151"/>
        <v>117.68624967624653</v>
      </c>
      <c r="AP41" s="68">
        <f t="shared" si="151"/>
        <v>131.99257425742573</v>
      </c>
      <c r="AQ41" s="69">
        <f t="shared" si="151"/>
        <v>134.98179104007355</v>
      </c>
      <c r="AR41" s="69">
        <f t="shared" si="151"/>
        <v>146.2080800156514</v>
      </c>
      <c r="AS41" s="68" t="e">
        <f>(100/#REF!)*AS39</f>
        <v>#REF!</v>
      </c>
      <c r="AT41" s="68">
        <f t="shared" ref="AT41:AY41" si="152">(100/AT14)*AT39</f>
        <v>115.21483225426719</v>
      </c>
      <c r="AU41" s="69">
        <f t="shared" si="152"/>
        <v>117.5051090784762</v>
      </c>
      <c r="AV41" s="69">
        <f t="shared" si="152"/>
        <v>130.05544761100168</v>
      </c>
      <c r="AW41" s="68">
        <f t="shared" si="152"/>
        <v>104.38946528332005</v>
      </c>
      <c r="AX41" s="69">
        <f t="shared" si="152"/>
        <v>106.49934047079175</v>
      </c>
      <c r="AY41" s="69">
        <f t="shared" si="152"/>
        <v>119.59671247342554</v>
      </c>
      <c r="AZ41" s="37"/>
      <c r="BA41" s="68" t="e">
        <f>(100/#REF!)*BA39</f>
        <v>#REF!</v>
      </c>
      <c r="BB41" s="69" t="e">
        <f>(100/#REF!)*BB39</f>
        <v>#REF!</v>
      </c>
      <c r="BC41" s="70" t="e">
        <f>(100/#REF!)*BC39</f>
        <v>#REF!</v>
      </c>
      <c r="BD41" s="68" t="e">
        <f>(100/#REF!)*BD39</f>
        <v>#REF!</v>
      </c>
      <c r="BE41" s="69" t="e">
        <f>(100/#REF!)*BE39</f>
        <v>#REF!</v>
      </c>
      <c r="BF41" s="70" t="e">
        <f>(100/#REF!)*BF39</f>
        <v>#REF!</v>
      </c>
      <c r="BG41"/>
      <c r="BH41" s="68">
        <f t="shared" ref="BH41:BP41" si="153">(100/BH14)*BH39</f>
        <v>163.14250835884417</v>
      </c>
      <c r="BI41" s="69">
        <f t="shared" si="153"/>
        <v>168.20887445887445</v>
      </c>
      <c r="BJ41" s="69">
        <f t="shared" si="153"/>
        <v>149.95659722222223</v>
      </c>
      <c r="BK41" s="69">
        <f t="shared" si="153"/>
        <v>164.11600396508246</v>
      </c>
      <c r="BL41" s="69">
        <f t="shared" si="153"/>
        <v>212.7631019044469</v>
      </c>
      <c r="BM41" s="68">
        <f t="shared" si="153"/>
        <v>200.52083333333331</v>
      </c>
      <c r="BN41" s="69">
        <f t="shared" si="153"/>
        <v>142.37048268837185</v>
      </c>
      <c r="BO41" s="69">
        <f t="shared" si="153"/>
        <v>129.62962962962962</v>
      </c>
      <c r="BP41" s="70">
        <f t="shared" si="153"/>
        <v>86.579759389969027</v>
      </c>
      <c r="BQ41" s="37"/>
      <c r="BR41" s="68">
        <f>(100/BR14)*BR39</f>
        <v>151.0067208684309</v>
      </c>
      <c r="BS41" s="69">
        <f>(100/BS14)*BS39</f>
        <v>50.279329608938554</v>
      </c>
      <c r="BT41" s="69">
        <f>(100/BT14)*BT39</f>
        <v>211.11111111111114</v>
      </c>
      <c r="BU41" s="69">
        <f>(100/BU14)*BU39</f>
        <v>250</v>
      </c>
      <c r="BV41" s="69">
        <f>(100/BV14)*BV39</f>
        <v>208.33333333333334</v>
      </c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</row>
    <row r="42" spans="1:188" s="10" customFormat="1" ht="16.350000000000001" customHeight="1"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BA42" s="62"/>
      <c r="BB42" s="62"/>
      <c r="BC42" s="62"/>
      <c r="BD42" s="62"/>
      <c r="BE42" s="62"/>
      <c r="BF42" s="6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</row>
    <row r="43" spans="1:188" ht="12" customHeight="1">
      <c r="A43" s="62"/>
      <c r="B43" s="62"/>
      <c r="D43" s="62"/>
      <c r="E43" s="62"/>
      <c r="F43" s="62"/>
      <c r="G43" s="136"/>
      <c r="H43" s="136"/>
      <c r="I43" s="136"/>
      <c r="J43" s="136"/>
      <c r="K43" s="136"/>
      <c r="L43" s="136"/>
      <c r="M43" s="136"/>
      <c r="N43" s="10"/>
      <c r="O43" s="10"/>
      <c r="P43" s="10"/>
      <c r="Q43" s="136"/>
      <c r="R43" s="136"/>
      <c r="S43" s="136"/>
      <c r="T43" s="136"/>
      <c r="U43" s="136"/>
      <c r="V43" s="136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36"/>
      <c r="AJ43" s="10"/>
      <c r="AK43" s="10"/>
      <c r="AL43" s="10"/>
      <c r="AM43" s="10"/>
      <c r="AN43" s="10"/>
      <c r="AO43" s="10"/>
      <c r="AP43" s="10"/>
      <c r="AQ43" s="10"/>
      <c r="AR43" s="10"/>
      <c r="AS43" s="136"/>
      <c r="AT43" s="10"/>
      <c r="AU43" s="10"/>
      <c r="AV43" s="10"/>
      <c r="AW43" s="10"/>
      <c r="AX43" s="10"/>
      <c r="AY43" s="10"/>
      <c r="AZ43" s="136"/>
      <c r="BA43" s="136"/>
      <c r="BB43" s="136"/>
      <c r="BC43" s="136"/>
      <c r="BD43" s="136"/>
      <c r="BE43" s="136"/>
      <c r="BF43" s="114" t="s">
        <v>726</v>
      </c>
      <c r="BG43" s="114" t="s">
        <v>727</v>
      </c>
      <c r="BH43" s="114">
        <v>0.99519999999999997</v>
      </c>
      <c r="BI43" s="114">
        <v>0.99219999999999997</v>
      </c>
      <c r="BJ43" s="114">
        <v>0.78879999999999995</v>
      </c>
      <c r="BK43" s="114">
        <v>0.97089999999999999</v>
      </c>
      <c r="BL43" s="114">
        <v>0.96250000000000002</v>
      </c>
      <c r="BM43" s="114"/>
      <c r="BN43" s="114">
        <v>0.98740000000000006</v>
      </c>
      <c r="BO43" s="114">
        <v>0.64300000000000002</v>
      </c>
      <c r="BP43" s="114">
        <v>0.74350000000000005</v>
      </c>
      <c r="BQ43" s="114"/>
      <c r="BR43" s="114">
        <v>0.504</v>
      </c>
      <c r="BS43" s="114">
        <v>0.71779999999999999</v>
      </c>
      <c r="BT43" s="114">
        <v>0.25740000000000002</v>
      </c>
      <c r="BU43" s="114">
        <v>0.99109999999999998</v>
      </c>
      <c r="BV43" s="114">
        <v>0.99590000000000001</v>
      </c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</row>
    <row r="44" spans="1:188" ht="12" customHeight="1">
      <c r="A44" s="62"/>
      <c r="B44" s="62"/>
      <c r="D44" s="62"/>
      <c r="E44" s="62"/>
      <c r="F44" s="62"/>
      <c r="G44" s="136"/>
      <c r="H44" s="136"/>
      <c r="I44" s="136"/>
      <c r="J44" s="136"/>
      <c r="K44" s="136"/>
      <c r="L44" s="136"/>
      <c r="M44" s="136"/>
      <c r="N44" s="10"/>
      <c r="O44" s="10"/>
      <c r="P44" s="10"/>
      <c r="Q44" s="136"/>
      <c r="R44" s="136"/>
      <c r="S44" s="136"/>
      <c r="T44" s="136"/>
      <c r="U44" s="136"/>
      <c r="V44" s="136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36"/>
      <c r="AJ44" s="10"/>
      <c r="AK44" s="10"/>
      <c r="AL44" s="10"/>
      <c r="AM44" s="10"/>
      <c r="AN44" s="10"/>
      <c r="AO44" s="10"/>
      <c r="AP44" s="10"/>
      <c r="AQ44" s="10"/>
      <c r="AR44" s="10"/>
      <c r="AS44" s="136"/>
      <c r="AT44" s="10"/>
      <c r="AU44" s="10"/>
      <c r="AV44" s="10"/>
      <c r="AW44" s="10"/>
      <c r="AX44" s="10"/>
      <c r="AY44" s="10"/>
      <c r="AZ44" s="136"/>
      <c r="BA44" s="136"/>
      <c r="BB44" s="136"/>
      <c r="BC44" s="136"/>
      <c r="BD44" s="136"/>
      <c r="BE44" s="136"/>
      <c r="BF44" s="114"/>
      <c r="BG44" s="114" t="s">
        <v>728</v>
      </c>
      <c r="BH44" s="282">
        <v>4.3299999999999998E-2</v>
      </c>
      <c r="BI44" s="114">
        <v>9.2799999999999994E-2</v>
      </c>
      <c r="BJ44" s="114">
        <v>0.2908</v>
      </c>
      <c r="BK44" s="114">
        <v>0.1079</v>
      </c>
      <c r="BL44" s="283">
        <v>5.0500000000000003E-2</v>
      </c>
      <c r="BM44" s="114"/>
      <c r="BN44" s="283">
        <v>9.7100000000000006E-2</v>
      </c>
      <c r="BO44" s="114">
        <v>0.32090000000000002</v>
      </c>
      <c r="BP44" s="114">
        <v>0.95579999999999998</v>
      </c>
      <c r="BQ44" s="114"/>
      <c r="BR44" s="114">
        <v>0.2278</v>
      </c>
      <c r="BS44" s="114">
        <v>0.50160000000000005</v>
      </c>
      <c r="BT44" s="283">
        <v>9.5299999999999996E-2</v>
      </c>
      <c r="BU44" s="114">
        <v>0.22320000000000001</v>
      </c>
      <c r="BV44" s="114">
        <v>0.68240000000000001</v>
      </c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</row>
    <row r="45" spans="1:188" ht="12" customHeight="1">
      <c r="A45" s="62"/>
      <c r="B45" s="62"/>
      <c r="D45" s="62"/>
      <c r="E45" s="62"/>
      <c r="F45" s="62"/>
      <c r="G45" s="136"/>
      <c r="H45" s="136"/>
      <c r="I45" s="136"/>
      <c r="J45" s="136"/>
      <c r="K45" s="136"/>
      <c r="L45" s="136"/>
      <c r="M45" s="136"/>
      <c r="N45" s="10"/>
      <c r="O45" s="10"/>
      <c r="P45" s="10"/>
      <c r="Q45" s="136"/>
      <c r="R45" s="136"/>
      <c r="S45" s="136"/>
      <c r="T45" s="136"/>
      <c r="U45" s="136"/>
      <c r="V45" s="136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36"/>
      <c r="AJ45" s="10"/>
      <c r="AK45" s="10"/>
      <c r="AL45" s="10"/>
      <c r="AM45" s="10"/>
      <c r="AN45" s="10"/>
      <c r="AO45" s="10"/>
      <c r="AP45" s="10"/>
      <c r="AQ45" s="10"/>
      <c r="AR45" s="10"/>
      <c r="AS45" s="136"/>
      <c r="AT45" s="10"/>
      <c r="AU45" s="10"/>
      <c r="AV45" s="10"/>
      <c r="AW45" s="10"/>
      <c r="AX45" s="10"/>
      <c r="AY45" s="10"/>
      <c r="AZ45" s="136"/>
      <c r="BA45" s="136"/>
      <c r="BB45" s="136"/>
      <c r="BC45" s="136"/>
      <c r="BD45" s="136"/>
      <c r="BE45" s="136"/>
      <c r="BF45" s="114"/>
      <c r="BG45" s="114" t="s">
        <v>729</v>
      </c>
      <c r="BH45" s="114">
        <v>8.8900000000000007E-2</v>
      </c>
      <c r="BI45" s="114">
        <v>0.1177</v>
      </c>
      <c r="BJ45" s="114">
        <v>0.71279999999999999</v>
      </c>
      <c r="BK45" s="114">
        <v>0.1114</v>
      </c>
      <c r="BL45" s="114">
        <v>0.13400000000000001</v>
      </c>
      <c r="BM45" s="114"/>
      <c r="BN45" s="114">
        <v>0.18890000000000001</v>
      </c>
      <c r="BO45" s="114">
        <v>0.86699999999999999</v>
      </c>
      <c r="BP45" s="114">
        <v>0.63549999999999995</v>
      </c>
      <c r="BQ45" s="114"/>
      <c r="BR45" s="282">
        <v>4.8300000000000003E-2</v>
      </c>
      <c r="BS45" s="114">
        <v>0.94589999999999996</v>
      </c>
      <c r="BT45" s="282">
        <v>4.8999999999999998E-3</v>
      </c>
      <c r="BU45" s="114">
        <v>0.34889999999999999</v>
      </c>
      <c r="BV45" s="114">
        <v>0.78049999999999997</v>
      </c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</row>
    <row r="46" spans="1:188" s="77" customFormat="1" ht="15.75">
      <c r="A46" s="12"/>
      <c r="B46" s="12"/>
      <c r="C46" s="12"/>
      <c r="D46" s="12"/>
      <c r="E46" s="12"/>
      <c r="H46" s="10"/>
      <c r="L46" s="10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 s="114" t="s">
        <v>730</v>
      </c>
      <c r="BG46" s="114" t="s">
        <v>727</v>
      </c>
      <c r="BH46" s="114">
        <v>0.98909999999999998</v>
      </c>
      <c r="BI46" s="114">
        <v>0.98229999999999995</v>
      </c>
      <c r="BJ46" s="114">
        <v>0.58350000000000002</v>
      </c>
      <c r="BK46" s="114">
        <v>0.93500000000000005</v>
      </c>
      <c r="BL46" s="114">
        <v>0.91690000000000005</v>
      </c>
      <c r="BM46" s="114"/>
      <c r="BN46" s="114">
        <v>0.9718</v>
      </c>
      <c r="BO46" s="114">
        <v>0.36919999999999997</v>
      </c>
      <c r="BP46" s="114">
        <v>0.35160000000000002</v>
      </c>
      <c r="BQ46" s="114"/>
      <c r="BR46" s="114">
        <v>0.20979999999999999</v>
      </c>
      <c r="BS46" s="114">
        <v>0.4708</v>
      </c>
      <c r="BT46" s="282">
        <v>2.8899999999999999E-2</v>
      </c>
      <c r="BU46" s="114">
        <v>0.97989999999999999</v>
      </c>
      <c r="BV46" s="114">
        <v>0.99080000000000001</v>
      </c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</row>
    <row r="47" spans="1:188" s="10" customFormat="1" ht="16.350000000000001" customHeight="1">
      <c r="H47" s="62"/>
      <c r="I47" s="62"/>
      <c r="J47" s="62"/>
      <c r="K47" s="62"/>
      <c r="L47" s="62"/>
      <c r="M47" s="62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 s="114"/>
      <c r="BG47" s="114" t="s">
        <v>728</v>
      </c>
      <c r="BH47" s="282">
        <v>8.0000000000000004E-4</v>
      </c>
      <c r="BI47" s="282">
        <v>4.7000000000000002E-3</v>
      </c>
      <c r="BJ47" s="283">
        <v>6.1199999999999997E-2</v>
      </c>
      <c r="BK47" s="282">
        <v>6.6E-3</v>
      </c>
      <c r="BL47" s="282">
        <v>1.1999999999999999E-3</v>
      </c>
      <c r="BM47" s="114"/>
      <c r="BN47" s="282">
        <v>5.3E-3</v>
      </c>
      <c r="BO47" s="283">
        <v>7.7499999999999999E-2</v>
      </c>
      <c r="BP47" s="114">
        <v>0.85140000000000005</v>
      </c>
      <c r="BQ47" s="114"/>
      <c r="BR47" s="282">
        <v>3.4700000000000002E-2</v>
      </c>
      <c r="BS47" s="114">
        <v>0.2094</v>
      </c>
      <c r="BT47" s="282">
        <v>3.3E-3</v>
      </c>
      <c r="BU47" s="282">
        <v>3.3099999999999997E-2</v>
      </c>
      <c r="BV47" s="114">
        <v>0.42330000000000001</v>
      </c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</row>
    <row r="48" spans="1:188" customFormat="1" ht="16.350000000000001" customHeight="1">
      <c r="A48" s="120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BF48" s="114"/>
      <c r="BG48" s="114" t="s">
        <v>729</v>
      </c>
      <c r="BH48" s="282">
        <v>4.3E-3</v>
      </c>
      <c r="BI48" s="282">
        <v>8.0000000000000002E-3</v>
      </c>
      <c r="BJ48" s="114">
        <v>0.46389999999999998</v>
      </c>
      <c r="BK48" s="282">
        <v>7.1000000000000004E-3</v>
      </c>
      <c r="BL48" s="282">
        <v>1.0699999999999999E-2</v>
      </c>
      <c r="BM48" s="114"/>
      <c r="BN48" s="282">
        <v>2.3599999999999999E-2</v>
      </c>
      <c r="BO48" s="114">
        <v>0.72440000000000004</v>
      </c>
      <c r="BP48" s="114">
        <v>0.20399999999999999</v>
      </c>
      <c r="BQ48" s="114"/>
      <c r="BR48" s="282">
        <v>1E-3</v>
      </c>
      <c r="BS48" s="114">
        <v>0.88129999999999997</v>
      </c>
      <c r="BT48" s="282" t="s">
        <v>327</v>
      </c>
      <c r="BU48" s="283">
        <v>9.11E-2</v>
      </c>
      <c r="BV48" s="114">
        <v>0.57230000000000003</v>
      </c>
    </row>
    <row r="49" spans="1:176" customFormat="1" ht="16.350000000000001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AI49" s="12"/>
    </row>
    <row r="50" spans="1:176" customFormat="1" ht="16.350000000000001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1:176" customFormat="1" ht="16.350000000000001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1:176" customFormat="1" ht="16.350000000000001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FT52" s="12"/>
    </row>
    <row r="53" spans="1:176" ht="16.350000000000001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176" ht="16.350000000000001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176" ht="16.350000000000001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176" ht="16.350000000000001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176" ht="16.350000000000001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176" ht="16.350000000000001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/>
      <c r="O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176" customFormat="1" ht="16.350000000000001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1:176" customFormat="1" ht="16.350000000000001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1:176" customFormat="1" ht="16.350000000000001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1:176" customFormat="1" ht="16.350000000000001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76" customFormat="1" ht="16.350000000000001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76" customFormat="1" ht="16.350000000000001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1:45" customFormat="1" ht="16.350000000000001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45" customFormat="1" ht="16.350000000000001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1:45" customFormat="1" ht="16.350000000000001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1:45" customFormat="1" ht="16.350000000000001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1:45" customFormat="1" ht="16.350000000000001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</row>
  </sheetData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g
Prolonged Patterned Feeding with High Fat Diet (Male SD Rats)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5841-D656-4046-8D3A-E70873988C6C}">
  <dimension ref="A1:FX67"/>
  <sheetViews>
    <sheetView topLeftCell="BE29" zoomScaleNormal="100" workbookViewId="0">
      <selection activeCell="AK81" sqref="AK81"/>
    </sheetView>
  </sheetViews>
  <sheetFormatPr defaultColWidth="12.5" defaultRowHeight="16.350000000000001" customHeight="1"/>
  <cols>
    <col min="1" max="1" width="9.5" style="12" customWidth="1"/>
    <col min="2" max="2" width="10.125" style="12" bestFit="1" customWidth="1"/>
    <col min="3" max="30" width="9.5" style="12" customWidth="1"/>
    <col min="31" max="31" width="13.625" style="12" customWidth="1"/>
    <col min="32" max="32" width="15" style="12" customWidth="1"/>
    <col min="33" max="45" width="9.5" style="12" customWidth="1"/>
    <col min="46" max="79" width="9.5" customWidth="1"/>
    <col min="80" max="170" width="11" customWidth="1"/>
    <col min="171" max="16384" width="12.5" style="12"/>
  </cols>
  <sheetData>
    <row r="1" spans="1:180" s="3" customFormat="1" ht="16.350000000000001" customHeight="1">
      <c r="A1" s="1" t="s">
        <v>661</v>
      </c>
      <c r="B1" s="1" t="s">
        <v>1</v>
      </c>
      <c r="C1" s="1" t="s">
        <v>2</v>
      </c>
      <c r="D1" s="1" t="s">
        <v>3</v>
      </c>
      <c r="E1" s="1"/>
      <c r="F1" s="1"/>
      <c r="O1" s="129" t="s">
        <v>416</v>
      </c>
      <c r="P1" s="77" t="s">
        <v>417</v>
      </c>
      <c r="Q1" s="77"/>
      <c r="R1" s="77" t="s">
        <v>418</v>
      </c>
      <c r="S1" s="77" t="s">
        <v>419</v>
      </c>
      <c r="T1" s="77" t="s">
        <v>420</v>
      </c>
      <c r="U1" s="77">
        <v>239.00573600000001</v>
      </c>
      <c r="V1" s="77"/>
      <c r="W1" s="77">
        <f>(15.21*U1)/1000</f>
        <v>3.6352772445600001</v>
      </c>
      <c r="X1" s="77" t="s">
        <v>421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</row>
    <row r="2" spans="1:180" s="3" customFormat="1" ht="16.350000000000001" customHeight="1">
      <c r="P2" s="12"/>
      <c r="AL2" s="3" t="s">
        <v>662</v>
      </c>
      <c r="AO2" s="3" t="s">
        <v>662</v>
      </c>
      <c r="AR2" s="3" t="s">
        <v>662</v>
      </c>
      <c r="AV2" s="3" t="s">
        <v>662</v>
      </c>
      <c r="AW2"/>
      <c r="AY2" s="3" t="s">
        <v>662</v>
      </c>
      <c r="AZ2"/>
      <c r="BA2"/>
      <c r="BB2"/>
      <c r="BC2"/>
      <c r="BD2"/>
      <c r="BE2"/>
      <c r="BF2"/>
      <c r="BG2"/>
      <c r="BH2" s="3" t="s">
        <v>663</v>
      </c>
      <c r="BI2"/>
      <c r="BJ2"/>
      <c r="BK2"/>
      <c r="BL2"/>
      <c r="BM2" s="3" t="s">
        <v>664</v>
      </c>
      <c r="BN2"/>
      <c r="BO2"/>
      <c r="BP2"/>
      <c r="BQ2"/>
      <c r="BR2" s="3" t="s">
        <v>731</v>
      </c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</row>
    <row r="3" spans="1:180" s="57" customFormat="1" ht="16.350000000000001" customHeight="1">
      <c r="A3" s="7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5" t="s">
        <v>666</v>
      </c>
      <c r="H3" s="4" t="s">
        <v>195</v>
      </c>
      <c r="I3" s="5" t="s">
        <v>196</v>
      </c>
      <c r="J3" s="4" t="s">
        <v>667</v>
      </c>
      <c r="K3" s="53" t="s">
        <v>668</v>
      </c>
      <c r="L3" s="4" t="s">
        <v>669</v>
      </c>
      <c r="M3" s="6" t="s">
        <v>670</v>
      </c>
      <c r="N3" s="128" t="s">
        <v>671</v>
      </c>
      <c r="O3" s="4" t="s">
        <v>672</v>
      </c>
      <c r="P3" s="6" t="s">
        <v>673</v>
      </c>
      <c r="Q3" s="7" t="s">
        <v>674</v>
      </c>
      <c r="R3" s="7" t="s">
        <v>675</v>
      </c>
      <c r="S3" s="7" t="s">
        <v>676</v>
      </c>
      <c r="T3" s="7" t="s">
        <v>677</v>
      </c>
      <c r="U3" s="7" t="s">
        <v>678</v>
      </c>
      <c r="V3" s="7" t="s">
        <v>679</v>
      </c>
      <c r="W3" s="4" t="s">
        <v>680</v>
      </c>
      <c r="X3" s="6" t="s">
        <v>681</v>
      </c>
      <c r="Y3" s="127" t="s">
        <v>682</v>
      </c>
      <c r="Z3" s="53" t="s">
        <v>683</v>
      </c>
      <c r="AA3" s="127" t="s">
        <v>684</v>
      </c>
      <c r="AB3" s="53" t="s">
        <v>685</v>
      </c>
      <c r="AC3" s="127" t="s">
        <v>686</v>
      </c>
      <c r="AD3" s="53" t="s">
        <v>687</v>
      </c>
      <c r="AE3" s="127" t="s">
        <v>688</v>
      </c>
      <c r="AF3" s="53" t="s">
        <v>689</v>
      </c>
      <c r="AG3" s="127" t="s">
        <v>690</v>
      </c>
      <c r="AH3" s="53" t="s">
        <v>691</v>
      </c>
      <c r="AI3" s="127" t="s">
        <v>692</v>
      </c>
      <c r="AJ3" s="127" t="s">
        <v>693</v>
      </c>
      <c r="AK3" s="8" t="s">
        <v>694</v>
      </c>
      <c r="AL3" s="53" t="s">
        <v>695</v>
      </c>
      <c r="AM3" s="127" t="s">
        <v>696</v>
      </c>
      <c r="AN3" s="8" t="s">
        <v>697</v>
      </c>
      <c r="AO3" s="53" t="s">
        <v>698</v>
      </c>
      <c r="AP3" s="127" t="s">
        <v>699</v>
      </c>
      <c r="AQ3" s="8" t="s">
        <v>700</v>
      </c>
      <c r="AR3" s="53" t="s">
        <v>701</v>
      </c>
      <c r="AS3" s="127" t="s">
        <v>702</v>
      </c>
      <c r="AT3" s="127" t="s">
        <v>703</v>
      </c>
      <c r="AU3" s="8" t="s">
        <v>704</v>
      </c>
      <c r="AV3" s="53" t="s">
        <v>705</v>
      </c>
      <c r="AW3" s="127" t="s">
        <v>706</v>
      </c>
      <c r="AX3" s="8" t="s">
        <v>707</v>
      </c>
      <c r="AY3" s="53" t="s">
        <v>708</v>
      </c>
      <c r="AZ3" s="7" t="s">
        <v>191</v>
      </c>
      <c r="BA3" s="4" t="s">
        <v>709</v>
      </c>
      <c r="BB3" s="5" t="s">
        <v>710</v>
      </c>
      <c r="BC3" s="6" t="s">
        <v>711</v>
      </c>
      <c r="BD3" s="4" t="s">
        <v>712</v>
      </c>
      <c r="BE3" s="5" t="s">
        <v>713</v>
      </c>
      <c r="BF3" s="6"/>
      <c r="BG3"/>
      <c r="BH3" s="4" t="s">
        <v>714</v>
      </c>
      <c r="BI3" s="5" t="s">
        <v>732</v>
      </c>
      <c r="BJ3" s="5" t="s">
        <v>716</v>
      </c>
      <c r="BK3" s="5" t="s">
        <v>717</v>
      </c>
      <c r="BL3" s="6" t="s">
        <v>718</v>
      </c>
      <c r="BM3" s="4" t="s">
        <v>733</v>
      </c>
      <c r="BN3" s="5" t="s">
        <v>720</v>
      </c>
      <c r="BO3" s="5" t="s">
        <v>721</v>
      </c>
      <c r="BP3" s="6" t="s">
        <v>722</v>
      </c>
      <c r="BQ3" s="7" t="s">
        <v>191</v>
      </c>
      <c r="BR3" s="4" t="s">
        <v>714</v>
      </c>
      <c r="BS3" s="5" t="s">
        <v>732</v>
      </c>
      <c r="BT3" s="5" t="s">
        <v>716</v>
      </c>
      <c r="BU3" s="5" t="s">
        <v>717</v>
      </c>
      <c r="BV3" s="6" t="s">
        <v>718</v>
      </c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</row>
    <row r="4" spans="1:180" s="10" customFormat="1" ht="16.350000000000001" customHeight="1">
      <c r="A4" s="185" t="s">
        <v>355</v>
      </c>
      <c r="B4" s="10" t="s">
        <v>356</v>
      </c>
      <c r="C4" s="184">
        <v>42548</v>
      </c>
      <c r="D4" s="10" t="s">
        <v>22</v>
      </c>
      <c r="E4" s="10" t="s">
        <v>262</v>
      </c>
      <c r="F4" s="89">
        <v>43258</v>
      </c>
      <c r="G4" s="164">
        <v>0.55208333333333337</v>
      </c>
      <c r="H4" s="63">
        <v>18.18</v>
      </c>
      <c r="I4" s="64">
        <f>H13-H4</f>
        <v>0.21111111111111214</v>
      </c>
      <c r="J4" s="63">
        <v>22.07</v>
      </c>
      <c r="K4" s="14">
        <f>J4-H4</f>
        <v>3.8900000000000006</v>
      </c>
      <c r="L4" s="13">
        <v>95.93</v>
      </c>
      <c r="M4" s="186">
        <v>351.18601619999998</v>
      </c>
      <c r="N4" s="15">
        <v>9</v>
      </c>
      <c r="O4" s="13">
        <v>14.744</v>
      </c>
      <c r="P4" s="14">
        <v>17.189</v>
      </c>
      <c r="Q4" s="15">
        <v>82.88</v>
      </c>
      <c r="R4" s="15">
        <v>9.0399999999999991</v>
      </c>
      <c r="S4" s="15">
        <v>49.57</v>
      </c>
      <c r="T4" s="15">
        <v>24.84</v>
      </c>
      <c r="U4" s="15">
        <v>1845.45872628915</v>
      </c>
      <c r="V4" s="15"/>
      <c r="W4" s="13">
        <v>1.2</v>
      </c>
      <c r="X4" s="14">
        <f>(100/J4)*(W4/1000)</f>
        <v>5.4372451291345714E-3</v>
      </c>
      <c r="Y4" s="13">
        <v>1.151</v>
      </c>
      <c r="Z4" s="14">
        <f>(100/J4)*Y4</f>
        <v>5.2152242863615772</v>
      </c>
      <c r="AA4" s="13">
        <v>0.14299999999999999</v>
      </c>
      <c r="AB4" s="14">
        <f>(100/J4)*AA4</f>
        <v>0.64793837788853648</v>
      </c>
      <c r="AC4" s="13">
        <v>3</v>
      </c>
      <c r="AD4" s="14">
        <f>(100/J4)*(AC4/1000)</f>
        <v>1.359311282283643E-2</v>
      </c>
      <c r="AE4" s="13">
        <v>6.9599999999999995E-2</v>
      </c>
      <c r="AF4" s="14">
        <f>(1000/J4)*AE4</f>
        <v>3.1536021748980514</v>
      </c>
      <c r="AG4" s="13">
        <v>7.8100000000000003E-2</v>
      </c>
      <c r="AH4" s="14">
        <f>(100/J4)*AG4</f>
        <v>0.35387403715450838</v>
      </c>
      <c r="AI4" s="13"/>
      <c r="AJ4" s="13">
        <v>8.6900000000000005E-2</v>
      </c>
      <c r="AK4" s="10">
        <f>(100/J4)*AJ4</f>
        <v>0.39374716810149529</v>
      </c>
      <c r="AL4" s="14">
        <f>(AJ4*1000)/M4</f>
        <v>0.24744721028558997</v>
      </c>
      <c r="AM4" s="13">
        <v>8.4599999999999995E-2</v>
      </c>
      <c r="AN4" s="10">
        <f>(100/J4)*AM4</f>
        <v>0.38332578160398728</v>
      </c>
      <c r="AO4" s="14">
        <f>(AM4*1000)/M4</f>
        <v>0.24089797457032117</v>
      </c>
      <c r="AP4" s="13">
        <v>1.9E-2</v>
      </c>
      <c r="AQ4" s="10">
        <f>(100/J4)*AP4</f>
        <v>8.6089714544630713E-2</v>
      </c>
      <c r="AR4" s="14">
        <f>(AP4*1000)/M4</f>
        <v>5.4102381995698612E-2</v>
      </c>
      <c r="AS4" s="13"/>
      <c r="AT4" s="13">
        <f>AJ4+AM4+AP4</f>
        <v>0.19049999999999997</v>
      </c>
      <c r="AU4" s="10">
        <f>(100/J4)*AT4</f>
        <v>0.86316266425011312</v>
      </c>
      <c r="AV4" s="14">
        <f>(AT4*1000)/M4</f>
        <v>0.54244756685160966</v>
      </c>
      <c r="AW4" s="13">
        <v>0.1158</v>
      </c>
      <c r="AX4" s="10">
        <f>(100/J4)*AW4</f>
        <v>0.52469415496148619</v>
      </c>
      <c r="AY4" s="14">
        <f>(AW4*1000)/M4</f>
        <v>0.32973978079483679</v>
      </c>
      <c r="AZ4" s="123"/>
      <c r="BA4" s="13"/>
      <c r="BC4" s="14"/>
      <c r="BD4" s="13"/>
      <c r="BF4" s="14"/>
      <c r="BG4"/>
      <c r="BH4" s="13">
        <v>5</v>
      </c>
      <c r="BI4" s="10">
        <v>2.5</v>
      </c>
      <c r="BJ4" s="10">
        <v>3</v>
      </c>
      <c r="BK4" s="10">
        <v>4.6666699999999999</v>
      </c>
      <c r="BL4" s="14">
        <v>0.33333000000000002</v>
      </c>
      <c r="BM4" s="13">
        <v>0.15</v>
      </c>
      <c r="BN4">
        <v>13.195877832573899</v>
      </c>
      <c r="BO4">
        <v>35</v>
      </c>
      <c r="BP4">
        <v>2.9444439999999998</v>
      </c>
      <c r="BQ4" s="185" t="s">
        <v>355</v>
      </c>
      <c r="BR4" s="13">
        <v>0.375</v>
      </c>
      <c r="BS4" s="10">
        <v>0.5</v>
      </c>
      <c r="BT4" s="10">
        <v>0.2</v>
      </c>
      <c r="BU4" s="10">
        <v>0</v>
      </c>
      <c r="BV4" s="14">
        <v>0</v>
      </c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</row>
    <row r="5" spans="1:180" s="10" customFormat="1" ht="16.350000000000001" customHeight="1">
      <c r="A5" s="121" t="s">
        <v>357</v>
      </c>
      <c r="B5" s="182" t="s">
        <v>358</v>
      </c>
      <c r="C5" s="184">
        <v>42548</v>
      </c>
      <c r="D5" s="10" t="s">
        <v>22</v>
      </c>
      <c r="E5" s="10" t="s">
        <v>262</v>
      </c>
      <c r="F5" s="89">
        <v>43258</v>
      </c>
      <c r="G5" s="164">
        <v>0.71388888888888891</v>
      </c>
      <c r="H5" s="63">
        <v>17.29</v>
      </c>
      <c r="I5" s="64">
        <f>H13-H5</f>
        <v>1.1011111111111127</v>
      </c>
      <c r="J5" s="63">
        <v>21.73</v>
      </c>
      <c r="K5" s="14">
        <f>J5-H5</f>
        <v>4.4400000000000013</v>
      </c>
      <c r="L5" s="13">
        <v>109.7</v>
      </c>
      <c r="M5" s="186">
        <v>403.1435826</v>
      </c>
      <c r="N5" s="15">
        <v>8.6</v>
      </c>
      <c r="O5" s="13">
        <v>14.342000000000001</v>
      </c>
      <c r="P5" s="14">
        <v>17.186</v>
      </c>
      <c r="Q5" s="15">
        <v>84.62</v>
      </c>
      <c r="R5" s="15">
        <v>12.61</v>
      </c>
      <c r="S5" s="15">
        <v>44.43</v>
      </c>
      <c r="T5" s="15">
        <v>27.73</v>
      </c>
      <c r="U5" s="15">
        <v>1615.05195877812</v>
      </c>
      <c r="V5" s="15"/>
      <c r="W5" s="13">
        <v>1.3</v>
      </c>
      <c r="X5" s="14">
        <f>(100/J5)*(W5/1000)</f>
        <v>5.9825126553152324E-3</v>
      </c>
      <c r="Y5" s="13">
        <v>0.95589999999999997</v>
      </c>
      <c r="Z5" s="14">
        <f>(100/J5)*Y5</f>
        <v>4.3989875747814082</v>
      </c>
      <c r="AA5" s="13">
        <v>0.1502</v>
      </c>
      <c r="AB5" s="14">
        <f>(100/J5)*AA5</f>
        <v>0.69121030832949837</v>
      </c>
      <c r="AC5" s="13">
        <v>3</v>
      </c>
      <c r="AD5" s="14">
        <f>(100/J5)*(AC5/1000)</f>
        <v>1.3805798435342844E-2</v>
      </c>
      <c r="AE5" s="13">
        <v>7.6700000000000004E-2</v>
      </c>
      <c r="AF5" s="14">
        <f>(1000/J5)*AE5</f>
        <v>3.5296824666359874</v>
      </c>
      <c r="AG5" s="13">
        <v>9.01E-2</v>
      </c>
      <c r="AH5" s="14">
        <f>(100/J5)*AG5</f>
        <v>0.41463414634146339</v>
      </c>
      <c r="AI5" s="13"/>
      <c r="AJ5" s="13">
        <v>7.1999999999999995E-2</v>
      </c>
      <c r="AK5" s="10">
        <f t="shared" ref="AK5:AK12" si="0">(100/J5)*AJ5</f>
        <v>0.33133916244822825</v>
      </c>
      <c r="AL5" s="14">
        <f t="shared" ref="AL5:AL12" si="1">(AJ5*1000)/M5</f>
        <v>0.1785964185158283</v>
      </c>
      <c r="AM5" s="13">
        <v>0.1118</v>
      </c>
      <c r="AN5" s="10">
        <f t="shared" ref="AN5:AN12" si="2">(100/J5)*AM5</f>
        <v>0.51449608835710992</v>
      </c>
      <c r="AO5" s="14">
        <f t="shared" ref="AO5:AO12" si="3">(AM5*1000)/M5</f>
        <v>0.27732054986207783</v>
      </c>
      <c r="AP5" s="13">
        <v>2.1600000000000001E-2</v>
      </c>
      <c r="AQ5" s="10">
        <f t="shared" ref="AQ5:AQ12" si="4">(100/J5)*AP5</f>
        <v>9.9401748734468484E-2</v>
      </c>
      <c r="AR5" s="14">
        <f t="shared" ref="AR5:AR12" si="5">(AP5*1000)/M5</f>
        <v>5.3578925554748497E-2</v>
      </c>
      <c r="AS5" s="13"/>
      <c r="AT5" s="13">
        <f t="shared" ref="AT5:AT12" si="6">AJ5+AM5+AP5</f>
        <v>0.2054</v>
      </c>
      <c r="AU5" s="10">
        <f t="shared" ref="AU5:AU12" si="7">(100/J5)*AT5</f>
        <v>0.94523699953980667</v>
      </c>
      <c r="AV5" s="14">
        <f t="shared" ref="AV5:AV12" si="8">(AT5*1000)/M5</f>
        <v>0.50949589393265471</v>
      </c>
      <c r="AW5" s="13">
        <v>8.9099999999999999E-2</v>
      </c>
      <c r="AX5" s="10">
        <f t="shared" ref="AX5:AX12" si="9">(100/J5)*AW5</f>
        <v>0.41003221352968244</v>
      </c>
      <c r="AY5" s="14">
        <f t="shared" ref="AY5:AY12" si="10">(AW5*1000)/M5</f>
        <v>0.22101306791333752</v>
      </c>
      <c r="AZ5" s="123"/>
      <c r="BA5" s="13"/>
      <c r="BC5" s="14"/>
      <c r="BD5" s="13"/>
      <c r="BF5" s="14"/>
      <c r="BG5"/>
      <c r="BH5" s="13">
        <v>13.857139999999999</v>
      </c>
      <c r="BI5" s="10">
        <v>13</v>
      </c>
      <c r="BJ5" s="10">
        <v>4.3</v>
      </c>
      <c r="BK5" s="10">
        <v>11</v>
      </c>
      <c r="BL5" s="14">
        <v>2.6666699999999999</v>
      </c>
      <c r="BM5" s="13">
        <v>0.1</v>
      </c>
      <c r="BN5">
        <v>11.303117606704733</v>
      </c>
      <c r="BO5">
        <v>25</v>
      </c>
      <c r="BP5">
        <v>2.25</v>
      </c>
      <c r="BQ5" s="121" t="s">
        <v>357</v>
      </c>
      <c r="BR5" s="13">
        <v>0.57142899999999996</v>
      </c>
      <c r="BS5" s="10">
        <v>0.67</v>
      </c>
      <c r="BT5" s="10">
        <v>0.25</v>
      </c>
      <c r="BU5" s="10">
        <v>0.33333000000000002</v>
      </c>
      <c r="BV5" s="14">
        <v>0</v>
      </c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</row>
    <row r="6" spans="1:180" s="10" customFormat="1" ht="16.350000000000001" customHeight="1">
      <c r="A6" s="121" t="s">
        <v>359</v>
      </c>
      <c r="B6" s="182" t="s">
        <v>360</v>
      </c>
      <c r="C6" s="183">
        <v>42550</v>
      </c>
      <c r="D6" s="10" t="s">
        <v>22</v>
      </c>
      <c r="E6" s="10" t="s">
        <v>262</v>
      </c>
      <c r="F6" s="89">
        <v>43258</v>
      </c>
      <c r="G6" s="164">
        <v>0.76388888888888884</v>
      </c>
      <c r="H6" s="63">
        <v>20.309999999999999</v>
      </c>
      <c r="I6" s="64">
        <f>H13-H6</f>
        <v>-1.9188888888888869</v>
      </c>
      <c r="J6" s="63">
        <v>20.74</v>
      </c>
      <c r="K6" s="14">
        <f>J6-H6</f>
        <v>0.42999999999999972</v>
      </c>
      <c r="L6" s="13">
        <v>87.69</v>
      </c>
      <c r="M6" s="186">
        <v>324.48196899999999</v>
      </c>
      <c r="N6" s="15">
        <v>8.9</v>
      </c>
      <c r="O6" s="13">
        <v>14.618</v>
      </c>
      <c r="P6" s="14">
        <v>16.852</v>
      </c>
      <c r="Q6" s="15">
        <v>81.62</v>
      </c>
      <c r="R6" s="15">
        <v>15.82</v>
      </c>
      <c r="S6" s="15">
        <v>38.53</v>
      </c>
      <c r="T6" s="15">
        <v>27.24</v>
      </c>
      <c r="U6" s="15">
        <v>3181.9215943000499</v>
      </c>
      <c r="V6" s="15"/>
      <c r="W6" s="13">
        <v>1.1000000000000001</v>
      </c>
      <c r="X6" s="14">
        <f>(100/J6)*(W6/1000)</f>
        <v>5.3037608486017369E-3</v>
      </c>
      <c r="Y6" s="13">
        <v>0.93130000000000002</v>
      </c>
      <c r="Z6" s="14">
        <f>(100/J6)*Y6</f>
        <v>4.4903567984570882</v>
      </c>
      <c r="AA6" s="13">
        <v>0.1467</v>
      </c>
      <c r="AB6" s="14">
        <f>(100/J6)*AA6</f>
        <v>0.70732883317261341</v>
      </c>
      <c r="AC6" s="13">
        <v>2.5</v>
      </c>
      <c r="AD6" s="14">
        <f>(100/J6)*(AC6/1000)</f>
        <v>1.205400192864031E-2</v>
      </c>
      <c r="AE6" s="13">
        <v>5.2900000000000003E-2</v>
      </c>
      <c r="AF6" s="14">
        <f>(1000/J6)*AE6</f>
        <v>2.5506268081002896</v>
      </c>
      <c r="AG6" s="13">
        <v>8.4599999999999995E-2</v>
      </c>
      <c r="AH6" s="14">
        <f>(100/J6)*AG6</f>
        <v>0.40790742526518808</v>
      </c>
      <c r="AI6" s="13"/>
      <c r="AJ6" s="13">
        <v>0.1077</v>
      </c>
      <c r="AK6" s="10">
        <f t="shared" si="0"/>
        <v>0.51928640308582452</v>
      </c>
      <c r="AL6" s="14">
        <f t="shared" si="1"/>
        <v>0.33191366636461705</v>
      </c>
      <c r="AM6" s="13">
        <v>0.1191</v>
      </c>
      <c r="AN6" s="10">
        <f t="shared" si="2"/>
        <v>0.5742526518804244</v>
      </c>
      <c r="AO6" s="14">
        <f t="shared" si="3"/>
        <v>0.36704658926672129</v>
      </c>
      <c r="AP6" s="13">
        <v>2.6499999999999999E-2</v>
      </c>
      <c r="AQ6" s="10">
        <f t="shared" si="4"/>
        <v>0.12777242044358728</v>
      </c>
      <c r="AR6" s="14">
        <f t="shared" si="5"/>
        <v>8.1668636570681075E-2</v>
      </c>
      <c r="AS6" s="13"/>
      <c r="AT6" s="13">
        <f t="shared" si="6"/>
        <v>0.25330000000000003</v>
      </c>
      <c r="AU6" s="10">
        <f t="shared" si="7"/>
        <v>1.2213114754098364</v>
      </c>
      <c r="AV6" s="14">
        <f t="shared" si="8"/>
        <v>0.78062889220201948</v>
      </c>
      <c r="AW6" s="13">
        <v>0.1067</v>
      </c>
      <c r="AX6" s="10">
        <f t="shared" si="9"/>
        <v>0.51446480231436842</v>
      </c>
      <c r="AY6" s="14">
        <f t="shared" si="10"/>
        <v>0.32883183102232716</v>
      </c>
      <c r="AZ6" s="123"/>
      <c r="BA6" s="13"/>
      <c r="BC6" s="14"/>
      <c r="BD6" s="13"/>
      <c r="BF6" s="14"/>
      <c r="BG6"/>
      <c r="BH6" s="13">
        <v>10.857139999999999</v>
      </c>
      <c r="BI6" s="10">
        <v>10.7</v>
      </c>
      <c r="BJ6" s="10">
        <v>3.8</v>
      </c>
      <c r="BK6" s="10">
        <v>7.3333300000000001</v>
      </c>
      <c r="BL6" s="14">
        <v>2.3333300000000001</v>
      </c>
      <c r="BM6" s="13">
        <v>0.01</v>
      </c>
      <c r="BN6">
        <v>18.249253618319827</v>
      </c>
      <c r="BO6">
        <v>36</v>
      </c>
      <c r="BP6">
        <v>2.0833330000000001</v>
      </c>
      <c r="BQ6" s="121" t="s">
        <v>359</v>
      </c>
      <c r="BR6" s="13">
        <v>0.14285700000000001</v>
      </c>
      <c r="BS6" s="10">
        <v>0</v>
      </c>
      <c r="BT6" s="10">
        <v>0.25</v>
      </c>
      <c r="BU6" s="10">
        <v>0</v>
      </c>
      <c r="BV6" s="14">
        <v>0</v>
      </c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</row>
    <row r="7" spans="1:180" s="10" customFormat="1" ht="16.350000000000001" customHeight="1">
      <c r="A7" s="133" t="s">
        <v>361</v>
      </c>
      <c r="B7" s="227" t="s">
        <v>362</v>
      </c>
      <c r="C7" s="142">
        <v>42559</v>
      </c>
      <c r="D7" s="12" t="s">
        <v>22</v>
      </c>
      <c r="E7" s="10" t="s">
        <v>262</v>
      </c>
      <c r="F7" s="11" t="s">
        <v>271</v>
      </c>
      <c r="G7" s="164">
        <v>0.53125</v>
      </c>
      <c r="H7" s="63">
        <v>16.54</v>
      </c>
      <c r="I7" s="64">
        <f>H13-H7</f>
        <v>1.8511111111111127</v>
      </c>
      <c r="J7" s="63">
        <v>20.309999999999999</v>
      </c>
      <c r="K7" s="14">
        <f t="shared" ref="K7:K12" si="11">J7-H7</f>
        <v>3.7699999999999996</v>
      </c>
      <c r="L7" s="13">
        <v>81.87</v>
      </c>
      <c r="M7" s="86">
        <v>298.2276904626238</v>
      </c>
      <c r="N7" s="15">
        <v>8.3000000000000007</v>
      </c>
      <c r="O7" s="13">
        <v>14.260999999999999</v>
      </c>
      <c r="P7" s="14">
        <v>16.606000000000002</v>
      </c>
      <c r="Q7" s="15">
        <v>89.6</v>
      </c>
      <c r="R7" s="15">
        <v>12.19</v>
      </c>
      <c r="S7" s="15">
        <v>46.29</v>
      </c>
      <c r="T7" s="15">
        <v>32.67</v>
      </c>
      <c r="U7" s="15">
        <v>1587.3888170968801</v>
      </c>
      <c r="V7" s="15"/>
      <c r="W7" s="13">
        <v>1.4</v>
      </c>
      <c r="X7" s="14">
        <f t="shared" ref="X7:X12" si="12">(100/J7)*(W7/1000)</f>
        <v>6.8931560807483994E-3</v>
      </c>
      <c r="Y7" s="13">
        <v>1.0955999999999999</v>
      </c>
      <c r="Z7" s="14">
        <f t="shared" ref="Z7:Z12" si="13">(100/J7)*Y7</f>
        <v>5.3943870014771047</v>
      </c>
      <c r="AA7" s="13">
        <v>0.13689999999999999</v>
      </c>
      <c r="AB7" s="14">
        <f t="shared" ref="AB7:AB12" si="14">(100/J7)*AA7</f>
        <v>0.67405219103889702</v>
      </c>
      <c r="AC7" s="13">
        <v>3</v>
      </c>
      <c r="AD7" s="14">
        <f t="shared" ref="AD7:AD12" si="15">(100/J7)*(AC7/1000)</f>
        <v>1.4771048744460858E-2</v>
      </c>
      <c r="AE7" s="13">
        <v>5.0900000000000001E-2</v>
      </c>
      <c r="AF7" s="14">
        <f t="shared" ref="AF7:AF12" si="16">(1000/J7)*AE7</f>
        <v>2.5061546036435254</v>
      </c>
      <c r="AG7" s="13">
        <v>7.2999999999999995E-2</v>
      </c>
      <c r="AH7" s="14">
        <f t="shared" ref="AH7:AH12" si="17">(100/J7)*AG7</f>
        <v>0.3594288527818808</v>
      </c>
      <c r="AI7" s="13"/>
      <c r="AJ7" s="13">
        <v>6.0199999999999997E-2</v>
      </c>
      <c r="AK7" s="10">
        <f t="shared" si="0"/>
        <v>0.2964057114721812</v>
      </c>
      <c r="AL7" s="14">
        <f t="shared" si="1"/>
        <v>0.20185918989150581</v>
      </c>
      <c r="AM7" s="13">
        <v>7.3999999999999996E-2</v>
      </c>
      <c r="AN7" s="10">
        <f t="shared" si="2"/>
        <v>0.36435253569670112</v>
      </c>
      <c r="AO7" s="14">
        <f t="shared" si="3"/>
        <v>0.2481325590028477</v>
      </c>
      <c r="AP7" s="13">
        <v>1.14E-2</v>
      </c>
      <c r="AQ7" s="10">
        <f t="shared" si="4"/>
        <v>5.6129985228951261E-2</v>
      </c>
      <c r="AR7" s="14">
        <f t="shared" si="5"/>
        <v>3.8225826657195455E-2</v>
      </c>
      <c r="AS7" s="13"/>
      <c r="AT7" s="13">
        <f t="shared" si="6"/>
        <v>0.14559999999999998</v>
      </c>
      <c r="AU7" s="10">
        <f t="shared" si="7"/>
        <v>0.7168882323978335</v>
      </c>
      <c r="AV7" s="14">
        <f t="shared" si="8"/>
        <v>0.48821757555154888</v>
      </c>
      <c r="AW7" s="13">
        <v>8.7499999999999994E-2</v>
      </c>
      <c r="AX7" s="10">
        <f t="shared" si="9"/>
        <v>0.43082225504677496</v>
      </c>
      <c r="AY7" s="14">
        <f t="shared" si="10"/>
        <v>0.29339998530742128</v>
      </c>
      <c r="AZ7" s="123"/>
      <c r="BA7" s="13"/>
      <c r="BC7" s="14"/>
      <c r="BD7" s="13"/>
      <c r="BF7" s="14"/>
      <c r="BG7"/>
      <c r="BH7" s="13">
        <v>27.571428600000001</v>
      </c>
      <c r="BI7" s="10">
        <v>19.8</v>
      </c>
      <c r="BJ7" s="10">
        <v>8.3000000000000007</v>
      </c>
      <c r="BK7" s="10">
        <v>18.33333</v>
      </c>
      <c r="BL7" s="14">
        <v>8.6666699999999999</v>
      </c>
      <c r="BM7" s="13">
        <v>0.23</v>
      </c>
      <c r="BN7">
        <v>12.676205255332926</v>
      </c>
      <c r="BO7">
        <v>39</v>
      </c>
      <c r="BP7">
        <v>3.2777780000000001</v>
      </c>
      <c r="BQ7" s="134" t="s">
        <v>361</v>
      </c>
      <c r="BR7" s="13">
        <v>0.57142899999999996</v>
      </c>
      <c r="BS7" s="10">
        <v>0.25</v>
      </c>
      <c r="BT7" s="10">
        <v>0</v>
      </c>
      <c r="BU7" s="10">
        <v>0.33333299999999999</v>
      </c>
      <c r="BV7" s="14">
        <v>0.66666999999999998</v>
      </c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</row>
    <row r="8" spans="1:180" s="10" customFormat="1" ht="16.350000000000001" customHeight="1">
      <c r="A8" s="133" t="s">
        <v>363</v>
      </c>
      <c r="B8" s="227" t="s">
        <v>364</v>
      </c>
      <c r="C8" s="142">
        <v>42559</v>
      </c>
      <c r="D8" s="12" t="s">
        <v>22</v>
      </c>
      <c r="E8" s="10" t="s">
        <v>262</v>
      </c>
      <c r="F8" s="11" t="s">
        <v>271</v>
      </c>
      <c r="G8" s="164">
        <v>0.72222222222222221</v>
      </c>
      <c r="H8" s="63">
        <v>17.46</v>
      </c>
      <c r="I8" s="64">
        <f>H13-H8</f>
        <v>0.931111111111111</v>
      </c>
      <c r="J8" s="63">
        <v>18.88</v>
      </c>
      <c r="K8" s="14">
        <f t="shared" si="11"/>
        <v>1.4199999999999982</v>
      </c>
      <c r="L8" s="13">
        <v>84.77</v>
      </c>
      <c r="M8" s="86">
        <v>309.79095298114333</v>
      </c>
      <c r="N8" s="15">
        <v>8.6</v>
      </c>
      <c r="O8" s="13">
        <v>14.196999999999999</v>
      </c>
      <c r="P8" s="14">
        <v>16.629000000000001</v>
      </c>
      <c r="Q8" s="15">
        <v>85.6</v>
      </c>
      <c r="R8" s="15">
        <v>11.93</v>
      </c>
      <c r="S8" s="15">
        <v>40.74</v>
      </c>
      <c r="T8" s="15">
        <v>32.92</v>
      </c>
      <c r="U8" s="15">
        <v>2185.6833779816197</v>
      </c>
      <c r="V8" s="15"/>
      <c r="W8" s="13">
        <v>1</v>
      </c>
      <c r="X8" s="14">
        <f t="shared" si="12"/>
        <v>5.2966101694915261E-3</v>
      </c>
      <c r="Y8" s="13">
        <v>0.77959999999999996</v>
      </c>
      <c r="Z8" s="14">
        <f t="shared" si="13"/>
        <v>4.1292372881355934</v>
      </c>
      <c r="AA8" s="13">
        <v>0.1484</v>
      </c>
      <c r="AB8" s="14">
        <f t="shared" si="14"/>
        <v>0.7860169491525425</v>
      </c>
      <c r="AC8" s="13">
        <v>3.1</v>
      </c>
      <c r="AD8" s="14">
        <f t="shared" si="15"/>
        <v>1.641949152542373E-2</v>
      </c>
      <c r="AE8" s="13">
        <v>4.7600000000000003E-2</v>
      </c>
      <c r="AF8" s="14">
        <f t="shared" si="16"/>
        <v>2.5211864406779667</v>
      </c>
      <c r="AG8" s="13">
        <v>7.2900000000000006E-2</v>
      </c>
      <c r="AH8" s="14">
        <f t="shared" si="17"/>
        <v>0.38612288135593226</v>
      </c>
      <c r="AI8" s="13"/>
      <c r="AJ8" s="13">
        <v>8.1000000000000003E-2</v>
      </c>
      <c r="AK8" s="10">
        <f t="shared" si="0"/>
        <v>0.42902542372881364</v>
      </c>
      <c r="AL8" s="14">
        <f t="shared" si="1"/>
        <v>0.26146664136099024</v>
      </c>
      <c r="AM8" s="13">
        <v>8.3900000000000002E-2</v>
      </c>
      <c r="AN8" s="10">
        <f t="shared" si="2"/>
        <v>0.44438559322033905</v>
      </c>
      <c r="AO8" s="14">
        <f t="shared" si="3"/>
        <v>0.27082779271835905</v>
      </c>
      <c r="AP8" s="13">
        <v>1.6799999999999999E-2</v>
      </c>
      <c r="AQ8" s="10">
        <f t="shared" si="4"/>
        <v>8.8983050847457626E-2</v>
      </c>
      <c r="AR8" s="14">
        <f t="shared" si="5"/>
        <v>5.4230118208205391E-2</v>
      </c>
      <c r="AS8" s="13"/>
      <c r="AT8" s="13">
        <f t="shared" si="6"/>
        <v>0.1817</v>
      </c>
      <c r="AU8" s="10">
        <f t="shared" si="7"/>
        <v>0.9623940677966103</v>
      </c>
      <c r="AV8" s="14">
        <f t="shared" si="8"/>
        <v>0.58652455228755462</v>
      </c>
      <c r="AW8" s="13">
        <v>8.3400000000000002E-2</v>
      </c>
      <c r="AX8" s="10">
        <f t="shared" si="9"/>
        <v>0.44173728813559326</v>
      </c>
      <c r="AY8" s="14">
        <f t="shared" si="10"/>
        <v>0.26921380110501963</v>
      </c>
      <c r="AZ8" s="123"/>
      <c r="BA8" s="13"/>
      <c r="BC8" s="14"/>
      <c r="BD8" s="13"/>
      <c r="BF8" s="14"/>
      <c r="BG8"/>
      <c r="BH8" s="13">
        <v>23.142859999999999</v>
      </c>
      <c r="BI8" s="10">
        <v>20.8</v>
      </c>
      <c r="BJ8" s="10">
        <v>10.8</v>
      </c>
      <c r="BK8" s="10">
        <v>7.6666699999999999</v>
      </c>
      <c r="BL8" s="14">
        <v>4.3333300000000001</v>
      </c>
      <c r="BM8" s="13">
        <v>-7.0000000000000007E-2</v>
      </c>
      <c r="BN8">
        <v>8.730921264897983</v>
      </c>
      <c r="BO8">
        <v>29</v>
      </c>
      <c r="BP8">
        <v>5.7142860000000004</v>
      </c>
      <c r="BQ8" s="134" t="s">
        <v>363</v>
      </c>
      <c r="BR8" s="13">
        <v>1</v>
      </c>
      <c r="BS8" s="10">
        <v>0.5</v>
      </c>
      <c r="BT8" s="10">
        <v>0.75</v>
      </c>
      <c r="BU8" s="10">
        <v>0.33333299999999999</v>
      </c>
      <c r="BV8" s="14">
        <v>0.33333000000000002</v>
      </c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</row>
    <row r="9" spans="1:180" s="10" customFormat="1" ht="16.350000000000001" customHeight="1">
      <c r="A9" s="133" t="s">
        <v>365</v>
      </c>
      <c r="B9" s="224" t="s">
        <v>366</v>
      </c>
      <c r="C9" s="62"/>
      <c r="D9" s="12" t="s">
        <v>22</v>
      </c>
      <c r="E9" s="10" t="s">
        <v>262</v>
      </c>
      <c r="F9" s="11">
        <v>42411</v>
      </c>
      <c r="G9" s="164">
        <v>0.48194444444444445</v>
      </c>
      <c r="H9" s="13">
        <v>20.56</v>
      </c>
      <c r="I9" s="64">
        <f>H13-H9</f>
        <v>-2.1688888888888869</v>
      </c>
      <c r="J9" s="63">
        <v>24.62</v>
      </c>
      <c r="K9" s="14">
        <f t="shared" si="11"/>
        <v>4.0600000000000023</v>
      </c>
      <c r="L9" s="13">
        <v>103.37000000000003</v>
      </c>
      <c r="M9" s="86">
        <v>378.21231298230089</v>
      </c>
      <c r="N9" s="15">
        <v>9.4</v>
      </c>
      <c r="O9" s="13">
        <v>14.964</v>
      </c>
      <c r="P9" s="14">
        <v>17.536000000000001</v>
      </c>
      <c r="Q9" s="15">
        <v>85.86</v>
      </c>
      <c r="R9" s="15">
        <v>12.04</v>
      </c>
      <c r="S9" s="15">
        <v>46</v>
      </c>
      <c r="T9" s="15">
        <v>25.87</v>
      </c>
      <c r="U9" s="15">
        <v>2154.7644568250398</v>
      </c>
      <c r="V9" s="15"/>
      <c r="W9" s="13">
        <v>1.3</v>
      </c>
      <c r="X9" s="14">
        <f t="shared" si="12"/>
        <v>5.2802599512591381E-3</v>
      </c>
      <c r="Y9" s="13">
        <v>1.3380000000000001</v>
      </c>
      <c r="Z9" s="14">
        <f t="shared" si="13"/>
        <v>5.4346060113728676</v>
      </c>
      <c r="AA9" s="13">
        <v>0.17849999999999999</v>
      </c>
      <c r="AB9" s="14">
        <f t="shared" si="14"/>
        <v>0.7250203086921202</v>
      </c>
      <c r="AC9" s="13">
        <v>2.1</v>
      </c>
      <c r="AD9" s="14">
        <f t="shared" si="15"/>
        <v>8.529650690495532E-3</v>
      </c>
      <c r="AE9" s="13">
        <v>7.9500000000000001E-2</v>
      </c>
      <c r="AF9" s="14">
        <f t="shared" si="16"/>
        <v>3.2290820471161656</v>
      </c>
      <c r="AG9" s="13">
        <v>0.09</v>
      </c>
      <c r="AH9" s="14">
        <f t="shared" si="17"/>
        <v>0.36555645816409421</v>
      </c>
      <c r="AI9" s="13"/>
      <c r="AJ9" s="13">
        <v>9.5000000000000001E-2</v>
      </c>
      <c r="AK9" s="10">
        <f t="shared" si="0"/>
        <v>0.38586515028432167</v>
      </c>
      <c r="AL9" s="14">
        <f t="shared" si="1"/>
        <v>0.25118166897026878</v>
      </c>
      <c r="AM9" s="13">
        <v>0.13059999999999999</v>
      </c>
      <c r="AN9" s="10">
        <f t="shared" si="2"/>
        <v>0.53046303818034113</v>
      </c>
      <c r="AO9" s="14">
        <f t="shared" si="3"/>
        <v>0.3453086943949169</v>
      </c>
      <c r="AP9" s="13">
        <v>1.9199999999999998E-2</v>
      </c>
      <c r="AQ9" s="10">
        <f t="shared" si="4"/>
        <v>7.7985377741673426E-2</v>
      </c>
      <c r="AR9" s="14">
        <f t="shared" si="5"/>
        <v>5.076513730767538E-2</v>
      </c>
      <c r="AS9" s="13"/>
      <c r="AT9" s="13">
        <f t="shared" si="6"/>
        <v>0.24479999999999999</v>
      </c>
      <c r="AU9" s="10">
        <f t="shared" si="7"/>
        <v>0.99431356620633626</v>
      </c>
      <c r="AV9" s="14">
        <f t="shared" si="8"/>
        <v>0.64725550067286108</v>
      </c>
      <c r="AW9" s="13">
        <v>9.6000000000000002E-2</v>
      </c>
      <c r="AX9" s="10">
        <f t="shared" si="9"/>
        <v>0.38992688870836717</v>
      </c>
      <c r="AY9" s="14">
        <f t="shared" si="10"/>
        <v>0.25382568653837689</v>
      </c>
      <c r="AZ9" s="123"/>
      <c r="BA9" s="13"/>
      <c r="BC9" s="14"/>
      <c r="BD9" s="13"/>
      <c r="BF9" s="14"/>
      <c r="BG9"/>
      <c r="BH9" s="13">
        <v>17.125</v>
      </c>
      <c r="BI9" s="10">
        <v>16.3</v>
      </c>
      <c r="BJ9" s="10">
        <v>8.1999999999999993</v>
      </c>
      <c r="BK9" s="10">
        <v>6</v>
      </c>
      <c r="BL9" s="14">
        <v>4.3333300000000001</v>
      </c>
      <c r="BM9" s="13">
        <v>0.3</v>
      </c>
      <c r="BN9">
        <v>10.642923913996166</v>
      </c>
      <c r="BO9">
        <v>26</v>
      </c>
      <c r="BP9">
        <v>2.8666670000000001</v>
      </c>
      <c r="BQ9" s="134" t="s">
        <v>365</v>
      </c>
      <c r="BR9" s="13">
        <v>0.625</v>
      </c>
      <c r="BS9" s="10">
        <v>0.5</v>
      </c>
      <c r="BT9" s="10">
        <v>0.2</v>
      </c>
      <c r="BU9" s="10">
        <v>0</v>
      </c>
      <c r="BV9" s="14">
        <v>0.66666999999999998</v>
      </c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</row>
    <row r="10" spans="1:180" s="10" customFormat="1" ht="16.350000000000001" customHeight="1">
      <c r="A10" s="133" t="s">
        <v>367</v>
      </c>
      <c r="B10" s="224" t="s">
        <v>368</v>
      </c>
      <c r="C10" s="11"/>
      <c r="D10" s="12" t="s">
        <v>22</v>
      </c>
      <c r="E10" s="10" t="s">
        <v>262</v>
      </c>
      <c r="F10" s="11">
        <v>42411</v>
      </c>
      <c r="G10" s="164">
        <v>0.65277777777777779</v>
      </c>
      <c r="H10" s="13">
        <v>19.43</v>
      </c>
      <c r="I10" s="64">
        <f>H13-H10</f>
        <v>-1.0388888888888879</v>
      </c>
      <c r="J10" s="63">
        <v>20.149999999999999</v>
      </c>
      <c r="K10" s="14">
        <f t="shared" si="11"/>
        <v>0.71999999999999886</v>
      </c>
      <c r="L10" s="13">
        <v>98.859999999999928</v>
      </c>
      <c r="M10" s="86">
        <v>361.99994607064048</v>
      </c>
      <c r="N10" s="15">
        <v>8.6999999999999993</v>
      </c>
      <c r="O10" s="13">
        <v>14.260999999999999</v>
      </c>
      <c r="P10" s="14">
        <v>16.760999999999999</v>
      </c>
      <c r="Q10" s="15">
        <v>82.39</v>
      </c>
      <c r="R10" s="15">
        <v>11.63</v>
      </c>
      <c r="S10" s="15">
        <v>43.57</v>
      </c>
      <c r="T10" s="15">
        <v>28.1</v>
      </c>
      <c r="U10" s="15">
        <v>2041.6677716352501</v>
      </c>
      <c r="V10" s="15"/>
      <c r="W10" s="13">
        <v>1.1000000000000001</v>
      </c>
      <c r="X10" s="14">
        <f t="shared" si="12"/>
        <v>5.4590570719602986E-3</v>
      </c>
      <c r="Y10" s="13">
        <v>0.94030000000000002</v>
      </c>
      <c r="Z10" s="14">
        <f t="shared" si="13"/>
        <v>4.6665012406947897</v>
      </c>
      <c r="AA10" s="13">
        <v>0.1454</v>
      </c>
      <c r="AB10" s="14">
        <f t="shared" si="14"/>
        <v>0.72158808933002494</v>
      </c>
      <c r="AC10" s="13">
        <v>2.2999999999999998</v>
      </c>
      <c r="AD10" s="14">
        <f t="shared" si="15"/>
        <v>1.1414392059553351E-2</v>
      </c>
      <c r="AE10" s="13">
        <v>5.11E-2</v>
      </c>
      <c r="AF10" s="14">
        <f t="shared" si="16"/>
        <v>2.5359801488833749</v>
      </c>
      <c r="AG10" s="13">
        <v>7.9299999999999995E-2</v>
      </c>
      <c r="AH10" s="14">
        <f t="shared" si="17"/>
        <v>0.3935483870967742</v>
      </c>
      <c r="AI10" s="13"/>
      <c r="AJ10" s="13">
        <v>8.8599999999999998E-2</v>
      </c>
      <c r="AK10" s="10">
        <f t="shared" si="0"/>
        <v>0.43970223325062041</v>
      </c>
      <c r="AL10" s="14">
        <f t="shared" si="1"/>
        <v>0.24475141767758893</v>
      </c>
      <c r="AM10" s="13">
        <v>0.12130000000000001</v>
      </c>
      <c r="AN10" s="10">
        <f t="shared" si="2"/>
        <v>0.6019851116625311</v>
      </c>
      <c r="AO10" s="14">
        <f t="shared" si="3"/>
        <v>0.33508292284753433</v>
      </c>
      <c r="AP10" s="13">
        <v>1.9599999999999999E-2</v>
      </c>
      <c r="AQ10" s="10">
        <f t="shared" si="4"/>
        <v>9.7270471464019861E-2</v>
      </c>
      <c r="AR10" s="14">
        <f t="shared" si="5"/>
        <v>5.4143654474951952E-2</v>
      </c>
      <c r="AS10" s="13"/>
      <c r="AT10" s="13">
        <f t="shared" si="6"/>
        <v>0.22950000000000001</v>
      </c>
      <c r="AU10" s="10">
        <f t="shared" si="7"/>
        <v>1.1389578163771714</v>
      </c>
      <c r="AV10" s="14">
        <f t="shared" si="8"/>
        <v>0.63397799500007523</v>
      </c>
      <c r="AW10" s="13">
        <v>8.2600000000000007E-2</v>
      </c>
      <c r="AX10" s="10">
        <f t="shared" si="9"/>
        <v>0.40992555831265515</v>
      </c>
      <c r="AY10" s="14">
        <f t="shared" si="10"/>
        <v>0.22817682957301183</v>
      </c>
      <c r="AZ10" s="123"/>
      <c r="BA10" s="13"/>
      <c r="BC10" s="14"/>
      <c r="BD10" s="13"/>
      <c r="BF10" s="14"/>
      <c r="BG10"/>
      <c r="BH10" s="13">
        <v>21.875</v>
      </c>
      <c r="BI10" s="10">
        <v>13.3</v>
      </c>
      <c r="BJ10" s="10">
        <v>12.6</v>
      </c>
      <c r="BK10" s="10">
        <v>8.6666699999999999</v>
      </c>
      <c r="BL10" s="14">
        <v>11</v>
      </c>
      <c r="BM10" s="13">
        <v>0.17</v>
      </c>
      <c r="BN10">
        <v>14.497742421470376</v>
      </c>
      <c r="BO10">
        <v>46</v>
      </c>
      <c r="BP10">
        <v>3.045455</v>
      </c>
      <c r="BQ10" s="134" t="s">
        <v>367</v>
      </c>
      <c r="BR10" s="13">
        <v>0.625</v>
      </c>
      <c r="BS10" s="10">
        <v>0.75</v>
      </c>
      <c r="BT10" s="10">
        <v>0.4</v>
      </c>
      <c r="BU10" s="10">
        <v>0</v>
      </c>
      <c r="BV10" s="14">
        <v>0</v>
      </c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</row>
    <row r="11" spans="1:180" s="10" customFormat="1" ht="16.350000000000001" customHeight="1">
      <c r="A11" s="9" t="s">
        <v>369</v>
      </c>
      <c r="B11" s="224" t="s">
        <v>370</v>
      </c>
      <c r="C11" s="11"/>
      <c r="D11" s="12" t="s">
        <v>22</v>
      </c>
      <c r="E11" s="10" t="s">
        <v>262</v>
      </c>
      <c r="F11" s="11">
        <v>42411</v>
      </c>
      <c r="G11" s="164">
        <v>0.73749999999999993</v>
      </c>
      <c r="H11" s="13">
        <v>16.059999999999999</v>
      </c>
      <c r="I11" s="64">
        <f>H13-H11</f>
        <v>2.3311111111111131</v>
      </c>
      <c r="J11" s="63">
        <v>23.62</v>
      </c>
      <c r="K11" s="14">
        <f t="shared" si="11"/>
        <v>7.5600000000000023</v>
      </c>
      <c r="L11" s="13">
        <v>99.870000000000019</v>
      </c>
      <c r="M11" s="86">
        <v>363.05424395909847</v>
      </c>
      <c r="N11" s="15">
        <v>9</v>
      </c>
      <c r="O11" s="13">
        <v>14.247</v>
      </c>
      <c r="P11" s="14">
        <v>17.045999999999999</v>
      </c>
      <c r="Q11" s="15">
        <v>85.56</v>
      </c>
      <c r="R11" s="15">
        <v>9.14</v>
      </c>
      <c r="S11" s="15">
        <v>50.04</v>
      </c>
      <c r="T11" s="15">
        <v>26.92</v>
      </c>
      <c r="U11" s="15">
        <v>2686.2362522418698</v>
      </c>
      <c r="V11" s="15"/>
      <c r="W11" s="13">
        <v>1.6</v>
      </c>
      <c r="X11" s="14">
        <f t="shared" si="12"/>
        <v>6.7739204064352241E-3</v>
      </c>
      <c r="Y11" s="13">
        <v>0.96950000000000003</v>
      </c>
      <c r="Z11" s="14">
        <f t="shared" si="13"/>
        <v>4.1045723962743432</v>
      </c>
      <c r="AA11" s="13">
        <v>0.17380000000000001</v>
      </c>
      <c r="AB11" s="14">
        <f t="shared" si="14"/>
        <v>0.73581710414902624</v>
      </c>
      <c r="AC11" s="13">
        <v>3.1</v>
      </c>
      <c r="AD11" s="14">
        <f t="shared" si="15"/>
        <v>1.3124470787468246E-2</v>
      </c>
      <c r="AE11" s="13">
        <v>6.1600000000000002E-2</v>
      </c>
      <c r="AF11" s="14">
        <f t="shared" si="16"/>
        <v>2.6079593564775614</v>
      </c>
      <c r="AG11" s="13">
        <v>6.4199999999999993E-2</v>
      </c>
      <c r="AH11" s="14">
        <f t="shared" si="17"/>
        <v>0.27180355630821335</v>
      </c>
      <c r="AI11" s="13"/>
      <c r="AJ11" s="13">
        <v>9.4399999999999998E-2</v>
      </c>
      <c r="AK11" s="10">
        <f t="shared" si="0"/>
        <v>0.3996613039796782</v>
      </c>
      <c r="AL11" s="14">
        <f t="shared" si="1"/>
        <v>0.26001624156922143</v>
      </c>
      <c r="AM11" s="13">
        <v>0.1129</v>
      </c>
      <c r="AN11" s="10">
        <f t="shared" si="2"/>
        <v>0.47798475867908546</v>
      </c>
      <c r="AO11" s="14">
        <f t="shared" si="3"/>
        <v>0.31097281433437607</v>
      </c>
      <c r="AP11" s="13">
        <v>1.9599999999999999E-2</v>
      </c>
      <c r="AQ11" s="10">
        <f t="shared" si="4"/>
        <v>8.2980524978831488E-2</v>
      </c>
      <c r="AR11" s="14">
        <f t="shared" si="5"/>
        <v>5.3986423037677325E-2</v>
      </c>
      <c r="AS11" s="13"/>
      <c r="AT11" s="13">
        <f t="shared" si="6"/>
        <v>0.22689999999999999</v>
      </c>
      <c r="AU11" s="10">
        <f t="shared" si="7"/>
        <v>0.96062658763759512</v>
      </c>
      <c r="AV11" s="14">
        <f t="shared" si="8"/>
        <v>0.62497547894127481</v>
      </c>
      <c r="AW11" s="13">
        <v>9.5699999999999993E-2</v>
      </c>
      <c r="AX11" s="10">
        <f t="shared" si="9"/>
        <v>0.40516511430990676</v>
      </c>
      <c r="AY11" s="14">
        <f t="shared" si="10"/>
        <v>0.26359697370947549</v>
      </c>
      <c r="AZ11" s="123"/>
      <c r="BA11" s="13"/>
      <c r="BC11" s="14"/>
      <c r="BD11" s="13"/>
      <c r="BF11" s="14"/>
      <c r="BG11"/>
      <c r="BH11" s="13"/>
      <c r="BL11" s="14"/>
      <c r="BM11" s="13">
        <v>-0.06</v>
      </c>
      <c r="BN11">
        <v>14.963199256757362</v>
      </c>
      <c r="BO11">
        <v>40</v>
      </c>
      <c r="BP11">
        <v>2.9523809999999999</v>
      </c>
      <c r="BQ11" s="123" t="s">
        <v>369</v>
      </c>
      <c r="BR11" s="13"/>
      <c r="BV11" s="14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</row>
    <row r="12" spans="1:180" s="10" customFormat="1" ht="16.350000000000001" customHeight="1">
      <c r="A12" s="9" t="s">
        <v>371</v>
      </c>
      <c r="B12" s="63" t="s">
        <v>372</v>
      </c>
      <c r="C12" s="142">
        <v>43703</v>
      </c>
      <c r="D12" s="12" t="s">
        <v>22</v>
      </c>
      <c r="E12" s="10" t="s">
        <v>262</v>
      </c>
      <c r="F12" s="11">
        <v>43742</v>
      </c>
      <c r="G12" s="400">
        <v>0.62152777777777779</v>
      </c>
      <c r="H12" s="13">
        <v>19.690000000000001</v>
      </c>
      <c r="I12" s="64">
        <f>H13-H12</f>
        <v>-1.2988888888888894</v>
      </c>
      <c r="J12" s="63">
        <v>22.87</v>
      </c>
      <c r="K12" s="14">
        <f t="shared" si="11"/>
        <v>3.1799999999999997</v>
      </c>
      <c r="L12" s="13">
        <v>82.940000000000069</v>
      </c>
      <c r="M12" s="86">
        <v>304.73666331404348</v>
      </c>
      <c r="N12" s="15">
        <v>8.4</v>
      </c>
      <c r="O12" s="13">
        <v>14.471</v>
      </c>
      <c r="P12" s="14">
        <v>16.672000000000001</v>
      </c>
      <c r="Q12" s="15">
        <v>75.38</v>
      </c>
      <c r="R12" s="15">
        <v>8.27</v>
      </c>
      <c r="S12" s="15">
        <v>37.4</v>
      </c>
      <c r="T12" s="15">
        <v>29.65</v>
      </c>
      <c r="U12" s="15">
        <v>2373.0245514704702</v>
      </c>
      <c r="V12" s="15"/>
      <c r="W12" s="13">
        <v>1.3</v>
      </c>
      <c r="X12" s="14">
        <f t="shared" si="12"/>
        <v>5.684302579798863E-3</v>
      </c>
      <c r="Y12" s="13">
        <v>1.0505</v>
      </c>
      <c r="Z12" s="14">
        <f t="shared" si="13"/>
        <v>4.5933537385220813</v>
      </c>
      <c r="AA12" s="13">
        <v>0.1346</v>
      </c>
      <c r="AB12" s="14">
        <f t="shared" si="14"/>
        <v>0.58854394403148225</v>
      </c>
      <c r="AC12" s="13">
        <v>2.2000000000000002</v>
      </c>
      <c r="AD12" s="14">
        <f t="shared" si="15"/>
        <v>9.619588981198076E-3</v>
      </c>
      <c r="AE12" s="13">
        <v>7.0800000000000002E-2</v>
      </c>
      <c r="AF12" s="14">
        <f t="shared" si="16"/>
        <v>3.095758635767381</v>
      </c>
      <c r="AG12" s="13">
        <v>6.5100000000000005E-2</v>
      </c>
      <c r="AH12" s="14">
        <f t="shared" si="17"/>
        <v>0.2846523830345431</v>
      </c>
      <c r="AI12" s="13"/>
      <c r="AJ12" s="13">
        <v>4.9299999999999997E-2</v>
      </c>
      <c r="AK12" s="10">
        <f t="shared" si="0"/>
        <v>0.21556624398775687</v>
      </c>
      <c r="AL12" s="14">
        <f t="shared" si="1"/>
        <v>0.16177902410513154</v>
      </c>
      <c r="AM12" s="13">
        <v>8.8700000000000001E-2</v>
      </c>
      <c r="AN12" s="10">
        <f t="shared" si="2"/>
        <v>0.38784433756012243</v>
      </c>
      <c r="AO12" s="14">
        <f t="shared" si="3"/>
        <v>0.29107098251775193</v>
      </c>
      <c r="AP12" s="13">
        <v>1.5699999999999999E-2</v>
      </c>
      <c r="AQ12" s="10">
        <f t="shared" si="4"/>
        <v>6.8648885002186258E-2</v>
      </c>
      <c r="AR12" s="14">
        <f t="shared" si="5"/>
        <v>5.1519892057820794E-2</v>
      </c>
      <c r="AS12" s="13"/>
      <c r="AT12" s="13">
        <f t="shared" si="6"/>
        <v>0.1537</v>
      </c>
      <c r="AU12" s="10">
        <f t="shared" si="7"/>
        <v>0.67205946655006565</v>
      </c>
      <c r="AV12" s="14">
        <f t="shared" si="8"/>
        <v>0.50436989868070436</v>
      </c>
      <c r="AW12" s="13">
        <v>7.9699999999999993E-2</v>
      </c>
      <c r="AX12" s="10">
        <f t="shared" si="9"/>
        <v>0.34849147354613025</v>
      </c>
      <c r="AY12" s="14">
        <f t="shared" si="10"/>
        <v>0.26153728643365076</v>
      </c>
      <c r="AZ12" s="123"/>
      <c r="BA12" s="13"/>
      <c r="BC12" s="14"/>
      <c r="BD12" s="13"/>
      <c r="BF12" s="14"/>
      <c r="BG12"/>
      <c r="BH12" s="13"/>
      <c r="BL12" s="14"/>
      <c r="BM12" s="13"/>
      <c r="BP12" s="14"/>
      <c r="BQ12" s="123"/>
      <c r="BR12" s="13"/>
      <c r="BV12" s="14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</row>
    <row r="13" spans="1:180" s="10" customFormat="1" ht="16.350000000000001" customHeight="1">
      <c r="A13" s="126"/>
      <c r="B13" s="62"/>
      <c r="C13" s="11"/>
      <c r="D13" s="3"/>
      <c r="E13" s="3"/>
      <c r="F13" s="3" t="s">
        <v>281</v>
      </c>
      <c r="G13" s="333">
        <f>AVERAGE(G4:G12)</f>
        <v>0.64189814814814805</v>
      </c>
      <c r="H13" s="18">
        <f>AVERAGE(H4:H12)</f>
        <v>18.391111111111112</v>
      </c>
      <c r="I13" s="19">
        <f t="shared" ref="I13:AY13" si="18">AVERAGE(I4:I12)</f>
        <v>1.1842378929335002E-15</v>
      </c>
      <c r="J13" s="18">
        <f t="shared" si="18"/>
        <v>21.665555555555557</v>
      </c>
      <c r="K13" s="88">
        <f t="shared" si="18"/>
        <v>3.2744444444444447</v>
      </c>
      <c r="L13" s="59">
        <f t="shared" si="18"/>
        <v>93.888888888888886</v>
      </c>
      <c r="M13" s="88">
        <f t="shared" si="18"/>
        <v>343.87037528553896</v>
      </c>
      <c r="N13" s="58">
        <f t="shared" si="18"/>
        <v>8.7666666666666675</v>
      </c>
      <c r="O13" s="59">
        <f t="shared" si="18"/>
        <v>14.45611111111111</v>
      </c>
      <c r="P13" s="88">
        <f t="shared" si="18"/>
        <v>16.94188888888889</v>
      </c>
      <c r="Q13" s="58">
        <f t="shared" si="18"/>
        <v>83.723333333333343</v>
      </c>
      <c r="R13" s="58">
        <f t="shared" si="18"/>
        <v>11.407777777777776</v>
      </c>
      <c r="S13" s="58">
        <f t="shared" si="18"/>
        <v>44.063333333333333</v>
      </c>
      <c r="T13" s="58">
        <f t="shared" si="18"/>
        <v>28.437777777777782</v>
      </c>
      <c r="U13" s="59">
        <f t="shared" si="18"/>
        <v>2185.6886118464945</v>
      </c>
      <c r="V13" s="59" t="e">
        <f t="shared" si="18"/>
        <v>#DIV/0!</v>
      </c>
      <c r="W13" s="59">
        <f t="shared" si="18"/>
        <v>1.2555555555555555</v>
      </c>
      <c r="X13" s="88">
        <f t="shared" si="18"/>
        <v>5.7900916547494428E-3</v>
      </c>
      <c r="Y13" s="59">
        <f t="shared" si="18"/>
        <v>1.0235222222222222</v>
      </c>
      <c r="Z13" s="88">
        <f t="shared" si="18"/>
        <v>4.7141362595640945</v>
      </c>
      <c r="AA13" s="59">
        <f t="shared" si="18"/>
        <v>0.15083333333333332</v>
      </c>
      <c r="AB13" s="88">
        <f t="shared" si="18"/>
        <v>0.69750178953163788</v>
      </c>
      <c r="AC13" s="59">
        <f t="shared" si="18"/>
        <v>2.7</v>
      </c>
      <c r="AD13" s="88">
        <f t="shared" si="18"/>
        <v>1.2592395108379929E-2</v>
      </c>
      <c r="AE13" s="59">
        <f t="shared" si="18"/>
        <v>6.2299999999999994E-2</v>
      </c>
      <c r="AF13" s="88">
        <f t="shared" si="18"/>
        <v>2.8588925202444786</v>
      </c>
      <c r="AG13" s="59">
        <f t="shared" si="18"/>
        <v>7.7477777777777798E-2</v>
      </c>
      <c r="AH13" s="88">
        <f t="shared" si="18"/>
        <v>0.35972534750028862</v>
      </c>
      <c r="AI13" s="59" t="e">
        <f t="shared" si="18"/>
        <v>#DIV/0!</v>
      </c>
      <c r="AJ13" s="59">
        <f t="shared" si="18"/>
        <v>8.1677777777777794E-2</v>
      </c>
      <c r="AK13" s="55">
        <f t="shared" si="18"/>
        <v>0.37895542225988005</v>
      </c>
      <c r="AL13" s="88">
        <f t="shared" si="18"/>
        <v>0.23766794208230468</v>
      </c>
      <c r="AM13" s="59">
        <f t="shared" si="18"/>
        <v>0.10298888888888889</v>
      </c>
      <c r="AN13" s="55">
        <f t="shared" si="18"/>
        <v>0.47545443298229362</v>
      </c>
      <c r="AO13" s="88">
        <f t="shared" si="18"/>
        <v>0.2985178755016562</v>
      </c>
      <c r="AP13" s="59">
        <f t="shared" si="18"/>
        <v>1.8822222222222219E-2</v>
      </c>
      <c r="AQ13" s="55">
        <f t="shared" si="18"/>
        <v>8.7251353220645159E-2</v>
      </c>
      <c r="AR13" s="88">
        <f t="shared" si="18"/>
        <v>5.4691221762739391E-2</v>
      </c>
      <c r="AS13" s="59" t="e">
        <f t="shared" si="18"/>
        <v>#DIV/0!</v>
      </c>
      <c r="AT13" s="59">
        <f t="shared" si="18"/>
        <v>0.20348888888888886</v>
      </c>
      <c r="AU13" s="55">
        <f t="shared" si="18"/>
        <v>0.94166120846281887</v>
      </c>
      <c r="AV13" s="88">
        <f t="shared" si="18"/>
        <v>0.59087703934670044</v>
      </c>
      <c r="AW13" s="59">
        <f t="shared" si="18"/>
        <v>9.2944444444444441E-2</v>
      </c>
      <c r="AX13" s="55">
        <f>AVERAGE(AX4:AX12)</f>
        <v>0.43058441654055168</v>
      </c>
      <c r="AY13" s="88">
        <f t="shared" si="18"/>
        <v>0.27214836026638412</v>
      </c>
      <c r="AZ13" s="126"/>
      <c r="BA13" s="59" t="e">
        <f t="shared" ref="BA13:BF13" si="19">AVERAGE(BA4:BA12)</f>
        <v>#DIV/0!</v>
      </c>
      <c r="BB13" s="55" t="e">
        <f t="shared" si="19"/>
        <v>#DIV/0!</v>
      </c>
      <c r="BC13" s="88" t="e">
        <f t="shared" si="19"/>
        <v>#DIV/0!</v>
      </c>
      <c r="BD13" s="59" t="e">
        <f t="shared" si="19"/>
        <v>#DIV/0!</v>
      </c>
      <c r="BE13" s="55" t="e">
        <f t="shared" si="19"/>
        <v>#DIV/0!</v>
      </c>
      <c r="BF13" s="88" t="e">
        <f t="shared" si="19"/>
        <v>#DIV/0!</v>
      </c>
      <c r="BG13"/>
      <c r="BH13" s="59">
        <f t="shared" ref="BH13:BM13" si="20">AVERAGE(BH4:BH12)</f>
        <v>17.061224085714287</v>
      </c>
      <c r="BI13" s="55">
        <f t="shared" si="20"/>
        <v>13.77142857142857</v>
      </c>
      <c r="BJ13" s="55">
        <f t="shared" si="20"/>
        <v>7.2857142857142856</v>
      </c>
      <c r="BK13" s="55">
        <f t="shared" si="20"/>
        <v>9.0952385714285704</v>
      </c>
      <c r="BL13" s="88">
        <f t="shared" si="20"/>
        <v>4.8095228571428574</v>
      </c>
      <c r="BM13" s="59">
        <f t="shared" si="20"/>
        <v>0.10375000000000001</v>
      </c>
      <c r="BN13" s="55">
        <f>AVERAGE(BN4:BN12)</f>
        <v>13.032405146256659</v>
      </c>
      <c r="BO13" s="55">
        <f>AVERAGE(BO4:BO12)</f>
        <v>34.5</v>
      </c>
      <c r="BP13" s="88">
        <f>AVERAGE(BP4:BP12)</f>
        <v>3.1417929999999998</v>
      </c>
      <c r="BQ13" s="126"/>
      <c r="BR13" s="59">
        <f t="shared" ref="BR13:BV13" si="21">AVERAGE(BR4:BR12)</f>
        <v>0.55867357142857144</v>
      </c>
      <c r="BS13" s="55">
        <f t="shared" si="21"/>
        <v>0.45285714285714285</v>
      </c>
      <c r="BT13" s="55">
        <f t="shared" si="21"/>
        <v>0.29285714285714282</v>
      </c>
      <c r="BU13" s="55">
        <f t="shared" si="21"/>
        <v>0.14285657142857142</v>
      </c>
      <c r="BV13" s="88">
        <f t="shared" si="21"/>
        <v>0.23809571428571427</v>
      </c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</row>
    <row r="14" spans="1:180" s="10" customFormat="1" ht="16.350000000000001" customHeight="1">
      <c r="A14" s="126"/>
      <c r="B14" s="62"/>
      <c r="C14" s="17"/>
      <c r="D14" s="3"/>
      <c r="E14" s="3"/>
      <c r="F14" s="3" t="s">
        <v>45</v>
      </c>
      <c r="G14" s="88">
        <f t="shared" ref="G14" si="22">(STDEV(G4:G12)/(SQRT(COUNT(G4:G12))))</f>
        <v>3.3764769986116792E-2</v>
      </c>
      <c r="H14" s="18">
        <f>STDEV(H4:H12)/SQRT(COUNT(H4:H12))</f>
        <v>0.55449287252318435</v>
      </c>
      <c r="I14" s="19">
        <f>STDEV(I4:I12)/SQRT(COUNT(I4:I12))</f>
        <v>0.55449287252318435</v>
      </c>
      <c r="J14" s="18">
        <f>STDEV(J4:J12)/SQRT(COUNT(J4:J12))</f>
        <v>0.61143526756293143</v>
      </c>
      <c r="K14" s="88">
        <f t="shared" ref="K14:AY14" si="23">(STDEV(K4:K12)/(SQRT(COUNT(K4:K12))))</f>
        <v>0.73626329663735746</v>
      </c>
      <c r="L14" s="59">
        <f t="shared" si="23"/>
        <v>3.3133708266005915</v>
      </c>
      <c r="M14" s="88">
        <f t="shared" si="23"/>
        <v>12.130609790275889</v>
      </c>
      <c r="N14" s="58">
        <f>(STDEV(N4:N12)/(SQRT(COUNT(N4:N12))))</f>
        <v>0.11426091000668408</v>
      </c>
      <c r="O14" s="59">
        <f t="shared" si="23"/>
        <v>8.8763487933516197E-2</v>
      </c>
      <c r="P14" s="88">
        <f t="shared" si="23"/>
        <v>0.1059889203387217</v>
      </c>
      <c r="Q14" s="58">
        <f t="shared" si="23"/>
        <v>1.3087525867532539</v>
      </c>
      <c r="R14" s="58">
        <f t="shared" si="23"/>
        <v>0.77137643530138622</v>
      </c>
      <c r="S14" s="58">
        <f t="shared" si="23"/>
        <v>1.496258296180472</v>
      </c>
      <c r="T14" s="58">
        <f t="shared" si="23"/>
        <v>0.9381005895155291</v>
      </c>
      <c r="U14" s="59">
        <f t="shared" si="23"/>
        <v>170.74861171404424</v>
      </c>
      <c r="V14" s="59" t="e">
        <f t="shared" si="23"/>
        <v>#DIV/0!</v>
      </c>
      <c r="W14" s="59">
        <f>(STDEV(W4:W12)/(SQRT(COUNT(W4:W12))))</f>
        <v>6.0348780506667886E-2</v>
      </c>
      <c r="X14" s="88">
        <f t="shared" si="23"/>
        <v>2.1104705475882563E-4</v>
      </c>
      <c r="Y14" s="59">
        <f t="shared" si="23"/>
        <v>5.3162480968405042E-2</v>
      </c>
      <c r="Z14" s="88">
        <f t="shared" si="23"/>
        <v>0.17130363349493494</v>
      </c>
      <c r="AA14" s="59">
        <f t="shared" si="23"/>
        <v>5.0892861319966421E-3</v>
      </c>
      <c r="AB14" s="88">
        <f t="shared" si="23"/>
        <v>1.8876350802788724E-2</v>
      </c>
      <c r="AC14" s="59">
        <f t="shared" si="23"/>
        <v>0.13944333775567883</v>
      </c>
      <c r="AD14" s="88">
        <f t="shared" si="23"/>
        <v>8.2639707996219299E-4</v>
      </c>
      <c r="AE14" s="59">
        <f t="shared" si="23"/>
        <v>4.0638651552432235E-3</v>
      </c>
      <c r="AF14" s="88">
        <f t="shared" si="23"/>
        <v>0.13074019034469248</v>
      </c>
      <c r="AG14" s="59">
        <f t="shared" si="23"/>
        <v>3.2082263089411884E-3</v>
      </c>
      <c r="AH14" s="88">
        <f t="shared" si="23"/>
        <v>1.6919677713423644E-2</v>
      </c>
      <c r="AI14" s="59" t="e">
        <f t="shared" si="23"/>
        <v>#DIV/0!</v>
      </c>
      <c r="AJ14" s="59">
        <f t="shared" si="23"/>
        <v>6.1185232826633578E-3</v>
      </c>
      <c r="AK14" s="55">
        <f t="shared" si="23"/>
        <v>2.9430479387506338E-2</v>
      </c>
      <c r="AL14" s="88">
        <f t="shared" si="23"/>
        <v>1.699973494564121E-2</v>
      </c>
      <c r="AM14" s="59">
        <f t="shared" si="23"/>
        <v>6.7496593421125899E-3</v>
      </c>
      <c r="AN14" s="55">
        <f t="shared" si="23"/>
        <v>2.8819317971914921E-2</v>
      </c>
      <c r="AO14" s="88">
        <f t="shared" si="23"/>
        <v>1.4676109719389976E-2</v>
      </c>
      <c r="AP14" s="59">
        <f t="shared" si="23"/>
        <v>1.3792890457061341E-3</v>
      </c>
      <c r="AQ14" s="55">
        <f t="shared" si="23"/>
        <v>6.7833635916900439E-3</v>
      </c>
      <c r="AR14" s="88">
        <f t="shared" si="23"/>
        <v>3.776673175446877E-3</v>
      </c>
      <c r="AS14" s="59" t="e">
        <f t="shared" si="23"/>
        <v>#DIV/0!</v>
      </c>
      <c r="AT14" s="59">
        <f t="shared" si="23"/>
        <v>1.2850415519054144E-2</v>
      </c>
      <c r="AU14" s="55">
        <f t="shared" si="23"/>
        <v>5.8934383106487152E-2</v>
      </c>
      <c r="AV14" s="88">
        <f t="shared" si="23"/>
        <v>3.1005015767192969E-2</v>
      </c>
      <c r="AW14" s="59">
        <f t="shared" si="23"/>
        <v>3.9903742205153097E-3</v>
      </c>
      <c r="AX14" s="55">
        <f>(STDEV(AX4:AX12)/(SQRT(COUNT(AX4:AX12))))</f>
        <v>1.896803354472501E-2</v>
      </c>
      <c r="AY14" s="88">
        <f t="shared" si="23"/>
        <v>1.2942064217870815E-2</v>
      </c>
      <c r="AZ14" s="126"/>
      <c r="BA14" s="59" t="e">
        <f t="shared" ref="BA14:BF14" si="24">(STDEV(BA4:BA12)/(SQRT(COUNT(BA4:BA12))))</f>
        <v>#DIV/0!</v>
      </c>
      <c r="BB14" s="55" t="e">
        <f t="shared" si="24"/>
        <v>#DIV/0!</v>
      </c>
      <c r="BC14" s="88" t="e">
        <f t="shared" si="24"/>
        <v>#DIV/0!</v>
      </c>
      <c r="BD14" s="59" t="e">
        <f t="shared" si="24"/>
        <v>#DIV/0!</v>
      </c>
      <c r="BE14" s="55" t="e">
        <f t="shared" si="24"/>
        <v>#DIV/0!</v>
      </c>
      <c r="BF14" s="88" t="e">
        <f t="shared" si="24"/>
        <v>#DIV/0!</v>
      </c>
      <c r="BG14"/>
      <c r="BH14" s="59">
        <f t="shared" ref="BH14:BM14" si="25">(STDEV(BH4:BH12)/(SQRT(COUNT(BH4:BH12))))</f>
        <v>2.9473843967918922</v>
      </c>
      <c r="BI14" s="55">
        <f t="shared" si="25"/>
        <v>2.3372464757563294</v>
      </c>
      <c r="BJ14" s="55">
        <f t="shared" si="25"/>
        <v>1.3963265703826107</v>
      </c>
      <c r="BK14" s="55">
        <f t="shared" si="25"/>
        <v>1.7147259377444175</v>
      </c>
      <c r="BL14" s="88">
        <f t="shared" si="25"/>
        <v>1.4176839138248296</v>
      </c>
      <c r="BM14" s="59">
        <f t="shared" si="25"/>
        <v>4.7582165776685698E-2</v>
      </c>
      <c r="BN14" s="55">
        <f>(STDEV(BN4:BN12)/(SQRT(COUNT(BN4:BN12))))</f>
        <v>1.0389478574205642</v>
      </c>
      <c r="BO14" s="55">
        <f>(STDEV(BO4:BO12)/(SQRT(COUNT(BO4:BO12))))</f>
        <v>2.598076211353316</v>
      </c>
      <c r="BP14" s="88">
        <f>(STDEV(BP4:BP12)/(SQRT(COUNT(BP4:BP12))))</f>
        <v>0.39441736735042837</v>
      </c>
      <c r="BQ14" s="126"/>
      <c r="BR14" s="59">
        <f t="shared" ref="BR14:BV14" si="26">(STDEV(BR4:BR12)/(SQRT(COUNT(BR4:BR12))))</f>
        <v>9.8866457627702714E-2</v>
      </c>
      <c r="BS14" s="55">
        <f t="shared" si="26"/>
        <v>9.6157467226426901E-2</v>
      </c>
      <c r="BT14" s="55">
        <f t="shared" si="26"/>
        <v>8.8255966632622113E-2</v>
      </c>
      <c r="BU14" s="55">
        <f t="shared" si="26"/>
        <v>6.734323359719617E-2</v>
      </c>
      <c r="BV14" s="88">
        <f t="shared" si="26"/>
        <v>0.11983914641554087</v>
      </c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</row>
    <row r="15" spans="1:180" s="22" customFormat="1" ht="16.350000000000001" customHeight="1">
      <c r="A15" s="125"/>
      <c r="B15" s="65"/>
      <c r="C15" s="23"/>
      <c r="D15" s="24"/>
      <c r="E15" s="24"/>
      <c r="F15" s="25"/>
      <c r="G15" s="24"/>
      <c r="H15" s="26"/>
      <c r="I15" s="27"/>
      <c r="J15" s="26"/>
      <c r="K15" s="28"/>
      <c r="L15" s="26"/>
      <c r="M15" s="28"/>
      <c r="N15" s="32"/>
      <c r="O15" s="30"/>
      <c r="P15" s="28"/>
      <c r="Q15" s="32"/>
      <c r="R15" s="32"/>
      <c r="S15" s="32"/>
      <c r="T15" s="32"/>
      <c r="U15" s="32"/>
      <c r="V15" s="32"/>
      <c r="W15" s="30"/>
      <c r="X15" s="28"/>
      <c r="Y15" s="30"/>
      <c r="AA15" s="30"/>
      <c r="AB15" s="28"/>
      <c r="AC15" s="30"/>
      <c r="AD15" s="28"/>
      <c r="AE15" s="30"/>
      <c r="AF15" s="28"/>
      <c r="AG15" s="30"/>
      <c r="AH15" s="28"/>
      <c r="AI15" s="30"/>
      <c r="AJ15" s="30"/>
      <c r="AL15" s="28"/>
      <c r="AM15" s="30"/>
      <c r="AO15" s="28"/>
      <c r="AP15" s="30"/>
      <c r="AR15" s="28"/>
      <c r="AS15" s="30"/>
      <c r="AT15" s="30"/>
      <c r="AV15" s="28"/>
      <c r="AW15" s="30"/>
      <c r="AY15" s="28"/>
      <c r="AZ15" s="125"/>
      <c r="BA15" s="30"/>
      <c r="BC15" s="28"/>
      <c r="BD15" s="30"/>
      <c r="BF15" s="28"/>
      <c r="BG15"/>
      <c r="BH15" s="30"/>
      <c r="BL15" s="28"/>
      <c r="BM15" s="30"/>
      <c r="BP15" s="28"/>
      <c r="BQ15" s="125"/>
      <c r="BR15" s="30"/>
      <c r="BV15" s="28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</row>
    <row r="16" spans="1:180" s="10" customFormat="1" ht="16.350000000000001" customHeight="1">
      <c r="A16" s="121" t="s">
        <v>373</v>
      </c>
      <c r="B16" s="182" t="s">
        <v>374</v>
      </c>
      <c r="C16" s="183">
        <v>42549</v>
      </c>
      <c r="D16" s="10" t="s">
        <v>22</v>
      </c>
      <c r="E16" s="10" t="s">
        <v>284</v>
      </c>
      <c r="F16" s="89">
        <v>43258</v>
      </c>
      <c r="G16" s="164">
        <v>0.62013888888888891</v>
      </c>
      <c r="H16" s="63">
        <v>17.84</v>
      </c>
      <c r="I16" s="64">
        <f>H24-H16</f>
        <v>0.74874999999999758</v>
      </c>
      <c r="J16" s="63">
        <v>21.43</v>
      </c>
      <c r="K16" s="14">
        <f>J16-H16</f>
        <v>3.59</v>
      </c>
      <c r="L16" s="13">
        <v>98.78</v>
      </c>
      <c r="M16" s="186">
        <v>361.00115929999998</v>
      </c>
      <c r="N16" s="15">
        <v>9.1</v>
      </c>
      <c r="O16" s="13">
        <v>14.423</v>
      </c>
      <c r="P16" s="14">
        <v>16.922999999999998</v>
      </c>
      <c r="Q16" s="15">
        <v>88.28</v>
      </c>
      <c r="R16" s="15">
        <v>8.2100000000000009</v>
      </c>
      <c r="S16" s="15">
        <v>53.4</v>
      </c>
      <c r="T16" s="15">
        <v>31.55</v>
      </c>
      <c r="U16" s="15">
        <v>1674.0558276243999</v>
      </c>
      <c r="V16" s="15"/>
      <c r="W16" s="13">
        <v>1</v>
      </c>
      <c r="X16" s="14">
        <f>(100/J16)*(W16/1000)</f>
        <v>4.6663555762949133E-3</v>
      </c>
      <c r="Y16" s="13">
        <v>1.0206</v>
      </c>
      <c r="Z16" s="14">
        <f>(100/J16)*Y16</f>
        <v>4.7624825011665886</v>
      </c>
      <c r="AA16" s="13">
        <v>0.15409999999999999</v>
      </c>
      <c r="AB16" s="14">
        <f>(100/J16)*AA16</f>
        <v>0.7190853943070461</v>
      </c>
      <c r="AC16" s="13">
        <v>2.2999999999999998</v>
      </c>
      <c r="AD16" s="14">
        <f>(100/J16)*(AC16/1000)</f>
        <v>1.07326178254783E-2</v>
      </c>
      <c r="AE16" s="13">
        <v>5.4699999999999999E-2</v>
      </c>
      <c r="AF16" s="14">
        <f>(1000/J16)*AE16</f>
        <v>2.5524965002333175</v>
      </c>
      <c r="AG16" s="13">
        <v>8.4099999999999994E-2</v>
      </c>
      <c r="AH16" s="14">
        <f>(100/J16)*AG16</f>
        <v>0.39244050396640218</v>
      </c>
      <c r="AI16" s="13"/>
      <c r="AJ16" s="13">
        <v>7.9000000000000001E-2</v>
      </c>
      <c r="AK16" s="10">
        <f>(100/J16)*AJ16</f>
        <v>0.36864209052729818</v>
      </c>
      <c r="AL16" s="14">
        <f>(AJ16*1000)/M16</f>
        <v>0.2188358623368</v>
      </c>
      <c r="AM16" s="13">
        <v>9.7199999999999995E-2</v>
      </c>
      <c r="AN16" s="10">
        <f>(100/J16)*AM16</f>
        <v>0.45356976201586557</v>
      </c>
      <c r="AO16" s="14">
        <f>(AM16*1000)/M16</f>
        <v>0.26925121290046783</v>
      </c>
      <c r="AP16" s="13">
        <v>1.0999999999999999E-2</v>
      </c>
      <c r="AQ16" s="10">
        <f>(100/J16)*AP16</f>
        <v>5.1329911339244041E-2</v>
      </c>
      <c r="AR16" s="14">
        <f>(AP16*1000)/M16</f>
        <v>3.0470816274744301E-2</v>
      </c>
      <c r="AS16" s="13"/>
      <c r="AT16" s="13">
        <f>AJ16+AM16+AP16</f>
        <v>0.18720000000000001</v>
      </c>
      <c r="AU16" s="10">
        <f>(100/J16)*AT16</f>
        <v>0.87354176388240778</v>
      </c>
      <c r="AV16" s="14">
        <f>(AT16*1000)/M16</f>
        <v>0.51855789151201215</v>
      </c>
      <c r="AW16" s="13">
        <v>0.1353</v>
      </c>
      <c r="AX16" s="10">
        <f>(100/J16)*AW16</f>
        <v>0.63135790947270176</v>
      </c>
      <c r="AY16" s="14">
        <f>(AW16*1000)/M16</f>
        <v>0.37479104017935494</v>
      </c>
      <c r="AZ16" s="123"/>
      <c r="BA16" s="13"/>
      <c r="BC16" s="14"/>
      <c r="BD16" s="13"/>
      <c r="BF16" s="14"/>
      <c r="BG16"/>
      <c r="BH16" s="13">
        <v>12.28571</v>
      </c>
      <c r="BI16" s="10">
        <v>11.5</v>
      </c>
      <c r="BJ16" s="10">
        <v>3.6</v>
      </c>
      <c r="BK16" s="10">
        <v>10</v>
      </c>
      <c r="BL16" s="14">
        <v>1</v>
      </c>
      <c r="BM16" s="13">
        <v>0.01</v>
      </c>
      <c r="BN16">
        <v>10.984956924202329</v>
      </c>
      <c r="BO16">
        <v>56</v>
      </c>
      <c r="BP16">
        <v>12.8</v>
      </c>
      <c r="BQ16" s="121" t="s">
        <v>373</v>
      </c>
      <c r="BR16" s="13">
        <v>0.28571400000000002</v>
      </c>
      <c r="BS16" s="10">
        <v>0.25</v>
      </c>
      <c r="BT16" s="10">
        <v>0.2</v>
      </c>
      <c r="BU16" s="10">
        <v>0</v>
      </c>
      <c r="BV16" s="14">
        <v>0</v>
      </c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</row>
    <row r="17" spans="1:180" s="10" customFormat="1" ht="16.350000000000001" customHeight="1">
      <c r="A17" s="9" t="s">
        <v>375</v>
      </c>
      <c r="B17" s="227" t="s">
        <v>376</v>
      </c>
      <c r="C17" s="142">
        <v>42529</v>
      </c>
      <c r="D17" s="12" t="s">
        <v>22</v>
      </c>
      <c r="E17" s="10" t="s">
        <v>284</v>
      </c>
      <c r="F17" s="11" t="s">
        <v>271</v>
      </c>
      <c r="G17" s="164">
        <v>0.55902777777777779</v>
      </c>
      <c r="H17" s="63">
        <v>20.72</v>
      </c>
      <c r="I17" s="64">
        <f>H24-H17</f>
        <v>-2.1312500000000014</v>
      </c>
      <c r="J17" s="63">
        <v>22.65</v>
      </c>
      <c r="K17" s="14">
        <f t="shared" ref="K17:K23" si="27">J17-H17</f>
        <v>1.9299999999999997</v>
      </c>
      <c r="L17" s="13">
        <v>101.59</v>
      </c>
      <c r="M17" s="86">
        <v>371.71661394209292</v>
      </c>
      <c r="N17" s="15">
        <v>9</v>
      </c>
      <c r="O17" s="13">
        <v>14.721</v>
      </c>
      <c r="P17" s="14">
        <v>17.242000000000001</v>
      </c>
      <c r="Q17" s="15">
        <v>74.47</v>
      </c>
      <c r="R17" s="15">
        <v>9.0299999999999994</v>
      </c>
      <c r="S17" s="15">
        <v>44.55</v>
      </c>
      <c r="T17" s="15">
        <v>21.46</v>
      </c>
      <c r="U17" s="15">
        <v>1416.2220596756601</v>
      </c>
      <c r="V17" s="15"/>
      <c r="W17" s="13">
        <v>1.7</v>
      </c>
      <c r="X17" s="14">
        <f t="shared" ref="X17:X23" si="28">(100/J17)*(W17/1000)</f>
        <v>7.5055187637969095E-3</v>
      </c>
      <c r="Y17" s="13">
        <v>1.0640000000000001</v>
      </c>
      <c r="Z17" s="14">
        <f t="shared" ref="Z17:Z23" si="29">(100/J17)*Y17</f>
        <v>4.6975717439293607</v>
      </c>
      <c r="AA17" s="13">
        <v>0.14610000000000001</v>
      </c>
      <c r="AB17" s="14">
        <f t="shared" ref="AB17:AB23" si="30">(100/J17)*AA17</f>
        <v>0.64503311258278151</v>
      </c>
      <c r="AC17" s="13">
        <v>4</v>
      </c>
      <c r="AD17" s="14">
        <f t="shared" ref="AD17:AD23" si="31">(100/J17)*(AC17/1000)</f>
        <v>1.7660044150110379E-2</v>
      </c>
      <c r="AE17" s="13">
        <v>6.8599999999999994E-2</v>
      </c>
      <c r="AF17" s="14">
        <f t="shared" ref="AF17:AF23" si="32">(1000/J17)*AE17</f>
        <v>3.0286975717439293</v>
      </c>
      <c r="AG17" s="13">
        <v>8.3900000000000002E-2</v>
      </c>
      <c r="AH17" s="14">
        <f t="shared" ref="AH17:AH23" si="33">(100/J17)*AG17</f>
        <v>0.37041942604856515</v>
      </c>
      <c r="AI17" s="13"/>
      <c r="AJ17" s="13">
        <v>7.3700000000000002E-2</v>
      </c>
      <c r="AK17" s="10">
        <f t="shared" ref="AK17:AK19" si="34">(100/J17)*AJ17</f>
        <v>0.32538631346578367</v>
      </c>
      <c r="AL17" s="14">
        <f t="shared" ref="AL17:AL19" si="35">(AJ17*1000)/M17</f>
        <v>0.19826931924942479</v>
      </c>
      <c r="AM17" s="13">
        <v>0.10249999999999999</v>
      </c>
      <c r="AN17" s="10">
        <f t="shared" ref="AN17:AN19" si="36">(100/J17)*AM17</f>
        <v>0.4525386313465784</v>
      </c>
      <c r="AO17" s="14">
        <f t="shared" ref="AO17:AO19" si="37">(AM17*1000)/M17</f>
        <v>0.27574769637810093</v>
      </c>
      <c r="AP17" s="13">
        <v>1.8100000000000002E-2</v>
      </c>
      <c r="AQ17" s="10">
        <f t="shared" ref="AQ17:AQ19" si="38">(100/J17)*AP17</f>
        <v>7.9911699779249459E-2</v>
      </c>
      <c r="AR17" s="14">
        <f t="shared" ref="AR17:AR19" si="39">(AP17*1000)/M17</f>
        <v>4.869300784823051E-2</v>
      </c>
      <c r="AS17" s="13"/>
      <c r="AT17" s="13">
        <f t="shared" ref="AT17:AT19" si="40">AJ17+AM17+AP17</f>
        <v>0.1943</v>
      </c>
      <c r="AU17" s="10">
        <f t="shared" ref="AU17:AU19" si="41">(100/J17)*AT17</f>
        <v>0.85783664459161157</v>
      </c>
      <c r="AV17" s="14">
        <f t="shared" ref="AV17:AV19" si="42">(AT17*1000)/M17</f>
        <v>0.52271002347575624</v>
      </c>
      <c r="AW17" s="13">
        <v>8.4900000000000003E-2</v>
      </c>
      <c r="AX17" s="10">
        <f t="shared" ref="AX17:AX19" si="43">(100/J17)*AW17</f>
        <v>0.37483443708609276</v>
      </c>
      <c r="AY17" s="14">
        <f t="shared" ref="AY17:AY23" si="44">(AW17*1000)/M17</f>
        <v>0.22839979924390996</v>
      </c>
      <c r="AZ17" s="123"/>
      <c r="BA17" s="13"/>
      <c r="BC17" s="14"/>
      <c r="BD17" s="13"/>
      <c r="BF17" s="14"/>
      <c r="BG17"/>
      <c r="BH17" s="13">
        <v>18.857140000000001</v>
      </c>
      <c r="BI17" s="10">
        <v>17.66667</v>
      </c>
      <c r="BJ17" s="10">
        <v>8</v>
      </c>
      <c r="BK17" s="10">
        <v>10.66667</v>
      </c>
      <c r="BL17" s="14">
        <v>5</v>
      </c>
      <c r="BM17" s="13">
        <v>0.32</v>
      </c>
      <c r="BN17">
        <v>11.212325530514928</v>
      </c>
      <c r="BO17">
        <v>25</v>
      </c>
      <c r="BP17">
        <v>2.8125</v>
      </c>
      <c r="BQ17" s="123" t="s">
        <v>375</v>
      </c>
      <c r="BR17" s="13">
        <v>0.57142899999999996</v>
      </c>
      <c r="BS17" s="10">
        <v>1.3333330000000001</v>
      </c>
      <c r="BT17" s="10">
        <v>0</v>
      </c>
      <c r="BU17" s="10">
        <v>0</v>
      </c>
      <c r="BV17" s="14">
        <v>0</v>
      </c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</row>
    <row r="18" spans="1:180" s="10" customFormat="1" ht="16.350000000000001" customHeight="1">
      <c r="A18" s="133" t="s">
        <v>377</v>
      </c>
      <c r="B18" s="227" t="s">
        <v>378</v>
      </c>
      <c r="C18" s="11">
        <v>42621</v>
      </c>
      <c r="D18" s="12" t="s">
        <v>22</v>
      </c>
      <c r="E18" s="10" t="s">
        <v>284</v>
      </c>
      <c r="F18" s="11" t="s">
        <v>271</v>
      </c>
      <c r="G18" s="164">
        <v>0.69236111111111109</v>
      </c>
      <c r="H18" s="63">
        <v>17.170000000000002</v>
      </c>
      <c r="I18" s="64">
        <f>H24-H18</f>
        <v>1.4187499999999957</v>
      </c>
      <c r="J18" s="63">
        <v>20.239999999999998</v>
      </c>
      <c r="K18" s="14">
        <f t="shared" si="27"/>
        <v>3.0699999999999967</v>
      </c>
      <c r="L18" s="13">
        <v>94.12</v>
      </c>
      <c r="M18" s="86">
        <v>343.63951472087706</v>
      </c>
      <c r="N18" s="15">
        <v>8.6999999999999993</v>
      </c>
      <c r="O18" s="13">
        <v>14.103</v>
      </c>
      <c r="P18" s="14">
        <v>16.451000000000001</v>
      </c>
      <c r="Q18" s="15">
        <v>87.32</v>
      </c>
      <c r="R18" s="15">
        <v>16.07</v>
      </c>
      <c r="S18" s="15">
        <v>42.46</v>
      </c>
      <c r="T18" s="15">
        <v>29.23</v>
      </c>
      <c r="U18" s="15">
        <v>1060.6237125489902</v>
      </c>
      <c r="V18" s="15"/>
      <c r="W18" s="13">
        <v>1.3</v>
      </c>
      <c r="X18" s="14">
        <f t="shared" si="28"/>
        <v>6.4229249011857718E-3</v>
      </c>
      <c r="Y18" s="13">
        <v>0.90800000000000003</v>
      </c>
      <c r="Z18" s="14">
        <f t="shared" si="29"/>
        <v>4.4861660079051395</v>
      </c>
      <c r="AA18" s="13">
        <v>0.1285</v>
      </c>
      <c r="AB18" s="14">
        <f t="shared" si="30"/>
        <v>0.63488142292490135</v>
      </c>
      <c r="AC18" s="13">
        <v>3.3</v>
      </c>
      <c r="AD18" s="14">
        <f t="shared" si="31"/>
        <v>1.630434782608696E-2</v>
      </c>
      <c r="AE18" s="13">
        <v>5.0500000000000003E-2</v>
      </c>
      <c r="AF18" s="14">
        <f t="shared" si="32"/>
        <v>2.4950592885375498</v>
      </c>
      <c r="AG18" s="13">
        <v>7.8299999999999995E-2</v>
      </c>
      <c r="AH18" s="14">
        <f t="shared" si="33"/>
        <v>0.38685770750988147</v>
      </c>
      <c r="AI18" s="13"/>
      <c r="AJ18" s="13">
        <v>4.53E-2</v>
      </c>
      <c r="AK18" s="10">
        <f t="shared" si="34"/>
        <v>0.2238142292490119</v>
      </c>
      <c r="AL18" s="14">
        <f t="shared" si="35"/>
        <v>0.13182418802097062</v>
      </c>
      <c r="AM18" s="13">
        <v>7.3200000000000001E-2</v>
      </c>
      <c r="AN18" s="10">
        <f t="shared" si="36"/>
        <v>0.36166007905138348</v>
      </c>
      <c r="AO18" s="14">
        <f t="shared" si="37"/>
        <v>0.21301391971600553</v>
      </c>
      <c r="AP18" s="13">
        <v>9.4999999999999998E-3</v>
      </c>
      <c r="AQ18" s="10">
        <f t="shared" si="38"/>
        <v>4.6936758893280639E-2</v>
      </c>
      <c r="AR18" s="14">
        <f t="shared" si="39"/>
        <v>2.7645249143470659E-2</v>
      </c>
      <c r="AS18" s="13"/>
      <c r="AT18" s="13">
        <f t="shared" si="40"/>
        <v>0.128</v>
      </c>
      <c r="AU18" s="10">
        <f t="shared" si="41"/>
        <v>0.63241106719367601</v>
      </c>
      <c r="AV18" s="14">
        <f t="shared" si="42"/>
        <v>0.37248335688044681</v>
      </c>
      <c r="AW18" s="13">
        <v>6.1699999999999998E-2</v>
      </c>
      <c r="AX18" s="10">
        <f t="shared" si="43"/>
        <v>0.3048418972332016</v>
      </c>
      <c r="AY18" s="14">
        <f t="shared" si="44"/>
        <v>0.17954861812127787</v>
      </c>
      <c r="AZ18" s="123"/>
      <c r="BA18" s="13"/>
      <c r="BC18" s="14"/>
      <c r="BD18" s="13"/>
      <c r="BF18" s="14"/>
      <c r="BG18"/>
      <c r="BH18" s="13">
        <v>13.5</v>
      </c>
      <c r="BI18" s="10">
        <v>8.25</v>
      </c>
      <c r="BJ18" s="10">
        <v>5.4</v>
      </c>
      <c r="BK18" s="10">
        <v>9</v>
      </c>
      <c r="BL18" s="14">
        <v>7</v>
      </c>
      <c r="BM18" s="13">
        <v>-0.06</v>
      </c>
      <c r="BN18">
        <v>10.905567190066389</v>
      </c>
      <c r="BO18">
        <v>50</v>
      </c>
      <c r="BP18">
        <v>5.1538500000000003</v>
      </c>
      <c r="BQ18" s="134" t="s">
        <v>377</v>
      </c>
      <c r="BR18" s="13">
        <v>0.625</v>
      </c>
      <c r="BS18" s="10">
        <v>0.5</v>
      </c>
      <c r="BT18" s="10">
        <v>0.4</v>
      </c>
      <c r="BU18" s="10">
        <v>0</v>
      </c>
      <c r="BV18" s="14">
        <v>0.33333000000000002</v>
      </c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</row>
    <row r="19" spans="1:180" s="10" customFormat="1" ht="16.350000000000001" customHeight="1">
      <c r="A19" s="133" t="s">
        <v>379</v>
      </c>
      <c r="B19" s="224" t="s">
        <v>380</v>
      </c>
      <c r="C19" s="11"/>
      <c r="D19" s="12" t="s">
        <v>22</v>
      </c>
      <c r="E19" s="10" t="s">
        <v>284</v>
      </c>
      <c r="F19" s="11">
        <v>42411</v>
      </c>
      <c r="G19" s="164">
        <v>0.51111111111111118</v>
      </c>
      <c r="H19" s="63">
        <v>17.690000000000001</v>
      </c>
      <c r="I19" s="64">
        <f>H24-H19</f>
        <v>0.89874999999999616</v>
      </c>
      <c r="J19" s="63">
        <v>21.5</v>
      </c>
      <c r="K19" s="14">
        <f t="shared" si="27"/>
        <v>3.8099999999999987</v>
      </c>
      <c r="L19" s="13">
        <v>89.259999999999891</v>
      </c>
      <c r="M19" s="86">
        <v>325.74588662345565</v>
      </c>
      <c r="N19" s="15">
        <v>9</v>
      </c>
      <c r="O19" s="13">
        <v>14.532999999999999</v>
      </c>
      <c r="P19" s="14">
        <v>17.097999999999999</v>
      </c>
      <c r="Q19" s="15">
        <v>91.08</v>
      </c>
      <c r="R19" s="15">
        <v>12.52</v>
      </c>
      <c r="S19" s="15">
        <v>44.81</v>
      </c>
      <c r="T19" s="15">
        <v>35.799999999999997</v>
      </c>
      <c r="U19" s="15">
        <v>1750.9954806558901</v>
      </c>
      <c r="V19" s="15"/>
      <c r="W19" s="13">
        <v>1.3</v>
      </c>
      <c r="X19" s="14">
        <f t="shared" si="28"/>
        <v>6.0465116279069765E-3</v>
      </c>
      <c r="Y19" s="13">
        <v>1.1652</v>
      </c>
      <c r="Z19" s="14">
        <f t="shared" si="29"/>
        <v>5.4195348837209307</v>
      </c>
      <c r="AA19" s="13">
        <v>0.1439</v>
      </c>
      <c r="AB19" s="14">
        <f t="shared" si="30"/>
        <v>0.66930232558139535</v>
      </c>
      <c r="AC19" s="13">
        <v>2.1</v>
      </c>
      <c r="AD19" s="14">
        <f t="shared" si="31"/>
        <v>9.7674418604651175E-3</v>
      </c>
      <c r="AE19" s="13">
        <v>4.0099999999999997E-2</v>
      </c>
      <c r="AF19" s="14">
        <f t="shared" si="32"/>
        <v>1.8651162790697673</v>
      </c>
      <c r="AG19" s="13">
        <v>7.5600000000000001E-2</v>
      </c>
      <c r="AH19" s="14">
        <f t="shared" si="33"/>
        <v>0.35162790697674423</v>
      </c>
      <c r="AI19" s="13"/>
      <c r="AJ19" s="13">
        <v>9.9299999999999999E-2</v>
      </c>
      <c r="AK19" s="10">
        <f t="shared" si="34"/>
        <v>0.4618604651162791</v>
      </c>
      <c r="AL19" s="14">
        <f t="shared" si="35"/>
        <v>0.30483884548566947</v>
      </c>
      <c r="AM19" s="13">
        <v>0.1318</v>
      </c>
      <c r="AN19" s="10">
        <f t="shared" si="36"/>
        <v>0.61302325581395356</v>
      </c>
      <c r="AO19" s="14">
        <f t="shared" si="37"/>
        <v>0.40460986742206684</v>
      </c>
      <c r="AP19" s="13">
        <v>2.12E-2</v>
      </c>
      <c r="AQ19" s="10">
        <f t="shared" si="38"/>
        <v>9.8604651162790699E-2</v>
      </c>
      <c r="AR19" s="14">
        <f t="shared" si="39"/>
        <v>6.5081405078511512E-2</v>
      </c>
      <c r="AS19" s="13"/>
      <c r="AT19" s="13">
        <f t="shared" si="40"/>
        <v>0.25230000000000002</v>
      </c>
      <c r="AU19" s="10">
        <f t="shared" si="41"/>
        <v>1.1734883720930234</v>
      </c>
      <c r="AV19" s="14">
        <f t="shared" si="42"/>
        <v>0.77453011798624782</v>
      </c>
      <c r="AW19" s="13">
        <v>0.1027</v>
      </c>
      <c r="AX19" s="10">
        <f t="shared" si="43"/>
        <v>0.47767441860465121</v>
      </c>
      <c r="AY19" s="14">
        <f t="shared" si="44"/>
        <v>0.31527642931901567</v>
      </c>
      <c r="AZ19" s="123"/>
      <c r="BA19" s="13"/>
      <c r="BC19" s="14"/>
      <c r="BD19" s="13"/>
      <c r="BF19" s="14"/>
      <c r="BG19"/>
      <c r="BH19" s="13">
        <v>24</v>
      </c>
      <c r="BI19" s="10">
        <v>16.66667</v>
      </c>
      <c r="BJ19" s="10">
        <v>12</v>
      </c>
      <c r="BK19" s="10">
        <v>16</v>
      </c>
      <c r="BL19" s="14">
        <v>7.3333300000000001</v>
      </c>
      <c r="BM19" s="13">
        <v>0.44</v>
      </c>
      <c r="BN19">
        <v>14.048324529721373</v>
      </c>
      <c r="BO19">
        <v>36</v>
      </c>
      <c r="BP19">
        <v>3.1666699999999999</v>
      </c>
      <c r="BQ19" s="134" t="s">
        <v>379</v>
      </c>
      <c r="BR19" s="13">
        <v>0.85714299999999999</v>
      </c>
      <c r="BS19" s="10">
        <v>0.66666700000000001</v>
      </c>
      <c r="BT19" s="10">
        <v>0.5</v>
      </c>
      <c r="BU19" s="10">
        <v>0</v>
      </c>
      <c r="BV19" s="14">
        <v>0.66666999999999998</v>
      </c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</row>
    <row r="20" spans="1:180" s="10" customFormat="1" ht="16.350000000000001" customHeight="1">
      <c r="A20" s="256" t="s">
        <v>381</v>
      </c>
      <c r="B20" s="62" t="s">
        <v>382</v>
      </c>
      <c r="C20" s="11" t="s">
        <v>308</v>
      </c>
      <c r="D20" s="12" t="s">
        <v>22</v>
      </c>
      <c r="E20" s="10" t="s">
        <v>284</v>
      </c>
      <c r="F20" s="11" t="s">
        <v>309</v>
      </c>
      <c r="G20" s="164">
        <v>0.58611111111111114</v>
      </c>
      <c r="H20" s="63">
        <v>18.61</v>
      </c>
      <c r="I20" s="64">
        <f>H24-H20</f>
        <v>-2.125000000000199E-2</v>
      </c>
      <c r="J20" s="63">
        <v>22.22</v>
      </c>
      <c r="K20" s="14">
        <f t="shared" si="27"/>
        <v>3.6099999999999994</v>
      </c>
      <c r="L20" s="13">
        <v>89.99</v>
      </c>
      <c r="M20" s="86">
        <v>328.32</v>
      </c>
      <c r="N20" s="15">
        <v>8.8000000000000007</v>
      </c>
      <c r="O20" s="13">
        <v>14.49</v>
      </c>
      <c r="P20" s="14">
        <v>17.225000000000001</v>
      </c>
      <c r="Q20" s="15">
        <v>99.06</v>
      </c>
      <c r="R20" s="15">
        <v>16.850000000000001</v>
      </c>
      <c r="S20" s="15">
        <v>47.88</v>
      </c>
      <c r="T20" s="15">
        <v>34.409999999999997</v>
      </c>
      <c r="U20" s="15">
        <v>1563.0200413090902</v>
      </c>
      <c r="V20" s="15"/>
      <c r="W20" s="13">
        <v>1.1000000000000001</v>
      </c>
      <c r="X20" s="14">
        <f t="shared" si="28"/>
        <v>4.9504950495049506E-3</v>
      </c>
      <c r="Y20" s="13">
        <v>1.1085</v>
      </c>
      <c r="Z20" s="14">
        <f t="shared" si="29"/>
        <v>4.9887488748874889</v>
      </c>
      <c r="AA20" s="13">
        <v>0.15</v>
      </c>
      <c r="AB20" s="14">
        <f t="shared" si="30"/>
        <v>0.67506750675067506</v>
      </c>
      <c r="AC20" s="13">
        <v>3</v>
      </c>
      <c r="AD20" s="14">
        <f t="shared" si="31"/>
        <v>1.3501350135013501E-2</v>
      </c>
      <c r="AE20" s="13">
        <v>7.2700000000000001E-2</v>
      </c>
      <c r="AF20" s="14">
        <f t="shared" si="32"/>
        <v>3.2718271827182721</v>
      </c>
      <c r="AG20" s="13">
        <v>8.0299999999999996E-2</v>
      </c>
      <c r="AH20" s="14">
        <f t="shared" si="33"/>
        <v>0.36138613861386137</v>
      </c>
      <c r="AI20" s="13"/>
      <c r="AJ20" s="13">
        <v>0.10589999999999999</v>
      </c>
      <c r="AK20" s="10">
        <f t="shared" ref="AK20:AK23" si="45">(100/J20)*AJ20</f>
        <v>0.47659765976597657</v>
      </c>
      <c r="AL20" s="14">
        <f t="shared" ref="AL20:AL23" si="46">(AJ20*1000)/M20</f>
        <v>0.32255116959064328</v>
      </c>
      <c r="AM20" s="13">
        <v>0.11849999999999999</v>
      </c>
      <c r="AN20" s="10">
        <f t="shared" ref="AN20:AN23" si="47">(100/J20)*AM20</f>
        <v>0.53330333033303323</v>
      </c>
      <c r="AO20" s="14">
        <f t="shared" ref="AO20:AO23" si="48">(AM20*1000)/M20</f>
        <v>0.3609283625730994</v>
      </c>
      <c r="AP20" s="13">
        <v>2.41E-2</v>
      </c>
      <c r="AQ20" s="10">
        <f t="shared" ref="AQ20:AQ23" si="49">(100/J20)*AP20</f>
        <v>0.10846084608460846</v>
      </c>
      <c r="AR20" s="14">
        <f t="shared" ref="AR20:AR23" si="50">(AP20*1000)/M20</f>
        <v>7.3403996101364527E-2</v>
      </c>
      <c r="AS20" s="13"/>
      <c r="AT20" s="13">
        <f t="shared" ref="AT20:AT23" si="51">AJ20+AM20+AP20</f>
        <v>0.2485</v>
      </c>
      <c r="AU20" s="10">
        <f t="shared" ref="AU20:AU23" si="52">(100/J20)*AT20</f>
        <v>1.1183618361836183</v>
      </c>
      <c r="AV20" s="14">
        <f t="shared" ref="AV20:AV23" si="53">(AT20*1000)/M20</f>
        <v>0.75688352826510719</v>
      </c>
      <c r="AW20" s="13">
        <v>9.2499999999999999E-2</v>
      </c>
      <c r="AX20" s="10">
        <f t="shared" ref="AX20:AX23" si="54">(100/J20)*AW20</f>
        <v>0.41629162916291629</v>
      </c>
      <c r="AY20" s="14">
        <f t="shared" si="44"/>
        <v>0.28173732943469787</v>
      </c>
      <c r="AZ20" s="123"/>
      <c r="BA20" s="13"/>
      <c r="BC20" s="14"/>
      <c r="BD20" s="13"/>
      <c r="BF20" s="14"/>
      <c r="BG20"/>
      <c r="BH20" s="13">
        <v>28</v>
      </c>
      <c r="BI20" s="10">
        <v>21.5</v>
      </c>
      <c r="BJ20" s="10">
        <v>8.6</v>
      </c>
      <c r="BK20" s="10">
        <v>21.33333</v>
      </c>
      <c r="BL20" s="14">
        <v>10.33333</v>
      </c>
      <c r="BM20" s="13">
        <v>7.0000000000000007E-2</v>
      </c>
      <c r="BN20">
        <v>6.955577511528646</v>
      </c>
      <c r="BO20">
        <v>29</v>
      </c>
      <c r="BP20">
        <v>7.2</v>
      </c>
      <c r="BQ20" s="123" t="s">
        <v>381</v>
      </c>
      <c r="BR20" s="13">
        <v>0.625</v>
      </c>
      <c r="BS20" s="10">
        <v>0.5</v>
      </c>
      <c r="BT20" s="10">
        <v>0.2</v>
      </c>
      <c r="BU20" s="266">
        <v>0.66666700000000001</v>
      </c>
      <c r="BV20" s="14">
        <v>0</v>
      </c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</row>
    <row r="21" spans="1:180" s="10" customFormat="1" ht="16.350000000000001" customHeight="1">
      <c r="A21" s="123" t="s">
        <v>383</v>
      </c>
      <c r="B21" s="62" t="s">
        <v>384</v>
      </c>
      <c r="C21" s="11">
        <v>43165</v>
      </c>
      <c r="D21" s="12" t="s">
        <v>22</v>
      </c>
      <c r="E21" s="10" t="s">
        <v>284</v>
      </c>
      <c r="F21" s="11">
        <v>43203</v>
      </c>
      <c r="G21" s="164">
        <v>0.57291666666666663</v>
      </c>
      <c r="H21" s="63">
        <v>20.57</v>
      </c>
      <c r="I21" s="64">
        <f>H24-H21</f>
        <v>-1.9812500000000028</v>
      </c>
      <c r="J21" s="63">
        <v>23.64</v>
      </c>
      <c r="K21" s="14">
        <f t="shared" si="27"/>
        <v>3.0700000000000003</v>
      </c>
      <c r="L21" s="13">
        <v>84.390000000000228</v>
      </c>
      <c r="M21" s="86">
        <v>308.21945317310235</v>
      </c>
      <c r="N21" s="15">
        <v>9.1999999999999993</v>
      </c>
      <c r="O21" s="13">
        <v>14.573</v>
      </c>
      <c r="P21" s="232"/>
      <c r="Q21" s="15"/>
      <c r="R21" s="15"/>
      <c r="S21" s="15"/>
      <c r="T21" s="15"/>
      <c r="U21" s="15">
        <v>2448.5809767969499</v>
      </c>
      <c r="V21" s="15"/>
      <c r="W21" s="13">
        <v>1.2</v>
      </c>
      <c r="X21" s="14">
        <f t="shared" ref="X21" si="55">(100/J21)*(W21/1000)</f>
        <v>5.076142131979695E-3</v>
      </c>
      <c r="Y21" s="13">
        <v>1.1792</v>
      </c>
      <c r="Z21" s="14">
        <f t="shared" ref="Z21" si="56">(100/J21)*Y21</f>
        <v>4.988155668358714</v>
      </c>
      <c r="AA21" s="13">
        <v>0.159</v>
      </c>
      <c r="AB21" s="14">
        <f t="shared" ref="AB21" si="57">(100/J21)*AA21</f>
        <v>0.67258883248730972</v>
      </c>
      <c r="AC21" s="13">
        <v>2.7</v>
      </c>
      <c r="AD21" s="14">
        <f t="shared" ref="AD21" si="58">(100/J21)*(AC21/1000)</f>
        <v>1.1421319796954316E-2</v>
      </c>
      <c r="AE21" s="13">
        <v>8.0500000000000002E-2</v>
      </c>
      <c r="AF21" s="14">
        <f t="shared" ref="AF21" si="59">(1000/J21)*AE21</f>
        <v>3.4052453468697119</v>
      </c>
      <c r="AG21" s="13">
        <v>7.6700000000000004E-2</v>
      </c>
      <c r="AH21" s="14">
        <f t="shared" ref="AH21" si="60">(100/J21)*AG21</f>
        <v>0.3244500846023689</v>
      </c>
      <c r="AI21" s="13"/>
      <c r="AJ21" s="13">
        <v>8.3000000000000004E-2</v>
      </c>
      <c r="AK21" s="10">
        <f t="shared" ref="AK21" si="61">(100/J21)*AJ21</f>
        <v>0.3510998307952623</v>
      </c>
      <c r="AL21" s="14">
        <f t="shared" si="46"/>
        <v>0.26928864854414464</v>
      </c>
      <c r="AM21" s="13">
        <v>0.13300000000000001</v>
      </c>
      <c r="AN21" s="10">
        <f t="shared" ref="AN21" si="62">(100/J21)*AM21</f>
        <v>0.56260575296108295</v>
      </c>
      <c r="AO21" s="14">
        <f t="shared" si="48"/>
        <v>0.43151072598037632</v>
      </c>
      <c r="AP21" s="13">
        <v>3.3599999999999998E-2</v>
      </c>
      <c r="AQ21" s="10">
        <f t="shared" ref="AQ21" si="63">(100/J21)*AP21</f>
        <v>0.14213197969543145</v>
      </c>
      <c r="AR21" s="14">
        <f t="shared" si="50"/>
        <v>0.1090132360371477</v>
      </c>
      <c r="AS21" s="13"/>
      <c r="AT21" s="13">
        <f t="shared" ref="AT21" si="64">AJ21+AM21+AP21</f>
        <v>0.24960000000000002</v>
      </c>
      <c r="AU21" s="10">
        <f t="shared" ref="AU21" si="65">(100/J21)*AT21</f>
        <v>1.0558375634517767</v>
      </c>
      <c r="AV21" s="14">
        <f t="shared" si="53"/>
        <v>0.80981261056166876</v>
      </c>
      <c r="AW21" s="13">
        <v>0.1114</v>
      </c>
      <c r="AX21" s="10">
        <f t="shared" ref="AX21" si="66">(100/J21)*AW21</f>
        <v>0.47123519458544838</v>
      </c>
      <c r="AY21" s="14">
        <f t="shared" si="44"/>
        <v>0.36143078852792426</v>
      </c>
      <c r="AZ21" s="123"/>
      <c r="BA21" s="13"/>
      <c r="BC21" s="14"/>
      <c r="BD21" s="13"/>
      <c r="BF21" s="14"/>
      <c r="BG21"/>
      <c r="BH21" s="13"/>
      <c r="BL21" s="14"/>
      <c r="BM21" s="13"/>
      <c r="BP21" s="14"/>
      <c r="BQ21" s="123"/>
      <c r="BR21" s="13"/>
      <c r="BV21" s="14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</row>
    <row r="22" spans="1:180" s="10" customFormat="1" ht="16.350000000000001" customHeight="1">
      <c r="A22" s="123" t="s">
        <v>385</v>
      </c>
      <c r="B22" s="62" t="s">
        <v>386</v>
      </c>
      <c r="C22" s="11">
        <v>43253</v>
      </c>
      <c r="D22" s="12" t="s">
        <v>22</v>
      </c>
      <c r="E22" s="10" t="s">
        <v>284</v>
      </c>
      <c r="F22" s="11">
        <v>43308</v>
      </c>
      <c r="G22" s="164">
        <v>0.51736111111111105</v>
      </c>
      <c r="H22" s="63">
        <v>16.920000000000002</v>
      </c>
      <c r="I22" s="64">
        <f>H24-H22</f>
        <v>1.6687499999999957</v>
      </c>
      <c r="J22" s="63">
        <v>23.64</v>
      </c>
      <c r="K22" s="14">
        <f t="shared" si="27"/>
        <v>6.7199999999999989</v>
      </c>
      <c r="L22" s="13">
        <v>75.559999999999931</v>
      </c>
      <c r="M22" s="86">
        <v>275.76436370891093</v>
      </c>
      <c r="N22" s="15">
        <v>8</v>
      </c>
      <c r="O22" s="13">
        <v>14.194000000000001</v>
      </c>
      <c r="P22" s="14">
        <v>16.443000000000001</v>
      </c>
      <c r="Q22" s="15">
        <v>88.07</v>
      </c>
      <c r="R22" s="15">
        <v>8.57</v>
      </c>
      <c r="S22" s="15">
        <v>46.13</v>
      </c>
      <c r="T22" s="15">
        <v>33.76</v>
      </c>
      <c r="U22" s="386"/>
      <c r="V22" s="15"/>
      <c r="W22" s="13">
        <v>1</v>
      </c>
      <c r="X22" s="14">
        <f t="shared" si="28"/>
        <v>4.2301184433164128E-3</v>
      </c>
      <c r="Y22" s="13">
        <v>1.0470999999999999</v>
      </c>
      <c r="Z22" s="14">
        <f t="shared" si="29"/>
        <v>4.4293570219966156</v>
      </c>
      <c r="AA22" s="13">
        <v>0.1283</v>
      </c>
      <c r="AB22" s="14">
        <f t="shared" si="30"/>
        <v>0.5427241962774958</v>
      </c>
      <c r="AC22" s="13">
        <v>2</v>
      </c>
      <c r="AD22" s="14">
        <f t="shared" si="31"/>
        <v>8.4602368866328256E-3</v>
      </c>
      <c r="AE22" s="13">
        <v>5.5800000000000002E-2</v>
      </c>
      <c r="AF22" s="14">
        <f t="shared" si="32"/>
        <v>2.360406091370558</v>
      </c>
      <c r="AG22" s="13">
        <v>6.2799999999999995E-2</v>
      </c>
      <c r="AH22" s="14">
        <f t="shared" si="33"/>
        <v>0.26565143824027071</v>
      </c>
      <c r="AI22" s="13"/>
      <c r="AJ22" s="13">
        <v>6.5199999999999994E-2</v>
      </c>
      <c r="AK22" s="10">
        <f t="shared" si="45"/>
        <v>0.27580372250423008</v>
      </c>
      <c r="AL22" s="14">
        <f t="shared" si="46"/>
        <v>0.23643374046990084</v>
      </c>
      <c r="AM22" s="13">
        <v>6.5299999999999997E-2</v>
      </c>
      <c r="AN22" s="10">
        <f t="shared" si="47"/>
        <v>0.27622673434856176</v>
      </c>
      <c r="AO22" s="14">
        <f t="shared" si="48"/>
        <v>0.2367963689062044</v>
      </c>
      <c r="AP22" s="13">
        <v>1.67E-2</v>
      </c>
      <c r="AQ22" s="10">
        <f t="shared" si="49"/>
        <v>7.0642978003384094E-2</v>
      </c>
      <c r="AR22" s="14">
        <f t="shared" si="50"/>
        <v>6.0558948862689331E-2</v>
      </c>
      <c r="AS22" s="13"/>
      <c r="AT22" s="13">
        <f t="shared" si="51"/>
        <v>0.1472</v>
      </c>
      <c r="AU22" s="10">
        <f t="shared" si="52"/>
        <v>0.62267343485617599</v>
      </c>
      <c r="AV22" s="14">
        <f t="shared" si="53"/>
        <v>0.53378905823879452</v>
      </c>
      <c r="AW22" s="13">
        <v>7.1599999999999997E-2</v>
      </c>
      <c r="AX22" s="10">
        <f t="shared" si="54"/>
        <v>0.30287648054145516</v>
      </c>
      <c r="AY22" s="14">
        <f t="shared" si="44"/>
        <v>0.25964196039332671</v>
      </c>
      <c r="AZ22" s="123"/>
      <c r="BA22" s="13"/>
      <c r="BC22" s="14"/>
      <c r="BD22" s="13"/>
      <c r="BF22" s="14"/>
      <c r="BG22"/>
      <c r="BH22" s="13"/>
      <c r="BL22" s="14"/>
      <c r="BM22" s="13"/>
      <c r="BP22" s="14"/>
      <c r="BQ22" s="123"/>
      <c r="BR22" s="13"/>
      <c r="BV22" s="14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</row>
    <row r="23" spans="1:180" s="10" customFormat="1" ht="16.350000000000001" customHeight="1">
      <c r="A23" s="9" t="s">
        <v>387</v>
      </c>
      <c r="B23" s="63" t="s">
        <v>388</v>
      </c>
      <c r="C23" s="142">
        <v>43703</v>
      </c>
      <c r="D23" s="12" t="s">
        <v>22</v>
      </c>
      <c r="E23" s="10" t="s">
        <v>284</v>
      </c>
      <c r="F23" s="11">
        <v>43742</v>
      </c>
      <c r="G23" s="164">
        <v>0.6875</v>
      </c>
      <c r="H23" s="63">
        <v>19.190000000000001</v>
      </c>
      <c r="I23" s="64">
        <f>H24-H23</f>
        <v>-0.60125000000000384</v>
      </c>
      <c r="J23" s="63">
        <v>24.81</v>
      </c>
      <c r="K23" s="14">
        <f t="shared" si="27"/>
        <v>5.6199999999999974</v>
      </c>
      <c r="L23" s="13">
        <v>95.909999999999897</v>
      </c>
      <c r="M23" s="86">
        <v>349.58359444994528</v>
      </c>
      <c r="N23" s="15">
        <v>8.4</v>
      </c>
      <c r="O23" s="13">
        <v>13.717000000000001</v>
      </c>
      <c r="P23" s="14">
        <v>16.614000000000001</v>
      </c>
      <c r="Q23" s="15"/>
      <c r="R23" s="15"/>
      <c r="S23" s="15"/>
      <c r="T23" s="15"/>
      <c r="U23" s="13">
        <v>3145.06749849691</v>
      </c>
      <c r="V23" s="13"/>
      <c r="W23" s="13">
        <v>1.3</v>
      </c>
      <c r="X23" s="14">
        <f t="shared" si="28"/>
        <v>5.2398226521563887E-3</v>
      </c>
      <c r="Y23" s="13">
        <v>1.1617</v>
      </c>
      <c r="Z23" s="10">
        <f t="shared" si="29"/>
        <v>4.6823861346231359</v>
      </c>
      <c r="AA23" s="13">
        <v>0.14799999999999999</v>
      </c>
      <c r="AB23" s="14">
        <f t="shared" si="30"/>
        <v>0.59653365578395812</v>
      </c>
      <c r="AC23" s="13">
        <v>2.1</v>
      </c>
      <c r="AD23" s="14">
        <f t="shared" si="31"/>
        <v>8.464328899637245E-3</v>
      </c>
      <c r="AE23" s="13">
        <v>7.3599999999999999E-2</v>
      </c>
      <c r="AF23" s="14">
        <f t="shared" si="32"/>
        <v>2.9665457476823867</v>
      </c>
      <c r="AG23" s="13">
        <v>9.0700000000000003E-2</v>
      </c>
      <c r="AH23" s="14">
        <f t="shared" si="33"/>
        <v>0.36557839580814194</v>
      </c>
      <c r="AI23" s="13"/>
      <c r="AJ23" s="13">
        <v>7.1499999999999994E-2</v>
      </c>
      <c r="AK23" s="10">
        <f t="shared" si="45"/>
        <v>0.28819024586860137</v>
      </c>
      <c r="AL23" s="14">
        <f t="shared" si="46"/>
        <v>0.204529048660027</v>
      </c>
      <c r="AM23" s="13">
        <v>0.11940000000000001</v>
      </c>
      <c r="AN23" s="10">
        <f t="shared" si="47"/>
        <v>0.4812575574365176</v>
      </c>
      <c r="AO23" s="14">
        <f t="shared" si="48"/>
        <v>0.34154920853156956</v>
      </c>
      <c r="AP23" s="13">
        <v>2.1399999999999999E-2</v>
      </c>
      <c r="AQ23" s="10">
        <f t="shared" si="49"/>
        <v>8.6255542120112869E-2</v>
      </c>
      <c r="AR23" s="14">
        <f t="shared" si="50"/>
        <v>6.1215687291252832E-2</v>
      </c>
      <c r="AS23" s="13"/>
      <c r="AT23" s="13">
        <f t="shared" si="51"/>
        <v>0.21230000000000002</v>
      </c>
      <c r="AU23" s="10">
        <f t="shared" si="52"/>
        <v>0.85570334542523196</v>
      </c>
      <c r="AV23" s="14">
        <f t="shared" si="53"/>
        <v>0.60729394448284946</v>
      </c>
      <c r="AW23" s="13">
        <v>0.107</v>
      </c>
      <c r="AX23" s="10">
        <f t="shared" si="54"/>
        <v>0.43127771060056436</v>
      </c>
      <c r="AY23" s="14">
        <f t="shared" si="44"/>
        <v>0.30607843645626415</v>
      </c>
      <c r="AZ23" s="123"/>
      <c r="BA23" s="13"/>
      <c r="BC23" s="14"/>
      <c r="BD23" s="13"/>
      <c r="BF23" s="14"/>
      <c r="BG23"/>
      <c r="BH23" s="13"/>
      <c r="BL23" s="14"/>
      <c r="BM23" s="13"/>
      <c r="BP23" s="14"/>
      <c r="BQ23" s="123"/>
      <c r="BR23" s="13"/>
      <c r="BV23" s="14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</row>
    <row r="24" spans="1:180" s="10" customFormat="1" ht="16.350000000000001" customHeight="1">
      <c r="A24" s="123"/>
      <c r="B24" s="11"/>
      <c r="C24" s="3"/>
      <c r="D24" s="12"/>
      <c r="E24" s="12"/>
      <c r="F24" s="3" t="s">
        <v>281</v>
      </c>
      <c r="G24" s="333">
        <f t="shared" ref="G24:AY24" si="67">AVERAGE(G16:G23)</f>
        <v>0.59331597222222221</v>
      </c>
      <c r="H24" s="18">
        <f t="shared" si="67"/>
        <v>18.588749999999997</v>
      </c>
      <c r="I24" s="3">
        <f t="shared" si="67"/>
        <v>-3.1086244689504383E-15</v>
      </c>
      <c r="J24" s="18">
        <f t="shared" si="67"/>
        <v>22.516249999999999</v>
      </c>
      <c r="K24" s="3">
        <f t="shared" si="67"/>
        <v>3.9274999999999989</v>
      </c>
      <c r="L24" s="18">
        <f t="shared" si="67"/>
        <v>91.199999999999989</v>
      </c>
      <c r="M24" s="3">
        <f t="shared" si="67"/>
        <v>332.99882323979801</v>
      </c>
      <c r="N24" s="18">
        <f t="shared" si="67"/>
        <v>8.7750000000000004</v>
      </c>
      <c r="O24" s="18">
        <f t="shared" si="67"/>
        <v>14.344249999999999</v>
      </c>
      <c r="P24" s="3">
        <f t="shared" si="67"/>
        <v>16.856571428571428</v>
      </c>
      <c r="Q24" s="20">
        <f t="shared" si="67"/>
        <v>88.046666666666667</v>
      </c>
      <c r="R24" s="18">
        <f t="shared" si="67"/>
        <v>11.875</v>
      </c>
      <c r="S24" s="18">
        <f t="shared" si="67"/>
        <v>46.538333333333334</v>
      </c>
      <c r="T24" s="18">
        <f t="shared" si="67"/>
        <v>31.034999999999997</v>
      </c>
      <c r="U24" s="18">
        <f t="shared" si="67"/>
        <v>1865.5093710154129</v>
      </c>
      <c r="V24" s="18" t="e">
        <f t="shared" si="67"/>
        <v>#DIV/0!</v>
      </c>
      <c r="W24" s="18">
        <f t="shared" si="67"/>
        <v>1.2375000000000003</v>
      </c>
      <c r="X24" s="3">
        <f t="shared" si="67"/>
        <v>5.5172361432677518E-3</v>
      </c>
      <c r="Y24" s="18">
        <f t="shared" si="67"/>
        <v>1.0817874999999999</v>
      </c>
      <c r="Z24" s="3">
        <f t="shared" si="67"/>
        <v>4.8068003545734976</v>
      </c>
      <c r="AA24" s="18">
        <f t="shared" si="67"/>
        <v>0.14473749999999999</v>
      </c>
      <c r="AB24" s="3">
        <f t="shared" si="67"/>
        <v>0.64440205583694543</v>
      </c>
      <c r="AC24" s="18">
        <f t="shared" si="67"/>
        <v>2.6875</v>
      </c>
      <c r="AD24" s="3">
        <f t="shared" si="67"/>
        <v>1.2038960922547332E-2</v>
      </c>
      <c r="AE24" s="18">
        <f t="shared" si="67"/>
        <v>6.2062500000000007E-2</v>
      </c>
      <c r="AF24" s="3">
        <f t="shared" si="67"/>
        <v>2.7431742510281865</v>
      </c>
      <c r="AG24" s="18">
        <f t="shared" si="67"/>
        <v>7.9049999999999995E-2</v>
      </c>
      <c r="AH24" s="3">
        <f t="shared" si="67"/>
        <v>0.35230145022077952</v>
      </c>
      <c r="AI24" s="18" t="e">
        <f t="shared" si="67"/>
        <v>#DIV/0!</v>
      </c>
      <c r="AJ24" s="18">
        <f t="shared" si="67"/>
        <v>7.7862500000000001E-2</v>
      </c>
      <c r="AK24" s="3">
        <f t="shared" si="67"/>
        <v>0.34642431966155535</v>
      </c>
      <c r="AL24" s="3">
        <f t="shared" si="67"/>
        <v>0.2358213527946976</v>
      </c>
      <c r="AM24" s="18">
        <f t="shared" si="67"/>
        <v>0.1051125</v>
      </c>
      <c r="AN24" s="3">
        <f t="shared" si="67"/>
        <v>0.4667731379133721</v>
      </c>
      <c r="AO24" s="3">
        <f t="shared" si="67"/>
        <v>0.31667592030098635</v>
      </c>
      <c r="AP24" s="18">
        <f t="shared" si="67"/>
        <v>1.9449999999999999E-2</v>
      </c>
      <c r="AQ24" s="3">
        <f t="shared" si="67"/>
        <v>8.5534295884762704E-2</v>
      </c>
      <c r="AR24" s="3">
        <f t="shared" si="67"/>
        <v>5.9510293329676417E-2</v>
      </c>
      <c r="AS24" s="18" t="e">
        <f t="shared" si="67"/>
        <v>#DIV/0!</v>
      </c>
      <c r="AT24" s="18">
        <f t="shared" si="67"/>
        <v>0.20242499999999999</v>
      </c>
      <c r="AU24" s="3">
        <f t="shared" si="67"/>
        <v>0.89873175345969003</v>
      </c>
      <c r="AV24" s="3">
        <f t="shared" si="67"/>
        <v>0.61200756642536047</v>
      </c>
      <c r="AW24" s="18">
        <f t="shared" si="67"/>
        <v>9.5887500000000001E-2</v>
      </c>
      <c r="AX24" s="3">
        <f t="shared" si="67"/>
        <v>0.42629870966087891</v>
      </c>
      <c r="AY24" s="3">
        <f t="shared" si="67"/>
        <v>0.28836305020947145</v>
      </c>
      <c r="AZ24" s="123"/>
      <c r="BA24" s="18" t="e">
        <f t="shared" ref="BA24:BF24" si="68">AVERAGE(BA16:BA23)</f>
        <v>#DIV/0!</v>
      </c>
      <c r="BB24" s="18" t="e">
        <f t="shared" si="68"/>
        <v>#DIV/0!</v>
      </c>
      <c r="BC24" s="3" t="e">
        <f t="shared" si="68"/>
        <v>#DIV/0!</v>
      </c>
      <c r="BD24" s="18" t="e">
        <f t="shared" si="68"/>
        <v>#DIV/0!</v>
      </c>
      <c r="BE24" s="18" t="e">
        <f t="shared" si="68"/>
        <v>#DIV/0!</v>
      </c>
      <c r="BF24" s="3" t="e">
        <f t="shared" si="68"/>
        <v>#DIV/0!</v>
      </c>
      <c r="BG24"/>
      <c r="BH24" s="59">
        <f t="shared" ref="BH24:BM24" si="69">AVERAGE(BH16:BH22)</f>
        <v>19.328570000000003</v>
      </c>
      <c r="BI24" s="55">
        <f t="shared" si="69"/>
        <v>15.116667999999999</v>
      </c>
      <c r="BJ24" s="55">
        <f t="shared" si="69"/>
        <v>7.5200000000000005</v>
      </c>
      <c r="BK24" s="55">
        <f t="shared" si="69"/>
        <v>13.4</v>
      </c>
      <c r="BL24" s="88">
        <f t="shared" si="69"/>
        <v>6.1333320000000002</v>
      </c>
      <c r="BM24" s="59">
        <f t="shared" si="69"/>
        <v>0.156</v>
      </c>
      <c r="BN24" s="55">
        <f>AVERAGE(BN16:BN22)</f>
        <v>10.821350337206733</v>
      </c>
      <c r="BO24" s="55">
        <f>AVERAGE(BO16:BO22)</f>
        <v>39.200000000000003</v>
      </c>
      <c r="BP24" s="88">
        <f>AVERAGE(BP16:BP22)</f>
        <v>6.226604</v>
      </c>
      <c r="BQ24" s="123"/>
      <c r="BR24" s="59">
        <f t="shared" ref="BR24:BV24" si="70">AVERAGE(BR16:BR22)</f>
        <v>0.59285719999999997</v>
      </c>
      <c r="BS24" s="55">
        <f t="shared" si="70"/>
        <v>0.65</v>
      </c>
      <c r="BT24" s="55">
        <f t="shared" si="70"/>
        <v>0.26</v>
      </c>
      <c r="BU24" s="55">
        <f t="shared" si="70"/>
        <v>0.13333339999999999</v>
      </c>
      <c r="BV24" s="88">
        <f t="shared" si="70"/>
        <v>0.2</v>
      </c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</row>
    <row r="25" spans="1:180" s="10" customFormat="1" ht="16.350000000000001" customHeight="1">
      <c r="A25" s="123"/>
      <c r="B25" s="31"/>
      <c r="C25" s="3"/>
      <c r="D25" s="12"/>
      <c r="E25" s="12"/>
      <c r="F25" s="3" t="s">
        <v>45</v>
      </c>
      <c r="G25" s="88">
        <f t="shared" ref="G25" si="71">(STDEV(G16:G22)/(SQRT(COUNT(G16:G22))))</f>
        <v>2.3620349110931464E-2</v>
      </c>
      <c r="H25" s="18">
        <f t="shared" ref="H25:AY25" si="72">STDEV(H16:H23)/SQRT(COUNT(H16:H23))</f>
        <v>0.51747131563015136</v>
      </c>
      <c r="I25" s="3">
        <f t="shared" si="72"/>
        <v>0.51747131563015136</v>
      </c>
      <c r="J25" s="18">
        <f t="shared" si="72"/>
        <v>0.52246988122351545</v>
      </c>
      <c r="K25" s="3">
        <f t="shared" si="72"/>
        <v>0.54036611266278134</v>
      </c>
      <c r="L25" s="18">
        <f t="shared" si="72"/>
        <v>2.9650716686110599</v>
      </c>
      <c r="M25" s="3">
        <f t="shared" si="72"/>
        <v>10.885585249169619</v>
      </c>
      <c r="N25" s="18">
        <f t="shared" si="72"/>
        <v>0.14236522448567668</v>
      </c>
      <c r="O25" s="18">
        <f t="shared" si="72"/>
        <v>0.11429578638652553</v>
      </c>
      <c r="P25" s="3">
        <f t="shared" si="72"/>
        <v>0.13285919097243637</v>
      </c>
      <c r="Q25" s="20">
        <f t="shared" si="72"/>
        <v>3.2424452364089538</v>
      </c>
      <c r="R25" s="18">
        <f t="shared" si="72"/>
        <v>1.583392455036549</v>
      </c>
      <c r="S25" s="18">
        <f t="shared" si="72"/>
        <v>1.555877922946113</v>
      </c>
      <c r="T25" s="18">
        <f t="shared" si="72"/>
        <v>2.1348329364769176</v>
      </c>
      <c r="U25" s="18">
        <f t="shared" si="72"/>
        <v>265.84139540052269</v>
      </c>
      <c r="V25" s="18" t="e">
        <f t="shared" si="72"/>
        <v>#DIV/0!</v>
      </c>
      <c r="W25" s="18">
        <f t="shared" si="72"/>
        <v>8.0039052967909877E-2</v>
      </c>
      <c r="X25" s="3">
        <f t="shared" si="72"/>
        <v>3.7860316097328053E-4</v>
      </c>
      <c r="Y25" s="18">
        <f t="shared" si="72"/>
        <v>3.2462073681121653E-2</v>
      </c>
      <c r="Z25" s="3">
        <f t="shared" si="72"/>
        <v>0.11308043362880507</v>
      </c>
      <c r="AA25" s="18">
        <f t="shared" si="72"/>
        <v>3.9320540569965272E-3</v>
      </c>
      <c r="AB25" s="3">
        <f t="shared" si="72"/>
        <v>1.9204398802261158E-2</v>
      </c>
      <c r="AC25" s="18">
        <f t="shared" si="72"/>
        <v>0.25031230493126005</v>
      </c>
      <c r="AD25" s="3">
        <f t="shared" si="72"/>
        <v>1.2302856507589448E-3</v>
      </c>
      <c r="AE25" s="18">
        <f t="shared" si="72"/>
        <v>4.8887968684972437E-3</v>
      </c>
      <c r="AF25" s="3">
        <f t="shared" si="72"/>
        <v>0.18247537777889089</v>
      </c>
      <c r="AG25" s="18">
        <f t="shared" si="72"/>
        <v>2.8919839952135681E-3</v>
      </c>
      <c r="AH25" s="3">
        <f t="shared" si="72"/>
        <v>1.4439977525447593E-2</v>
      </c>
      <c r="AI25" s="18" t="e">
        <f t="shared" si="72"/>
        <v>#DIV/0!</v>
      </c>
      <c r="AJ25" s="18">
        <f t="shared" si="72"/>
        <v>6.750421613816838E-3</v>
      </c>
      <c r="AK25" s="3">
        <f t="shared" si="72"/>
        <v>3.1236539948956876E-2</v>
      </c>
      <c r="AL25" s="3">
        <f t="shared" si="72"/>
        <v>2.1916721849327137E-2</v>
      </c>
      <c r="AM25" s="18">
        <f t="shared" si="72"/>
        <v>9.0100823981486694E-3</v>
      </c>
      <c r="AN25" s="3">
        <f t="shared" si="72"/>
        <v>3.8485314771684223E-2</v>
      </c>
      <c r="AO25" s="3">
        <f t="shared" si="72"/>
        <v>2.8204339283668299E-2</v>
      </c>
      <c r="AP25" s="18">
        <f t="shared" si="72"/>
        <v>2.7008596515078025E-3</v>
      </c>
      <c r="AQ25" s="3">
        <f t="shared" si="72"/>
        <v>1.1030277825782321E-2</v>
      </c>
      <c r="AR25" s="3">
        <f t="shared" si="72"/>
        <v>9.1166131519763993E-3</v>
      </c>
      <c r="AS25" s="18" t="e">
        <f t="shared" si="72"/>
        <v>#DIV/0!</v>
      </c>
      <c r="AT25" s="18">
        <f t="shared" si="72"/>
        <v>1.6807797403926218E-2</v>
      </c>
      <c r="AU25" s="3">
        <f t="shared" si="72"/>
        <v>7.3156400566944557E-2</v>
      </c>
      <c r="AV25" s="3">
        <f t="shared" si="72"/>
        <v>5.4567872661636894E-2</v>
      </c>
      <c r="AW25" s="18">
        <f t="shared" si="72"/>
        <v>8.2966739785978565E-3</v>
      </c>
      <c r="AX25" s="3">
        <f t="shared" si="72"/>
        <v>3.7670169602731243E-2</v>
      </c>
      <c r="AY25" s="3">
        <f t="shared" si="72"/>
        <v>2.3203998266625128E-2</v>
      </c>
      <c r="AZ25" s="123"/>
      <c r="BA25" s="18" t="e">
        <f t="shared" ref="BA25:BF25" si="73">STDEV(BA16:BA23)/SQRT(COUNT(BA16:BA23))</f>
        <v>#DIV/0!</v>
      </c>
      <c r="BB25" s="18" t="e">
        <f t="shared" si="73"/>
        <v>#DIV/0!</v>
      </c>
      <c r="BC25" s="3" t="e">
        <f t="shared" si="73"/>
        <v>#DIV/0!</v>
      </c>
      <c r="BD25" s="18" t="e">
        <f t="shared" si="73"/>
        <v>#DIV/0!</v>
      </c>
      <c r="BE25" s="18" t="e">
        <f t="shared" si="73"/>
        <v>#DIV/0!</v>
      </c>
      <c r="BF25" s="3" t="e">
        <f t="shared" si="73"/>
        <v>#DIV/0!</v>
      </c>
      <c r="BG25"/>
      <c r="BH25" s="59">
        <f t="shared" ref="BH25:BM25" si="74">(STDEV(BH16:BH22)/(SQRT(COUNT(BH16:BH22))))</f>
        <v>3.0067616130913972</v>
      </c>
      <c r="BI25" s="55">
        <f t="shared" si="74"/>
        <v>2.3439641706591883</v>
      </c>
      <c r="BJ25" s="55">
        <f t="shared" si="74"/>
        <v>1.4374978260853111</v>
      </c>
      <c r="BK25" s="55">
        <f t="shared" si="74"/>
        <v>2.3247453385026944</v>
      </c>
      <c r="BL25" s="88">
        <f t="shared" si="74"/>
        <v>1.5405620835701495</v>
      </c>
      <c r="BM25" s="59">
        <f t="shared" si="74"/>
        <v>9.5634721728041855E-2</v>
      </c>
      <c r="BN25" s="55">
        <f>(STDEV(BN16:BN22)/(SQRT(COUNT(BN16:BN22))))</f>
        <v>1.1301389997319606</v>
      </c>
      <c r="BO25" s="55">
        <f>(STDEV(BO16:BO22)/(SQRT(COUNT(BO16:BO22))))</f>
        <v>5.9782940710540498</v>
      </c>
      <c r="BP25" s="88">
        <f>(STDEV(BP16:BP22)/(SQRT(COUNT(BP16:BP22))))</f>
        <v>1.8210867373263693</v>
      </c>
      <c r="BQ25" s="123"/>
      <c r="BR25" s="59">
        <f t="shared" ref="BR25:BV25" si="75">(STDEV(BR16:BR22)/(SQRT(COUNT(BR16:BR22))))</f>
        <v>9.1298799643478312E-2</v>
      </c>
      <c r="BS25" s="55">
        <f t="shared" si="75"/>
        <v>0.18333327272729302</v>
      </c>
      <c r="BT25" s="55">
        <f t="shared" si="75"/>
        <v>8.7177978870813494E-2</v>
      </c>
      <c r="BU25" s="55">
        <f t="shared" si="75"/>
        <v>0.13333339999999999</v>
      </c>
      <c r="BV25" s="88">
        <f t="shared" si="75"/>
        <v>0.13333375000351561</v>
      </c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</row>
    <row r="26" spans="1:180" s="10" customFormat="1" ht="16.350000000000001" customHeight="1">
      <c r="A26" s="123"/>
      <c r="B26" s="31"/>
      <c r="C26" s="3"/>
      <c r="D26" s="12"/>
      <c r="E26" s="12"/>
      <c r="F26" s="62" t="s">
        <v>300</v>
      </c>
      <c r="G26" s="62">
        <f t="shared" ref="G26" si="76">(100/G13)*G24</f>
        <v>92.431482149296812</v>
      </c>
      <c r="H26" s="63">
        <f>(100/H13)*H24</f>
        <v>101.07464354760752</v>
      </c>
      <c r="I26" s="62"/>
      <c r="J26" s="63">
        <f t="shared" ref="J26:P26" si="77">(100/J13)*J24</f>
        <v>103.92648340940562</v>
      </c>
      <c r="K26" s="62">
        <f t="shared" si="77"/>
        <v>119.94401085850012</v>
      </c>
      <c r="L26" s="63">
        <f t="shared" si="77"/>
        <v>97.136094674556205</v>
      </c>
      <c r="M26" s="62">
        <f t="shared" si="77"/>
        <v>96.838473789225517</v>
      </c>
      <c r="N26" s="63">
        <f t="shared" si="77"/>
        <v>100.09505703422053</v>
      </c>
      <c r="O26" s="63">
        <f t="shared" si="77"/>
        <v>99.226201913838821</v>
      </c>
      <c r="P26" s="62">
        <f t="shared" si="77"/>
        <v>99.496411168335456</v>
      </c>
      <c r="Q26" s="63">
        <f>(100/Q13)*Q24</f>
        <v>105.16383326034158</v>
      </c>
      <c r="R26" s="63">
        <f t="shared" ref="R26:V26" si="78">(100/R13)*R24</f>
        <v>104.09564624525179</v>
      </c>
      <c r="S26" s="63">
        <f t="shared" si="78"/>
        <v>105.61691504652394</v>
      </c>
      <c r="T26" s="63">
        <f t="shared" si="78"/>
        <v>109.13299992185665</v>
      </c>
      <c r="U26" s="63">
        <f t="shared" si="78"/>
        <v>85.351104494222056</v>
      </c>
      <c r="V26" s="63" t="e">
        <f t="shared" si="78"/>
        <v>#DIV/0!</v>
      </c>
      <c r="W26" s="63">
        <f t="shared" ref="W26:AE26" si="79">(100/W13)*W24</f>
        <v>98.561946902654896</v>
      </c>
      <c r="X26" s="62">
        <f t="shared" si="79"/>
        <v>95.287544174574933</v>
      </c>
      <c r="Y26" s="63">
        <f t="shared" si="79"/>
        <v>105.69262459697993</v>
      </c>
      <c r="Z26" s="62">
        <f t="shared" si="79"/>
        <v>101.9656643318573</v>
      </c>
      <c r="AA26" s="63">
        <f t="shared" si="79"/>
        <v>95.958563535911594</v>
      </c>
      <c r="AB26" s="62">
        <f t="shared" si="79"/>
        <v>92.387154485962242</v>
      </c>
      <c r="AC26" s="63">
        <f t="shared" si="79"/>
        <v>99.537037037037038</v>
      </c>
      <c r="AD26" s="62">
        <f t="shared" si="79"/>
        <v>95.605012540749286</v>
      </c>
      <c r="AE26" s="63">
        <f t="shared" si="79"/>
        <v>99.618780096308214</v>
      </c>
      <c r="AF26" s="62">
        <f>(100/AF13)*AF24</f>
        <v>95.952339292335608</v>
      </c>
      <c r="AG26" s="63">
        <f>(100/AG13)*AG24</f>
        <v>102.02925570055926</v>
      </c>
      <c r="AH26" s="64">
        <f>(100/AH13)*AH24</f>
        <v>97.936231813771983</v>
      </c>
      <c r="AI26" s="63" t="e">
        <f>(100/#REF!)*AI24</f>
        <v>#REF!</v>
      </c>
      <c r="AJ26" s="63">
        <f t="shared" ref="AJ26:AR26" si="80">(100/AJ13)*AJ24</f>
        <v>95.328866820840673</v>
      </c>
      <c r="AK26" s="62">
        <f t="shared" si="80"/>
        <v>91.415585927144861</v>
      </c>
      <c r="AL26" s="62">
        <f t="shared" si="80"/>
        <v>99.223038129825852</v>
      </c>
      <c r="AM26" s="63">
        <f t="shared" si="80"/>
        <v>102.06198079620239</v>
      </c>
      <c r="AN26" s="62">
        <f t="shared" si="80"/>
        <v>98.174105767724569</v>
      </c>
      <c r="AO26" s="62">
        <f t="shared" si="80"/>
        <v>106.08273282422894</v>
      </c>
      <c r="AP26" s="63">
        <f t="shared" si="80"/>
        <v>103.33530106257381</v>
      </c>
      <c r="AQ26" s="62">
        <f t="shared" si="80"/>
        <v>98.032056498263955</v>
      </c>
      <c r="AR26" s="62">
        <f t="shared" si="80"/>
        <v>108.81141691776982</v>
      </c>
      <c r="AS26" s="63" t="e">
        <f>(100/#REF!)*AS24</f>
        <v>#REF!</v>
      </c>
      <c r="AT26" s="63">
        <f t="shared" ref="AT26:AY26" si="81">(100/AT13)*AT24</f>
        <v>99.477175930981772</v>
      </c>
      <c r="AU26" s="62">
        <f t="shared" si="81"/>
        <v>95.441093397782893</v>
      </c>
      <c r="AV26" s="62">
        <f t="shared" si="81"/>
        <v>103.57612932498154</v>
      </c>
      <c r="AW26" s="63">
        <f t="shared" si="81"/>
        <v>103.16646742378961</v>
      </c>
      <c r="AX26" s="62">
        <f t="shared" si="81"/>
        <v>99.004676733518266</v>
      </c>
      <c r="AY26" s="64">
        <f t="shared" si="81"/>
        <v>105.95803330478128</v>
      </c>
      <c r="AZ26" s="123"/>
      <c r="BA26" s="63" t="e">
        <f>(100/#REF!)*BA24</f>
        <v>#REF!</v>
      </c>
      <c r="BB26" s="62" t="e">
        <f>(100/#REF!)*BB24</f>
        <v>#REF!</v>
      </c>
      <c r="BC26" s="64" t="e">
        <f>(100/#REF!)*BC24</f>
        <v>#REF!</v>
      </c>
      <c r="BD26" s="63" t="e">
        <f>(100/#REF!)*BD24</f>
        <v>#REF!</v>
      </c>
      <c r="BE26" s="62" t="e">
        <f>(100/#REF!)*BE24</f>
        <v>#REF!</v>
      </c>
      <c r="BF26" s="64" t="e">
        <f>(100/#REF!)*BF24</f>
        <v>#REF!</v>
      </c>
      <c r="BG26"/>
      <c r="BH26" s="63">
        <f>(100/BH13)*BH24</f>
        <v>113.28946799417641</v>
      </c>
      <c r="BI26" s="62">
        <f t="shared" ref="BI26:BP26" si="82">(100/BI13)*BI24</f>
        <v>109.76833609958507</v>
      </c>
      <c r="BJ26" s="62">
        <f t="shared" si="82"/>
        <v>103.21568627450982</v>
      </c>
      <c r="BK26" s="62">
        <f t="shared" si="82"/>
        <v>147.32983521833324</v>
      </c>
      <c r="BL26" s="62">
        <f t="shared" si="82"/>
        <v>127.52475000490098</v>
      </c>
      <c r="BM26" s="63">
        <f>(100/BM13)*BM24</f>
        <v>150.36144578313252</v>
      </c>
      <c r="BN26" s="62">
        <f t="shared" si="82"/>
        <v>83.034176851960325</v>
      </c>
      <c r="BO26" s="62">
        <f t="shared" si="82"/>
        <v>113.62318840579711</v>
      </c>
      <c r="BP26" s="64">
        <f t="shared" si="82"/>
        <v>198.18632226884458</v>
      </c>
      <c r="BQ26" s="123"/>
      <c r="BR26" s="63">
        <f>(100/BR13)*BR24</f>
        <v>106.11871230708451</v>
      </c>
      <c r="BS26" s="62">
        <f t="shared" ref="BS26:BV26" si="83">(100/BS13)*BS24</f>
        <v>143.53312302839117</v>
      </c>
      <c r="BT26" s="62">
        <f t="shared" si="83"/>
        <v>88.780487804878064</v>
      </c>
      <c r="BU26" s="62">
        <f t="shared" si="83"/>
        <v>93.333753335013341</v>
      </c>
      <c r="BV26" s="62">
        <f t="shared" si="83"/>
        <v>83.999832000336013</v>
      </c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</row>
    <row r="27" spans="1:180" s="22" customFormat="1" ht="16.350000000000001" customHeight="1">
      <c r="A27" s="124"/>
      <c r="B27" s="65"/>
      <c r="C27" s="65"/>
      <c r="D27" s="24"/>
      <c r="E27" s="65"/>
      <c r="F27" s="65"/>
      <c r="G27" s="65"/>
      <c r="H27" s="67"/>
      <c r="I27" s="65"/>
      <c r="J27" s="67"/>
      <c r="K27" s="28"/>
      <c r="L27" s="26"/>
      <c r="M27" s="28"/>
      <c r="N27" s="32"/>
      <c r="O27" s="30"/>
      <c r="P27" s="28"/>
      <c r="Q27" s="32"/>
      <c r="R27" s="32"/>
      <c r="S27" s="32"/>
      <c r="T27" s="32"/>
      <c r="U27" s="32"/>
      <c r="V27" s="32"/>
      <c r="W27" s="30"/>
      <c r="X27" s="28"/>
      <c r="Y27" s="30"/>
      <c r="AA27" s="30"/>
      <c r="AB27" s="28"/>
      <c r="AC27" s="30"/>
      <c r="AD27" s="28"/>
      <c r="AE27" s="30"/>
      <c r="AF27" s="28"/>
      <c r="AG27" s="30"/>
      <c r="AH27" s="28"/>
      <c r="AI27" s="30"/>
      <c r="AJ27" s="30"/>
      <c r="AL27" s="28"/>
      <c r="AM27" s="30"/>
      <c r="AO27" s="28"/>
      <c r="AP27" s="30"/>
      <c r="AR27" s="28"/>
      <c r="AS27" s="30"/>
      <c r="AT27" s="30"/>
      <c r="AV27" s="28"/>
      <c r="AW27" s="30"/>
      <c r="AY27" s="28"/>
      <c r="AZ27" s="124"/>
      <c r="BA27" s="30"/>
      <c r="BC27" s="28"/>
      <c r="BD27" s="30"/>
      <c r="BF27" s="28"/>
      <c r="BG27"/>
      <c r="BH27" s="30"/>
      <c r="BL27" s="28"/>
      <c r="BM27" s="30"/>
      <c r="BP27" s="28"/>
      <c r="BQ27" s="124"/>
      <c r="BR27" s="30"/>
      <c r="BV27" s="28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</row>
    <row r="28" spans="1:180" s="10" customFormat="1" ht="16.350000000000001" customHeight="1">
      <c r="A28" s="121" t="s">
        <v>389</v>
      </c>
      <c r="B28" s="10" t="s">
        <v>390</v>
      </c>
      <c r="C28" s="89">
        <v>42548</v>
      </c>
      <c r="D28" s="10" t="s">
        <v>22</v>
      </c>
      <c r="E28" s="10" t="s">
        <v>303</v>
      </c>
      <c r="F28" s="89">
        <v>43258</v>
      </c>
      <c r="G28" s="164">
        <v>0.59097222222222223</v>
      </c>
      <c r="H28" s="63">
        <v>19.850000000000001</v>
      </c>
      <c r="I28" s="64">
        <f>H37-H28</f>
        <v>-1.2055555555555557</v>
      </c>
      <c r="J28" s="63">
        <v>22.14</v>
      </c>
      <c r="K28" s="14">
        <f>J28-H28</f>
        <v>2.2899999999999991</v>
      </c>
      <c r="L28" s="13">
        <v>81.41</v>
      </c>
      <c r="M28" s="186">
        <v>298.51451589999999</v>
      </c>
      <c r="N28" s="15">
        <v>9</v>
      </c>
      <c r="O28" s="13">
        <v>14.281000000000001</v>
      </c>
      <c r="P28" s="14">
        <v>17.074999999999999</v>
      </c>
      <c r="Q28" s="15">
        <v>94.37</v>
      </c>
      <c r="R28" s="15">
        <v>14.42</v>
      </c>
      <c r="S28" s="15">
        <v>50.8</v>
      </c>
      <c r="T28" s="15">
        <v>27.58</v>
      </c>
      <c r="U28" s="15">
        <v>2467.5350787452699</v>
      </c>
      <c r="V28" s="15"/>
      <c r="W28" s="13">
        <v>1.2</v>
      </c>
      <c r="X28" s="14">
        <f>(100/J28)*(W28/1000)</f>
        <v>5.4200542005420045E-3</v>
      </c>
      <c r="Y28" s="13">
        <v>1.2057</v>
      </c>
      <c r="Z28" s="14">
        <f t="shared" ref="Z28:Z32" si="84">(100/J28)*Y28</f>
        <v>5.4457994579945801</v>
      </c>
      <c r="AA28" s="13">
        <v>0.14960000000000001</v>
      </c>
      <c r="AB28" s="14">
        <f t="shared" ref="AB28:AB32" si="85">(100/J28)*AA28</f>
        <v>0.67570009033423672</v>
      </c>
      <c r="AC28" s="13">
        <v>3.4</v>
      </c>
      <c r="AD28" s="14">
        <f>(100/J28)*(AC28/1000)</f>
        <v>1.5356820234869015E-2</v>
      </c>
      <c r="AE28" s="13">
        <v>6.5799999999999997E-2</v>
      </c>
      <c r="AF28" s="14">
        <f t="shared" ref="AF28:AF32" si="86">(1000/J28)*AE28</f>
        <v>2.9719963866305328</v>
      </c>
      <c r="AG28" s="13">
        <v>7.8299999999999995E-2</v>
      </c>
      <c r="AH28" s="14">
        <f t="shared" ref="AH28:AH32" si="87">(100/J28)*AG28</f>
        <v>0.35365853658536583</v>
      </c>
      <c r="AI28" s="13"/>
      <c r="AJ28" s="13">
        <v>7.3499999999999996E-2</v>
      </c>
      <c r="AK28" s="10">
        <f>(100/J28)*AJ28</f>
        <v>0.33197831978319781</v>
      </c>
      <c r="AL28" s="14">
        <f>(AJ28*1000)/M28</f>
        <v>0.24621918226791328</v>
      </c>
      <c r="AM28" s="13">
        <v>8.2500000000000004E-2</v>
      </c>
      <c r="AN28" s="10">
        <f>(100/J28)*AM28</f>
        <v>0.3726287262872629</v>
      </c>
      <c r="AO28" s="14">
        <f>(AM28*1000)/M28</f>
        <v>0.27636846989255576</v>
      </c>
      <c r="AP28" s="13">
        <v>1.6400000000000001E-2</v>
      </c>
      <c r="AQ28" s="10">
        <f>(100/J28)*AP28</f>
        <v>7.4074074074074084E-2</v>
      </c>
      <c r="AR28" s="14">
        <f>(AP28*1000)/M28</f>
        <v>5.4938701893792907E-2</v>
      </c>
      <c r="AS28" s="13"/>
      <c r="AT28" s="13">
        <f>AJ28+AM28+AP28</f>
        <v>0.1724</v>
      </c>
      <c r="AU28" s="10">
        <f>(100/J28)*AT28</f>
        <v>0.77868112014453472</v>
      </c>
      <c r="AV28" s="14">
        <f>(AT28*1000)/M28</f>
        <v>0.577526354054262</v>
      </c>
      <c r="AW28" s="13">
        <v>8.9599999999999999E-2</v>
      </c>
      <c r="AX28" s="10">
        <f>(100/J28)*AW28</f>
        <v>0.40469738030713642</v>
      </c>
      <c r="AY28" s="14">
        <f>(AW28*1000)/M28</f>
        <v>0.30015290790755145</v>
      </c>
      <c r="AZ28" s="123"/>
      <c r="BA28" s="13"/>
      <c r="BC28" s="14"/>
      <c r="BD28" s="13"/>
      <c r="BF28" s="14"/>
      <c r="BG28"/>
      <c r="BH28" s="13">
        <v>21</v>
      </c>
      <c r="BI28" s="10">
        <v>17</v>
      </c>
      <c r="BJ28" s="10">
        <v>8.4</v>
      </c>
      <c r="BK28" s="10">
        <v>12</v>
      </c>
      <c r="BL28" s="14">
        <v>6.5</v>
      </c>
      <c r="BM28" s="13">
        <v>0.26</v>
      </c>
      <c r="BN28">
        <v>11.383846017784496</v>
      </c>
      <c r="BO28">
        <v>26</v>
      </c>
      <c r="BP28">
        <v>2.1739130000000002</v>
      </c>
      <c r="BQ28" s="121" t="s">
        <v>389</v>
      </c>
      <c r="BR28" s="13">
        <v>0.28571400000000002</v>
      </c>
      <c r="BS28" s="10">
        <v>0.25</v>
      </c>
      <c r="BT28" s="10">
        <v>0.2</v>
      </c>
      <c r="BU28" s="10">
        <v>0</v>
      </c>
      <c r="BV28" s="14">
        <v>0</v>
      </c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</row>
    <row r="29" spans="1:180" s="10" customFormat="1" ht="16.350000000000001" customHeight="1">
      <c r="A29" s="121" t="s">
        <v>391</v>
      </c>
      <c r="B29" s="182" t="s">
        <v>392</v>
      </c>
      <c r="C29" s="89">
        <v>42548</v>
      </c>
      <c r="D29" s="10" t="s">
        <v>22</v>
      </c>
      <c r="E29" s="10" t="s">
        <v>303</v>
      </c>
      <c r="F29" s="89">
        <v>43258</v>
      </c>
      <c r="G29" s="164">
        <v>0.6479166666666667</v>
      </c>
      <c r="H29" s="63">
        <v>17.84</v>
      </c>
      <c r="I29" s="64">
        <f>H37-H29</f>
        <v>0.80444444444444585</v>
      </c>
      <c r="J29" s="63">
        <v>19.54</v>
      </c>
      <c r="K29" s="14">
        <f>J29-H29</f>
        <v>1.6999999999999993</v>
      </c>
      <c r="L29" s="13">
        <v>71.650000000000006</v>
      </c>
      <c r="M29" s="186">
        <v>265.11006450000002</v>
      </c>
      <c r="N29" s="15">
        <v>8.5</v>
      </c>
      <c r="O29" s="13">
        <v>13.972</v>
      </c>
      <c r="P29" s="14">
        <v>16.530999999999999</v>
      </c>
      <c r="Q29" s="15">
        <v>97.32</v>
      </c>
      <c r="R29" s="15">
        <v>10.32</v>
      </c>
      <c r="S29" s="15">
        <v>46.59</v>
      </c>
      <c r="T29" s="15">
        <v>42.88</v>
      </c>
      <c r="U29" s="15">
        <v>1734.8229046018801</v>
      </c>
      <c r="V29" s="15"/>
      <c r="W29" s="13">
        <v>1</v>
      </c>
      <c r="X29" s="14">
        <f>(100/J29)*(W29/1000)</f>
        <v>5.1177072671443197E-3</v>
      </c>
      <c r="Y29" s="13">
        <v>0.91290000000000004</v>
      </c>
      <c r="Z29" s="14">
        <f t="shared" si="84"/>
        <v>4.6719549641760496</v>
      </c>
      <c r="AA29" s="13">
        <v>0.18609999999999999</v>
      </c>
      <c r="AB29" s="14">
        <f t="shared" si="85"/>
        <v>0.95240532241555775</v>
      </c>
      <c r="AC29" s="13">
        <v>2.8</v>
      </c>
      <c r="AD29" s="14">
        <f>(100/J29)*(AC29/1000)</f>
        <v>1.4329580348004094E-2</v>
      </c>
      <c r="AE29" s="13">
        <v>4.2900000000000001E-2</v>
      </c>
      <c r="AF29" s="14">
        <f t="shared" si="86"/>
        <v>2.1954964176049132</v>
      </c>
      <c r="AG29" s="13">
        <v>7.7899999999999997E-2</v>
      </c>
      <c r="AH29" s="14">
        <f t="shared" si="87"/>
        <v>0.39866939611054247</v>
      </c>
      <c r="AI29" s="13"/>
      <c r="AJ29" s="13">
        <v>8.3900000000000002E-2</v>
      </c>
      <c r="AK29" s="10">
        <f t="shared" ref="AK29:AK30" si="88">(100/J29)*AJ29</f>
        <v>0.42937563971340842</v>
      </c>
      <c r="AL29" s="14">
        <f t="shared" ref="AL29:AL30" si="89">(AJ29*1000)/M29</f>
        <v>0.31647233068362063</v>
      </c>
      <c r="AM29" s="13">
        <v>7.5499999999999998E-2</v>
      </c>
      <c r="AN29" s="10">
        <f t="shared" ref="AN29:AN30" si="90">(100/J29)*AM29</f>
        <v>0.38638689866939607</v>
      </c>
      <c r="AO29" s="14">
        <f t="shared" ref="AO29:AO30" si="91">(AM29*1000)/M29</f>
        <v>0.28478737743281712</v>
      </c>
      <c r="AP29" s="13">
        <v>1.2200000000000001E-2</v>
      </c>
      <c r="AQ29" s="10">
        <f t="shared" ref="AQ29:AQ30" si="92">(100/J29)*AP29</f>
        <v>6.2436028659160703E-2</v>
      </c>
      <c r="AR29" s="14">
        <f t="shared" ref="AR29:AR30" si="93">(AP29*1000)/M29</f>
        <v>4.6018622578547941E-2</v>
      </c>
      <c r="AS29" s="13"/>
      <c r="AT29" s="13">
        <f t="shared" ref="AT29:AT30" si="94">AJ29+AM29+AP29</f>
        <v>0.17159999999999997</v>
      </c>
      <c r="AU29" s="10">
        <f t="shared" ref="AU29:AU30" si="95">(100/J29)*AT29</f>
        <v>0.87819856704196508</v>
      </c>
      <c r="AV29" s="14">
        <f t="shared" ref="AV29:AV30" si="96">(AT29*1000)/M29</f>
        <v>0.64727833069498553</v>
      </c>
      <c r="AW29" s="13">
        <v>9.1999999999999998E-2</v>
      </c>
      <c r="AX29" s="10">
        <f t="shared" ref="AX29:AX30" si="97">(100/J29)*AW29</f>
        <v>0.47082906857727735</v>
      </c>
      <c r="AY29" s="14">
        <f t="shared" ref="AY29:AY36" si="98">(AW29*1000)/M29</f>
        <v>0.34702567846118115</v>
      </c>
      <c r="AZ29" s="123"/>
      <c r="BA29" s="13"/>
      <c r="BC29" s="14"/>
      <c r="BD29" s="13"/>
      <c r="BF29" s="14"/>
      <c r="BG29"/>
      <c r="BH29" s="13">
        <v>12.57</v>
      </c>
      <c r="BI29" s="10">
        <v>9.67</v>
      </c>
      <c r="BJ29" s="10">
        <v>3</v>
      </c>
      <c r="BK29" s="10">
        <v>9</v>
      </c>
      <c r="BL29" s="14">
        <v>6.67</v>
      </c>
      <c r="BM29" s="13">
        <v>0.14000000000000001</v>
      </c>
      <c r="BN29">
        <v>9.3983703665398739</v>
      </c>
      <c r="BO29">
        <v>29</v>
      </c>
      <c r="BP29">
        <v>12.33333</v>
      </c>
      <c r="BQ29" s="121" t="s">
        <v>391</v>
      </c>
      <c r="BR29" s="13">
        <v>0.28571400000000002</v>
      </c>
      <c r="BS29" s="10">
        <v>0</v>
      </c>
      <c r="BT29" s="10">
        <v>0</v>
      </c>
      <c r="BU29" s="10">
        <v>0.33</v>
      </c>
      <c r="BV29" s="14">
        <v>0.33</v>
      </c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</row>
    <row r="30" spans="1:180" s="10" customFormat="1" ht="16.350000000000001" customHeight="1">
      <c r="A30" s="9" t="s">
        <v>393</v>
      </c>
      <c r="B30" s="231" t="s">
        <v>394</v>
      </c>
      <c r="C30" s="60"/>
      <c r="D30" s="12" t="s">
        <v>22</v>
      </c>
      <c r="E30" s="10" t="s">
        <v>303</v>
      </c>
      <c r="F30" s="11">
        <v>42411</v>
      </c>
      <c r="G30" s="164">
        <v>0.75347222222222221</v>
      </c>
      <c r="H30" s="63">
        <v>17.45</v>
      </c>
      <c r="I30" s="64">
        <f>H37-H30</f>
        <v>1.1944444444444464</v>
      </c>
      <c r="J30" s="63">
        <v>22.04</v>
      </c>
      <c r="K30" s="14">
        <f>J30-H30</f>
        <v>4.59</v>
      </c>
      <c r="L30" s="13">
        <v>78.799999999999983</v>
      </c>
      <c r="M30" s="86">
        <v>287.56584477073682</v>
      </c>
      <c r="N30" s="15">
        <v>8.8000000000000007</v>
      </c>
      <c r="O30" s="13">
        <v>14.212</v>
      </c>
      <c r="P30" s="14">
        <v>16.876999999999999</v>
      </c>
      <c r="Q30" s="15">
        <v>87.27</v>
      </c>
      <c r="R30" s="15">
        <v>10.92</v>
      </c>
      <c r="S30" s="15">
        <v>43.93</v>
      </c>
      <c r="T30" s="15">
        <v>30.01</v>
      </c>
      <c r="U30" s="15">
        <v>1433.1760087784501</v>
      </c>
      <c r="V30" s="15"/>
      <c r="W30" s="163"/>
      <c r="X30" s="232"/>
      <c r="Y30" s="13">
        <v>1.0443</v>
      </c>
      <c r="Z30" s="14">
        <f t="shared" si="84"/>
        <v>4.738203266787659</v>
      </c>
      <c r="AA30" s="13">
        <v>0.1227</v>
      </c>
      <c r="AB30" s="14">
        <f t="shared" si="85"/>
        <v>0.55671506352087119</v>
      </c>
      <c r="AC30" s="13">
        <v>2</v>
      </c>
      <c r="AD30" s="14">
        <f>(100/J30)*(AC30/1000)</f>
        <v>9.0744101633393835E-3</v>
      </c>
      <c r="AE30" s="13">
        <v>4.58E-2</v>
      </c>
      <c r="AF30" s="14">
        <f t="shared" si="86"/>
        <v>2.0780399274047188</v>
      </c>
      <c r="AG30" s="13">
        <v>7.9799999999999996E-2</v>
      </c>
      <c r="AH30" s="14">
        <f t="shared" si="87"/>
        <v>0.36206896551724138</v>
      </c>
      <c r="AI30" s="13"/>
      <c r="AJ30" s="13">
        <v>9.4100000000000003E-2</v>
      </c>
      <c r="AK30" s="10">
        <f t="shared" si="88"/>
        <v>0.426950998185118</v>
      </c>
      <c r="AL30" s="14">
        <f t="shared" si="89"/>
        <v>0.32722940401709272</v>
      </c>
      <c r="AM30" s="13">
        <v>9.3399999999999997E-2</v>
      </c>
      <c r="AN30" s="10">
        <f t="shared" si="90"/>
        <v>0.42377495462794917</v>
      </c>
      <c r="AO30" s="14">
        <f t="shared" si="91"/>
        <v>0.32479517890750748</v>
      </c>
      <c r="AP30" s="13">
        <v>1.41E-2</v>
      </c>
      <c r="AQ30" s="10">
        <f t="shared" si="92"/>
        <v>6.397459165154265E-2</v>
      </c>
      <c r="AR30" s="14">
        <f t="shared" si="93"/>
        <v>4.9032248635929934E-2</v>
      </c>
      <c r="AS30" s="13"/>
      <c r="AT30" s="13">
        <f t="shared" si="94"/>
        <v>0.2016</v>
      </c>
      <c r="AU30" s="10">
        <f t="shared" si="95"/>
        <v>0.9147005444646098</v>
      </c>
      <c r="AV30" s="14">
        <f t="shared" si="96"/>
        <v>0.70105683156053011</v>
      </c>
      <c r="AW30" s="13">
        <v>6.8099999999999994E-2</v>
      </c>
      <c r="AX30" s="10">
        <f t="shared" si="97"/>
        <v>0.30898366606170596</v>
      </c>
      <c r="AY30" s="14">
        <f t="shared" si="98"/>
        <v>0.23681532851821477</v>
      </c>
      <c r="AZ30" s="123"/>
      <c r="BA30" s="13"/>
      <c r="BC30" s="14"/>
      <c r="BD30" s="13"/>
      <c r="BF30" s="14"/>
      <c r="BG30"/>
      <c r="BH30" s="13">
        <v>20.25</v>
      </c>
      <c r="BI30" s="10">
        <v>20.25</v>
      </c>
      <c r="BJ30" s="10">
        <v>8.8000000000000007</v>
      </c>
      <c r="BK30" s="10">
        <v>7</v>
      </c>
      <c r="BL30" s="14">
        <v>5.33</v>
      </c>
      <c r="BM30" s="13">
        <v>-0.03</v>
      </c>
      <c r="BN30">
        <v>7.312572695837928</v>
      </c>
      <c r="BO30">
        <v>27</v>
      </c>
      <c r="BP30">
        <v>7</v>
      </c>
      <c r="BQ30" s="123" t="s">
        <v>393</v>
      </c>
      <c r="BR30" s="13">
        <v>0.25</v>
      </c>
      <c r="BS30" s="10">
        <v>0.25</v>
      </c>
      <c r="BT30" s="10">
        <v>0.2</v>
      </c>
      <c r="BU30" s="10">
        <v>0</v>
      </c>
      <c r="BV30" s="14">
        <v>0</v>
      </c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</row>
    <row r="31" spans="1:180" s="10" customFormat="1" ht="16.350000000000001" customHeight="1">
      <c r="A31" s="256" t="s">
        <v>409</v>
      </c>
      <c r="B31" s="62" t="s">
        <v>410</v>
      </c>
      <c r="C31" s="11" t="s">
        <v>308</v>
      </c>
      <c r="D31" s="12" t="s">
        <v>22</v>
      </c>
      <c r="E31" s="10" t="s">
        <v>303</v>
      </c>
      <c r="F31" s="11" t="s">
        <v>309</v>
      </c>
      <c r="G31" s="164">
        <v>0.49444444444444446</v>
      </c>
      <c r="H31" s="63">
        <v>20.97</v>
      </c>
      <c r="I31" s="64">
        <f>H37-H31</f>
        <v>-2.3255555555555532</v>
      </c>
      <c r="J31" s="63">
        <v>20.77</v>
      </c>
      <c r="K31" s="14">
        <f t="shared" ref="K31:K32" si="99">J31-H31</f>
        <v>-0.19999999999999929</v>
      </c>
      <c r="L31" s="13">
        <v>77.98</v>
      </c>
      <c r="M31" s="86">
        <v>285.19</v>
      </c>
      <c r="N31" s="15">
        <v>8.6999999999999993</v>
      </c>
      <c r="O31" s="13">
        <v>14.061</v>
      </c>
      <c r="P31" s="14">
        <v>16.809000000000001</v>
      </c>
      <c r="Q31" s="15">
        <v>74.239999999999995</v>
      </c>
      <c r="R31" s="15">
        <v>8.1</v>
      </c>
      <c r="S31" s="15">
        <v>39.44</v>
      </c>
      <c r="T31" s="15">
        <v>26.06</v>
      </c>
      <c r="U31" s="15">
        <v>1749.3719337807202</v>
      </c>
      <c r="V31" s="15"/>
      <c r="W31" s="13">
        <v>1</v>
      </c>
      <c r="X31" s="14">
        <f t="shared" ref="X31:X36" si="100">(100/J31)*(W31/1000)</f>
        <v>4.8146364949446319E-3</v>
      </c>
      <c r="Y31" s="13">
        <v>1.2330000000000001</v>
      </c>
      <c r="Z31" s="14">
        <f t="shared" si="84"/>
        <v>5.9364467982667319</v>
      </c>
      <c r="AA31" s="13">
        <v>0.1321</v>
      </c>
      <c r="AB31" s="14">
        <f t="shared" si="85"/>
        <v>0.63601348098218591</v>
      </c>
      <c r="AC31" s="13">
        <v>2</v>
      </c>
      <c r="AD31" s="14">
        <f t="shared" ref="AD31:AD32" si="101">(100/J31)*(AC31/1000)</f>
        <v>9.6292729898892638E-3</v>
      </c>
      <c r="AE31" s="13">
        <v>5.3100000000000001E-2</v>
      </c>
      <c r="AF31" s="14">
        <f t="shared" si="86"/>
        <v>2.5565719788155996</v>
      </c>
      <c r="AG31" s="13">
        <v>7.5999999999999998E-2</v>
      </c>
      <c r="AH31" s="14">
        <f t="shared" si="87"/>
        <v>0.36591237361579204</v>
      </c>
      <c r="AI31" s="13"/>
      <c r="AJ31" s="13">
        <v>0.1056</v>
      </c>
      <c r="AK31" s="10">
        <f t="shared" ref="AK31" si="102">(100/J31)*AJ31</f>
        <v>0.50842561386615315</v>
      </c>
      <c r="AL31" s="14">
        <f t="shared" ref="AL31" si="103">(AJ31*1000)/M31</f>
        <v>0.37027946281426416</v>
      </c>
      <c r="AM31" s="13">
        <v>7.6100000000000001E-2</v>
      </c>
      <c r="AN31" s="10">
        <f t="shared" ref="AN31" si="104">(100/J31)*AM31</f>
        <v>0.36639383726528651</v>
      </c>
      <c r="AO31" s="14">
        <f t="shared" ref="AO31" si="105">(AM31*1000)/M31</f>
        <v>0.26683965075914301</v>
      </c>
      <c r="AP31" s="13">
        <v>1.5299999999999999E-2</v>
      </c>
      <c r="AQ31" s="10">
        <f t="shared" ref="AQ31" si="106">(100/J31)*AP31</f>
        <v>7.3663938372652865E-2</v>
      </c>
      <c r="AR31" s="14">
        <f t="shared" ref="AR31" si="107">(AP31*1000)/M31</f>
        <v>5.3648444896384866E-2</v>
      </c>
      <c r="AS31" s="13"/>
      <c r="AT31" s="13">
        <f t="shared" ref="AT31" si="108">AJ31+AM31+AP31</f>
        <v>0.19700000000000001</v>
      </c>
      <c r="AU31" s="10">
        <f t="shared" ref="AU31" si="109">(100/J31)*AT31</f>
        <v>0.94848338950409261</v>
      </c>
      <c r="AV31" s="14">
        <f t="shared" ref="AV31" si="110">(AT31*1000)/M31</f>
        <v>0.6907675584697921</v>
      </c>
      <c r="AW31" s="13">
        <v>8.8800000000000004E-2</v>
      </c>
      <c r="AX31" s="10">
        <f t="shared" ref="AX31" si="111">(100/J31)*AW31</f>
        <v>0.42753972075108337</v>
      </c>
      <c r="AY31" s="14">
        <f t="shared" si="98"/>
        <v>0.31137136645744939</v>
      </c>
      <c r="AZ31" s="123"/>
      <c r="BA31" s="13"/>
      <c r="BC31" s="14"/>
      <c r="BD31" s="13"/>
      <c r="BF31" s="14"/>
      <c r="BG31"/>
      <c r="BH31" s="13">
        <v>25</v>
      </c>
      <c r="BI31" s="10">
        <v>21.5</v>
      </c>
      <c r="BJ31" s="10">
        <v>10.4</v>
      </c>
      <c r="BK31" s="10">
        <v>13.5</v>
      </c>
      <c r="BL31" s="14">
        <v>5</v>
      </c>
      <c r="BM31" s="13">
        <v>0.06</v>
      </c>
      <c r="BN31">
        <v>7.9027333844449226</v>
      </c>
      <c r="BO31">
        <v>31</v>
      </c>
      <c r="BP31">
        <v>5.5714290000000002</v>
      </c>
      <c r="BQ31" s="123" t="s">
        <v>409</v>
      </c>
      <c r="BR31" s="13">
        <v>1.285714</v>
      </c>
      <c r="BS31" s="10">
        <v>0</v>
      </c>
      <c r="BT31" s="266">
        <v>1.6</v>
      </c>
      <c r="BU31" s="10">
        <v>0.5</v>
      </c>
      <c r="BV31" s="14">
        <v>0</v>
      </c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</row>
    <row r="32" spans="1:180" s="10" customFormat="1" ht="16.350000000000001" customHeight="1">
      <c r="A32" s="256" t="s">
        <v>395</v>
      </c>
      <c r="B32" s="62" t="s">
        <v>396</v>
      </c>
      <c r="C32" s="11" t="s">
        <v>397</v>
      </c>
      <c r="D32" s="12" t="s">
        <v>22</v>
      </c>
      <c r="E32" s="10" t="s">
        <v>303</v>
      </c>
      <c r="F32" s="11" t="s">
        <v>309</v>
      </c>
      <c r="G32" s="164">
        <v>0.62152777777777779</v>
      </c>
      <c r="H32" s="63">
        <v>18.670000000000002</v>
      </c>
      <c r="I32" s="64">
        <f>H37-H32</f>
        <v>-2.5555555555555998E-2</v>
      </c>
      <c r="J32" s="63">
        <v>21.37</v>
      </c>
      <c r="K32" s="14">
        <f t="shared" si="99"/>
        <v>2.6999999999999993</v>
      </c>
      <c r="L32" s="13">
        <v>80.22</v>
      </c>
      <c r="M32" s="86">
        <v>293.27</v>
      </c>
      <c r="N32" s="15">
        <v>8.6999999999999993</v>
      </c>
      <c r="O32" s="13">
        <v>14.101000000000001</v>
      </c>
      <c r="P32" s="14">
        <v>17.082000000000001</v>
      </c>
      <c r="Q32" s="15">
        <v>93.17</v>
      </c>
      <c r="R32" s="15">
        <v>7.53</v>
      </c>
      <c r="S32" s="15">
        <v>46.47</v>
      </c>
      <c r="T32" s="15">
        <v>40.26</v>
      </c>
      <c r="U32" s="15">
        <v>1266.6440901123999</v>
      </c>
      <c r="V32" s="15"/>
      <c r="W32" s="13">
        <v>0.9</v>
      </c>
      <c r="X32" s="14">
        <f t="shared" si="100"/>
        <v>4.2115114646700978E-3</v>
      </c>
      <c r="Y32" s="13">
        <v>0.89900000000000002</v>
      </c>
      <c r="Z32" s="14">
        <f t="shared" si="84"/>
        <v>4.2068320074871313</v>
      </c>
      <c r="AA32" s="13">
        <v>0.16880000000000001</v>
      </c>
      <c r="AB32" s="14">
        <f t="shared" si="85"/>
        <v>0.78989237248479172</v>
      </c>
      <c r="AC32" s="13">
        <v>3.1</v>
      </c>
      <c r="AD32" s="14">
        <f t="shared" si="101"/>
        <v>1.4506317267197004E-2</v>
      </c>
      <c r="AE32" s="13">
        <v>3.7199999999999997E-2</v>
      </c>
      <c r="AF32" s="14">
        <f t="shared" si="86"/>
        <v>1.7407580720636404</v>
      </c>
      <c r="AG32" s="13">
        <v>6.2700000000000006E-2</v>
      </c>
      <c r="AH32" s="14">
        <f t="shared" si="87"/>
        <v>0.29340196537201685</v>
      </c>
      <c r="AI32" s="13"/>
      <c r="AJ32" s="13">
        <v>0.1203</v>
      </c>
      <c r="AK32" s="10">
        <f t="shared" ref="AK32:AK36" si="112">(100/J32)*AJ32</f>
        <v>0.56293869911090311</v>
      </c>
      <c r="AL32" s="14">
        <f t="shared" ref="AL32:AL36" si="113">(AJ32*1000)/M32</f>
        <v>0.4102022027483207</v>
      </c>
      <c r="AM32" s="13">
        <v>8.8499999999999995E-2</v>
      </c>
      <c r="AN32" s="10">
        <f t="shared" ref="AN32:AN36" si="114">(100/J32)*AM32</f>
        <v>0.41413196069255959</v>
      </c>
      <c r="AO32" s="14">
        <f t="shared" ref="AO32:AO36" si="115">(AM32*1000)/M32</f>
        <v>0.30176970027619604</v>
      </c>
      <c r="AP32" s="13">
        <v>2.1999999999999999E-2</v>
      </c>
      <c r="AQ32" s="10">
        <f t="shared" ref="AQ32:AQ36" si="116">(100/J32)*AP32</f>
        <v>0.10294805802526905</v>
      </c>
      <c r="AR32" s="14">
        <f t="shared" ref="AR32:AR36" si="117">(AP32*1000)/M32</f>
        <v>7.501619667882839E-2</v>
      </c>
      <c r="AS32" s="13"/>
      <c r="AT32" s="13">
        <f t="shared" ref="AT32:AT36" si="118">AJ32+AM32+AP32</f>
        <v>0.23079999999999998</v>
      </c>
      <c r="AU32" s="10">
        <f t="shared" ref="AU32:AU36" si="119">(100/J32)*AT32</f>
        <v>1.0800187178287317</v>
      </c>
      <c r="AV32" s="14">
        <f t="shared" ref="AV32:AV36" si="120">(AT32*1000)/M32</f>
        <v>0.78698809970334505</v>
      </c>
      <c r="AW32" s="13">
        <v>0.1076</v>
      </c>
      <c r="AX32" s="10">
        <f t="shared" ref="AX32:AX36" si="121">(100/J32)*AW32</f>
        <v>0.50350959288722508</v>
      </c>
      <c r="AY32" s="14">
        <f t="shared" si="98"/>
        <v>0.3668973983019061</v>
      </c>
      <c r="AZ32" s="123"/>
      <c r="BA32" s="13"/>
      <c r="BC32" s="14"/>
      <c r="BD32" s="13"/>
      <c r="BF32" s="14"/>
      <c r="BG32"/>
      <c r="BH32" s="13">
        <v>21.71</v>
      </c>
      <c r="BI32" s="10">
        <v>20.67</v>
      </c>
      <c r="BJ32" s="10">
        <v>11.75</v>
      </c>
      <c r="BK32" s="10">
        <v>13</v>
      </c>
      <c r="BL32" s="14">
        <v>1.33</v>
      </c>
      <c r="BM32" s="13">
        <v>-0.14000000000000001</v>
      </c>
      <c r="BN32">
        <v>6.0645781583818632</v>
      </c>
      <c r="BO32">
        <v>25</v>
      </c>
      <c r="BP32">
        <v>7.75</v>
      </c>
      <c r="BQ32" s="123" t="s">
        <v>395</v>
      </c>
      <c r="BR32" s="13">
        <v>0.42857099999999998</v>
      </c>
      <c r="BS32" s="10">
        <v>0</v>
      </c>
      <c r="BT32" s="10">
        <v>0</v>
      </c>
      <c r="BU32" s="10">
        <v>1</v>
      </c>
      <c r="BV32" s="14">
        <v>0</v>
      </c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</row>
    <row r="33" spans="1:180" s="10" customFormat="1" ht="16.350000000000001" customHeight="1">
      <c r="A33" s="123" t="s">
        <v>398</v>
      </c>
      <c r="B33" s="12" t="s">
        <v>399</v>
      </c>
      <c r="C33" s="305">
        <v>42989</v>
      </c>
      <c r="D33" s="12" t="s">
        <v>22</v>
      </c>
      <c r="E33" s="10" t="s">
        <v>303</v>
      </c>
      <c r="F33" s="11" t="s">
        <v>291</v>
      </c>
      <c r="G33" s="164">
        <v>0.54791666666666672</v>
      </c>
      <c r="H33" s="63">
        <v>19.45</v>
      </c>
      <c r="I33" s="64">
        <f>H37-H33</f>
        <v>-0.80555555555555358</v>
      </c>
      <c r="J33" s="63">
        <v>22.01</v>
      </c>
      <c r="K33" s="14">
        <f t="shared" ref="K33:K36" si="122">J33-H33</f>
        <v>2.5600000000000023</v>
      </c>
      <c r="L33" s="13">
        <v>93.099999999999909</v>
      </c>
      <c r="M33" s="86">
        <v>338.44116023175718</v>
      </c>
      <c r="N33" s="15">
        <v>8.9</v>
      </c>
      <c r="O33" s="13">
        <v>14.535</v>
      </c>
      <c r="P33" s="14">
        <v>17.138999999999999</v>
      </c>
      <c r="Q33" s="15">
        <v>77.38</v>
      </c>
      <c r="R33" s="15">
        <v>12.94</v>
      </c>
      <c r="S33" s="15">
        <v>36.82</v>
      </c>
      <c r="T33" s="15">
        <v>29.85</v>
      </c>
      <c r="U33" s="387"/>
      <c r="V33" s="15"/>
      <c r="W33" s="13">
        <v>1.1000000000000001</v>
      </c>
      <c r="X33" s="14">
        <f t="shared" si="100"/>
        <v>4.9977283053157648E-3</v>
      </c>
      <c r="Y33" s="13">
        <v>1.2343999999999999</v>
      </c>
      <c r="Z33" s="14">
        <f t="shared" ref="Z33:Z36" si="123">(100/J33)*Y33</f>
        <v>5.6083598364379812</v>
      </c>
      <c r="AA33" s="13">
        <v>0.14899999999999999</v>
      </c>
      <c r="AB33" s="14">
        <f t="shared" ref="AB33:AB36" si="124">(100/J33)*AA33</f>
        <v>0.67696501590186264</v>
      </c>
      <c r="AC33" s="13">
        <v>2.1</v>
      </c>
      <c r="AD33" s="14">
        <f t="shared" ref="AD33:AD36" si="125">(100/J33)*(AC33/1000)</f>
        <v>9.5411176737846427E-3</v>
      </c>
      <c r="AE33" s="13">
        <v>7.0400000000000004E-2</v>
      </c>
      <c r="AF33" s="14">
        <f t="shared" ref="AF33:AF36" si="126">(1000/J33)*AE33</f>
        <v>3.19854611540209</v>
      </c>
      <c r="AG33" s="13">
        <v>7.8399999999999997E-2</v>
      </c>
      <c r="AH33" s="14">
        <f t="shared" ref="AH33:AH36" si="127">(100/J33)*AG33</f>
        <v>0.35620172648795995</v>
      </c>
      <c r="AI33" s="13"/>
      <c r="AJ33" s="13">
        <v>0.1183</v>
      </c>
      <c r="AK33" s="10">
        <f t="shared" si="112"/>
        <v>0.53748296228986814</v>
      </c>
      <c r="AL33" s="14">
        <f t="shared" si="113"/>
        <v>0.34954377274617165</v>
      </c>
      <c r="AM33" s="13">
        <v>0.121</v>
      </c>
      <c r="AN33" s="10">
        <f t="shared" si="114"/>
        <v>0.54975011358473413</v>
      </c>
      <c r="AO33" s="14">
        <f t="shared" si="115"/>
        <v>0.35752152580124064</v>
      </c>
      <c r="AP33" s="13">
        <v>0.04</v>
      </c>
      <c r="AQ33" s="10">
        <f t="shared" si="116"/>
        <v>0.1817355747387551</v>
      </c>
      <c r="AR33" s="14">
        <f t="shared" si="117"/>
        <v>0.11818893414917046</v>
      </c>
      <c r="AS33" s="13"/>
      <c r="AT33" s="13">
        <f t="shared" si="118"/>
        <v>0.27929999999999999</v>
      </c>
      <c r="AU33" s="10">
        <f t="shared" si="119"/>
        <v>1.2689686506133573</v>
      </c>
      <c r="AV33" s="14">
        <f t="shared" si="120"/>
        <v>0.82525423269658282</v>
      </c>
      <c r="AW33" s="13">
        <v>9.6000000000000002E-2</v>
      </c>
      <c r="AX33" s="10">
        <f t="shared" si="121"/>
        <v>0.4361653793730122</v>
      </c>
      <c r="AY33" s="14">
        <f t="shared" si="98"/>
        <v>0.28365344195800912</v>
      </c>
      <c r="AZ33" s="123"/>
      <c r="BA33" s="13"/>
      <c r="BC33" s="14"/>
      <c r="BD33" s="13"/>
      <c r="BF33" s="14"/>
      <c r="BG33"/>
      <c r="BH33" s="13"/>
      <c r="BL33" s="14"/>
      <c r="BM33" s="13"/>
      <c r="BP33" s="14"/>
      <c r="BQ33" s="123"/>
      <c r="BR33" s="13"/>
      <c r="BV33" s="14"/>
      <c r="BW33" s="10" t="s">
        <v>725</v>
      </c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</row>
    <row r="34" spans="1:180" s="10" customFormat="1" ht="16.350000000000001" customHeight="1">
      <c r="A34" s="123" t="s">
        <v>400</v>
      </c>
      <c r="B34" s="62" t="s">
        <v>401</v>
      </c>
      <c r="C34" s="11">
        <v>43165</v>
      </c>
      <c r="D34" s="12" t="s">
        <v>22</v>
      </c>
      <c r="E34" s="10" t="s">
        <v>303</v>
      </c>
      <c r="F34" s="11">
        <v>43203</v>
      </c>
      <c r="G34" s="164">
        <v>0.51736111111111105</v>
      </c>
      <c r="H34" s="63">
        <v>18.920000000000002</v>
      </c>
      <c r="I34" s="64">
        <f>H37-H34</f>
        <v>-0.275555555555556</v>
      </c>
      <c r="J34" s="63">
        <v>23.3</v>
      </c>
      <c r="K34" s="14">
        <f t="shared" si="122"/>
        <v>4.379999999999999</v>
      </c>
      <c r="L34" s="13">
        <v>74.900000000000077</v>
      </c>
      <c r="M34" s="86">
        <v>273.80935548755389</v>
      </c>
      <c r="N34" s="15">
        <v>8.8000000000000007</v>
      </c>
      <c r="O34" s="13">
        <v>14.901999999999999</v>
      </c>
      <c r="P34" s="14">
        <v>17.425999999999998</v>
      </c>
      <c r="Q34" s="15">
        <v>93.33</v>
      </c>
      <c r="R34" s="15">
        <v>9.2200000000000006</v>
      </c>
      <c r="S34" s="15">
        <v>45.21</v>
      </c>
      <c r="T34" s="15">
        <v>39.28</v>
      </c>
      <c r="U34" s="15">
        <v>3638.3370687943998</v>
      </c>
      <c r="V34" s="15"/>
      <c r="W34" s="13">
        <v>1.2</v>
      </c>
      <c r="X34" s="14">
        <f t="shared" si="100"/>
        <v>5.1502145922746774E-3</v>
      </c>
      <c r="Y34" s="13">
        <v>1.3005</v>
      </c>
      <c r="Z34" s="14">
        <f t="shared" si="123"/>
        <v>5.5815450643776821</v>
      </c>
      <c r="AA34" s="13">
        <v>0.14460000000000001</v>
      </c>
      <c r="AB34" s="14">
        <f t="shared" si="124"/>
        <v>0.62060085836909873</v>
      </c>
      <c r="AC34" s="13">
        <v>2.9</v>
      </c>
      <c r="AD34" s="14">
        <f t="shared" si="125"/>
        <v>1.2446351931330471E-2</v>
      </c>
      <c r="AE34" s="13">
        <v>7.1900000000000006E-2</v>
      </c>
      <c r="AF34" s="14">
        <f t="shared" si="126"/>
        <v>3.0858369098712446</v>
      </c>
      <c r="AG34" s="13">
        <v>7.51E-2</v>
      </c>
      <c r="AH34" s="14">
        <f t="shared" si="127"/>
        <v>0.32231759656652359</v>
      </c>
      <c r="AI34" s="13"/>
      <c r="AJ34" s="13">
        <v>9.5799999999999996E-2</v>
      </c>
      <c r="AK34" s="10">
        <f t="shared" si="112"/>
        <v>0.41115879828326174</v>
      </c>
      <c r="AL34" s="14">
        <f t="shared" si="113"/>
        <v>0.34987847595424704</v>
      </c>
      <c r="AM34" s="13">
        <v>0.1129</v>
      </c>
      <c r="AN34" s="10">
        <f t="shared" si="114"/>
        <v>0.48454935622317591</v>
      </c>
      <c r="AO34" s="14">
        <f t="shared" si="115"/>
        <v>0.41233068825923269</v>
      </c>
      <c r="AP34" s="13">
        <v>1.9599999999999999E-2</v>
      </c>
      <c r="AQ34" s="10">
        <f t="shared" si="116"/>
        <v>8.412017167381973E-2</v>
      </c>
      <c r="AR34" s="14">
        <f t="shared" si="117"/>
        <v>7.1582652700451374E-2</v>
      </c>
      <c r="AS34" s="13"/>
      <c r="AT34" s="13">
        <f t="shared" si="118"/>
        <v>0.2283</v>
      </c>
      <c r="AU34" s="10">
        <f t="shared" si="119"/>
        <v>0.9798283261802575</v>
      </c>
      <c r="AV34" s="14">
        <f t="shared" si="120"/>
        <v>0.83379181691393112</v>
      </c>
      <c r="AW34" s="13">
        <v>0.1087</v>
      </c>
      <c r="AX34" s="10">
        <f t="shared" si="121"/>
        <v>0.46652360515021457</v>
      </c>
      <c r="AY34" s="14">
        <f t="shared" si="98"/>
        <v>0.39699154839485024</v>
      </c>
      <c r="AZ34" s="123"/>
      <c r="BA34" s="13"/>
      <c r="BC34" s="14"/>
      <c r="BD34" s="13"/>
      <c r="BF34" s="14"/>
      <c r="BG34"/>
      <c r="BH34" s="13"/>
      <c r="BL34" s="14"/>
      <c r="BM34" s="13"/>
      <c r="BP34" s="14"/>
      <c r="BQ34" s="123"/>
      <c r="BR34" s="13"/>
      <c r="BV34" s="14"/>
      <c r="BW34" s="10" t="s">
        <v>725</v>
      </c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</row>
    <row r="35" spans="1:180" s="10" customFormat="1" ht="16.350000000000001" customHeight="1">
      <c r="A35" s="9" t="s">
        <v>402</v>
      </c>
      <c r="B35" s="63" t="s">
        <v>403</v>
      </c>
      <c r="C35" s="142">
        <v>43705</v>
      </c>
      <c r="D35" s="12" t="s">
        <v>22</v>
      </c>
      <c r="E35" s="10" t="s">
        <v>303</v>
      </c>
      <c r="F35" s="11">
        <v>43742</v>
      </c>
      <c r="G35" s="164">
        <v>0.58333333333333337</v>
      </c>
      <c r="H35" s="63">
        <v>17.739999999999998</v>
      </c>
      <c r="I35" s="64">
        <f>H37-H35</f>
        <v>0.90444444444444727</v>
      </c>
      <c r="J35" s="63">
        <v>23.34</v>
      </c>
      <c r="K35" s="14">
        <f t="shared" si="122"/>
        <v>5.6000000000000014</v>
      </c>
      <c r="L35" s="13">
        <v>82.950000000000159</v>
      </c>
      <c r="M35" s="86">
        <v>303.32747115148464</v>
      </c>
      <c r="N35" s="13">
        <v>8.5</v>
      </c>
      <c r="O35" s="13">
        <v>14.16</v>
      </c>
      <c r="P35" s="14">
        <v>17.026</v>
      </c>
      <c r="Q35" s="15"/>
      <c r="R35" s="15"/>
      <c r="S35" s="15"/>
      <c r="T35" s="15"/>
      <c r="U35" s="13">
        <v>1976.3803577767101</v>
      </c>
      <c r="V35" s="13"/>
      <c r="W35" s="13">
        <v>0.9</v>
      </c>
      <c r="X35" s="14">
        <f t="shared" si="100"/>
        <v>3.8560411311053984E-3</v>
      </c>
      <c r="Y35" s="13">
        <v>1.1986000000000001</v>
      </c>
      <c r="Z35" s="10">
        <f t="shared" si="123"/>
        <v>5.1353898886032567</v>
      </c>
      <c r="AA35" s="13">
        <v>0.13170000000000001</v>
      </c>
      <c r="AB35" s="14">
        <f t="shared" si="124"/>
        <v>0.56426735218509005</v>
      </c>
      <c r="AC35" s="13">
        <v>2.2000000000000002</v>
      </c>
      <c r="AD35" s="14">
        <f t="shared" si="125"/>
        <v>9.4258783204798635E-3</v>
      </c>
      <c r="AE35" s="13">
        <v>5.0799999999999998E-2</v>
      </c>
      <c r="AF35" s="14">
        <f t="shared" si="126"/>
        <v>2.1765209940017138</v>
      </c>
      <c r="AG35" s="13">
        <v>7.1099999999999997E-2</v>
      </c>
      <c r="AH35" s="14">
        <f t="shared" si="127"/>
        <v>0.30462724935732649</v>
      </c>
      <c r="AI35" s="13"/>
      <c r="AJ35" s="13">
        <v>8.48E-2</v>
      </c>
      <c r="AK35" s="10">
        <f t="shared" si="112"/>
        <v>0.36332476435304201</v>
      </c>
      <c r="AL35" s="14">
        <f t="shared" si="113"/>
        <v>0.27956584241474808</v>
      </c>
      <c r="AM35" s="13">
        <v>9.5699999999999993E-2</v>
      </c>
      <c r="AN35" s="10">
        <f t="shared" si="114"/>
        <v>0.41002570694087404</v>
      </c>
      <c r="AO35" s="14">
        <f t="shared" si="115"/>
        <v>0.3155006028194739</v>
      </c>
      <c r="AP35" s="13">
        <v>2.01E-2</v>
      </c>
      <c r="AQ35" s="10">
        <f t="shared" si="116"/>
        <v>8.611825192802057E-2</v>
      </c>
      <c r="AR35" s="14">
        <f t="shared" si="117"/>
        <v>6.6265016893118353E-2</v>
      </c>
      <c r="AS35" s="13"/>
      <c r="AT35" s="13">
        <f t="shared" si="118"/>
        <v>0.2006</v>
      </c>
      <c r="AU35" s="10">
        <f t="shared" si="119"/>
        <v>0.85946872322193657</v>
      </c>
      <c r="AV35" s="14">
        <f t="shared" si="120"/>
        <v>0.6613314621273404</v>
      </c>
      <c r="AW35" s="13">
        <v>0.1009</v>
      </c>
      <c r="AX35" s="10">
        <f t="shared" si="121"/>
        <v>0.43230505569837191</v>
      </c>
      <c r="AY35" s="14">
        <f t="shared" si="98"/>
        <v>0.33264379126943494</v>
      </c>
      <c r="AZ35" s="123"/>
      <c r="BA35" s="13"/>
      <c r="BC35" s="14"/>
      <c r="BD35" s="13"/>
      <c r="BF35" s="14"/>
      <c r="BG35"/>
      <c r="BH35" s="13"/>
      <c r="BL35" s="14"/>
      <c r="BM35" s="13"/>
      <c r="BP35" s="14"/>
      <c r="BQ35" s="123"/>
      <c r="BR35" s="13"/>
      <c r="BV35" s="14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</row>
    <row r="36" spans="1:180" s="10" customFormat="1" ht="16.350000000000001" customHeight="1">
      <c r="A36" s="9" t="s">
        <v>404</v>
      </c>
      <c r="B36" s="63" t="s">
        <v>405</v>
      </c>
      <c r="C36" s="142">
        <v>43705</v>
      </c>
      <c r="D36" s="12" t="s">
        <v>22</v>
      </c>
      <c r="E36" s="10" t="s">
        <v>303</v>
      </c>
      <c r="F36" s="11">
        <v>43742</v>
      </c>
      <c r="G36" s="164">
        <v>0.74652777777777779</v>
      </c>
      <c r="H36" s="63">
        <v>16.91</v>
      </c>
      <c r="I36" s="64">
        <f>H37-H36</f>
        <v>1.7344444444444456</v>
      </c>
      <c r="J36" s="63">
        <v>21.9</v>
      </c>
      <c r="K36" s="14">
        <f t="shared" si="122"/>
        <v>4.9899999999999984</v>
      </c>
      <c r="L36" s="13">
        <v>76.88</v>
      </c>
      <c r="M36" s="86">
        <v>279.45740901688168</v>
      </c>
      <c r="N36" s="13">
        <v>8.8000000000000007</v>
      </c>
      <c r="O36" s="13">
        <v>14.298</v>
      </c>
      <c r="P36" s="14">
        <v>16.846</v>
      </c>
      <c r="Q36" s="15">
        <v>82.41</v>
      </c>
      <c r="R36" s="15">
        <v>9.8000000000000007</v>
      </c>
      <c r="S36" s="15">
        <v>43.78</v>
      </c>
      <c r="T36" s="15">
        <v>29.38</v>
      </c>
      <c r="U36" s="13">
        <v>1384.97004664919</v>
      </c>
      <c r="V36" s="13"/>
      <c r="W36" s="13">
        <v>1.2</v>
      </c>
      <c r="X36" s="14">
        <f t="shared" si="100"/>
        <v>5.4794520547945206E-3</v>
      </c>
      <c r="Y36" s="13">
        <v>0.7923</v>
      </c>
      <c r="Z36" s="10">
        <f t="shared" si="123"/>
        <v>3.6178082191780825</v>
      </c>
      <c r="AA36" s="13">
        <v>0.13400000000000001</v>
      </c>
      <c r="AB36" s="14">
        <f t="shared" si="124"/>
        <v>0.61187214611872154</v>
      </c>
      <c r="AC36" s="13">
        <v>3.1</v>
      </c>
      <c r="AD36" s="14">
        <f t="shared" si="125"/>
        <v>1.4155251141552512E-2</v>
      </c>
      <c r="AE36" s="13">
        <v>4.2099999999999999E-2</v>
      </c>
      <c r="AF36" s="14">
        <f t="shared" si="126"/>
        <v>1.9223744292237441</v>
      </c>
      <c r="AG36" s="13">
        <v>6.3600000000000004E-2</v>
      </c>
      <c r="AH36" s="14">
        <f t="shared" si="127"/>
        <v>0.29041095890410962</v>
      </c>
      <c r="AI36" s="13"/>
      <c r="AJ36" s="13">
        <v>6.8199999999999997E-2</v>
      </c>
      <c r="AK36" s="10">
        <f t="shared" si="112"/>
        <v>0.31141552511415527</v>
      </c>
      <c r="AL36" s="14">
        <f t="shared" si="113"/>
        <v>0.24404434378721418</v>
      </c>
      <c r="AM36" s="13">
        <v>9.9599999999999994E-2</v>
      </c>
      <c r="AN36" s="10">
        <f t="shared" si="114"/>
        <v>0.45479452054794522</v>
      </c>
      <c r="AO36" s="14">
        <f t="shared" si="115"/>
        <v>0.35640493608807228</v>
      </c>
      <c r="AP36" s="13">
        <v>2.8000000000000001E-2</v>
      </c>
      <c r="AQ36" s="10">
        <f t="shared" si="116"/>
        <v>0.12785388127853883</v>
      </c>
      <c r="AR36" s="14">
        <f t="shared" si="117"/>
        <v>0.10019415873961872</v>
      </c>
      <c r="AS36" s="13"/>
      <c r="AT36" s="13">
        <f t="shared" si="118"/>
        <v>0.1958</v>
      </c>
      <c r="AU36" s="10">
        <f t="shared" si="119"/>
        <v>0.8940639269406393</v>
      </c>
      <c r="AV36" s="14">
        <f t="shared" si="120"/>
        <v>0.7006434386149053</v>
      </c>
      <c r="AW36" s="13">
        <v>8.2000000000000003E-2</v>
      </c>
      <c r="AX36" s="10">
        <f t="shared" si="121"/>
        <v>0.37442922374429227</v>
      </c>
      <c r="AY36" s="14">
        <f t="shared" si="98"/>
        <v>0.29342575059459769</v>
      </c>
      <c r="AZ36" s="123"/>
      <c r="BA36" s="13"/>
      <c r="BC36" s="14"/>
      <c r="BD36" s="13"/>
      <c r="BF36" s="14"/>
      <c r="BG36"/>
      <c r="BH36" s="13"/>
      <c r="BL36" s="14"/>
      <c r="BM36" s="13"/>
      <c r="BP36" s="14"/>
      <c r="BQ36" s="123"/>
      <c r="BR36" s="13"/>
      <c r="BV36" s="14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</row>
    <row r="37" spans="1:180" s="10" customFormat="1" ht="16.350000000000001" customHeight="1">
      <c r="A37" s="121"/>
      <c r="B37" s="89"/>
      <c r="C37" s="55"/>
      <c r="F37" s="55" t="s">
        <v>281</v>
      </c>
      <c r="G37" s="333">
        <f t="shared" ref="G37:AY37" si="128">AVERAGE(G28:G36)</f>
        <v>0.61149691358024683</v>
      </c>
      <c r="H37" s="18">
        <f t="shared" si="128"/>
        <v>18.644444444444446</v>
      </c>
      <c r="I37" s="19">
        <f t="shared" si="128"/>
        <v>1.1842378929335002E-15</v>
      </c>
      <c r="J37" s="18">
        <f t="shared" si="128"/>
        <v>21.823333333333338</v>
      </c>
      <c r="K37" s="19">
        <f t="shared" si="128"/>
        <v>3.1788888888888889</v>
      </c>
      <c r="L37" s="18">
        <f t="shared" si="128"/>
        <v>79.765555555555565</v>
      </c>
      <c r="M37" s="19">
        <f t="shared" si="128"/>
        <v>291.63175789537934</v>
      </c>
      <c r="N37" s="18">
        <f t="shared" si="128"/>
        <v>8.7444444444444454</v>
      </c>
      <c r="O37" s="18">
        <f t="shared" si="128"/>
        <v>14.280222222222221</v>
      </c>
      <c r="P37" s="19">
        <f t="shared" si="128"/>
        <v>16.978999999999999</v>
      </c>
      <c r="Q37" s="18">
        <f t="shared" si="128"/>
        <v>87.436250000000001</v>
      </c>
      <c r="R37" s="18">
        <f t="shared" si="128"/>
        <v>10.40625</v>
      </c>
      <c r="S37" s="18">
        <f t="shared" si="128"/>
        <v>44.129999999999995</v>
      </c>
      <c r="T37" s="18">
        <f t="shared" si="128"/>
        <v>33.162500000000001</v>
      </c>
      <c r="U37" s="18">
        <f t="shared" si="128"/>
        <v>1956.4046861548775</v>
      </c>
      <c r="V37" s="18" t="e">
        <f t="shared" si="128"/>
        <v>#DIV/0!</v>
      </c>
      <c r="W37" s="18">
        <f t="shared" si="128"/>
        <v>1.0625000000000002</v>
      </c>
      <c r="X37" s="19">
        <f t="shared" si="128"/>
        <v>4.8809181888489267E-3</v>
      </c>
      <c r="Y37" s="18">
        <f t="shared" si="128"/>
        <v>1.0911888888888888</v>
      </c>
      <c r="Z37" s="19">
        <f t="shared" si="128"/>
        <v>4.9935932781454611</v>
      </c>
      <c r="AA37" s="18">
        <f t="shared" si="128"/>
        <v>0.14651111111111112</v>
      </c>
      <c r="AB37" s="19">
        <f t="shared" si="128"/>
        <v>0.67604796692360181</v>
      </c>
      <c r="AC37" s="18">
        <f t="shared" si="128"/>
        <v>2.6222222222222218</v>
      </c>
      <c r="AD37" s="19">
        <f t="shared" si="128"/>
        <v>1.2051666674494026E-2</v>
      </c>
      <c r="AE37" s="18">
        <f t="shared" si="128"/>
        <v>5.3333333333333344E-2</v>
      </c>
      <c r="AF37" s="19">
        <f t="shared" si="128"/>
        <v>2.4362379145575774</v>
      </c>
      <c r="AG37" s="18">
        <f t="shared" si="128"/>
        <v>7.3655555555555544E-2</v>
      </c>
      <c r="AH37" s="19">
        <f t="shared" si="128"/>
        <v>0.33858541872409753</v>
      </c>
      <c r="AI37" s="18" t="e">
        <f t="shared" si="128"/>
        <v>#DIV/0!</v>
      </c>
      <c r="AJ37" s="18">
        <f t="shared" si="128"/>
        <v>9.3833333333333338E-2</v>
      </c>
      <c r="AK37" s="3">
        <f t="shared" si="128"/>
        <v>0.43145014674434523</v>
      </c>
      <c r="AL37" s="3">
        <f t="shared" si="128"/>
        <v>0.32149277971484364</v>
      </c>
      <c r="AM37" s="18">
        <f t="shared" si="128"/>
        <v>9.3911111111111112E-2</v>
      </c>
      <c r="AN37" s="3">
        <f t="shared" si="128"/>
        <v>0.42915956387102033</v>
      </c>
      <c r="AO37" s="3">
        <f t="shared" si="128"/>
        <v>0.32181312558180436</v>
      </c>
      <c r="AP37" s="18">
        <f t="shared" si="128"/>
        <v>2.0855555555555558E-2</v>
      </c>
      <c r="AQ37" s="3">
        <f t="shared" si="128"/>
        <v>9.5213841155759288E-2</v>
      </c>
      <c r="AR37" s="3">
        <f t="shared" si="128"/>
        <v>7.0542775240649211E-2</v>
      </c>
      <c r="AS37" s="20" t="e">
        <f t="shared" si="128"/>
        <v>#DIV/0!</v>
      </c>
      <c r="AT37" s="18">
        <f t="shared" si="128"/>
        <v>0.20860000000000001</v>
      </c>
      <c r="AU37" s="3">
        <f t="shared" si="128"/>
        <v>0.95582355177112488</v>
      </c>
      <c r="AV37" s="3">
        <f t="shared" si="128"/>
        <v>0.71384868053729722</v>
      </c>
      <c r="AW37" s="18">
        <f t="shared" si="128"/>
        <v>9.2633333333333318E-2</v>
      </c>
      <c r="AX37" s="3">
        <f t="shared" si="128"/>
        <v>0.42499807695003544</v>
      </c>
      <c r="AY37" s="3">
        <f t="shared" si="128"/>
        <v>0.31877524576257721</v>
      </c>
      <c r="AZ37" s="121"/>
      <c r="BA37" s="18" t="e">
        <f t="shared" ref="BA37:BF37" si="129">AVERAGE(BA28:BA36)</f>
        <v>#DIV/0!</v>
      </c>
      <c r="BB37" s="3" t="e">
        <f t="shared" si="129"/>
        <v>#DIV/0!</v>
      </c>
      <c r="BC37" s="3" t="e">
        <f t="shared" si="129"/>
        <v>#DIV/0!</v>
      </c>
      <c r="BD37" s="18" t="e">
        <f t="shared" si="129"/>
        <v>#DIV/0!</v>
      </c>
      <c r="BE37" s="3" t="e">
        <f t="shared" si="129"/>
        <v>#DIV/0!</v>
      </c>
      <c r="BF37" s="3" t="e">
        <f t="shared" si="129"/>
        <v>#DIV/0!</v>
      </c>
      <c r="BG37"/>
      <c r="BH37" s="59">
        <f t="shared" ref="BH37:BM37" si="130">AVERAGE(BH28:BH34)</f>
        <v>20.106000000000002</v>
      </c>
      <c r="BI37" s="55">
        <f t="shared" si="130"/>
        <v>17.818000000000001</v>
      </c>
      <c r="BJ37" s="55">
        <f t="shared" si="130"/>
        <v>8.4700000000000006</v>
      </c>
      <c r="BK37" s="55">
        <f t="shared" si="130"/>
        <v>10.9</v>
      </c>
      <c r="BL37" s="88">
        <f t="shared" si="130"/>
        <v>4.9659999999999993</v>
      </c>
      <c r="BM37" s="59">
        <f t="shared" si="130"/>
        <v>5.7999999999999996E-2</v>
      </c>
      <c r="BN37" s="55">
        <f>AVERAGE(BN28:BN34)</f>
        <v>8.4124201245978174</v>
      </c>
      <c r="BO37" s="55">
        <f>AVERAGE(BO28:BO34)</f>
        <v>27.6</v>
      </c>
      <c r="BP37" s="88">
        <f>AVERAGE(BP28:BP34)</f>
        <v>6.9657344000000005</v>
      </c>
      <c r="BQ37" s="121"/>
      <c r="BR37" s="59">
        <f t="shared" ref="BR37:BV37" si="131">AVERAGE(BR28:BR34)</f>
        <v>0.5071426</v>
      </c>
      <c r="BS37" s="55">
        <f t="shared" si="131"/>
        <v>0.1</v>
      </c>
      <c r="BT37" s="55">
        <f t="shared" si="131"/>
        <v>0.4</v>
      </c>
      <c r="BU37" s="55">
        <f t="shared" si="131"/>
        <v>0.36599999999999999</v>
      </c>
      <c r="BV37" s="88">
        <f t="shared" si="131"/>
        <v>6.6000000000000003E-2</v>
      </c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</row>
    <row r="38" spans="1:180" s="10" customFormat="1" ht="16.350000000000001" customHeight="1">
      <c r="A38" s="121"/>
      <c r="B38" s="122"/>
      <c r="C38" s="55"/>
      <c r="F38" s="55" t="s">
        <v>45</v>
      </c>
      <c r="G38" s="88">
        <f>(STDEV(G28:G36)/(SQRT(COUNT(G28:G36))))</f>
        <v>3.064969345593865E-2</v>
      </c>
      <c r="H38" s="18">
        <f t="shared" ref="H38:AY38" si="132">STDEV(H28:H36)/SQRT(COUNT(H28:H36))</f>
        <v>0.43280772967242348</v>
      </c>
      <c r="I38" s="19">
        <f t="shared" si="132"/>
        <v>0.43280772967242348</v>
      </c>
      <c r="J38" s="18">
        <f t="shared" si="132"/>
        <v>0.39435953702737364</v>
      </c>
      <c r="K38" s="19">
        <f t="shared" si="132"/>
        <v>0.61894050253559274</v>
      </c>
      <c r="L38" s="18">
        <f t="shared" si="132"/>
        <v>2.0167411219803073</v>
      </c>
      <c r="M38" s="19">
        <f t="shared" si="132"/>
        <v>7.0762189406192126</v>
      </c>
      <c r="N38" s="18">
        <f t="shared" si="132"/>
        <v>5.5555555555555615E-2</v>
      </c>
      <c r="O38" s="18">
        <f t="shared" si="132"/>
        <v>9.473087285359999E-2</v>
      </c>
      <c r="P38" s="19">
        <f t="shared" si="132"/>
        <v>8.3760571472103293E-2</v>
      </c>
      <c r="Q38" s="18">
        <f t="shared" si="132"/>
        <v>3.0294317816453398</v>
      </c>
      <c r="R38" s="18">
        <f t="shared" si="132"/>
        <v>0.82557109562324915</v>
      </c>
      <c r="S38" s="18">
        <f t="shared" si="132"/>
        <v>1.5398121406754228</v>
      </c>
      <c r="T38" s="18">
        <f t="shared" si="132"/>
        <v>2.3109064007131739</v>
      </c>
      <c r="U38" s="18">
        <f t="shared" si="132"/>
        <v>275.76472787500342</v>
      </c>
      <c r="V38" s="18" t="e">
        <f t="shared" si="132"/>
        <v>#DIV/0!</v>
      </c>
      <c r="W38" s="18">
        <f t="shared" si="132"/>
        <v>4.6049274850812331E-2</v>
      </c>
      <c r="X38" s="19">
        <f t="shared" si="132"/>
        <v>2.0239707527208226E-4</v>
      </c>
      <c r="Y38" s="18">
        <f t="shared" si="132"/>
        <v>6.1162071681277658E-2</v>
      </c>
      <c r="Z38" s="19">
        <f t="shared" si="132"/>
        <v>0.25048973644877953</v>
      </c>
      <c r="AA38" s="18">
        <f t="shared" si="132"/>
        <v>6.7019989647460546E-3</v>
      </c>
      <c r="AB38" s="19">
        <f t="shared" si="132"/>
        <v>4.1644298022810493E-2</v>
      </c>
      <c r="AC38" s="18">
        <f t="shared" si="132"/>
        <v>0.18240505732646717</v>
      </c>
      <c r="AD38" s="19">
        <f t="shared" si="132"/>
        <v>8.7121205972993845E-4</v>
      </c>
      <c r="AE38" s="18">
        <f t="shared" si="132"/>
        <v>4.3300628684170752E-3</v>
      </c>
      <c r="AF38" s="19">
        <f t="shared" si="132"/>
        <v>0.17896589965608845</v>
      </c>
      <c r="AG38" s="18">
        <f t="shared" si="132"/>
        <v>2.1573589249042897E-3</v>
      </c>
      <c r="AH38" s="19">
        <f t="shared" si="132"/>
        <v>1.2486648032200648E-2</v>
      </c>
      <c r="AI38" s="18" t="e">
        <f t="shared" si="132"/>
        <v>#DIV/0!</v>
      </c>
      <c r="AJ38" s="18">
        <f t="shared" si="132"/>
        <v>6.1149634322518612E-3</v>
      </c>
      <c r="AK38" s="3">
        <f t="shared" si="132"/>
        <v>2.977641850548331E-2</v>
      </c>
      <c r="AL38" s="3">
        <f t="shared" si="132"/>
        <v>1.875369025991945E-2</v>
      </c>
      <c r="AM38" s="18">
        <f t="shared" si="132"/>
        <v>5.1987029483976889E-3</v>
      </c>
      <c r="AN38" s="3">
        <f t="shared" si="132"/>
        <v>1.9668418374893356E-2</v>
      </c>
      <c r="AO38" s="3">
        <f t="shared" si="132"/>
        <v>1.5623076560644716E-2</v>
      </c>
      <c r="AP38" s="18">
        <f t="shared" si="132"/>
        <v>2.8681251673015663E-3</v>
      </c>
      <c r="AQ38" s="3">
        <f t="shared" si="132"/>
        <v>1.2790276103494355E-2</v>
      </c>
      <c r="AR38" s="3">
        <f t="shared" si="132"/>
        <v>8.1494677608379331E-3</v>
      </c>
      <c r="AS38" s="20" t="e">
        <f t="shared" si="132"/>
        <v>#DIV/0!</v>
      </c>
      <c r="AT38" s="18">
        <f t="shared" si="132"/>
        <v>1.1161852195959403E-2</v>
      </c>
      <c r="AU38" s="3">
        <f t="shared" si="132"/>
        <v>4.8060882206292198E-2</v>
      </c>
      <c r="AV38" s="3">
        <f t="shared" si="132"/>
        <v>2.8575222869619818E-2</v>
      </c>
      <c r="AW38" s="18">
        <f t="shared" si="132"/>
        <v>4.2509149341968802E-3</v>
      </c>
      <c r="AX38" s="3">
        <f t="shared" si="132"/>
        <v>1.9221710341340102E-2</v>
      </c>
      <c r="AY38" s="3">
        <f t="shared" si="132"/>
        <v>1.5994413088389999E-2</v>
      </c>
      <c r="AZ38" s="121"/>
      <c r="BA38" s="18" t="e">
        <f t="shared" ref="BA38:BF38" si="133">STDEV(BA28:BA36)/SQRT(COUNT(BA28:BA36))</f>
        <v>#DIV/0!</v>
      </c>
      <c r="BB38" s="3" t="e">
        <f t="shared" si="133"/>
        <v>#DIV/0!</v>
      </c>
      <c r="BC38" s="3" t="e">
        <f t="shared" si="133"/>
        <v>#DIV/0!</v>
      </c>
      <c r="BD38" s="18" t="e">
        <f t="shared" si="133"/>
        <v>#DIV/0!</v>
      </c>
      <c r="BE38" s="3" t="e">
        <f t="shared" si="133"/>
        <v>#DIV/0!</v>
      </c>
      <c r="BF38" s="3" t="e">
        <f t="shared" si="133"/>
        <v>#DIV/0!</v>
      </c>
      <c r="BG38"/>
      <c r="BH38" s="59">
        <f t="shared" ref="BH38:BM38" si="134">(STDEV(BH28:BH34)/(SQRT(COUNT(BH28:BH34))))</f>
        <v>2.0510402238864045</v>
      </c>
      <c r="BI38" s="55">
        <f t="shared" si="134"/>
        <v>2.175599687442523</v>
      </c>
      <c r="BJ38" s="55">
        <f t="shared" si="134"/>
        <v>1.4919450392021822</v>
      </c>
      <c r="BK38" s="55">
        <f t="shared" si="134"/>
        <v>1.2489995996796805</v>
      </c>
      <c r="BL38" s="88">
        <f t="shared" si="134"/>
        <v>0.96464812237416486</v>
      </c>
      <c r="BM38" s="59">
        <f t="shared" si="134"/>
        <v>6.8731361109758346E-2</v>
      </c>
      <c r="BN38" s="55">
        <f>(STDEV(BN28:BN34)/(SQRT(COUNT(BN28:BN34))))</f>
        <v>0.91605885608535109</v>
      </c>
      <c r="BO38" s="55">
        <f>(STDEV(BO28:BO34)/(SQRT(COUNT(BO28:BO34))))</f>
        <v>1.0770329614269007</v>
      </c>
      <c r="BP38" s="88">
        <f>(STDEV(BP28:BP34)/(SQRT(COUNT(BP28:BP34))))</f>
        <v>1.6482258502067169</v>
      </c>
      <c r="BQ38" s="121"/>
      <c r="BR38" s="59">
        <f t="shared" ref="BR38:BV38" si="135">(STDEV(BR28:BR34)/(SQRT(COUNT(BR28:BR34))))</f>
        <v>0.19704447312157727</v>
      </c>
      <c r="BS38" s="55">
        <f t="shared" si="135"/>
        <v>6.1237243569579443E-2</v>
      </c>
      <c r="BT38" s="55">
        <f t="shared" si="135"/>
        <v>0.30331501776206204</v>
      </c>
      <c r="BU38" s="55">
        <f t="shared" si="135"/>
        <v>0.1856232744027537</v>
      </c>
      <c r="BV38" s="88">
        <f t="shared" si="135"/>
        <v>6.6000000000000003E-2</v>
      </c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</row>
    <row r="39" spans="1:180" s="10" customFormat="1" ht="16.350000000000001" customHeight="1">
      <c r="A39" s="37"/>
      <c r="B39" s="34"/>
      <c r="C39" s="34"/>
      <c r="D39" s="34"/>
      <c r="E39" s="34"/>
      <c r="F39" s="34" t="s">
        <v>300</v>
      </c>
      <c r="G39" s="69">
        <f t="shared" ref="G39" si="136">(100/G13)*G37</f>
        <v>95.263853828585169</v>
      </c>
      <c r="H39" s="69">
        <f>(100/H13)*H37</f>
        <v>101.37747704204931</v>
      </c>
      <c r="I39" s="69"/>
      <c r="J39" s="68">
        <f t="shared" ref="J39:V39" si="137">(100/J13)*J37</f>
        <v>100.72824247397305</v>
      </c>
      <c r="K39" s="69">
        <f t="shared" si="137"/>
        <v>97.081778079402767</v>
      </c>
      <c r="L39" s="68">
        <f t="shared" si="137"/>
        <v>84.957396449704163</v>
      </c>
      <c r="M39" s="69">
        <f t="shared" si="137"/>
        <v>84.808631058496289</v>
      </c>
      <c r="N39" s="68">
        <f t="shared" si="137"/>
        <v>99.746514575411908</v>
      </c>
      <c r="O39" s="68">
        <f t="shared" si="137"/>
        <v>98.783290419276739</v>
      </c>
      <c r="P39" s="69">
        <f t="shared" si="137"/>
        <v>100.21904943040589</v>
      </c>
      <c r="Q39" s="68">
        <f t="shared" si="137"/>
        <v>104.43474539156745</v>
      </c>
      <c r="R39" s="68">
        <f t="shared" si="137"/>
        <v>91.220658420181167</v>
      </c>
      <c r="S39" s="68">
        <f t="shared" si="137"/>
        <v>100.15129737499053</v>
      </c>
      <c r="T39" s="68">
        <f t="shared" si="137"/>
        <v>116.61424552629521</v>
      </c>
      <c r="U39" s="68">
        <f t="shared" si="137"/>
        <v>89.509762532096687</v>
      </c>
      <c r="V39" s="68" t="e">
        <f t="shared" si="137"/>
        <v>#DIV/0!</v>
      </c>
      <c r="W39" s="68">
        <f t="shared" ref="W39:AE39" si="138">(100/W13)*W37</f>
        <v>84.623893805309763</v>
      </c>
      <c r="X39" s="69">
        <f t="shared" si="138"/>
        <v>84.297770741595301</v>
      </c>
      <c r="Y39" s="68">
        <f t="shared" si="138"/>
        <v>106.61115754963795</v>
      </c>
      <c r="Z39" s="69">
        <f t="shared" si="138"/>
        <v>105.92806408627669</v>
      </c>
      <c r="AA39" s="68">
        <f t="shared" si="138"/>
        <v>97.134438305709025</v>
      </c>
      <c r="AB39" s="69">
        <f t="shared" si="138"/>
        <v>96.924191030041371</v>
      </c>
      <c r="AC39" s="68">
        <f t="shared" si="138"/>
        <v>97.119341563785994</v>
      </c>
      <c r="AD39" s="69">
        <f t="shared" si="138"/>
        <v>95.70591274152396</v>
      </c>
      <c r="AE39" s="68">
        <f t="shared" si="138"/>
        <v>85.6072766185126</v>
      </c>
      <c r="AF39" s="69">
        <f>(100/AF13)*AF37</f>
        <v>85.216142170648737</v>
      </c>
      <c r="AG39" s="68">
        <f>(100/AG13)*AG37</f>
        <v>95.066685788039536</v>
      </c>
      <c r="AH39" s="70">
        <f>(100/AH13)*AH37</f>
        <v>94.123314099745457</v>
      </c>
      <c r="AI39" s="68" t="e">
        <f>(100/#REF!)*AI37</f>
        <v>#REF!</v>
      </c>
      <c r="AJ39" s="68">
        <f t="shared" ref="AJ39:AR39" si="139">(100/AJ13)*AJ37</f>
        <v>114.88232893483877</v>
      </c>
      <c r="AK39" s="69">
        <f t="shared" si="139"/>
        <v>113.85248010740042</v>
      </c>
      <c r="AL39" s="69">
        <f t="shared" si="139"/>
        <v>135.26972838579564</v>
      </c>
      <c r="AM39" s="68">
        <f t="shared" si="139"/>
        <v>91.185672672348687</v>
      </c>
      <c r="AN39" s="69">
        <f>(100/AN13)*AN37</f>
        <v>90.263027137871404</v>
      </c>
      <c r="AO39" s="69">
        <f t="shared" si="139"/>
        <v>107.80363656313737</v>
      </c>
      <c r="AP39" s="68">
        <f t="shared" si="139"/>
        <v>110.80283353010628</v>
      </c>
      <c r="AQ39" s="69">
        <f t="shared" si="139"/>
        <v>109.12591913042108</v>
      </c>
      <c r="AR39" s="69">
        <f t="shared" si="139"/>
        <v>128.98372529814159</v>
      </c>
      <c r="AS39" s="68" t="e">
        <f>(100/#REF!)*AS37</f>
        <v>#REF!</v>
      </c>
      <c r="AT39" s="68">
        <f t="shared" ref="AT39:AY39" si="140">(100/AT13)*AT37</f>
        <v>102.51173965272471</v>
      </c>
      <c r="AU39" s="69">
        <f t="shared" si="140"/>
        <v>101.50397437857984</v>
      </c>
      <c r="AV39" s="69">
        <f t="shared" si="140"/>
        <v>120.81171428264663</v>
      </c>
      <c r="AW39" s="68">
        <f t="shared" si="140"/>
        <v>99.665271966527186</v>
      </c>
      <c r="AX39" s="69">
        <f t="shared" si="140"/>
        <v>98.702614545273462</v>
      </c>
      <c r="AY39" s="69">
        <f t="shared" si="140"/>
        <v>117.13289231305814</v>
      </c>
      <c r="AZ39" s="37"/>
      <c r="BA39" s="68" t="e">
        <f>(100/#REF!)*BA37</f>
        <v>#REF!</v>
      </c>
      <c r="BB39" s="69" t="e">
        <f>(100/#REF!)*BB37</f>
        <v>#REF!</v>
      </c>
      <c r="BC39" s="70" t="e">
        <f>(100/#REF!)*BC37</f>
        <v>#REF!</v>
      </c>
      <c r="BD39" s="68" t="e">
        <f>(100/#REF!)*BD37</f>
        <v>#REF!</v>
      </c>
      <c r="BE39" s="69" t="e">
        <f>(100/#REF!)*BE37</f>
        <v>#REF!</v>
      </c>
      <c r="BF39" s="70" t="e">
        <f>(100/#REF!)*BF37</f>
        <v>#REF!</v>
      </c>
      <c r="BG39"/>
      <c r="BH39" s="68">
        <f>(100/BH13)*BH37</f>
        <v>117.84617503989745</v>
      </c>
      <c r="BI39" s="69">
        <f t="shared" ref="BI39:BP39" si="141">(100/BI13)*BI37</f>
        <v>129.38381742738591</v>
      </c>
      <c r="BJ39" s="69">
        <f t="shared" si="141"/>
        <v>116.25490196078434</v>
      </c>
      <c r="BK39" s="69">
        <f t="shared" si="141"/>
        <v>119.84292566267406</v>
      </c>
      <c r="BL39" s="69">
        <f t="shared" si="141"/>
        <v>103.25348579276944</v>
      </c>
      <c r="BM39" s="68">
        <f>(100/BM13)*BM37</f>
        <v>55.903614457831317</v>
      </c>
      <c r="BN39" s="69">
        <f t="shared" si="141"/>
        <v>64.550019970904174</v>
      </c>
      <c r="BO39" s="69">
        <f t="shared" si="141"/>
        <v>80</v>
      </c>
      <c r="BP39" s="70">
        <f t="shared" si="141"/>
        <v>221.7120733288285</v>
      </c>
      <c r="BQ39" s="37"/>
      <c r="BR39" s="68">
        <f>(100/BR13)*BR37</f>
        <v>90.776193100238714</v>
      </c>
      <c r="BS39" s="69">
        <f t="shared" ref="BS39:BV39" si="142">(100/BS13)*BS37</f>
        <v>22.082018927444796</v>
      </c>
      <c r="BT39" s="69">
        <f t="shared" si="142"/>
        <v>136.58536585365854</v>
      </c>
      <c r="BU39" s="69">
        <f t="shared" si="142"/>
        <v>256.20102480409923</v>
      </c>
      <c r="BV39" s="69">
        <f t="shared" si="142"/>
        <v>27.719944560110882</v>
      </c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</row>
    <row r="40" spans="1:180" s="10" customFormat="1" ht="16.350000000000001" customHeight="1">
      <c r="H40" s="62"/>
      <c r="I40" s="62"/>
      <c r="J40" s="62"/>
      <c r="K40" s="62"/>
      <c r="L40" s="62"/>
      <c r="M40" s="62"/>
      <c r="N40" s="62"/>
      <c r="O40" s="233" t="s">
        <v>734</v>
      </c>
      <c r="P40" s="233">
        <v>17.670000000000002</v>
      </c>
      <c r="Q40" s="62"/>
      <c r="R40" s="62"/>
      <c r="S40" s="62"/>
      <c r="T40" s="62"/>
      <c r="U40" s="62"/>
      <c r="V40" s="62"/>
      <c r="W40" s="233" t="s">
        <v>735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BA40" s="62"/>
      <c r="BB40" s="62"/>
      <c r="BC40" s="62"/>
      <c r="BD40" s="62"/>
      <c r="BE40" s="62"/>
      <c r="BF40" s="62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</row>
    <row r="41" spans="1:180" ht="12" customHeight="1">
      <c r="A41" s="62"/>
      <c r="B41" s="62"/>
      <c r="D41" s="62"/>
      <c r="E41" s="62"/>
      <c r="F41" s="62"/>
      <c r="G41" s="136"/>
      <c r="H41" s="136"/>
      <c r="I41" s="136"/>
      <c r="J41" s="136"/>
      <c r="K41" s="136"/>
      <c r="L41" s="136"/>
      <c r="M41" s="136"/>
      <c r="N41" s="10"/>
      <c r="O41" s="10"/>
      <c r="P41" s="10"/>
      <c r="Q41" s="136"/>
      <c r="R41" s="136"/>
      <c r="S41" s="136"/>
      <c r="T41" s="136"/>
      <c r="U41" s="136"/>
      <c r="V41" s="136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36"/>
      <c r="AJ41" s="10"/>
      <c r="AK41" s="10"/>
      <c r="AL41" s="10"/>
      <c r="AM41" s="10"/>
      <c r="AN41" s="10"/>
      <c r="AO41" s="10"/>
      <c r="AP41" s="10"/>
      <c r="AQ41" s="10"/>
      <c r="AR41" s="10"/>
      <c r="AS41" s="136"/>
      <c r="AT41" s="10"/>
      <c r="AU41" s="10"/>
      <c r="AV41" s="10"/>
      <c r="AW41" s="10"/>
      <c r="AX41" s="10"/>
      <c r="AY41" s="10"/>
      <c r="AZ41" s="136"/>
      <c r="BA41" s="136"/>
      <c r="BB41" s="136"/>
      <c r="BC41" s="136"/>
      <c r="BD41" s="136"/>
      <c r="BE41" s="136"/>
      <c r="BF41" s="114" t="s">
        <v>726</v>
      </c>
      <c r="BG41" s="114" t="s">
        <v>727</v>
      </c>
      <c r="BH41" s="114">
        <v>0.80710000000000004</v>
      </c>
      <c r="BI41" s="114">
        <v>0.89459999999999995</v>
      </c>
      <c r="BJ41" s="114">
        <v>0.99050000000000005</v>
      </c>
      <c r="BK41" s="114">
        <v>0.32240000000000002</v>
      </c>
      <c r="BL41" s="114">
        <v>0.75149999999999995</v>
      </c>
      <c r="BM41" s="114"/>
      <c r="BN41" s="114">
        <v>0.51339999999999997</v>
      </c>
      <c r="BO41" s="114">
        <v>0.71089999999999998</v>
      </c>
      <c r="BP41" s="114">
        <v>0.1055</v>
      </c>
      <c r="BQ41" s="114"/>
      <c r="BR41" s="114">
        <v>0.98799999999999999</v>
      </c>
      <c r="BS41" s="114">
        <v>0.71360000000000001</v>
      </c>
      <c r="BT41" s="114">
        <v>0.99680000000000002</v>
      </c>
      <c r="BU41" s="114">
        <v>0.88339999999999996</v>
      </c>
      <c r="BV41" s="114">
        <v>0.98150000000000004</v>
      </c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</row>
    <row r="42" spans="1:180" ht="12" customHeight="1">
      <c r="A42" s="62"/>
      <c r="B42" s="62"/>
      <c r="D42" s="62"/>
      <c r="E42" s="62"/>
      <c r="F42" s="62"/>
      <c r="G42" s="136"/>
      <c r="H42" s="136"/>
      <c r="I42" s="136"/>
      <c r="J42" s="136"/>
      <c r="K42" s="136"/>
      <c r="L42" s="136"/>
      <c r="M42" s="136"/>
      <c r="N42" s="10"/>
      <c r="O42" s="10"/>
      <c r="P42" s="10"/>
      <c r="Q42" s="136"/>
      <c r="R42" s="136"/>
      <c r="S42" s="136"/>
      <c r="T42" s="136"/>
      <c r="U42" s="136"/>
      <c r="V42" s="136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36"/>
      <c r="AJ42" s="10"/>
      <c r="AK42" s="10"/>
      <c r="AL42" s="10"/>
      <c r="AM42" s="10"/>
      <c r="AN42" s="10"/>
      <c r="AO42" s="10"/>
      <c r="AP42" s="10"/>
      <c r="AQ42" s="10"/>
      <c r="AR42" s="10"/>
      <c r="AS42" s="136"/>
      <c r="AT42" s="10"/>
      <c r="AU42" s="10"/>
      <c r="AV42" s="10"/>
      <c r="AW42" s="10"/>
      <c r="AX42" s="10"/>
      <c r="AY42" s="10"/>
      <c r="AZ42" s="136"/>
      <c r="BA42" s="136"/>
      <c r="BB42" s="136"/>
      <c r="BC42" s="136"/>
      <c r="BD42" s="136"/>
      <c r="BE42" s="136"/>
      <c r="BF42" s="114"/>
      <c r="BG42" s="114" t="s">
        <v>728</v>
      </c>
      <c r="BH42" s="114">
        <v>0.68140000000000001</v>
      </c>
      <c r="BI42" s="114">
        <v>0.39229999999999998</v>
      </c>
      <c r="BJ42" s="114">
        <v>0.81759999999999999</v>
      </c>
      <c r="BK42" s="114">
        <v>0.91190000000000004</v>
      </c>
      <c r="BL42" s="114">
        <v>0.99590000000000001</v>
      </c>
      <c r="BM42" s="114"/>
      <c r="BN42" s="283">
        <v>7.0900000000000005E-2</v>
      </c>
      <c r="BO42" s="114">
        <v>0.48570000000000002</v>
      </c>
      <c r="BP42" s="282">
        <v>3.7400000000000003E-2</v>
      </c>
      <c r="BQ42" s="114"/>
      <c r="BR42" s="114">
        <v>0.5877</v>
      </c>
      <c r="BS42" s="114">
        <v>0.3548</v>
      </c>
      <c r="BT42" s="114">
        <v>0.68030000000000002</v>
      </c>
      <c r="BU42" s="114">
        <v>0.70840000000000003</v>
      </c>
      <c r="BV42" s="114">
        <v>0.68910000000000005</v>
      </c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</row>
    <row r="43" spans="1:180" ht="12" customHeight="1">
      <c r="A43" s="62"/>
      <c r="B43" s="62"/>
      <c r="D43" s="62"/>
      <c r="E43" s="62"/>
      <c r="F43" s="62"/>
      <c r="G43" s="136"/>
      <c r="H43" s="136"/>
      <c r="I43" s="136"/>
      <c r="J43" s="136"/>
      <c r="K43" s="136"/>
      <c r="L43" s="136"/>
      <c r="M43" s="136"/>
      <c r="N43" s="10"/>
      <c r="O43" s="10"/>
      <c r="P43" s="10"/>
      <c r="Q43" s="136"/>
      <c r="R43" s="136"/>
      <c r="S43" s="136"/>
      <c r="T43" s="136"/>
      <c r="U43" s="136"/>
      <c r="V43" s="136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36"/>
      <c r="AJ43" s="10"/>
      <c r="AK43" s="10"/>
      <c r="AL43" s="10"/>
      <c r="AM43" s="10"/>
      <c r="AN43" s="10"/>
      <c r="AO43" s="10"/>
      <c r="AP43" s="10"/>
      <c r="AQ43" s="10"/>
      <c r="AR43" s="10"/>
      <c r="AS43" s="136"/>
      <c r="AT43" s="10"/>
      <c r="AU43" s="10"/>
      <c r="AV43" s="10"/>
      <c r="AW43" s="10"/>
      <c r="AX43" s="10"/>
      <c r="AY43" s="10"/>
      <c r="AZ43" s="136"/>
      <c r="BA43" s="136"/>
      <c r="BB43" s="136"/>
      <c r="BC43" s="136"/>
      <c r="BD43" s="136"/>
      <c r="BE43" s="136"/>
      <c r="BF43" s="114"/>
      <c r="BG43" s="114" t="s">
        <v>729</v>
      </c>
      <c r="BH43" s="114">
        <v>0.97840000000000005</v>
      </c>
      <c r="BI43" s="114">
        <v>0.69650000000000001</v>
      </c>
      <c r="BJ43" s="114">
        <v>0.89900000000000002</v>
      </c>
      <c r="BK43" s="114">
        <v>0.71150000000000002</v>
      </c>
      <c r="BL43" s="114">
        <v>0.82609999999999995</v>
      </c>
      <c r="BM43" s="114"/>
      <c r="BN43" s="114">
        <v>0.52539999999999998</v>
      </c>
      <c r="BO43" s="114">
        <v>0.20380000000000001</v>
      </c>
      <c r="BP43" s="114">
        <v>0.98029999999999995</v>
      </c>
      <c r="BQ43" s="114"/>
      <c r="BR43" s="114">
        <v>0.54900000000000004</v>
      </c>
      <c r="BS43" s="114">
        <v>0.12790000000000001</v>
      </c>
      <c r="BT43" s="114">
        <v>0.8196</v>
      </c>
      <c r="BU43" s="114">
        <v>0.50039999999999996</v>
      </c>
      <c r="BV43" s="114">
        <v>0.82299999999999995</v>
      </c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</row>
    <row r="44" spans="1:180" s="77" customFormat="1" ht="15.75">
      <c r="A44" s="12"/>
      <c r="B44" s="12"/>
      <c r="C44" s="12"/>
      <c r="D44" s="12"/>
      <c r="E44" s="12"/>
      <c r="H44" s="10"/>
      <c r="L44" s="10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 s="114" t="s">
        <v>730</v>
      </c>
      <c r="BG44" s="114" t="s">
        <v>727</v>
      </c>
      <c r="BH44" s="114">
        <v>0.61470000000000002</v>
      </c>
      <c r="BI44" s="114">
        <v>0.77649999999999997</v>
      </c>
      <c r="BJ44" s="114">
        <v>0.97850000000000004</v>
      </c>
      <c r="BK44" s="283">
        <v>7.7200000000000005E-2</v>
      </c>
      <c r="BL44" s="114">
        <v>0.55289999999999995</v>
      </c>
      <c r="BM44" s="114"/>
      <c r="BN44" s="114">
        <v>0.2225</v>
      </c>
      <c r="BO44" s="114">
        <v>0.46289999999999998</v>
      </c>
      <c r="BP44" s="283">
        <v>9.0999999999999998E-2</v>
      </c>
      <c r="BQ44" s="114"/>
      <c r="BR44" s="114">
        <v>0.9728</v>
      </c>
      <c r="BS44" s="114">
        <v>0.46500000000000002</v>
      </c>
      <c r="BT44" s="114">
        <v>0.95679999999999998</v>
      </c>
      <c r="BU44" s="114">
        <v>0.75339999999999996</v>
      </c>
      <c r="BV44" s="114">
        <v>0.9587</v>
      </c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80" s="10" customFormat="1" ht="16.350000000000001" customHeight="1">
      <c r="H45" s="62"/>
      <c r="I45" s="62"/>
      <c r="J45" s="62"/>
      <c r="K45" s="62"/>
      <c r="L45" s="62"/>
      <c r="M45" s="62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 s="114"/>
      <c r="BG45" s="114" t="s">
        <v>728</v>
      </c>
      <c r="BH45" s="114">
        <v>0.41889999999999999</v>
      </c>
      <c r="BI45" s="114">
        <v>0.1202</v>
      </c>
      <c r="BJ45" s="114">
        <v>0.63300000000000001</v>
      </c>
      <c r="BK45" s="114">
        <v>0.62309999999999999</v>
      </c>
      <c r="BL45" s="114">
        <v>0.99080000000000001</v>
      </c>
      <c r="BM45" s="114"/>
      <c r="BN45" s="282">
        <v>2.5999999999999999E-3</v>
      </c>
      <c r="BO45" s="114">
        <v>0.19639999999999999</v>
      </c>
      <c r="BP45" s="282" t="s">
        <v>327</v>
      </c>
      <c r="BQ45" s="114"/>
      <c r="BR45" s="114">
        <v>0.29759999999999998</v>
      </c>
      <c r="BS45" s="283">
        <v>9.5899999999999999E-2</v>
      </c>
      <c r="BT45" s="114">
        <v>0.27610000000000001</v>
      </c>
      <c r="BU45" s="114">
        <v>0.45540000000000003</v>
      </c>
      <c r="BV45" s="114">
        <v>0.24879999999999999</v>
      </c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</row>
    <row r="46" spans="1:180" customFormat="1" ht="16.350000000000001" customHeight="1">
      <c r="A46" s="120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BF46" s="114"/>
      <c r="BG46" s="114" t="s">
        <v>729</v>
      </c>
      <c r="BH46" s="114">
        <v>0.95150000000000001</v>
      </c>
      <c r="BI46" s="114">
        <v>0.44009999999999999</v>
      </c>
      <c r="BJ46" s="114">
        <v>0.7853</v>
      </c>
      <c r="BK46" s="114">
        <v>0.46189999999999998</v>
      </c>
      <c r="BL46" s="114">
        <v>0.64800000000000002</v>
      </c>
      <c r="BM46" s="114"/>
      <c r="BN46" s="114">
        <v>0.23430000000000001</v>
      </c>
      <c r="BO46" s="282">
        <v>2.8000000000000001E-2</v>
      </c>
      <c r="BP46" s="282">
        <v>2.93E-2</v>
      </c>
      <c r="BQ46" s="114"/>
      <c r="BR46" s="114">
        <v>0.25490000000000002</v>
      </c>
      <c r="BS46" s="282">
        <v>9.7000000000000003E-3</v>
      </c>
      <c r="BT46" s="114">
        <v>0.45700000000000002</v>
      </c>
      <c r="BU46" s="114">
        <v>0.20649999999999999</v>
      </c>
      <c r="BV46" s="114">
        <v>0.41980000000000001</v>
      </c>
    </row>
    <row r="47" spans="1:180" customFormat="1" ht="16.350000000000001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AI47" s="12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</row>
    <row r="48" spans="1:180" customFormat="1" ht="16.350000000000001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1:171" customFormat="1" ht="16.350000000000001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1:171" customFormat="1" ht="16.350000000000001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FO50" s="12"/>
    </row>
    <row r="51" spans="1:171" ht="16.350000000000001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171" ht="16.350000000000001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171" ht="16.350000000000001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171" ht="16.350000000000001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171" ht="16.350000000000001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171" ht="16.350000000000001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/>
      <c r="O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171" customFormat="1" ht="16.350000000000001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1:171" customFormat="1" ht="16.350000000000001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1:171" customFormat="1" ht="16.350000000000001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1:171" customFormat="1" ht="16.350000000000001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1:171" customFormat="1" ht="16.350000000000001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1:171" customFormat="1" ht="16.350000000000001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71" customFormat="1" ht="16.350000000000001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71" customFormat="1" ht="16.350000000000001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1:45" customFormat="1" ht="16.350000000000001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1:45" customFormat="1" ht="16.350000000000001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1:45" customFormat="1" ht="16.350000000000001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</row>
  </sheetData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g
Prolonged Patterned Feeding with High Fat Diet (Male SD Rats)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F3E4-E977-884D-8B84-886F2C2F8BBE}">
  <dimension ref="A1:GF117"/>
  <sheetViews>
    <sheetView topLeftCell="BB71" zoomScale="90" zoomScaleNormal="90" workbookViewId="0">
      <selection activeCell="BJ33" sqref="BJ33:BJ37"/>
    </sheetView>
  </sheetViews>
  <sheetFormatPr defaultColWidth="12.5" defaultRowHeight="16.350000000000001" customHeight="1"/>
  <cols>
    <col min="1" max="1" width="9.5" style="12" customWidth="1"/>
    <col min="2" max="2" width="10.125" style="12" bestFit="1" customWidth="1"/>
    <col min="3" max="45" width="9.5" style="12" customWidth="1"/>
    <col min="46" max="84" width="9.5" customWidth="1"/>
    <col min="85" max="175" width="11" customWidth="1"/>
    <col min="176" max="16384" width="12.5" style="12"/>
  </cols>
  <sheetData>
    <row r="1" spans="1:188" s="3" customFormat="1" ht="16.350000000000001" customHeight="1">
      <c r="A1" s="1" t="s">
        <v>661</v>
      </c>
      <c r="B1" s="1" t="s">
        <v>1</v>
      </c>
      <c r="C1" s="1" t="s">
        <v>2</v>
      </c>
      <c r="D1" s="1" t="s">
        <v>3</v>
      </c>
      <c r="E1" s="1"/>
      <c r="F1" s="1"/>
      <c r="M1" s="3" t="s">
        <v>602</v>
      </c>
      <c r="O1" s="129" t="s">
        <v>416</v>
      </c>
      <c r="P1" s="77" t="s">
        <v>417</v>
      </c>
      <c r="Q1" s="77"/>
      <c r="R1" s="77" t="s">
        <v>418</v>
      </c>
      <c r="S1" s="77" t="s">
        <v>419</v>
      </c>
      <c r="T1" s="77" t="s">
        <v>420</v>
      </c>
      <c r="U1" s="77">
        <v>239.00573600000001</v>
      </c>
      <c r="V1" s="77"/>
      <c r="W1" s="77">
        <f>(15.21*U1)/1000</f>
        <v>3.6352772445600001</v>
      </c>
      <c r="X1" s="77" t="s">
        <v>421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</row>
    <row r="2" spans="1:188" s="3" customFormat="1" ht="16.350000000000001" customHeight="1">
      <c r="P2" s="12"/>
      <c r="AL2" s="3" t="s">
        <v>662</v>
      </c>
      <c r="AO2" s="3" t="s">
        <v>662</v>
      </c>
      <c r="AR2" s="3" t="s">
        <v>662</v>
      </c>
      <c r="AV2" s="3" t="s">
        <v>662</v>
      </c>
      <c r="AW2"/>
      <c r="AY2" s="3" t="s">
        <v>662</v>
      </c>
      <c r="AZ2"/>
      <c r="BA2"/>
      <c r="BB2"/>
      <c r="BC2"/>
      <c r="BD2"/>
      <c r="BE2"/>
      <c r="BF2"/>
      <c r="BG2"/>
      <c r="BH2" s="3" t="s">
        <v>663</v>
      </c>
      <c r="BI2"/>
      <c r="BJ2"/>
      <c r="BK2"/>
      <c r="BL2"/>
      <c r="BM2" s="3" t="s">
        <v>664</v>
      </c>
      <c r="BN2"/>
      <c r="BO2"/>
      <c r="BP2"/>
      <c r="BQ2"/>
      <c r="BR2" s="3" t="s">
        <v>665</v>
      </c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</row>
    <row r="3" spans="1:188" s="57" customFormat="1" ht="16.350000000000001" customHeight="1">
      <c r="A3" s="7" t="s">
        <v>191</v>
      </c>
      <c r="B3" s="5" t="s">
        <v>13</v>
      </c>
      <c r="C3" s="5" t="s">
        <v>11</v>
      </c>
      <c r="D3" s="5" t="s">
        <v>14</v>
      </c>
      <c r="E3" s="5" t="s">
        <v>192</v>
      </c>
      <c r="F3" s="5" t="s">
        <v>193</v>
      </c>
      <c r="G3" s="5" t="s">
        <v>666</v>
      </c>
      <c r="H3" s="4" t="s">
        <v>195</v>
      </c>
      <c r="I3" s="5" t="s">
        <v>196</v>
      </c>
      <c r="J3" s="4" t="s">
        <v>667</v>
      </c>
      <c r="K3" s="53" t="s">
        <v>668</v>
      </c>
      <c r="L3" s="4" t="s">
        <v>669</v>
      </c>
      <c r="M3" s="6" t="s">
        <v>670</v>
      </c>
      <c r="N3" s="128" t="s">
        <v>671</v>
      </c>
      <c r="O3" s="4" t="s">
        <v>672</v>
      </c>
      <c r="P3" s="6" t="s">
        <v>673</v>
      </c>
      <c r="Q3" s="7" t="s">
        <v>674</v>
      </c>
      <c r="R3" s="7" t="s">
        <v>675</v>
      </c>
      <c r="S3" s="7" t="s">
        <v>676</v>
      </c>
      <c r="T3" s="7" t="s">
        <v>677</v>
      </c>
      <c r="U3" s="7" t="s">
        <v>736</v>
      </c>
      <c r="V3" s="7" t="s">
        <v>679</v>
      </c>
      <c r="W3" s="4" t="s">
        <v>680</v>
      </c>
      <c r="X3" s="6" t="s">
        <v>681</v>
      </c>
      <c r="Y3" s="127" t="s">
        <v>682</v>
      </c>
      <c r="Z3" s="53" t="s">
        <v>683</v>
      </c>
      <c r="AA3" s="127" t="s">
        <v>684</v>
      </c>
      <c r="AB3" s="53" t="s">
        <v>685</v>
      </c>
      <c r="AC3" s="127" t="s">
        <v>686</v>
      </c>
      <c r="AD3" s="8" t="s">
        <v>687</v>
      </c>
      <c r="AE3" s="273" t="s">
        <v>688</v>
      </c>
      <c r="AF3" s="53" t="s">
        <v>689</v>
      </c>
      <c r="AG3" s="127" t="s">
        <v>690</v>
      </c>
      <c r="AH3" s="53" t="s">
        <v>691</v>
      </c>
      <c r="AI3" s="127" t="s">
        <v>692</v>
      </c>
      <c r="AJ3" s="127" t="s">
        <v>693</v>
      </c>
      <c r="AK3" s="8" t="s">
        <v>694</v>
      </c>
      <c r="AL3" s="53" t="s">
        <v>695</v>
      </c>
      <c r="AM3" s="127" t="s">
        <v>696</v>
      </c>
      <c r="AN3" s="8" t="s">
        <v>697</v>
      </c>
      <c r="AO3" s="53" t="s">
        <v>698</v>
      </c>
      <c r="AP3" s="127" t="s">
        <v>699</v>
      </c>
      <c r="AQ3" s="8" t="s">
        <v>700</v>
      </c>
      <c r="AR3" s="53" t="s">
        <v>701</v>
      </c>
      <c r="AS3" s="127" t="s">
        <v>702</v>
      </c>
      <c r="AT3" s="127" t="s">
        <v>703</v>
      </c>
      <c r="AU3" s="8" t="s">
        <v>704</v>
      </c>
      <c r="AV3" s="53" t="s">
        <v>705</v>
      </c>
      <c r="AW3" s="127" t="s">
        <v>706</v>
      </c>
      <c r="AX3" s="8" t="s">
        <v>707</v>
      </c>
      <c r="AY3" s="53" t="s">
        <v>708</v>
      </c>
      <c r="AZ3" s="7" t="s">
        <v>191</v>
      </c>
      <c r="BA3" s="4" t="s">
        <v>709</v>
      </c>
      <c r="BB3" s="5" t="s">
        <v>710</v>
      </c>
      <c r="BC3" s="6" t="s">
        <v>711</v>
      </c>
      <c r="BD3" s="4" t="s">
        <v>712</v>
      </c>
      <c r="BE3" s="5" t="s">
        <v>713</v>
      </c>
      <c r="BF3" s="6"/>
      <c r="BG3"/>
      <c r="BH3" s="4" t="s">
        <v>714</v>
      </c>
      <c r="BI3" s="5" t="s">
        <v>715</v>
      </c>
      <c r="BJ3" s="5" t="s">
        <v>716</v>
      </c>
      <c r="BK3" s="5" t="s">
        <v>717</v>
      </c>
      <c r="BL3" s="6" t="s">
        <v>718</v>
      </c>
      <c r="BM3" s="4" t="s">
        <v>719</v>
      </c>
      <c r="BN3" s="5" t="s">
        <v>720</v>
      </c>
      <c r="BO3" s="5" t="s">
        <v>721</v>
      </c>
      <c r="BP3" s="6" t="s">
        <v>722</v>
      </c>
      <c r="BQ3" s="7" t="s">
        <v>191</v>
      </c>
      <c r="BR3" s="4" t="s">
        <v>714</v>
      </c>
      <c r="BS3" s="5" t="s">
        <v>715</v>
      </c>
      <c r="BT3" s="5" t="s">
        <v>716</v>
      </c>
      <c r="BU3" s="5" t="s">
        <v>717</v>
      </c>
      <c r="BV3" s="6" t="s">
        <v>718</v>
      </c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</row>
    <row r="4" spans="1:188" s="10" customFormat="1" ht="16.350000000000001" customHeight="1">
      <c r="A4" s="185" t="s">
        <v>260</v>
      </c>
      <c r="B4" s="182" t="s">
        <v>261</v>
      </c>
      <c r="C4" s="183">
        <v>42548</v>
      </c>
      <c r="D4" s="10" t="s">
        <v>26</v>
      </c>
      <c r="E4" s="10" t="s">
        <v>262</v>
      </c>
      <c r="F4" s="89">
        <v>43258</v>
      </c>
      <c r="G4" s="164">
        <v>0.46527777777777773</v>
      </c>
      <c r="H4" s="63">
        <v>20</v>
      </c>
      <c r="I4" s="64">
        <f>H14-H4</f>
        <v>-0.74250000000000327</v>
      </c>
      <c r="J4" s="63">
        <v>23.03</v>
      </c>
      <c r="K4" s="14">
        <f>J4-H4</f>
        <v>3.0300000000000011</v>
      </c>
      <c r="L4" s="13">
        <v>88.45</v>
      </c>
      <c r="M4" s="186">
        <v>323.02625369999998</v>
      </c>
      <c r="N4" s="15">
        <v>9.3000000000000007</v>
      </c>
      <c r="O4" s="13">
        <v>14.64</v>
      </c>
      <c r="P4" s="14">
        <v>17.305</v>
      </c>
      <c r="Q4" s="15">
        <v>78.14</v>
      </c>
      <c r="R4" s="15">
        <v>14.1</v>
      </c>
      <c r="S4" s="15">
        <v>39.770000000000003</v>
      </c>
      <c r="T4" s="15">
        <v>24.44</v>
      </c>
      <c r="U4" s="15">
        <v>3604.3440249603</v>
      </c>
      <c r="V4" s="15"/>
      <c r="W4" s="13">
        <v>1.7</v>
      </c>
      <c r="X4" s="14">
        <f>(100/J4)*(W4/1000)</f>
        <v>7.3816760746851914E-3</v>
      </c>
      <c r="Y4" s="13">
        <v>1.1405000000000001</v>
      </c>
      <c r="Z4" s="14">
        <f>(100/J4)*Y4</f>
        <v>4.9522362136343894</v>
      </c>
      <c r="AA4" s="13">
        <v>0.1477</v>
      </c>
      <c r="AB4" s="14">
        <f>(100/J4)*AA4</f>
        <v>0.64133738601823698</v>
      </c>
      <c r="AC4" s="13">
        <v>2.9</v>
      </c>
      <c r="AD4" s="10">
        <f>(100/J4)*(AC4/1000)</f>
        <v>1.2592270950933562E-2</v>
      </c>
      <c r="AE4" s="230">
        <v>7.4099999999999999E-2</v>
      </c>
      <c r="AF4" s="14">
        <f>(100/J4)*AE4</f>
        <v>0.32175423360833688</v>
      </c>
      <c r="AG4" s="13">
        <v>8.6199999999999999E-2</v>
      </c>
      <c r="AH4" s="14">
        <f>(100/J4)*AG4</f>
        <v>0.37429439861050795</v>
      </c>
      <c r="AI4" s="13"/>
      <c r="AJ4" s="13">
        <v>5.7299999999999997E-2</v>
      </c>
      <c r="AK4" s="10">
        <f>(100/J4)*AJ4</f>
        <v>0.2488059053408597</v>
      </c>
      <c r="AL4" s="14">
        <f>(AJ4*1000)/M4</f>
        <v>0.17738496281238952</v>
      </c>
      <c r="AM4" s="13">
        <v>0.1201</v>
      </c>
      <c r="AN4" s="10">
        <f>(100/J4)*AM4</f>
        <v>0.52149370386452443</v>
      </c>
      <c r="AO4" s="14">
        <f>(AM4*1000)/M4</f>
        <v>0.371796405475881</v>
      </c>
      <c r="AP4" s="13">
        <v>1.9199999999999998E-2</v>
      </c>
      <c r="AQ4" s="10">
        <f>(100/J4)*AP4</f>
        <v>8.3369518019973929E-2</v>
      </c>
      <c r="AR4" s="14">
        <f>(AP4*1000)/M4</f>
        <v>5.9437893298392296E-2</v>
      </c>
      <c r="AS4" s="13"/>
      <c r="AT4" s="13">
        <f>AJ4+AM4+AP4</f>
        <v>0.1966</v>
      </c>
      <c r="AU4" s="10">
        <f>(100/J4)*AT4</f>
        <v>0.85366912722535815</v>
      </c>
      <c r="AV4" s="14">
        <f>(AT4*1000)/M4</f>
        <v>0.6086192615866628</v>
      </c>
      <c r="AW4" s="13">
        <v>9.4399999999999998E-2</v>
      </c>
      <c r="AX4" s="10">
        <f>(100/J4)*AW4</f>
        <v>0.40990013026487182</v>
      </c>
      <c r="AY4" s="14">
        <f>(AW4*1000)/M4</f>
        <v>0.29223630871709544</v>
      </c>
      <c r="AZ4" s="123"/>
      <c r="BA4" s="13"/>
      <c r="BC4" s="14"/>
      <c r="BD4" s="13"/>
      <c r="BF4" s="14"/>
      <c r="BG4"/>
      <c r="BH4" s="13">
        <v>18.142859999999999</v>
      </c>
      <c r="BI4" s="10">
        <v>13</v>
      </c>
      <c r="BJ4" s="10">
        <v>5</v>
      </c>
      <c r="BK4" s="10">
        <v>13.66667</v>
      </c>
      <c r="BL4" s="14">
        <v>4.6666699999999999</v>
      </c>
      <c r="BM4">
        <v>0.43</v>
      </c>
      <c r="BN4">
        <v>17.488934574918368</v>
      </c>
      <c r="BO4">
        <v>52</v>
      </c>
      <c r="BP4">
        <v>4.375</v>
      </c>
      <c r="BQ4" s="185" t="s">
        <v>260</v>
      </c>
      <c r="BR4" s="13">
        <v>1.428571</v>
      </c>
      <c r="BS4" s="10">
        <v>1.75</v>
      </c>
      <c r="BT4" s="10">
        <v>0.75</v>
      </c>
      <c r="BU4" s="10">
        <v>0</v>
      </c>
      <c r="BV4" s="14">
        <v>0</v>
      </c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</row>
    <row r="5" spans="1:188" s="10" customFormat="1" ht="16.350000000000001" customHeight="1">
      <c r="A5" s="121" t="s">
        <v>265</v>
      </c>
      <c r="B5" s="182" t="s">
        <v>266</v>
      </c>
      <c r="C5" s="183">
        <v>42549</v>
      </c>
      <c r="D5" s="10" t="s">
        <v>26</v>
      </c>
      <c r="E5" s="10" t="s">
        <v>262</v>
      </c>
      <c r="F5" s="89">
        <v>43258</v>
      </c>
      <c r="G5" s="164">
        <v>0.68611111111111101</v>
      </c>
      <c r="H5" s="63">
        <v>18.52</v>
      </c>
      <c r="I5" s="64">
        <f>H14-H5</f>
        <v>0.73749999999999716</v>
      </c>
      <c r="J5" s="63">
        <v>22.02</v>
      </c>
      <c r="K5" s="14">
        <f>J5-H5</f>
        <v>3.5</v>
      </c>
      <c r="L5" s="13">
        <v>101.32</v>
      </c>
      <c r="M5" s="186">
        <v>369.65368869999998</v>
      </c>
      <c r="N5" s="15">
        <v>9.1</v>
      </c>
      <c r="O5" s="13">
        <v>14.648</v>
      </c>
      <c r="P5" s="14">
        <v>17.030999999999999</v>
      </c>
      <c r="Q5" s="15">
        <v>83</v>
      </c>
      <c r="R5" s="15">
        <v>14.23</v>
      </c>
      <c r="S5" s="15">
        <v>42.98</v>
      </c>
      <c r="T5" s="15">
        <v>26.3</v>
      </c>
      <c r="U5" s="15">
        <v>2472.7499418351099</v>
      </c>
      <c r="V5" s="15"/>
      <c r="W5" s="13">
        <v>1.3</v>
      </c>
      <c r="X5" s="14">
        <f>(100/J5)*(W5/1000)</f>
        <v>5.903723887375114E-3</v>
      </c>
      <c r="Y5" s="13">
        <v>1.0386</v>
      </c>
      <c r="Z5" s="14">
        <f>(100/J5)*Y5</f>
        <v>4.7166212534059948</v>
      </c>
      <c r="AA5" s="13">
        <v>0.1472</v>
      </c>
      <c r="AB5" s="14">
        <f>(100/J5)*AA5</f>
        <v>0.66848319709355142</v>
      </c>
      <c r="AC5" s="13">
        <v>3.3</v>
      </c>
      <c r="AD5" s="10">
        <f>(100/J5)*(AC5/1000)</f>
        <v>1.4986376021798366E-2</v>
      </c>
      <c r="AE5" s="230">
        <v>6.6900000000000001E-2</v>
      </c>
      <c r="AF5" s="14">
        <f>(100/J5)*AE5</f>
        <v>0.30381471389645781</v>
      </c>
      <c r="AG5" s="13">
        <v>8.8700000000000001E-2</v>
      </c>
      <c r="AH5" s="14">
        <f>(100/J5)*AG5</f>
        <v>0.40281562216167127</v>
      </c>
      <c r="AI5" s="13"/>
      <c r="AJ5" s="13">
        <v>6.3100000000000003E-2</v>
      </c>
      <c r="AK5" s="10">
        <f>(100/J5)*AJ5</f>
        <v>0.28655767484105366</v>
      </c>
      <c r="AL5" s="14">
        <f t="shared" ref="AL5:AL13" si="0">(AJ5*1000)/M5</f>
        <v>0.17070031201882607</v>
      </c>
      <c r="AM5" s="13">
        <v>8.3799999999999999E-2</v>
      </c>
      <c r="AN5" s="10">
        <f>(100/J5)*AM5</f>
        <v>0.38056312443233425</v>
      </c>
      <c r="AO5" s="14">
        <f t="shared" ref="AO5:AO13" si="1">(AM5*1000)/M5</f>
        <v>0.22669867111216521</v>
      </c>
      <c r="AP5" s="13">
        <v>1.29E-2</v>
      </c>
      <c r="AQ5" s="10">
        <f>(100/J5)*AP5</f>
        <v>5.8583106267029977E-2</v>
      </c>
      <c r="AR5" s="14">
        <f t="shared" ref="AR5:AR13" si="2">(AP5*1000)/M5</f>
        <v>3.4897528130631641E-2</v>
      </c>
      <c r="AS5" s="13"/>
      <c r="AT5" s="13">
        <f>AJ5+AM5+AP5</f>
        <v>0.1598</v>
      </c>
      <c r="AU5" s="10">
        <f>(100/J5)*AT5</f>
        <v>0.72570390554041786</v>
      </c>
      <c r="AV5" s="14">
        <f t="shared" ref="AV5:AV13" si="3">(AT5*1000)/M5</f>
        <v>0.432296511261623</v>
      </c>
      <c r="AW5" s="13">
        <v>0.1016</v>
      </c>
      <c r="AX5" s="10">
        <f>(100/J5)*AW5</f>
        <v>0.46139872842870122</v>
      </c>
      <c r="AY5" s="14">
        <f>(AW5*1000)/M5</f>
        <v>0.27485184946295926</v>
      </c>
      <c r="AZ5" s="123"/>
      <c r="BA5" s="13"/>
      <c r="BC5" s="14"/>
      <c r="BD5" s="13"/>
      <c r="BF5" s="14"/>
      <c r="BG5"/>
      <c r="BH5" s="13">
        <v>15.1426</v>
      </c>
      <c r="BI5" s="10">
        <v>9.8000000000000007</v>
      </c>
      <c r="BJ5" s="10">
        <v>4</v>
      </c>
      <c r="BK5" s="10">
        <v>10.33333</v>
      </c>
      <c r="BL5" s="14">
        <v>6.6666699999999999</v>
      </c>
      <c r="BM5">
        <v>0.51</v>
      </c>
      <c r="BN5">
        <v>15.304162</v>
      </c>
      <c r="BO5">
        <v>43</v>
      </c>
      <c r="BP5">
        <v>4.461538</v>
      </c>
      <c r="BQ5" s="121" t="s">
        <v>265</v>
      </c>
      <c r="BR5" s="13">
        <v>0.42857099999999998</v>
      </c>
      <c r="BS5" s="10">
        <v>0</v>
      </c>
      <c r="BT5" s="10">
        <v>0.25</v>
      </c>
      <c r="BU5" s="10">
        <v>0.66666700000000001</v>
      </c>
      <c r="BV5" s="14">
        <v>0</v>
      </c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</row>
    <row r="6" spans="1:188" s="10" customFormat="1" ht="16.350000000000001" customHeight="1">
      <c r="A6" s="121" t="s">
        <v>267</v>
      </c>
      <c r="B6" s="182" t="s">
        <v>268</v>
      </c>
      <c r="C6" s="89">
        <v>42550</v>
      </c>
      <c r="D6" s="10" t="s">
        <v>26</v>
      </c>
      <c r="E6" s="10" t="s">
        <v>262</v>
      </c>
      <c r="F6" s="89">
        <v>43258</v>
      </c>
      <c r="G6" s="164">
        <v>0.78819444444444453</v>
      </c>
      <c r="H6" s="63">
        <v>17.91</v>
      </c>
      <c r="I6" s="64">
        <f>H14-H6</f>
        <v>1.3474999999999966</v>
      </c>
      <c r="J6" s="63">
        <v>20.82</v>
      </c>
      <c r="K6" s="14">
        <f>J6-H6</f>
        <v>2.91</v>
      </c>
      <c r="L6" s="13">
        <v>93.11</v>
      </c>
      <c r="M6" s="186">
        <v>341.18523540000001</v>
      </c>
      <c r="N6" s="15">
        <v>8.9</v>
      </c>
      <c r="O6" s="13">
        <v>14.683</v>
      </c>
      <c r="P6" s="14">
        <v>16.975000000000001</v>
      </c>
      <c r="Q6" s="15">
        <v>79.760000000000005</v>
      </c>
      <c r="R6" s="15">
        <v>12.77</v>
      </c>
      <c r="S6" s="15">
        <v>42.05</v>
      </c>
      <c r="T6" s="15">
        <v>24.96</v>
      </c>
      <c r="U6" s="15">
        <v>2643.1465137088703</v>
      </c>
      <c r="V6" s="15"/>
      <c r="W6" s="13">
        <v>1.1000000000000001</v>
      </c>
      <c r="X6" s="14">
        <f>(100/J6)*(W6/1000)</f>
        <v>5.2833813640730072E-3</v>
      </c>
      <c r="Y6" s="13">
        <v>1.0152000000000001</v>
      </c>
      <c r="Z6" s="14">
        <f>(100/J6)*Y6</f>
        <v>4.8760806916426516</v>
      </c>
      <c r="AA6" s="13">
        <v>0.159</v>
      </c>
      <c r="AB6" s="14">
        <f>(100/J6)*AA6</f>
        <v>0.7636887608069165</v>
      </c>
      <c r="AC6" s="13">
        <v>3.6</v>
      </c>
      <c r="AD6" s="10">
        <f>(100/J6)*(AC6/1000)</f>
        <v>1.7291066282420751E-2</v>
      </c>
      <c r="AE6" s="230">
        <v>5.3999999999999999E-2</v>
      </c>
      <c r="AF6" s="14">
        <f>(100/J6)*AE6</f>
        <v>0.25936599423631124</v>
      </c>
      <c r="AG6" s="13">
        <v>7.8700000000000006E-2</v>
      </c>
      <c r="AH6" s="14">
        <f>(100/J6)*AG6</f>
        <v>0.37800192122958698</v>
      </c>
      <c r="AI6" s="13"/>
      <c r="AJ6" s="13">
        <v>8.0399999999999999E-2</v>
      </c>
      <c r="AK6" s="10">
        <f>(100/J6)*AJ6</f>
        <v>0.3861671469740634</v>
      </c>
      <c r="AL6" s="14">
        <f t="shared" si="0"/>
        <v>0.23564911859606222</v>
      </c>
      <c r="AM6" s="13">
        <v>9.9599999999999994E-2</v>
      </c>
      <c r="AN6" s="10">
        <f>(100/J6)*AM6</f>
        <v>0.47838616714697407</v>
      </c>
      <c r="AO6" s="14">
        <f t="shared" si="1"/>
        <v>0.29192353497721135</v>
      </c>
      <c r="AP6" s="13">
        <v>1.9199999999999998E-2</v>
      </c>
      <c r="AQ6" s="10">
        <f>(100/J6)*AP6</f>
        <v>9.2219020172910657E-2</v>
      </c>
      <c r="AR6" s="14">
        <f t="shared" si="2"/>
        <v>5.6274416381149175E-2</v>
      </c>
      <c r="AS6" s="13"/>
      <c r="AT6" s="13">
        <f>AJ6+AM6+AP6</f>
        <v>0.19919999999999999</v>
      </c>
      <c r="AU6" s="10">
        <f>(100/J6)*AT6</f>
        <v>0.95677233429394815</v>
      </c>
      <c r="AV6" s="14">
        <f t="shared" si="3"/>
        <v>0.5838470699544227</v>
      </c>
      <c r="AW6" s="13">
        <v>8.0199999999999994E-2</v>
      </c>
      <c r="AX6" s="10">
        <f>(100/J6)*AW6</f>
        <v>0.38520653218059558</v>
      </c>
      <c r="AY6" s="14">
        <f t="shared" ref="AY6:AY13" si="4">(AW6*1000)/M6</f>
        <v>0.23506292675875853</v>
      </c>
      <c r="AZ6" s="123"/>
      <c r="BA6" s="13"/>
      <c r="BC6" s="14"/>
      <c r="BD6" s="13"/>
      <c r="BF6" s="14"/>
      <c r="BG6"/>
      <c r="BH6" s="13">
        <v>21.166667</v>
      </c>
      <c r="BI6" s="10">
        <v>20.3</v>
      </c>
      <c r="BJ6" s="10">
        <v>7.7</v>
      </c>
      <c r="BK6" s="10">
        <v>11</v>
      </c>
      <c r="BL6" s="14">
        <v>3.3333300000000001</v>
      </c>
      <c r="BM6">
        <v>-0.57999999999999996</v>
      </c>
      <c r="BN6">
        <v>15.911526078640209</v>
      </c>
      <c r="BO6">
        <v>41</v>
      </c>
      <c r="BP6">
        <v>3.15</v>
      </c>
      <c r="BQ6" s="121" t="s">
        <v>267</v>
      </c>
      <c r="BR6" s="13">
        <v>1.933333</v>
      </c>
      <c r="BS6" s="10">
        <v>1.33</v>
      </c>
      <c r="BT6" s="10">
        <v>1</v>
      </c>
      <c r="BU6" s="10">
        <v>1</v>
      </c>
      <c r="BV6" s="14">
        <v>0.33333000000000002</v>
      </c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</row>
    <row r="7" spans="1:188" s="10" customFormat="1" ht="16.350000000000001" customHeight="1">
      <c r="A7" s="133" t="s">
        <v>269</v>
      </c>
      <c r="B7" s="224" t="s">
        <v>270</v>
      </c>
      <c r="C7" s="11">
        <v>42529</v>
      </c>
      <c r="D7" s="12" t="s">
        <v>26</v>
      </c>
      <c r="E7" s="10" t="s">
        <v>262</v>
      </c>
      <c r="F7" s="11" t="s">
        <v>271</v>
      </c>
      <c r="G7" s="164">
        <v>0.63888888888888895</v>
      </c>
      <c r="H7" s="63">
        <v>20.61</v>
      </c>
      <c r="I7" s="64">
        <f>H14-H7</f>
        <v>-1.3525000000000027</v>
      </c>
      <c r="J7" s="63">
        <v>24.79</v>
      </c>
      <c r="K7" s="14">
        <f>J7-H7</f>
        <v>4.18</v>
      </c>
      <c r="L7" s="13">
        <v>89.79</v>
      </c>
      <c r="M7" s="86">
        <v>326.420591</v>
      </c>
      <c r="N7" s="15">
        <v>9.1999999999999993</v>
      </c>
      <c r="O7" s="13">
        <v>15.096</v>
      </c>
      <c r="P7" s="14">
        <v>17.314</v>
      </c>
      <c r="Q7" s="15">
        <v>80.459999999999994</v>
      </c>
      <c r="R7" s="15">
        <v>10.47</v>
      </c>
      <c r="S7" s="15">
        <v>35.659999999999997</v>
      </c>
      <c r="T7" s="15">
        <v>36.090000000000003</v>
      </c>
      <c r="U7" s="15">
        <v>1468.7840360495302</v>
      </c>
      <c r="V7" s="15"/>
      <c r="W7" s="13">
        <v>2</v>
      </c>
      <c r="X7" s="14">
        <f>(100/J7)*(W7/1000)</f>
        <v>8.0677692617991126E-3</v>
      </c>
      <c r="Y7" s="13">
        <v>1.1418999999999999</v>
      </c>
      <c r="Z7" s="14">
        <f>(100/J7)*Y7</f>
        <v>4.6062928600242028</v>
      </c>
      <c r="AA7" s="13">
        <v>0.16800000000000001</v>
      </c>
      <c r="AB7" s="14">
        <f>(100/J7)*AA7</f>
        <v>0.67769261799112546</v>
      </c>
      <c r="AC7" s="13">
        <v>3.1</v>
      </c>
      <c r="AD7" s="10">
        <f>(100/J7)*(AC7/1000)</f>
        <v>1.2505042355788623E-2</v>
      </c>
      <c r="AE7" s="230">
        <v>6.3E-2</v>
      </c>
      <c r="AF7" s="14">
        <f>(100/J7)*AE7</f>
        <v>0.25413473174667206</v>
      </c>
      <c r="AG7" s="13">
        <v>7.8899999999999998E-2</v>
      </c>
      <c r="AH7" s="14">
        <f>(100/J7)*AG7</f>
        <v>0.318273497377975</v>
      </c>
      <c r="AI7" s="13"/>
      <c r="AJ7" s="13">
        <v>8.2699999999999996E-2</v>
      </c>
      <c r="AK7" s="10">
        <f>(100/J7)*AJ7</f>
        <v>0.33360225897539331</v>
      </c>
      <c r="AL7" s="14">
        <f t="shared" si="0"/>
        <v>0.25335411515139372</v>
      </c>
      <c r="AM7" s="13">
        <v>0.16250000000000001</v>
      </c>
      <c r="AN7" s="10">
        <f>(100/J7)*AM7</f>
        <v>0.65550625252117789</v>
      </c>
      <c r="AO7" s="14">
        <f t="shared" si="1"/>
        <v>0.49782398684524165</v>
      </c>
      <c r="AP7" s="13">
        <v>2.4E-2</v>
      </c>
      <c r="AQ7" s="10">
        <f>(100/J7)*AP7</f>
        <v>9.6813231141589351E-2</v>
      </c>
      <c r="AR7" s="14">
        <f t="shared" si="2"/>
        <v>7.352477344175877E-2</v>
      </c>
      <c r="AS7" s="13"/>
      <c r="AT7" s="13">
        <f>AJ7+AM7+AP7</f>
        <v>0.26919999999999999</v>
      </c>
      <c r="AU7" s="10">
        <f>(100/J7)*AT7</f>
        <v>1.0859217426381604</v>
      </c>
      <c r="AV7" s="14">
        <f t="shared" si="3"/>
        <v>0.82470287543839416</v>
      </c>
      <c r="AW7" s="13">
        <v>9.9199999999999997E-2</v>
      </c>
      <c r="AX7" s="10">
        <f>(100/J7)*AW7</f>
        <v>0.40016135538523595</v>
      </c>
      <c r="AY7" s="14">
        <f t="shared" si="4"/>
        <v>0.3039023968926029</v>
      </c>
      <c r="AZ7" s="123"/>
      <c r="BA7" s="13"/>
      <c r="BC7" s="14"/>
      <c r="BD7" s="13"/>
      <c r="BF7" s="14"/>
      <c r="BG7"/>
      <c r="BH7" s="13">
        <v>21.142859999999999</v>
      </c>
      <c r="BI7" s="10">
        <v>9</v>
      </c>
      <c r="BJ7" s="10">
        <v>9.5</v>
      </c>
      <c r="BK7" s="10">
        <v>16.66667</v>
      </c>
      <c r="BL7" s="14">
        <v>8</v>
      </c>
      <c r="BM7">
        <v>0.02</v>
      </c>
      <c r="BN7">
        <v>5.6160263557520391</v>
      </c>
      <c r="BO7">
        <v>18</v>
      </c>
      <c r="BP7">
        <v>3.625</v>
      </c>
      <c r="BQ7" s="134" t="s">
        <v>269</v>
      </c>
      <c r="BR7" s="13">
        <v>0.57142899999999996</v>
      </c>
      <c r="BS7" s="10">
        <v>0.5</v>
      </c>
      <c r="BT7" s="10">
        <v>0.25</v>
      </c>
      <c r="BU7" s="10">
        <v>0.33333299999999999</v>
      </c>
      <c r="BV7" s="14">
        <v>0</v>
      </c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</row>
    <row r="8" spans="1:188" s="10" customFormat="1" ht="16.350000000000001" customHeight="1">
      <c r="A8" s="133" t="s">
        <v>272</v>
      </c>
      <c r="B8" s="224" t="s">
        <v>273</v>
      </c>
      <c r="C8" s="11"/>
      <c r="D8" s="12" t="s">
        <v>26</v>
      </c>
      <c r="E8" s="10" t="s">
        <v>262</v>
      </c>
      <c r="F8" s="11">
        <v>42411</v>
      </c>
      <c r="G8" s="164">
        <v>0.59861111111111109</v>
      </c>
      <c r="H8" s="63">
        <v>17.77</v>
      </c>
      <c r="I8" s="64">
        <f>H14-H8</f>
        <v>1.4874999999999972</v>
      </c>
      <c r="J8" s="63">
        <v>20.73</v>
      </c>
      <c r="K8" s="14">
        <f>J8-H8</f>
        <v>2.9600000000000009</v>
      </c>
      <c r="L8" s="13">
        <v>85.319999999999965</v>
      </c>
      <c r="M8" s="86">
        <v>311.50084418390998</v>
      </c>
      <c r="N8" s="15">
        <v>8.8000000000000007</v>
      </c>
      <c r="O8" s="13">
        <v>14.406000000000001</v>
      </c>
      <c r="P8" s="14">
        <v>16.797999999999998</v>
      </c>
      <c r="Q8" s="15">
        <v>75.510000000000005</v>
      </c>
      <c r="R8" s="15">
        <v>10.32</v>
      </c>
      <c r="S8" s="15">
        <v>31.87</v>
      </c>
      <c r="T8" s="15">
        <v>33.380000000000003</v>
      </c>
      <c r="U8" s="15">
        <v>1912.4144868752799</v>
      </c>
      <c r="V8" s="15"/>
      <c r="W8" s="13">
        <v>1.2</v>
      </c>
      <c r="X8" s="14">
        <f>(100/J8)*(W8/1000)</f>
        <v>5.7887120115774236E-3</v>
      </c>
      <c r="Y8" s="13">
        <v>1.0230999999999999</v>
      </c>
      <c r="Z8" s="14">
        <f>(100/J8)*Y8</f>
        <v>4.9353593825373849</v>
      </c>
      <c r="AA8" s="13">
        <v>0.13619999999999999</v>
      </c>
      <c r="AB8" s="14">
        <f>(100/J8)*AA8</f>
        <v>0.65701881331403755</v>
      </c>
      <c r="AC8" s="13">
        <v>3</v>
      </c>
      <c r="AD8" s="10">
        <f>(100/J8)*(AC8/1000)</f>
        <v>1.4471780028943561E-2</v>
      </c>
      <c r="AE8" s="230">
        <v>5.8400000000000001E-2</v>
      </c>
      <c r="AF8" s="14">
        <f>(100/J8)*AE8</f>
        <v>0.28171731789676796</v>
      </c>
      <c r="AG8" s="13">
        <v>8.2600000000000007E-2</v>
      </c>
      <c r="AH8" s="14">
        <f>(100/J8)*AG8</f>
        <v>0.39845634346357939</v>
      </c>
      <c r="AI8" s="13"/>
      <c r="AJ8" s="13">
        <v>8.0799999999999997E-2</v>
      </c>
      <c r="AK8" s="10">
        <f>(100/J8)*AJ8</f>
        <v>0.38977327544621321</v>
      </c>
      <c r="AL8" s="14">
        <f t="shared" si="0"/>
        <v>0.2593893451932211</v>
      </c>
      <c r="AM8" s="13">
        <v>8.6499999999999994E-2</v>
      </c>
      <c r="AN8" s="10">
        <f>(100/J8)*AM8</f>
        <v>0.41726965750120598</v>
      </c>
      <c r="AO8" s="14">
        <f t="shared" si="1"/>
        <v>0.27768785098036664</v>
      </c>
      <c r="AP8" s="13">
        <v>1.35E-2</v>
      </c>
      <c r="AQ8" s="10">
        <f>(100/J8)*AP8</f>
        <v>6.5123010130246017E-2</v>
      </c>
      <c r="AR8" s="14">
        <f t="shared" si="2"/>
        <v>4.3338566337976295E-2</v>
      </c>
      <c r="AS8" s="13"/>
      <c r="AT8" s="13">
        <f>AJ8+AM8+AP8</f>
        <v>0.18080000000000002</v>
      </c>
      <c r="AU8" s="10">
        <f>(100/J8)*AT8</f>
        <v>0.87216594307766526</v>
      </c>
      <c r="AV8" s="14">
        <f t="shared" si="3"/>
        <v>0.58041576251156402</v>
      </c>
      <c r="AW8" s="13">
        <v>8.5900000000000004E-2</v>
      </c>
      <c r="AX8" s="10">
        <f>(100/J8)*AW8</f>
        <v>0.41437530149541729</v>
      </c>
      <c r="AY8" s="14">
        <f t="shared" si="4"/>
        <v>0.2757616924764566</v>
      </c>
      <c r="AZ8" s="123"/>
      <c r="BA8" s="13"/>
      <c r="BC8" s="14"/>
      <c r="BD8" s="13"/>
      <c r="BF8" s="14"/>
      <c r="BG8"/>
      <c r="BH8" s="13">
        <v>16.625</v>
      </c>
      <c r="BI8" s="10">
        <v>9.5</v>
      </c>
      <c r="BJ8" s="10">
        <v>12.2</v>
      </c>
      <c r="BK8" s="10">
        <v>8.6666699999999999</v>
      </c>
      <c r="BL8" s="14">
        <v>2.6666699999999999</v>
      </c>
      <c r="BM8">
        <v>0.26</v>
      </c>
      <c r="BN8">
        <v>10.731384848025231</v>
      </c>
      <c r="BO8">
        <v>35</v>
      </c>
      <c r="BP8">
        <v>4.1818179999999998</v>
      </c>
      <c r="BQ8" s="134" t="s">
        <v>272</v>
      </c>
      <c r="BR8" s="13">
        <v>0.25</v>
      </c>
      <c r="BS8" s="10">
        <v>0</v>
      </c>
      <c r="BT8" s="10">
        <v>0</v>
      </c>
      <c r="BU8" s="10">
        <v>0</v>
      </c>
      <c r="BV8" s="14">
        <v>0.66666999999999998</v>
      </c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</row>
    <row r="9" spans="1:188" s="10" customFormat="1" ht="16.350000000000001" customHeight="1">
      <c r="A9" s="123"/>
      <c r="B9" s="62"/>
      <c r="C9" s="11"/>
      <c r="D9" s="12"/>
      <c r="F9" s="11"/>
      <c r="G9" s="164"/>
      <c r="H9" s="13"/>
      <c r="I9" s="64"/>
      <c r="J9" s="63"/>
      <c r="K9" s="14"/>
      <c r="L9" s="13"/>
      <c r="M9" s="86"/>
      <c r="N9" s="15"/>
      <c r="O9" s="13"/>
      <c r="P9" s="14"/>
      <c r="Q9" s="15"/>
      <c r="R9" s="15"/>
      <c r="S9" s="15"/>
      <c r="T9" s="15"/>
      <c r="U9" s="15"/>
      <c r="V9" s="15"/>
      <c r="W9" s="13"/>
      <c r="X9" s="14"/>
      <c r="Y9" s="13"/>
      <c r="Z9" s="14"/>
      <c r="AA9" s="13"/>
      <c r="AB9" s="14"/>
      <c r="AC9" s="13"/>
      <c r="AE9" s="13"/>
      <c r="AF9" s="14"/>
      <c r="AG9" s="13"/>
      <c r="AH9" s="14"/>
      <c r="AI9" s="13"/>
      <c r="AJ9" s="13"/>
      <c r="AL9" s="14"/>
      <c r="AM9" s="13"/>
      <c r="AO9" s="14"/>
      <c r="AP9" s="13"/>
      <c r="AR9" s="14"/>
      <c r="AS9" s="13"/>
      <c r="AT9" s="13"/>
      <c r="AV9" s="14"/>
      <c r="AW9" s="13"/>
      <c r="AY9" s="14"/>
      <c r="AZ9" s="123"/>
      <c r="BA9" s="13"/>
      <c r="BC9" s="14"/>
      <c r="BD9" s="13"/>
      <c r="BF9" s="14"/>
      <c r="BG9"/>
      <c r="BH9" s="13"/>
      <c r="BL9" s="14"/>
      <c r="BM9">
        <v>0.32</v>
      </c>
      <c r="BP9" s="14"/>
      <c r="BQ9" s="134"/>
      <c r="BR9" s="13"/>
      <c r="BV9" s="14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</row>
    <row r="10" spans="1:188" s="10" customFormat="1" ht="16.350000000000001" customHeight="1">
      <c r="A10" s="123"/>
      <c r="C10" s="89"/>
      <c r="F10" s="89"/>
      <c r="G10" s="164"/>
      <c r="H10" s="13"/>
      <c r="I10" s="64"/>
      <c r="J10" s="63"/>
      <c r="K10" s="14"/>
      <c r="L10" s="13"/>
      <c r="M10" s="86"/>
      <c r="N10" s="15"/>
      <c r="O10" s="13"/>
      <c r="P10" s="14"/>
      <c r="Q10" s="15"/>
      <c r="R10" s="15"/>
      <c r="S10" s="15"/>
      <c r="T10" s="15"/>
      <c r="U10" s="15"/>
      <c r="V10" s="15"/>
      <c r="W10" s="13"/>
      <c r="X10" s="14"/>
      <c r="Y10" s="13"/>
      <c r="Z10" s="14"/>
      <c r="AA10" s="13"/>
      <c r="AB10" s="14"/>
      <c r="AC10" s="13"/>
      <c r="AE10" s="13"/>
      <c r="AF10" s="14"/>
      <c r="AG10" s="13"/>
      <c r="AH10" s="14"/>
      <c r="AI10" s="13"/>
      <c r="AJ10" s="13"/>
      <c r="AL10" s="14"/>
      <c r="AM10" s="13"/>
      <c r="AO10" s="14"/>
      <c r="AP10" s="13"/>
      <c r="AR10" s="14"/>
      <c r="AS10" s="13"/>
      <c r="AT10" s="13"/>
      <c r="AV10" s="14"/>
      <c r="AW10" s="13"/>
      <c r="AY10" s="14"/>
      <c r="AZ10" s="123"/>
      <c r="BA10" s="13"/>
      <c r="BC10" s="14"/>
      <c r="BD10" s="13"/>
      <c r="BF10" s="14"/>
      <c r="BG10"/>
      <c r="BH10" s="13"/>
      <c r="BL10" s="14"/>
      <c r="BM10" s="420">
        <v>0.3</v>
      </c>
      <c r="BP10" s="14"/>
      <c r="BQ10" s="134"/>
      <c r="BR10" s="13"/>
      <c r="BV10" s="14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</row>
    <row r="11" spans="1:188" s="10" customFormat="1" ht="16.350000000000001" customHeight="1">
      <c r="A11" s="313" t="s">
        <v>274</v>
      </c>
      <c r="B11" s="13" t="s">
        <v>275</v>
      </c>
      <c r="C11" s="142">
        <v>43705</v>
      </c>
      <c r="D11" s="10" t="s">
        <v>26</v>
      </c>
      <c r="E11" s="10" t="s">
        <v>262</v>
      </c>
      <c r="F11" s="89">
        <v>43742</v>
      </c>
      <c r="G11" s="164">
        <v>0.47569444444444442</v>
      </c>
      <c r="H11" s="13">
        <v>18.760000000000002</v>
      </c>
      <c r="I11" s="64">
        <f>H14-H11</f>
        <v>0.49749999999999517</v>
      </c>
      <c r="J11" s="63">
        <v>23.12</v>
      </c>
      <c r="K11" s="14">
        <f t="shared" ref="K11:K13" si="5">J11-H11</f>
        <v>4.3599999999999994</v>
      </c>
      <c r="L11" s="13">
        <v>82.450000000000045</v>
      </c>
      <c r="M11" s="86">
        <v>303.43857536361782</v>
      </c>
      <c r="N11" s="15">
        <v>9.4</v>
      </c>
      <c r="O11" s="13">
        <v>14.651</v>
      </c>
      <c r="P11" s="401">
        <v>17.18</v>
      </c>
      <c r="Q11" s="15">
        <v>93.5</v>
      </c>
      <c r="R11" s="15">
        <v>12.02</v>
      </c>
      <c r="S11" s="15">
        <v>43.49</v>
      </c>
      <c r="T11" s="15">
        <v>38.58</v>
      </c>
      <c r="U11" s="15">
        <v>2660.3187732209199</v>
      </c>
      <c r="V11" s="15"/>
      <c r="W11" s="13">
        <v>1.4</v>
      </c>
      <c r="X11" s="14">
        <f t="shared" ref="X11:X13" si="6">(100/J11)*(W11/1000)</f>
        <v>6.0553633217993079E-3</v>
      </c>
      <c r="Y11" s="10">
        <v>1.3011999999999999</v>
      </c>
      <c r="Z11" s="14">
        <f t="shared" ref="Z11:Z13" si="7">(100/J11)*Y11</f>
        <v>5.6280276816608996</v>
      </c>
      <c r="AA11" s="10">
        <v>0.1245</v>
      </c>
      <c r="AB11" s="14">
        <f t="shared" ref="AB11:AB13" si="8">(100/J11)*AA11</f>
        <v>0.53849480968858132</v>
      </c>
      <c r="AC11" s="13">
        <v>2.7</v>
      </c>
      <c r="AD11" s="10">
        <f t="shared" ref="AD11:AD13" si="9">(100/J11)*(AC11/1000)</f>
        <v>1.1678200692041523E-2</v>
      </c>
      <c r="AE11" s="13">
        <v>6.6500000000000004E-2</v>
      </c>
      <c r="AF11" s="14">
        <f t="shared" ref="AF11:AF13" si="10">(100/J11)*AE11</f>
        <v>0.28762975778546718</v>
      </c>
      <c r="AG11" s="10">
        <v>7.6700000000000004E-2</v>
      </c>
      <c r="AH11" s="14">
        <f t="shared" ref="AH11:AH13" si="11">(100/J11)*AG11</f>
        <v>0.33174740484429066</v>
      </c>
      <c r="AI11" s="13"/>
      <c r="AJ11" s="13">
        <v>8.7599999999999997E-2</v>
      </c>
      <c r="AK11" s="10">
        <f t="shared" ref="AK11:AK13" si="12">(100/J11)*AJ11</f>
        <v>0.37889273356401382</v>
      </c>
      <c r="AL11" s="14">
        <f t="shared" si="0"/>
        <v>0.28869104692779018</v>
      </c>
      <c r="AM11" s="10">
        <v>0.122</v>
      </c>
      <c r="AN11" s="10">
        <f t="shared" ref="AN11:AN13" si="13">(100/J11)*AM11</f>
        <v>0.52768166089965396</v>
      </c>
      <c r="AO11" s="14">
        <f t="shared" si="1"/>
        <v>0.40205830736518727</v>
      </c>
      <c r="AP11" s="10">
        <v>2.3900000000000001E-2</v>
      </c>
      <c r="AQ11" s="10">
        <f t="shared" ref="AQ11:AQ13" si="14">(100/J11)*AP11</f>
        <v>0.10337370242214533</v>
      </c>
      <c r="AR11" s="14">
        <f t="shared" si="2"/>
        <v>7.8763881524819487E-2</v>
      </c>
      <c r="AS11" s="13"/>
      <c r="AT11" s="13">
        <f t="shared" ref="AT11:AT13" si="15">AJ11+AM11+AP11</f>
        <v>0.23350000000000001</v>
      </c>
      <c r="AU11" s="10">
        <f t="shared" ref="AU11:AU13" si="16">(100/J11)*AT11</f>
        <v>1.0099480968858132</v>
      </c>
      <c r="AV11" s="14">
        <f t="shared" si="3"/>
        <v>0.76951323581779696</v>
      </c>
      <c r="AW11" s="10">
        <v>0.1032</v>
      </c>
      <c r="AX11" s="10">
        <f t="shared" ref="AX11:AX13" si="17">(100/J11)*AW11</f>
        <v>0.44636678200692043</v>
      </c>
      <c r="AY11" s="14">
        <f t="shared" si="4"/>
        <v>0.34010178131219121</v>
      </c>
      <c r="AZ11" s="123"/>
      <c r="BA11" s="13"/>
      <c r="BC11" s="14"/>
      <c r="BD11" s="13"/>
      <c r="BF11" s="14"/>
      <c r="BG11"/>
      <c r="BH11" s="13">
        <v>35.857142857142854</v>
      </c>
      <c r="BI11" s="10">
        <v>31</v>
      </c>
      <c r="BJ11" s="10">
        <v>13.5</v>
      </c>
      <c r="BL11" s="14"/>
      <c r="BM11" s="420">
        <v>0.1</v>
      </c>
      <c r="BP11" s="14"/>
      <c r="BQ11" s="134"/>
      <c r="BR11" s="13"/>
      <c r="BV11" s="14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</row>
    <row r="12" spans="1:188" s="10" customFormat="1" ht="16.350000000000001" customHeight="1">
      <c r="A12" s="313" t="s">
        <v>277</v>
      </c>
      <c r="B12" s="13" t="s">
        <v>278</v>
      </c>
      <c r="C12" s="142">
        <v>43703</v>
      </c>
      <c r="D12" s="10" t="s">
        <v>26</v>
      </c>
      <c r="E12" s="10" t="s">
        <v>262</v>
      </c>
      <c r="F12" s="89">
        <v>43742</v>
      </c>
      <c r="G12" s="164">
        <v>0.76736111111111116</v>
      </c>
      <c r="H12" s="13">
        <v>20.079999999999998</v>
      </c>
      <c r="I12" s="64">
        <f>H14-H12</f>
        <v>-0.82250000000000156</v>
      </c>
      <c r="J12" s="63">
        <v>23.84</v>
      </c>
      <c r="K12" s="14">
        <f t="shared" si="5"/>
        <v>3.7600000000000016</v>
      </c>
      <c r="L12" s="13">
        <v>74.149999999999963</v>
      </c>
      <c r="M12" s="86">
        <v>270.5459558714702</v>
      </c>
      <c r="N12" s="15">
        <v>9</v>
      </c>
      <c r="O12" s="13">
        <v>14.965999999999999</v>
      </c>
      <c r="P12" s="14">
        <v>17.119</v>
      </c>
      <c r="Q12" s="15">
        <v>81.47</v>
      </c>
      <c r="R12" s="15">
        <v>8.3699999999999992</v>
      </c>
      <c r="S12" s="15">
        <v>39.11</v>
      </c>
      <c r="T12" s="15">
        <v>34.049999999999997</v>
      </c>
      <c r="U12" s="15">
        <v>2567.3468659220403</v>
      </c>
      <c r="V12" s="15"/>
      <c r="W12" s="13"/>
      <c r="X12" s="14"/>
      <c r="Y12" s="10">
        <v>0.9597</v>
      </c>
      <c r="Z12" s="14">
        <f t="shared" si="7"/>
        <v>4.0255872483221475</v>
      </c>
      <c r="AA12" s="10">
        <v>0.1346</v>
      </c>
      <c r="AB12" s="14">
        <f t="shared" si="8"/>
        <v>0.56459731543624159</v>
      </c>
      <c r="AC12" s="13">
        <v>2</v>
      </c>
      <c r="AD12" s="14">
        <f t="shared" si="9"/>
        <v>8.389261744966443E-3</v>
      </c>
      <c r="AE12" s="10">
        <v>7.0300000000000001E-2</v>
      </c>
      <c r="AF12" s="14">
        <f t="shared" si="10"/>
        <v>0.29488255033557048</v>
      </c>
      <c r="AG12" s="10">
        <v>8.4900000000000003E-2</v>
      </c>
      <c r="AH12" s="14">
        <f t="shared" si="11"/>
        <v>0.35612416107382555</v>
      </c>
      <c r="AI12" s="376"/>
      <c r="AJ12" s="10">
        <v>9.4299999999999995E-2</v>
      </c>
      <c r="AK12" s="10">
        <f t="shared" si="12"/>
        <v>0.39555369127516776</v>
      </c>
      <c r="AL12" s="14">
        <f t="shared" si="0"/>
        <v>0.34855446164865106</v>
      </c>
      <c r="AM12" s="10">
        <f>0.0968+0.0202</f>
        <v>0.11699999999999999</v>
      </c>
      <c r="AN12" s="10">
        <f t="shared" si="13"/>
        <v>0.49077181208053694</v>
      </c>
      <c r="AO12" s="14">
        <f t="shared" si="1"/>
        <v>0.43245887606460415</v>
      </c>
      <c r="AP12" s="10">
        <v>2.7799999999999998E-2</v>
      </c>
      <c r="AQ12" s="10">
        <f t="shared" si="14"/>
        <v>0.11661073825503356</v>
      </c>
      <c r="AR12" s="14">
        <f t="shared" si="2"/>
        <v>0.10275518593671791</v>
      </c>
      <c r="AS12" s="13"/>
      <c r="AT12" s="13">
        <f t="shared" si="15"/>
        <v>0.23909999999999998</v>
      </c>
      <c r="AU12" s="10">
        <f t="shared" si="16"/>
        <v>1.0029362416107381</v>
      </c>
      <c r="AV12" s="14">
        <f t="shared" si="3"/>
        <v>0.88376852364997305</v>
      </c>
      <c r="AW12" s="10">
        <v>0.105</v>
      </c>
      <c r="AX12" s="10">
        <f t="shared" si="17"/>
        <v>0.44043624161073824</v>
      </c>
      <c r="AY12" s="14">
        <f t="shared" si="4"/>
        <v>0.38810411954515761</v>
      </c>
      <c r="AZ12" s="123"/>
      <c r="BA12" s="13"/>
      <c r="BC12" s="14"/>
      <c r="BD12" s="13"/>
      <c r="BF12" s="14"/>
      <c r="BG12"/>
      <c r="BH12" s="13">
        <v>25.555555555555557</v>
      </c>
      <c r="BI12" s="10">
        <v>24.8</v>
      </c>
      <c r="BJ12" s="10">
        <v>6.833333333333333</v>
      </c>
      <c r="BL12" s="14"/>
      <c r="BM12">
        <v>0.21</v>
      </c>
      <c r="BP12" s="14"/>
      <c r="BQ12" s="123"/>
      <c r="BR12" s="13"/>
      <c r="BV12" s="14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</row>
    <row r="13" spans="1:188" s="10" customFormat="1" ht="16.350000000000001" customHeight="1">
      <c r="A13" s="313" t="s">
        <v>279</v>
      </c>
      <c r="B13" s="13" t="s">
        <v>280</v>
      </c>
      <c r="C13" s="142">
        <v>43706</v>
      </c>
      <c r="D13" s="10" t="s">
        <v>26</v>
      </c>
      <c r="E13" s="10" t="s">
        <v>262</v>
      </c>
      <c r="F13" s="89">
        <v>43742</v>
      </c>
      <c r="G13" s="400">
        <v>0.62847222222222221</v>
      </c>
      <c r="H13" s="13">
        <v>20.41</v>
      </c>
      <c r="I13" s="64">
        <f>H14-H13</f>
        <v>-1.1525000000000034</v>
      </c>
      <c r="J13" s="63">
        <v>26.3</v>
      </c>
      <c r="K13" s="14">
        <f t="shared" si="5"/>
        <v>5.8900000000000006</v>
      </c>
      <c r="L13" s="13">
        <v>92.309999999999945</v>
      </c>
      <c r="M13" s="86">
        <v>337.28777705838945</v>
      </c>
      <c r="N13" s="15">
        <v>8.6999999999999993</v>
      </c>
      <c r="O13" s="13">
        <v>14.929</v>
      </c>
      <c r="P13" s="14">
        <v>17.129000000000001</v>
      </c>
      <c r="Q13" s="15">
        <v>86.09</v>
      </c>
      <c r="R13" s="15">
        <v>9.68</v>
      </c>
      <c r="S13" s="15">
        <v>45.47</v>
      </c>
      <c r="T13" s="15">
        <v>31.55</v>
      </c>
      <c r="U13" s="15">
        <v>3474.8821478967698</v>
      </c>
      <c r="V13" s="15"/>
      <c r="W13" s="13">
        <v>1.3</v>
      </c>
      <c r="X13" s="14">
        <f t="shared" si="6"/>
        <v>4.9429657794676802E-3</v>
      </c>
      <c r="Y13" s="13">
        <v>1.3088</v>
      </c>
      <c r="Z13" s="14">
        <f t="shared" si="7"/>
        <v>4.9764258555133081</v>
      </c>
      <c r="AA13" s="13">
        <v>0.1411</v>
      </c>
      <c r="AB13" s="14">
        <f t="shared" si="8"/>
        <v>0.53650190114068441</v>
      </c>
      <c r="AC13" s="13">
        <v>2.2000000000000002</v>
      </c>
      <c r="AD13" s="10">
        <f t="shared" si="9"/>
        <v>8.3650190114068455E-3</v>
      </c>
      <c r="AE13" s="230">
        <v>7.1599999999999997E-2</v>
      </c>
      <c r="AF13" s="14">
        <f t="shared" si="10"/>
        <v>0.27224334600760458</v>
      </c>
      <c r="AG13" s="13">
        <v>8.4599999999999995E-2</v>
      </c>
      <c r="AH13" s="14">
        <f t="shared" si="11"/>
        <v>0.32167300380228137</v>
      </c>
      <c r="AI13" s="13"/>
      <c r="AJ13" s="13">
        <v>8.0699999999999994E-2</v>
      </c>
      <c r="AK13" s="10">
        <f t="shared" si="12"/>
        <v>0.30684410646387833</v>
      </c>
      <c r="AL13" s="14">
        <f t="shared" si="0"/>
        <v>0.2392615608659594</v>
      </c>
      <c r="AM13" s="13">
        <v>0.11899999999999999</v>
      </c>
      <c r="AN13" s="10">
        <f t="shared" si="13"/>
        <v>0.45247148288973382</v>
      </c>
      <c r="AO13" s="14">
        <f t="shared" si="1"/>
        <v>0.35281444539094386</v>
      </c>
      <c r="AP13" s="13">
        <v>2.1100000000000001E-2</v>
      </c>
      <c r="AQ13" s="10">
        <f t="shared" si="14"/>
        <v>8.0228136882129278E-2</v>
      </c>
      <c r="AR13" s="14">
        <f t="shared" si="2"/>
        <v>6.2557855443268209E-2</v>
      </c>
      <c r="AS13" s="13"/>
      <c r="AT13" s="13">
        <f t="shared" si="15"/>
        <v>0.2208</v>
      </c>
      <c r="AU13" s="10">
        <f t="shared" si="16"/>
        <v>0.83954372623574147</v>
      </c>
      <c r="AV13" s="14">
        <f t="shared" si="3"/>
        <v>0.65463386170017146</v>
      </c>
      <c r="AW13" s="13">
        <v>8.2299999999999998E-2</v>
      </c>
      <c r="AX13" s="10">
        <f t="shared" si="17"/>
        <v>0.31292775665399242</v>
      </c>
      <c r="AY13" s="14">
        <f t="shared" si="4"/>
        <v>0.24400528450146791</v>
      </c>
      <c r="AZ13" s="123"/>
      <c r="BA13" s="13"/>
      <c r="BC13" s="14"/>
      <c r="BD13" s="13"/>
      <c r="BF13" s="14"/>
      <c r="BG13"/>
      <c r="BH13" s="419"/>
      <c r="BL13" s="14"/>
      <c r="BM13" s="13"/>
      <c r="BP13" s="14"/>
      <c r="BQ13" s="123"/>
      <c r="BR13" s="13"/>
      <c r="BV13" s="14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</row>
    <row r="14" spans="1:188" s="10" customFormat="1" ht="16.350000000000001" customHeight="1">
      <c r="A14" s="126"/>
      <c r="B14" s="62"/>
      <c r="C14" s="11"/>
      <c r="D14" s="3"/>
      <c r="E14" s="3"/>
      <c r="F14" s="3" t="s">
        <v>281</v>
      </c>
      <c r="G14" s="332">
        <f>AVERAGE(G4:G13)</f>
        <v>0.63107638888888895</v>
      </c>
      <c r="H14" s="18">
        <f>AVERAGE(H4:H13)</f>
        <v>19.257499999999997</v>
      </c>
      <c r="I14" s="19">
        <f t="shared" ref="I14:AY14" si="18">AVERAGE(I4:I13)</f>
        <v>-3.1086244689504383E-15</v>
      </c>
      <c r="J14" s="18">
        <f t="shared" si="18"/>
        <v>23.081250000000001</v>
      </c>
      <c r="K14" s="88">
        <f t="shared" si="18"/>
        <v>3.8237500000000004</v>
      </c>
      <c r="L14" s="59">
        <f t="shared" si="18"/>
        <v>88.362499999999997</v>
      </c>
      <c r="M14" s="88">
        <f t="shared" si="18"/>
        <v>322.88236515967344</v>
      </c>
      <c r="N14" s="58">
        <f t="shared" si="18"/>
        <v>9.0499999999999989</v>
      </c>
      <c r="O14" s="59">
        <f t="shared" si="18"/>
        <v>14.752375000000001</v>
      </c>
      <c r="P14" s="88">
        <f t="shared" si="18"/>
        <v>17.106375</v>
      </c>
      <c r="Q14" s="58">
        <f t="shared" si="18"/>
        <v>82.241249999999994</v>
      </c>
      <c r="R14" s="58">
        <f t="shared" si="18"/>
        <v>11.495000000000001</v>
      </c>
      <c r="S14" s="58">
        <f t="shared" si="18"/>
        <v>40.049999999999997</v>
      </c>
      <c r="T14" s="58">
        <f t="shared" si="18"/>
        <v>31.168750000000003</v>
      </c>
      <c r="U14" s="59">
        <f t="shared" si="18"/>
        <v>2600.4983488086027</v>
      </c>
      <c r="V14" s="59" t="e">
        <f t="shared" si="18"/>
        <v>#DIV/0!</v>
      </c>
      <c r="W14" s="59">
        <f t="shared" si="18"/>
        <v>1.4285714285714286</v>
      </c>
      <c r="X14" s="88">
        <f t="shared" si="18"/>
        <v>6.2033702429681193E-3</v>
      </c>
      <c r="Y14" s="59">
        <f t="shared" si="18"/>
        <v>1.1161249999999998</v>
      </c>
      <c r="Z14" s="88">
        <f t="shared" si="18"/>
        <v>4.839578898342622</v>
      </c>
      <c r="AA14" s="59">
        <f t="shared" si="18"/>
        <v>0.14478750000000001</v>
      </c>
      <c r="AB14" s="88">
        <f t="shared" si="18"/>
        <v>0.63097685018617178</v>
      </c>
      <c r="AC14" s="59">
        <f t="shared" si="18"/>
        <v>2.8499999999999996</v>
      </c>
      <c r="AD14" s="55">
        <f t="shared" si="18"/>
        <v>1.2534877136037461E-2</v>
      </c>
      <c r="AE14" s="274">
        <f t="shared" si="18"/>
        <v>6.5600000000000006E-2</v>
      </c>
      <c r="AF14" s="88">
        <f t="shared" si="18"/>
        <v>0.28444283068914855</v>
      </c>
      <c r="AG14" s="59">
        <f t="shared" si="18"/>
        <v>8.26625E-2</v>
      </c>
      <c r="AH14" s="88">
        <f t="shared" si="18"/>
        <v>0.36017329407046478</v>
      </c>
      <c r="AI14" s="59" t="e">
        <f t="shared" si="18"/>
        <v>#DIV/0!</v>
      </c>
      <c r="AJ14" s="59">
        <f t="shared" si="18"/>
        <v>7.8362500000000002E-2</v>
      </c>
      <c r="AK14" s="55">
        <f t="shared" si="18"/>
        <v>0.34077459911008046</v>
      </c>
      <c r="AL14" s="88">
        <f t="shared" si="18"/>
        <v>0.24662311540178666</v>
      </c>
      <c r="AM14" s="59">
        <f t="shared" si="18"/>
        <v>0.1138125</v>
      </c>
      <c r="AN14" s="55">
        <f t="shared" si="18"/>
        <v>0.49051798266701774</v>
      </c>
      <c r="AO14" s="88">
        <f t="shared" si="18"/>
        <v>0.35665775977645009</v>
      </c>
      <c r="AP14" s="59">
        <f t="shared" si="18"/>
        <v>2.0200000000000003E-2</v>
      </c>
      <c r="AQ14" s="55">
        <f>AVERAGE(AQ4:AQ13)</f>
        <v>8.7040057911382265E-2</v>
      </c>
      <c r="AR14" s="88">
        <f t="shared" si="18"/>
        <v>6.3943762561839229E-2</v>
      </c>
      <c r="AS14" s="59" t="e">
        <f t="shared" si="18"/>
        <v>#DIV/0!</v>
      </c>
      <c r="AT14" s="59">
        <f t="shared" si="18"/>
        <v>0.21237500000000004</v>
      </c>
      <c r="AU14" s="281">
        <f>AVERAGE(AU4:AU13)</f>
        <v>0.91833263968848045</v>
      </c>
      <c r="AV14" s="88">
        <f t="shared" si="18"/>
        <v>0.66722463774007601</v>
      </c>
      <c r="AW14" s="59">
        <f t="shared" si="18"/>
        <v>9.3975000000000003E-2</v>
      </c>
      <c r="AX14" s="334">
        <f t="shared" si="18"/>
        <v>0.40884660350330909</v>
      </c>
      <c r="AY14" s="88">
        <f t="shared" si="18"/>
        <v>0.29425329495833613</v>
      </c>
      <c r="AZ14" s="126"/>
      <c r="BA14" s="59" t="e">
        <f t="shared" ref="BA14:BF14" si="19">AVERAGE(BA4:BA13)</f>
        <v>#DIV/0!</v>
      </c>
      <c r="BB14" s="55" t="e">
        <f t="shared" si="19"/>
        <v>#DIV/0!</v>
      </c>
      <c r="BC14" s="88" t="e">
        <f t="shared" si="19"/>
        <v>#DIV/0!</v>
      </c>
      <c r="BD14" s="59" t="e">
        <f t="shared" si="19"/>
        <v>#DIV/0!</v>
      </c>
      <c r="BE14" s="55" t="e">
        <f t="shared" si="19"/>
        <v>#DIV/0!</v>
      </c>
      <c r="BF14" s="88" t="e">
        <f t="shared" si="19"/>
        <v>#DIV/0!</v>
      </c>
      <c r="BG14"/>
      <c r="BH14" s="59">
        <f t="shared" ref="BH14:BN14" si="20">AVERAGE(BH4:BH13)</f>
        <v>21.947526487528346</v>
      </c>
      <c r="BI14" s="55">
        <f t="shared" si="20"/>
        <v>16.771428571428569</v>
      </c>
      <c r="BJ14" s="55">
        <f t="shared" si="20"/>
        <v>8.3904761904761909</v>
      </c>
      <c r="BK14" s="55">
        <f t="shared" si="20"/>
        <v>12.066667999999998</v>
      </c>
      <c r="BL14" s="88">
        <f t="shared" si="20"/>
        <v>5.0666679999999999</v>
      </c>
      <c r="BM14" s="59">
        <f t="shared" si="20"/>
        <v>0.17444444444444446</v>
      </c>
      <c r="BN14" s="55">
        <f t="shared" si="20"/>
        <v>13.010406771467169</v>
      </c>
      <c r="BO14" s="55">
        <f>AVERAGE(BO4:BO13)</f>
        <v>37.799999999999997</v>
      </c>
      <c r="BP14" s="88">
        <f>AVERAGE(BP4:BP13)</f>
        <v>3.9586712000000004</v>
      </c>
      <c r="BQ14" s="126"/>
      <c r="BR14" s="59">
        <f t="shared" ref="BR14:BV14" si="21">AVERAGE(BR4:BR13)</f>
        <v>0.9223808</v>
      </c>
      <c r="BS14" s="55">
        <f t="shared" si="21"/>
        <v>0.71599999999999997</v>
      </c>
      <c r="BT14" s="55">
        <f t="shared" si="21"/>
        <v>0.45</v>
      </c>
      <c r="BU14" s="55">
        <f t="shared" si="21"/>
        <v>0.4</v>
      </c>
      <c r="BV14" s="88">
        <f t="shared" si="21"/>
        <v>0.2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</row>
    <row r="15" spans="1:188" s="10" customFormat="1" ht="16.350000000000001" customHeight="1">
      <c r="A15" s="126"/>
      <c r="B15" s="62"/>
      <c r="C15" s="17"/>
      <c r="D15" s="3"/>
      <c r="E15" s="3"/>
      <c r="F15" s="3" t="s">
        <v>45</v>
      </c>
      <c r="G15" s="19">
        <f>STDEV(G4:G13)/SQRT(COUNT(G4:G13))</f>
        <v>4.2055016846557922E-2</v>
      </c>
      <c r="H15" s="18">
        <f>STDEV(H4:H13)/SQRT(COUNT(H4:H13))</f>
        <v>0.40543517184801381</v>
      </c>
      <c r="I15" s="19">
        <f>STDEV(I4:I13)/SQRT(COUNT(I4:I13))</f>
        <v>0.40543517184801381</v>
      </c>
      <c r="J15" s="18">
        <f>STDEV(J4:J13)/SQRT(COUNT(J4:J13))</f>
        <v>0.67649157290707296</v>
      </c>
      <c r="K15" s="88">
        <f t="shared" ref="K15:AY15" si="22">(STDEV(K4:K13)/(SQRT(COUNT(K4:K13))))</f>
        <v>0.35364902647762397</v>
      </c>
      <c r="L15" s="59">
        <f t="shared" si="22"/>
        <v>2.8481615310833162</v>
      </c>
      <c r="M15" s="88">
        <f t="shared" si="22"/>
        <v>10.341755792889071</v>
      </c>
      <c r="N15" s="58">
        <f>(STDEV(N4:N13)/(SQRT(COUNT(N4:N13))))</f>
        <v>8.6602540378443893E-2</v>
      </c>
      <c r="O15" s="59">
        <f t="shared" si="22"/>
        <v>7.9451004106753848E-2</v>
      </c>
      <c r="P15" s="88">
        <f t="shared" si="22"/>
        <v>6.075240662487618E-2</v>
      </c>
      <c r="Q15" s="58">
        <f t="shared" si="22"/>
        <v>1.9557711645829847</v>
      </c>
      <c r="R15" s="58">
        <f t="shared" si="22"/>
        <v>0.75188572459991443</v>
      </c>
      <c r="S15" s="58">
        <f t="shared" si="22"/>
        <v>1.5864459380280527</v>
      </c>
      <c r="T15" s="58">
        <f t="shared" si="22"/>
        <v>1.8898756927185878</v>
      </c>
      <c r="U15" s="59">
        <f t="shared" si="22"/>
        <v>251.75476594443182</v>
      </c>
      <c r="V15" s="59" t="e">
        <f t="shared" si="22"/>
        <v>#DIV/0!</v>
      </c>
      <c r="W15" s="59">
        <f t="shared" si="22"/>
        <v>0.11895234282663579</v>
      </c>
      <c r="X15" s="88">
        <f t="shared" si="22"/>
        <v>4.2490959036608307E-4</v>
      </c>
      <c r="Y15" s="59">
        <f t="shared" si="22"/>
        <v>4.6666237986977124E-2</v>
      </c>
      <c r="Z15" s="88">
        <f t="shared" si="22"/>
        <v>0.15787087234645489</v>
      </c>
      <c r="AA15" s="59">
        <f t="shared" si="22"/>
        <v>4.9241183946251458E-3</v>
      </c>
      <c r="AB15" s="88">
        <f t="shared" si="22"/>
        <v>2.7989714702839699E-2</v>
      </c>
      <c r="AC15" s="59">
        <f t="shared" si="22"/>
        <v>0.18992479714726232</v>
      </c>
      <c r="AD15" s="55">
        <f t="shared" si="22"/>
        <v>1.0994698173896005E-3</v>
      </c>
      <c r="AE15" s="274">
        <f t="shared" si="22"/>
        <v>2.4127636791506481E-3</v>
      </c>
      <c r="AF15" s="88">
        <f t="shared" si="22"/>
        <v>8.0069605119933145E-3</v>
      </c>
      <c r="AG15" s="59">
        <f t="shared" si="22"/>
        <v>1.4828709485319343E-3</v>
      </c>
      <c r="AH15" s="88">
        <f t="shared" si="22"/>
        <v>1.184989264991544E-2</v>
      </c>
      <c r="AI15" s="59" t="e">
        <f t="shared" si="22"/>
        <v>#DIV/0!</v>
      </c>
      <c r="AJ15" s="59">
        <f t="shared" si="22"/>
        <v>4.330701753592737E-3</v>
      </c>
      <c r="AK15" s="55">
        <f t="shared" si="22"/>
        <v>1.9601171203157585E-2</v>
      </c>
      <c r="AL15" s="88">
        <f t="shared" si="22"/>
        <v>2.0310451272457154E-2</v>
      </c>
      <c r="AM15" s="59">
        <f t="shared" si="22"/>
        <v>8.8265313827119891E-3</v>
      </c>
      <c r="AN15" s="55">
        <f t="shared" si="22"/>
        <v>2.9463031613618733E-2</v>
      </c>
      <c r="AO15" s="88">
        <f t="shared" si="22"/>
        <v>3.1423093008928628E-2</v>
      </c>
      <c r="AP15" s="59">
        <f t="shared" si="22"/>
        <v>1.8267848415023703E-3</v>
      </c>
      <c r="AQ15" s="55">
        <f t="shared" si="22"/>
        <v>6.8316227098915716E-3</v>
      </c>
      <c r="AR15" s="88">
        <f t="shared" si="22"/>
        <v>7.5202804293249392E-3</v>
      </c>
      <c r="AS15" s="59" t="e">
        <f t="shared" si="22"/>
        <v>#DIV/0!</v>
      </c>
      <c r="AT15" s="59">
        <f t="shared" si="22"/>
        <v>1.2424123280365204E-2</v>
      </c>
      <c r="AU15" s="281">
        <f t="shared" si="22"/>
        <v>4.1131569129507599E-2</v>
      </c>
      <c r="AV15" s="88">
        <f t="shared" si="22"/>
        <v>5.2682598978045704E-2</v>
      </c>
      <c r="AW15" s="59">
        <f t="shared" si="22"/>
        <v>3.4937060756247288E-3</v>
      </c>
      <c r="AX15" s="55">
        <f t="shared" si="22"/>
        <v>1.6384761524987076E-2</v>
      </c>
      <c r="AY15" s="88">
        <f t="shared" si="22"/>
        <v>1.7805472709221452E-2</v>
      </c>
      <c r="AZ15" s="126"/>
      <c r="BA15" s="59" t="e">
        <f t="shared" ref="BA15:BF15" si="23">(STDEV(BA4:BA13)/(SQRT(COUNT(BA4:BA13))))</f>
        <v>#DIV/0!</v>
      </c>
      <c r="BB15" s="55" t="e">
        <f t="shared" si="23"/>
        <v>#DIV/0!</v>
      </c>
      <c r="BC15" s="88" t="e">
        <f t="shared" si="23"/>
        <v>#DIV/0!</v>
      </c>
      <c r="BD15" s="59" t="e">
        <f t="shared" si="23"/>
        <v>#DIV/0!</v>
      </c>
      <c r="BE15" s="55" t="e">
        <f t="shared" si="23"/>
        <v>#DIV/0!</v>
      </c>
      <c r="BF15" s="88" t="e">
        <f t="shared" si="23"/>
        <v>#DIV/0!</v>
      </c>
      <c r="BG15"/>
      <c r="BH15" s="59">
        <f t="shared" ref="BH15:BN15" si="24">(STDEV(BH4:BH13)/(SQRT(COUNT(BH4:BH13))))</f>
        <v>2.6586083487840435</v>
      </c>
      <c r="BI15" s="55">
        <f t="shared" si="24"/>
        <v>3.29304565104463</v>
      </c>
      <c r="BJ15" s="55">
        <f t="shared" si="24"/>
        <v>1.3409645562217831</v>
      </c>
      <c r="BK15" s="55">
        <f t="shared" si="24"/>
        <v>1.403963184070014</v>
      </c>
      <c r="BL15" s="88">
        <f t="shared" si="24"/>
        <v>1.0022198472510908</v>
      </c>
      <c r="BM15" s="59">
        <f t="shared" si="24"/>
        <v>0.10685024711549325</v>
      </c>
      <c r="BN15" s="55">
        <f t="shared" si="24"/>
        <v>2.1633980242780089</v>
      </c>
      <c r="BO15" s="55">
        <f>(STDEV(BO4:BO13)/(SQRT(COUNT(BO4:BO13))))</f>
        <v>5.6515484603779171</v>
      </c>
      <c r="BP15" s="88">
        <f>(STDEV(BP4:BP13)/(SQRT(COUNT(BP4:BP13))))</f>
        <v>0.24912695177567284</v>
      </c>
      <c r="BQ15" s="126"/>
      <c r="BR15" s="59">
        <f t="shared" ref="BR15:BV15" si="25">(STDEV(BR4:BR13)/(SQRT(COUNT(BR4:BR13))))</f>
        <v>0.32383360649944892</v>
      </c>
      <c r="BS15" s="55">
        <f t="shared" si="25"/>
        <v>0.35483235478180397</v>
      </c>
      <c r="BT15" s="55">
        <f t="shared" si="25"/>
        <v>0.18371173070873836</v>
      </c>
      <c r="BU15" s="55">
        <f t="shared" si="25"/>
        <v>0.19436509174463401</v>
      </c>
      <c r="BV15" s="88">
        <f t="shared" si="25"/>
        <v>0.13333375000351561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</row>
    <row r="16" spans="1:188" s="22" customFormat="1" ht="16.350000000000001" customHeight="1">
      <c r="A16" s="125"/>
      <c r="B16" s="65"/>
      <c r="C16" s="23"/>
      <c r="D16" s="24"/>
      <c r="E16" s="24"/>
      <c r="F16" s="25"/>
      <c r="G16" s="24"/>
      <c r="H16" s="26"/>
      <c r="I16" s="27"/>
      <c r="J16" s="26"/>
      <c r="K16" s="28"/>
      <c r="L16" s="26"/>
      <c r="M16" s="28"/>
      <c r="N16" s="32"/>
      <c r="O16" s="30"/>
      <c r="P16" s="28"/>
      <c r="Q16" s="32"/>
      <c r="R16" s="32"/>
      <c r="S16" s="32"/>
      <c r="T16" s="32"/>
      <c r="U16" s="32"/>
      <c r="V16" s="32"/>
      <c r="W16" s="30"/>
      <c r="X16" s="28"/>
      <c r="Y16" s="30"/>
      <c r="AA16" s="30"/>
      <c r="AB16" s="28"/>
      <c r="AC16" s="30"/>
      <c r="AE16" s="275"/>
      <c r="AF16" s="28"/>
      <c r="AG16" s="30"/>
      <c r="AH16" s="28"/>
      <c r="AI16" s="30"/>
      <c r="AJ16" s="30"/>
      <c r="AL16" s="28"/>
      <c r="AM16" s="30"/>
      <c r="AO16" s="28"/>
      <c r="AP16" s="30"/>
      <c r="AR16" s="28"/>
      <c r="AS16" s="30"/>
      <c r="AT16" s="30"/>
      <c r="AV16" s="28"/>
      <c r="AW16" s="30"/>
      <c r="AY16" s="28"/>
      <c r="AZ16" s="125"/>
      <c r="BA16" s="30"/>
      <c r="BC16" s="28"/>
      <c r="BD16" s="30"/>
      <c r="BF16" s="28"/>
      <c r="BG16"/>
      <c r="BH16" s="30"/>
      <c r="BL16" s="28"/>
      <c r="BM16" s="30"/>
      <c r="BP16" s="28"/>
      <c r="BQ16" s="125"/>
      <c r="BR16" s="30"/>
      <c r="BV16" s="28"/>
      <c r="BW16" s="10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</row>
    <row r="17" spans="1:188" s="10" customFormat="1" ht="16.350000000000001" customHeight="1">
      <c r="A17" s="121" t="s">
        <v>282</v>
      </c>
      <c r="B17" s="182" t="s">
        <v>283</v>
      </c>
      <c r="C17" s="184">
        <v>42548</v>
      </c>
      <c r="D17" s="10" t="s">
        <v>26</v>
      </c>
      <c r="E17" s="10" t="s">
        <v>284</v>
      </c>
      <c r="F17" s="89">
        <v>43258</v>
      </c>
      <c r="G17" s="164">
        <v>0.49791666666666662</v>
      </c>
      <c r="H17" s="63">
        <v>20.3</v>
      </c>
      <c r="I17" s="64">
        <f>H26-H17</f>
        <v>-0.89124999999999943</v>
      </c>
      <c r="J17" s="63">
        <v>24.45</v>
      </c>
      <c r="K17" s="14">
        <f t="shared" ref="K17:K25" si="26">J17-H17</f>
        <v>4.1499999999999986</v>
      </c>
      <c r="L17" s="13">
        <v>103.97</v>
      </c>
      <c r="M17" s="186">
        <v>379.68490689999999</v>
      </c>
      <c r="N17" s="15">
        <v>9.1999999999999993</v>
      </c>
      <c r="O17" s="13">
        <v>15.066000000000001</v>
      </c>
      <c r="P17" s="14">
        <v>17.295999999999999</v>
      </c>
      <c r="Q17" s="15">
        <v>79.38</v>
      </c>
      <c r="R17" s="15">
        <v>11.97</v>
      </c>
      <c r="S17" s="15">
        <v>46.04</v>
      </c>
      <c r="T17" s="15">
        <v>22.37</v>
      </c>
      <c r="U17" s="15">
        <v>3142.9434615643599</v>
      </c>
      <c r="V17" s="15"/>
      <c r="W17" s="13">
        <v>1.2</v>
      </c>
      <c r="X17" s="14">
        <f t="shared" ref="X17:X22" si="27">(100/J17)*(W17/1000)</f>
        <v>4.9079754601226988E-3</v>
      </c>
      <c r="Y17" s="13">
        <v>1.4129</v>
      </c>
      <c r="Z17" s="14">
        <f t="shared" ref="Z17:Z22" si="28">(100/J17)*Y17</f>
        <v>5.7787321063394685</v>
      </c>
      <c r="AA17" s="13">
        <v>0.16020000000000001</v>
      </c>
      <c r="AB17" s="14">
        <f t="shared" ref="AB17:AB22" si="29">(100/J17)*AA17</f>
        <v>0.65521472392638047</v>
      </c>
      <c r="AC17" s="13">
        <v>2.2000000000000002</v>
      </c>
      <c r="AD17" s="10">
        <f t="shared" ref="AD17:AD22" si="30">(100/J17)*(AC17/1000)</f>
        <v>8.9979550102249495E-3</v>
      </c>
      <c r="AE17" s="230">
        <v>7.1599999999999997E-2</v>
      </c>
      <c r="AF17" s="14">
        <f t="shared" ref="AF17:AF22" si="31">(100/J17)*AE17</f>
        <v>0.29284253578732106</v>
      </c>
      <c r="AG17" s="13">
        <v>8.8700000000000001E-2</v>
      </c>
      <c r="AH17" s="14">
        <f t="shared" ref="AH17:AH22" si="32">(100/J17)*AG17</f>
        <v>0.36278118609406956</v>
      </c>
      <c r="AI17" s="13"/>
      <c r="AJ17" s="13">
        <v>0.1241</v>
      </c>
      <c r="AK17" s="10">
        <f>(100/J17)*AJ17</f>
        <v>0.50756646216768919</v>
      </c>
      <c r="AL17" s="14">
        <f>(AJ17*1000)/M17</f>
        <v>0.32684996886822526</v>
      </c>
      <c r="AM17" s="13">
        <v>0.16889999999999999</v>
      </c>
      <c r="AN17" s="10">
        <f>(100/J17)*AM17</f>
        <v>0.69079754601226995</v>
      </c>
      <c r="AO17" s="14">
        <f>(AM17*1000)/M17</f>
        <v>0.44484254425337022</v>
      </c>
      <c r="AP17" s="13">
        <v>5.3800000000000001E-2</v>
      </c>
      <c r="AQ17" s="10">
        <f>(100/J17)*AP17</f>
        <v>0.22004089979550104</v>
      </c>
      <c r="AR17" s="14">
        <f>(AP17*1000)/M17</f>
        <v>0.14169644097591069</v>
      </c>
      <c r="AS17" s="13"/>
      <c r="AT17" s="13">
        <f>AJ17+AM17+AP17</f>
        <v>0.3468</v>
      </c>
      <c r="AU17" s="10">
        <f>(100/J17)*AT17</f>
        <v>1.4184049079754601</v>
      </c>
      <c r="AV17" s="14">
        <f>(AT17*1000)/M17</f>
        <v>0.9133889540975062</v>
      </c>
      <c r="AW17" s="13">
        <v>0.13869999999999999</v>
      </c>
      <c r="AX17" s="10">
        <f>(100/J17)*AW17</f>
        <v>0.56728016359918199</v>
      </c>
      <c r="AY17" s="14">
        <f>(AW17*1000)/M17</f>
        <v>0.36530290638213408</v>
      </c>
      <c r="AZ17" s="123"/>
      <c r="BA17" s="13"/>
      <c r="BC17" s="14"/>
      <c r="BD17" s="13"/>
      <c r="BF17" s="14"/>
      <c r="BG17"/>
      <c r="BH17" s="13">
        <v>12.16667</v>
      </c>
      <c r="BI17" s="10">
        <v>5.3333300000000001</v>
      </c>
      <c r="BJ17" s="10">
        <v>7</v>
      </c>
      <c r="BK17" s="10">
        <v>6.3333300000000001</v>
      </c>
      <c r="BL17" s="14">
        <v>5.6666699999999999</v>
      </c>
      <c r="BM17">
        <v>0.28999999999999998</v>
      </c>
      <c r="BN17" s="10">
        <v>21.260924750000001</v>
      </c>
      <c r="BO17">
        <v>60</v>
      </c>
      <c r="BP17">
        <v>4.7332900000000002</v>
      </c>
      <c r="BQ17" s="121" t="s">
        <v>282</v>
      </c>
      <c r="BR17" s="13">
        <v>0.3333333</v>
      </c>
      <c r="BS17" s="10">
        <v>0.66666700000000001</v>
      </c>
      <c r="BT17" s="10">
        <v>0</v>
      </c>
      <c r="BU17" s="10">
        <v>0</v>
      </c>
      <c r="BV17" s="14">
        <v>0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</row>
    <row r="18" spans="1:188" s="10" customFormat="1" ht="16.350000000000001" customHeight="1">
      <c r="A18" s="9" t="s">
        <v>285</v>
      </c>
      <c r="B18" s="224" t="s">
        <v>286</v>
      </c>
      <c r="C18" s="11">
        <v>42621</v>
      </c>
      <c r="D18" s="12" t="s">
        <v>26</v>
      </c>
      <c r="E18" s="10" t="s">
        <v>284</v>
      </c>
      <c r="F18" s="11" t="s">
        <v>271</v>
      </c>
      <c r="G18" s="164">
        <v>0.76180555555555562</v>
      </c>
      <c r="H18" s="63">
        <v>17.57</v>
      </c>
      <c r="I18" s="64">
        <f>H26-H18</f>
        <v>1.838750000000001</v>
      </c>
      <c r="J18" s="63">
        <v>21.31</v>
      </c>
      <c r="K18" s="14">
        <f t="shared" si="26"/>
        <v>3.7399999999999984</v>
      </c>
      <c r="L18" s="13">
        <v>85.57</v>
      </c>
      <c r="M18" s="86">
        <v>305.36328800000001</v>
      </c>
      <c r="N18" s="15">
        <v>8.9</v>
      </c>
      <c r="O18" s="13">
        <v>14.249000000000001</v>
      </c>
      <c r="P18" s="14">
        <v>16.91</v>
      </c>
      <c r="Q18" s="15">
        <v>84.96</v>
      </c>
      <c r="R18" s="15">
        <v>10.79</v>
      </c>
      <c r="S18" s="15">
        <v>40.11</v>
      </c>
      <c r="T18" s="15">
        <v>34.54</v>
      </c>
      <c r="U18" s="15">
        <v>1720.38468795364</v>
      </c>
      <c r="V18" s="15"/>
      <c r="W18" s="13">
        <v>1.3</v>
      </c>
      <c r="X18" s="14">
        <f t="shared" si="27"/>
        <v>6.100422336931019E-3</v>
      </c>
      <c r="Y18" s="13">
        <v>0.93540000000000001</v>
      </c>
      <c r="Z18" s="14">
        <f t="shared" si="28"/>
        <v>4.3894885030502113</v>
      </c>
      <c r="AA18" s="13">
        <v>0.1075</v>
      </c>
      <c r="AB18" s="14">
        <f t="shared" si="29"/>
        <v>0.50445800093852655</v>
      </c>
      <c r="AC18" s="13">
        <v>2.4</v>
      </c>
      <c r="AD18" s="10">
        <f t="shared" si="30"/>
        <v>1.1262318160488035E-2</v>
      </c>
      <c r="AE18" s="230">
        <v>4.4299999999999999E-2</v>
      </c>
      <c r="AF18" s="14">
        <f t="shared" si="31"/>
        <v>0.20788362271234165</v>
      </c>
      <c r="AG18" s="13">
        <v>7.2700000000000001E-2</v>
      </c>
      <c r="AH18" s="14">
        <f t="shared" si="32"/>
        <v>0.34115438761145006</v>
      </c>
      <c r="AI18" s="13"/>
      <c r="AJ18" s="13">
        <v>7.3200000000000001E-2</v>
      </c>
      <c r="AK18" s="10">
        <f>(100/J18)*AJ18</f>
        <v>0.34350070389488507</v>
      </c>
      <c r="AL18" s="14">
        <f t="shared" ref="AL18:AL22" si="33">(AJ18*1000)/M18</f>
        <v>0.23971447412499697</v>
      </c>
      <c r="AM18" s="13">
        <v>9.6799999999999997E-2</v>
      </c>
      <c r="AN18" s="10">
        <f>(100/J18)*AM18</f>
        <v>0.45424683247301739</v>
      </c>
      <c r="AO18" s="14">
        <f t="shared" ref="AO18:AO22" si="34">(AM18*1000)/M18</f>
        <v>0.31699946851502331</v>
      </c>
      <c r="AP18" s="13">
        <v>1.89E-2</v>
      </c>
      <c r="AQ18" s="10">
        <f>(100/J18)*AP18</f>
        <v>8.8690755513843283E-2</v>
      </c>
      <c r="AR18" s="14">
        <f t="shared" ref="AR18:AR22" si="35">(AP18*1000)/M18</f>
        <v>6.1893491269978722E-2</v>
      </c>
      <c r="AS18" s="13"/>
      <c r="AT18" s="13">
        <f>AJ18+AM18+AP18</f>
        <v>0.18889999999999998</v>
      </c>
      <c r="AU18" s="10">
        <f>(100/J18)*AT18</f>
        <v>0.88643829188174572</v>
      </c>
      <c r="AV18" s="14">
        <f t="shared" ref="AV18:AV22" si="36">(AT18*1000)/M18</f>
        <v>0.61860743390999895</v>
      </c>
      <c r="AW18" s="13">
        <v>9.5000000000000001E-2</v>
      </c>
      <c r="AX18" s="10">
        <f>(100/J18)*AW18</f>
        <v>0.4458000938526514</v>
      </c>
      <c r="AY18" s="14">
        <f t="shared" ref="AY18:AY22" si="37">(AW18*1000)/M18</f>
        <v>0.31110485029883489</v>
      </c>
      <c r="AZ18" s="123"/>
      <c r="BA18" s="13"/>
      <c r="BC18" s="14"/>
      <c r="BD18" s="13"/>
      <c r="BF18" s="14"/>
      <c r="BG18"/>
      <c r="BH18" s="13">
        <v>27.428570000000001</v>
      </c>
      <c r="BI18" s="10">
        <v>16.25</v>
      </c>
      <c r="BJ18" s="10">
        <v>13.75</v>
      </c>
      <c r="BK18" s="10">
        <v>15.33333</v>
      </c>
      <c r="BL18" s="14">
        <v>8.6666699999999999</v>
      </c>
      <c r="BM18">
        <v>0.42</v>
      </c>
      <c r="BN18" s="10">
        <v>11.98583498</v>
      </c>
      <c r="BO18">
        <v>37</v>
      </c>
      <c r="BP18">
        <v>8.4</v>
      </c>
      <c r="BQ18" s="123" t="s">
        <v>285</v>
      </c>
      <c r="BR18" s="13">
        <v>1.142857</v>
      </c>
      <c r="BS18" s="10">
        <v>0.5</v>
      </c>
      <c r="BT18" s="10">
        <v>0</v>
      </c>
      <c r="BU18" s="10">
        <v>1.3333333000000001</v>
      </c>
      <c r="BV18" s="14">
        <v>0.66666999999999998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</row>
    <row r="19" spans="1:188" s="10" customFormat="1" ht="16.350000000000001" customHeight="1">
      <c r="A19" s="133" t="s">
        <v>287</v>
      </c>
      <c r="B19" s="224" t="s">
        <v>288</v>
      </c>
      <c r="C19" s="114"/>
      <c r="D19" s="12" t="s">
        <v>26</v>
      </c>
      <c r="E19" s="10" t="s">
        <v>284</v>
      </c>
      <c r="F19" s="11">
        <v>42411</v>
      </c>
      <c r="G19" s="164">
        <v>0.68958333333333333</v>
      </c>
      <c r="H19" s="63">
        <v>19.25</v>
      </c>
      <c r="I19" s="64">
        <f>H26-H19</f>
        <v>0.15875000000000128</v>
      </c>
      <c r="J19" s="63">
        <v>21.59</v>
      </c>
      <c r="K19" s="14">
        <f t="shared" si="26"/>
        <v>2.34</v>
      </c>
      <c r="L19" s="13">
        <v>86.190000000000069</v>
      </c>
      <c r="M19" s="86">
        <v>361.41926365415543</v>
      </c>
      <c r="N19" s="15">
        <v>8.6999999999999993</v>
      </c>
      <c r="O19" s="13">
        <v>14.569000000000001</v>
      </c>
      <c r="P19" s="14">
        <v>17.209</v>
      </c>
      <c r="Q19" s="15">
        <v>79.709999999999994</v>
      </c>
      <c r="R19" s="15">
        <v>10.77</v>
      </c>
      <c r="S19" s="15">
        <v>44.15</v>
      </c>
      <c r="T19" s="15">
        <v>26.03</v>
      </c>
      <c r="U19" s="15">
        <v>1901.75533100231</v>
      </c>
      <c r="V19" s="15"/>
      <c r="W19" s="13">
        <v>1.2</v>
      </c>
      <c r="X19" s="14">
        <f t="shared" si="27"/>
        <v>5.5581287633163492E-3</v>
      </c>
      <c r="Y19" s="13">
        <v>1.0044999999999999</v>
      </c>
      <c r="Z19" s="14">
        <f t="shared" si="28"/>
        <v>4.6526169522927274</v>
      </c>
      <c r="AA19" s="13">
        <v>0.1411</v>
      </c>
      <c r="AB19" s="14">
        <f t="shared" si="29"/>
        <v>0.65354330708661412</v>
      </c>
      <c r="AC19" s="13">
        <v>2.5</v>
      </c>
      <c r="AD19" s="10">
        <f t="shared" si="30"/>
        <v>1.1579434923575729E-2</v>
      </c>
      <c r="AE19" s="230">
        <v>6.7599999999999993E-2</v>
      </c>
      <c r="AF19" s="14">
        <f t="shared" si="31"/>
        <v>0.31310792033348767</v>
      </c>
      <c r="AG19" s="13">
        <v>7.4999999999999997E-2</v>
      </c>
      <c r="AH19" s="14">
        <f t="shared" si="32"/>
        <v>0.34738304770727185</v>
      </c>
      <c r="AI19" s="13"/>
      <c r="AJ19" s="13">
        <v>9.01E-2</v>
      </c>
      <c r="AK19" s="10">
        <f>(100/J19)*AJ19</f>
        <v>0.41732283464566927</v>
      </c>
      <c r="AL19" s="14">
        <f t="shared" si="33"/>
        <v>0.24929495757652062</v>
      </c>
      <c r="AM19" s="13">
        <v>0.12239999999999999</v>
      </c>
      <c r="AN19" s="10">
        <f>(100/J19)*AM19</f>
        <v>0.56692913385826771</v>
      </c>
      <c r="AO19" s="14">
        <f t="shared" si="34"/>
        <v>0.33866484802848085</v>
      </c>
      <c r="AP19" s="13">
        <v>2.0899999999999998E-2</v>
      </c>
      <c r="AQ19" s="10">
        <f>(100/J19)*AP19</f>
        <v>9.6804075961093083E-2</v>
      </c>
      <c r="AR19" s="14">
        <f t="shared" si="35"/>
        <v>5.7827576174797786E-2</v>
      </c>
      <c r="AS19" s="13"/>
      <c r="AT19" s="13">
        <f>AJ19+AM19+AP19</f>
        <v>0.2334</v>
      </c>
      <c r="AU19" s="10">
        <f>(100/J19)*AT19</f>
        <v>1.0810560444650301</v>
      </c>
      <c r="AV19" s="14">
        <f t="shared" si="36"/>
        <v>0.64578738177979933</v>
      </c>
      <c r="AW19" s="13">
        <v>0.1021</v>
      </c>
      <c r="AX19" s="10">
        <f>(100/J19)*AW19</f>
        <v>0.47290412227883277</v>
      </c>
      <c r="AY19" s="14">
        <f t="shared" si="37"/>
        <v>0.28249739365774423</v>
      </c>
      <c r="AZ19" s="123"/>
      <c r="BA19" s="13"/>
      <c r="BC19" s="14"/>
      <c r="BD19" s="13"/>
      <c r="BF19" s="14"/>
      <c r="BG19"/>
      <c r="BH19" s="13">
        <v>17</v>
      </c>
      <c r="BI19" s="10">
        <v>14</v>
      </c>
      <c r="BJ19" s="10">
        <v>7.2</v>
      </c>
      <c r="BK19" s="10">
        <v>12</v>
      </c>
      <c r="BL19" s="14">
        <v>2.6666699999999999</v>
      </c>
      <c r="BM19">
        <v>0</v>
      </c>
      <c r="BN19" s="10">
        <v>12.779096040000001</v>
      </c>
      <c r="BO19">
        <v>37</v>
      </c>
      <c r="BP19">
        <v>2.85</v>
      </c>
      <c r="BQ19" s="134" t="s">
        <v>287</v>
      </c>
      <c r="BR19" s="13">
        <v>0.25</v>
      </c>
      <c r="BS19" s="10">
        <v>0.25</v>
      </c>
      <c r="BT19" s="10">
        <v>0.2</v>
      </c>
      <c r="BU19" s="10">
        <v>0</v>
      </c>
      <c r="BV19" s="14">
        <v>0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</row>
    <row r="20" spans="1:188" s="10" customFormat="1" ht="16.350000000000001" customHeight="1">
      <c r="A20" s="134" t="s">
        <v>289</v>
      </c>
      <c r="B20" s="12" t="s">
        <v>290</v>
      </c>
      <c r="C20" s="305">
        <v>42927</v>
      </c>
      <c r="D20" s="12" t="s">
        <v>26</v>
      </c>
      <c r="E20" s="10" t="s">
        <v>284</v>
      </c>
      <c r="F20" s="11" t="s">
        <v>291</v>
      </c>
      <c r="G20" s="164">
        <v>0.58194444444444449</v>
      </c>
      <c r="H20" s="63">
        <v>19.239999999999998</v>
      </c>
      <c r="I20" s="64">
        <f>H26-H20</f>
        <v>0.16875000000000284</v>
      </c>
      <c r="J20" s="63">
        <v>21.12</v>
      </c>
      <c r="K20" s="14">
        <f t="shared" si="26"/>
        <v>1.8800000000000026</v>
      </c>
      <c r="L20" s="13">
        <v>90.439999999999941</v>
      </c>
      <c r="M20" s="86">
        <v>321.10403860919985</v>
      </c>
      <c r="N20" s="15">
        <v>8.6999999999999993</v>
      </c>
      <c r="O20" s="13">
        <v>14.677</v>
      </c>
      <c r="P20" s="14">
        <v>17.042999999999999</v>
      </c>
      <c r="Q20" s="15">
        <v>84.98</v>
      </c>
      <c r="R20" s="15">
        <v>12.99</v>
      </c>
      <c r="S20" s="15">
        <v>39.42</v>
      </c>
      <c r="T20" s="15">
        <v>33.11</v>
      </c>
      <c r="U20" s="15">
        <v>4361.1584885925995</v>
      </c>
      <c r="V20" s="15"/>
      <c r="W20" s="13">
        <v>1.5</v>
      </c>
      <c r="X20" s="14">
        <f t="shared" si="27"/>
        <v>7.102272727272727E-3</v>
      </c>
      <c r="Y20" s="13">
        <v>1.0117</v>
      </c>
      <c r="Z20" s="14">
        <f t="shared" si="28"/>
        <v>4.7902462121212119</v>
      </c>
      <c r="AA20" s="13">
        <v>0.16009999999999999</v>
      </c>
      <c r="AB20" s="14">
        <f t="shared" si="29"/>
        <v>0.75804924242424232</v>
      </c>
      <c r="AC20" s="13">
        <v>3.2</v>
      </c>
      <c r="AD20" s="10">
        <f t="shared" si="30"/>
        <v>1.515151515151515E-2</v>
      </c>
      <c r="AE20" s="230">
        <v>6.1800000000000001E-2</v>
      </c>
      <c r="AF20" s="14">
        <f t="shared" si="31"/>
        <v>0.29261363636363635</v>
      </c>
      <c r="AG20" s="13">
        <v>7.3599999999999999E-2</v>
      </c>
      <c r="AH20" s="14">
        <f t="shared" si="32"/>
        <v>0.34848484848484845</v>
      </c>
      <c r="AI20" s="13"/>
      <c r="AJ20" s="13">
        <v>0.1198</v>
      </c>
      <c r="AK20" s="10">
        <f>(100/J20)*AJ20</f>
        <v>0.5672348484848484</v>
      </c>
      <c r="AL20" s="14">
        <f t="shared" si="33"/>
        <v>0.37308780206842174</v>
      </c>
      <c r="AM20" s="13">
        <v>0.1341</v>
      </c>
      <c r="AN20" s="10">
        <f>(100/J20)*AM20</f>
        <v>0.63494318181818177</v>
      </c>
      <c r="AO20" s="14">
        <f t="shared" si="34"/>
        <v>0.41762165490296621</v>
      </c>
      <c r="AP20" s="13">
        <v>2.9899999999999999E-2</v>
      </c>
      <c r="AQ20" s="10">
        <f>(100/J20)*AP20</f>
        <v>0.14157196969696967</v>
      </c>
      <c r="AR20" s="14">
        <f t="shared" si="35"/>
        <v>9.311623774495667E-2</v>
      </c>
      <c r="AS20" s="13"/>
      <c r="AT20" s="13">
        <f>AJ20+AM20+AP20</f>
        <v>0.2838</v>
      </c>
      <c r="AU20" s="10">
        <f>(100/J20)*AT20</f>
        <v>1.3437499999999998</v>
      </c>
      <c r="AV20" s="14">
        <f t="shared" si="36"/>
        <v>0.88382569471634465</v>
      </c>
      <c r="AW20" s="13">
        <v>0.1065</v>
      </c>
      <c r="AX20" s="10">
        <f>(100/J20)*AW20</f>
        <v>0.50426136363636354</v>
      </c>
      <c r="AY20" s="14">
        <f t="shared" si="37"/>
        <v>0.33166820467685237</v>
      </c>
      <c r="AZ20" s="123"/>
      <c r="BA20" s="13"/>
      <c r="BC20" s="14"/>
      <c r="BD20" s="13"/>
      <c r="BF20" s="14"/>
      <c r="BG20"/>
      <c r="BH20" s="13">
        <v>32</v>
      </c>
      <c r="BI20" s="10">
        <v>24</v>
      </c>
      <c r="BJ20" s="10">
        <v>14</v>
      </c>
      <c r="BL20" s="14"/>
      <c r="BM20" s="13">
        <v>-2.5630339654094614E-2</v>
      </c>
      <c r="BN20" s="10">
        <v>24.109300000000001</v>
      </c>
      <c r="BQ20" s="134"/>
      <c r="BR20" s="13"/>
      <c r="BV20" s="14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</row>
    <row r="21" spans="1:188" s="10" customFormat="1" ht="16.350000000000001" customHeight="1">
      <c r="A21" s="123" t="s">
        <v>292</v>
      </c>
      <c r="B21" s="62" t="s">
        <v>293</v>
      </c>
      <c r="C21" s="11">
        <v>43165</v>
      </c>
      <c r="D21" s="12" t="s">
        <v>26</v>
      </c>
      <c r="E21" s="10" t="s">
        <v>284</v>
      </c>
      <c r="F21" s="11" t="s">
        <v>723</v>
      </c>
      <c r="G21" s="164">
        <v>0.4861111111111111</v>
      </c>
      <c r="H21" s="63">
        <v>21.48</v>
      </c>
      <c r="I21" s="64">
        <f>H26-H21</f>
        <v>-2.0712499999999991</v>
      </c>
      <c r="J21" s="63">
        <v>27.68</v>
      </c>
      <c r="K21" s="14">
        <f t="shared" si="26"/>
        <v>6.1999999999999993</v>
      </c>
      <c r="L21" s="13">
        <v>94.62000000000009</v>
      </c>
      <c r="M21" s="86">
        <v>345.35852829516836</v>
      </c>
      <c r="N21" s="15">
        <v>9.1999999999999993</v>
      </c>
      <c r="O21" s="13">
        <v>15.041</v>
      </c>
      <c r="P21" s="14">
        <v>17.605</v>
      </c>
      <c r="Q21" s="15">
        <v>78.97</v>
      </c>
      <c r="R21" s="15">
        <v>9.16</v>
      </c>
      <c r="S21" s="15">
        <v>34.04</v>
      </c>
      <c r="T21" s="15">
        <v>35.92</v>
      </c>
      <c r="U21" s="15">
        <v>3908.7102716579502</v>
      </c>
      <c r="V21" s="15"/>
      <c r="W21" s="13">
        <v>1.6</v>
      </c>
      <c r="X21" s="14">
        <f t="shared" si="27"/>
        <v>5.7803468208092491E-3</v>
      </c>
      <c r="Y21" s="13">
        <v>1.0526</v>
      </c>
      <c r="Z21" s="14">
        <f t="shared" si="28"/>
        <v>3.8027456647398847</v>
      </c>
      <c r="AA21" s="13">
        <v>0.17119999999999999</v>
      </c>
      <c r="AB21" s="14">
        <f t="shared" si="29"/>
        <v>0.61849710982658956</v>
      </c>
      <c r="AC21" s="13">
        <v>2.6</v>
      </c>
      <c r="AD21" s="10">
        <f t="shared" si="30"/>
        <v>9.3930635838150294E-3</v>
      </c>
      <c r="AE21" s="230">
        <v>9.6100000000000005E-2</v>
      </c>
      <c r="AF21" s="14">
        <f t="shared" si="31"/>
        <v>0.34718208092485553</v>
      </c>
      <c r="AG21" s="13">
        <v>7.6300000000000007E-2</v>
      </c>
      <c r="AH21" s="14">
        <f t="shared" si="32"/>
        <v>0.27565028901734107</v>
      </c>
      <c r="AI21" s="13"/>
      <c r="AJ21" s="13">
        <v>0.1736</v>
      </c>
      <c r="AK21" s="10">
        <f t="shared" ref="AK21:AK22" si="38">(100/J21)*AJ21</f>
        <v>0.62716763005780352</v>
      </c>
      <c r="AL21" s="14">
        <f t="shared" si="33"/>
        <v>0.50266602900168977</v>
      </c>
      <c r="AM21" s="13">
        <v>0.18179999999999999</v>
      </c>
      <c r="AN21" s="10">
        <f t="shared" ref="AN21:AN22" si="39">(100/J21)*AM21</f>
        <v>0.65679190751445082</v>
      </c>
      <c r="AO21" s="14">
        <f t="shared" si="34"/>
        <v>0.52640947046375108</v>
      </c>
      <c r="AP21" s="13">
        <v>9.1499999999999998E-2</v>
      </c>
      <c r="AQ21" s="383">
        <f t="shared" ref="AQ21:AQ22" si="40">(100/J21)*AP21</f>
        <v>0.33056358381502893</v>
      </c>
      <c r="AR21" s="14">
        <f t="shared" si="35"/>
        <v>0.26494206021690447</v>
      </c>
      <c r="AS21" s="13"/>
      <c r="AT21" s="13">
        <f t="shared" ref="AT21:AT22" si="41">AJ21+AM21+AP21</f>
        <v>0.44689999999999996</v>
      </c>
      <c r="AU21" s="10">
        <f t="shared" ref="AU21:AU22" si="42">(100/J21)*AT21</f>
        <v>1.6145231213872833</v>
      </c>
      <c r="AV21" s="14">
        <f t="shared" si="36"/>
        <v>1.2940175596823453</v>
      </c>
      <c r="AW21" s="13">
        <v>0.13880000000000001</v>
      </c>
      <c r="AX21" s="10">
        <f t="shared" ref="AX21:AX22" si="43">(100/J21)*AW21</f>
        <v>0.50144508670520238</v>
      </c>
      <c r="AY21" s="14">
        <f t="shared" si="37"/>
        <v>0.40190117987001467</v>
      </c>
      <c r="AZ21" s="123"/>
      <c r="BA21" s="13"/>
      <c r="BC21" s="14"/>
      <c r="BD21" s="13"/>
      <c r="BF21" s="14"/>
      <c r="BG21"/>
      <c r="BH21" s="13">
        <v>52.166666666666664</v>
      </c>
      <c r="BI21" s="10">
        <v>25.2</v>
      </c>
      <c r="BJ21" s="10">
        <v>16.333333333333332</v>
      </c>
      <c r="BL21" s="14"/>
      <c r="BM21" s="13">
        <v>0.30102597686094734</v>
      </c>
      <c r="BN21" s="10">
        <v>7.8978000000000002</v>
      </c>
      <c r="BP21" s="14"/>
      <c r="BQ21" s="123"/>
      <c r="BR21" s="13"/>
      <c r="BV21" s="14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</row>
    <row r="22" spans="1:188" s="10" customFormat="1" ht="16.350000000000001" customHeight="1">
      <c r="A22" s="123" t="s">
        <v>294</v>
      </c>
      <c r="B22" s="12" t="s">
        <v>295</v>
      </c>
      <c r="C22" s="305">
        <v>43253</v>
      </c>
      <c r="D22" s="12" t="s">
        <v>26</v>
      </c>
      <c r="E22" s="10" t="s">
        <v>284</v>
      </c>
      <c r="F22" s="11" t="s">
        <v>724</v>
      </c>
      <c r="G22" s="164">
        <v>0.55208333333333337</v>
      </c>
      <c r="H22" s="63">
        <v>17.98</v>
      </c>
      <c r="I22" s="64">
        <f>H26-H22</f>
        <v>1.4287500000000009</v>
      </c>
      <c r="J22" s="63">
        <v>21.2</v>
      </c>
      <c r="K22" s="14">
        <f t="shared" si="26"/>
        <v>3.2199999999999989</v>
      </c>
      <c r="L22" s="13">
        <v>74.880000000000024</v>
      </c>
      <c r="M22" s="86">
        <v>273.17348569651767</v>
      </c>
      <c r="N22" s="15">
        <v>9.1</v>
      </c>
      <c r="O22" s="13">
        <v>14.265000000000001</v>
      </c>
      <c r="P22" s="14">
        <v>16.881</v>
      </c>
      <c r="Q22" s="15">
        <v>76.78</v>
      </c>
      <c r="R22" s="15">
        <v>8.9700000000000006</v>
      </c>
      <c r="S22" s="15">
        <v>36.71</v>
      </c>
      <c r="T22" s="15">
        <v>33.43</v>
      </c>
      <c r="U22" s="15">
        <v>3011.5643690000002</v>
      </c>
      <c r="V22" s="15"/>
      <c r="W22" s="13">
        <v>1.2</v>
      </c>
      <c r="X22" s="14">
        <f t="shared" si="27"/>
        <v>5.6603773584905656E-3</v>
      </c>
      <c r="Y22" s="13">
        <v>1.0524</v>
      </c>
      <c r="Z22" s="14">
        <f t="shared" si="28"/>
        <v>4.964150943396227</v>
      </c>
      <c r="AA22" s="13">
        <v>0.1348</v>
      </c>
      <c r="AB22" s="14">
        <f t="shared" si="29"/>
        <v>0.63584905660377367</v>
      </c>
      <c r="AC22" s="13">
        <v>2.6</v>
      </c>
      <c r="AD22" s="10">
        <f t="shared" si="30"/>
        <v>1.2264150943396227E-2</v>
      </c>
      <c r="AE22" s="230">
        <v>5.586E-2</v>
      </c>
      <c r="AF22" s="14">
        <f t="shared" si="31"/>
        <v>0.26349056603773585</v>
      </c>
      <c r="AG22" s="13">
        <v>6.9199999999999998E-2</v>
      </c>
      <c r="AH22" s="14">
        <f t="shared" si="32"/>
        <v>0.32641509433962262</v>
      </c>
      <c r="AI22" s="13"/>
      <c r="AJ22" s="13">
        <v>0.1105</v>
      </c>
      <c r="AK22" s="10">
        <f t="shared" si="38"/>
        <v>0.52122641509433965</v>
      </c>
      <c r="AL22" s="14">
        <f t="shared" si="33"/>
        <v>0.40450485052842966</v>
      </c>
      <c r="AM22" s="13">
        <v>0.1128</v>
      </c>
      <c r="AN22" s="10">
        <f t="shared" si="39"/>
        <v>0.5320754716981132</v>
      </c>
      <c r="AO22" s="14">
        <f t="shared" si="34"/>
        <v>0.41292440850322953</v>
      </c>
      <c r="AP22" s="13">
        <v>3.0700000000000002E-2</v>
      </c>
      <c r="AQ22" s="10">
        <f t="shared" si="40"/>
        <v>0.144811320754717</v>
      </c>
      <c r="AR22" s="14">
        <f t="shared" si="35"/>
        <v>0.11238279557667685</v>
      </c>
      <c r="AS22" s="13"/>
      <c r="AT22" s="13">
        <f t="shared" si="41"/>
        <v>0.254</v>
      </c>
      <c r="AU22" s="10">
        <f t="shared" si="42"/>
        <v>1.1981132075471699</v>
      </c>
      <c r="AV22" s="14">
        <f t="shared" si="36"/>
        <v>0.92981205460833605</v>
      </c>
      <c r="AW22" s="13">
        <v>0.11609999999999999</v>
      </c>
      <c r="AX22" s="10">
        <f t="shared" si="43"/>
        <v>0.54764150943396228</v>
      </c>
      <c r="AY22" s="14">
        <f t="shared" si="37"/>
        <v>0.42500464385837722</v>
      </c>
      <c r="AZ22" s="123"/>
      <c r="BA22" s="13"/>
      <c r="BC22" s="14"/>
      <c r="BD22" s="13"/>
      <c r="BF22" s="14"/>
      <c r="BG22"/>
      <c r="BH22" s="13">
        <v>29.833333333333332</v>
      </c>
      <c r="BI22" s="10">
        <v>22.5</v>
      </c>
      <c r="BJ22" s="10">
        <v>11.666666666666666</v>
      </c>
      <c r="BL22" s="14"/>
      <c r="BM22" s="13">
        <v>-0.18432076600837816</v>
      </c>
      <c r="BN22" s="14">
        <v>11.108700000000001</v>
      </c>
      <c r="BP22" s="14"/>
      <c r="BQ22" s="123"/>
      <c r="BR22" s="13"/>
      <c r="BV22" s="14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</row>
    <row r="23" spans="1:188" s="10" customFormat="1" ht="16.350000000000001" customHeight="1">
      <c r="A23" s="123"/>
      <c r="C23" s="89"/>
      <c r="F23" s="89"/>
      <c r="G23" s="164"/>
      <c r="H23" s="63"/>
      <c r="I23" s="64"/>
      <c r="J23" s="63"/>
      <c r="K23" s="14"/>
      <c r="L23" s="13"/>
      <c r="M23" s="186"/>
      <c r="N23" s="15"/>
      <c r="O23" s="13"/>
      <c r="P23" s="14"/>
      <c r="Q23" s="15"/>
      <c r="R23" s="15"/>
      <c r="S23" s="15"/>
      <c r="T23" s="15"/>
      <c r="U23" s="386"/>
      <c r="V23" s="15"/>
      <c r="W23" s="13"/>
      <c r="X23" s="14"/>
      <c r="Y23" s="13"/>
      <c r="Z23" s="14"/>
      <c r="AA23" s="13"/>
      <c r="AB23" s="14"/>
      <c r="AC23" s="13"/>
      <c r="AE23" s="230"/>
      <c r="AF23" s="14"/>
      <c r="AG23" s="13"/>
      <c r="AH23" s="14"/>
      <c r="AI23" s="13"/>
      <c r="AJ23" s="13"/>
      <c r="AL23" s="14"/>
      <c r="AM23" s="13"/>
      <c r="AO23" s="14"/>
      <c r="AP23" s="13"/>
      <c r="AR23" s="14"/>
      <c r="AS23" s="13"/>
      <c r="AT23" s="13"/>
      <c r="AV23" s="14"/>
      <c r="AW23" s="13"/>
      <c r="AY23" s="14"/>
      <c r="AZ23" s="123"/>
      <c r="BA23" s="13"/>
      <c r="BC23" s="14"/>
      <c r="BD23" s="13"/>
      <c r="BF23" s="14"/>
      <c r="BG23"/>
      <c r="BH23" s="13">
        <v>23</v>
      </c>
      <c r="BI23" s="10">
        <v>16.600000000000001</v>
      </c>
      <c r="BJ23" s="10">
        <v>9</v>
      </c>
      <c r="BL23" s="14"/>
      <c r="BM23" s="13">
        <v>0.29339477726574503</v>
      </c>
      <c r="BP23" s="14"/>
      <c r="BQ23" s="123"/>
      <c r="BR23" s="13"/>
      <c r="BV23" s="14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</row>
    <row r="24" spans="1:188" s="10" customFormat="1" ht="16.350000000000001" customHeight="1">
      <c r="A24" s="313" t="s">
        <v>296</v>
      </c>
      <c r="B24" s="13" t="s">
        <v>297</v>
      </c>
      <c r="C24" s="142">
        <v>43705</v>
      </c>
      <c r="D24" s="10" t="s">
        <v>26</v>
      </c>
      <c r="E24" s="10" t="s">
        <v>284</v>
      </c>
      <c r="F24" s="89">
        <v>43742</v>
      </c>
      <c r="G24" s="164">
        <v>0.50694444444444442</v>
      </c>
      <c r="H24" s="63">
        <v>20.36</v>
      </c>
      <c r="I24" s="64">
        <f>H26-H24</f>
        <v>-0.95124999999999815</v>
      </c>
      <c r="J24" s="63">
        <v>23.85</v>
      </c>
      <c r="K24" s="14">
        <f t="shared" si="26"/>
        <v>3.490000000000002</v>
      </c>
      <c r="L24" s="13">
        <v>88.179999999999964</v>
      </c>
      <c r="M24" s="86">
        <v>321.55524838509274</v>
      </c>
      <c r="N24" s="15">
        <v>9.1</v>
      </c>
      <c r="O24" s="13">
        <v>14.741</v>
      </c>
      <c r="P24" s="14">
        <v>17.143999999999998</v>
      </c>
      <c r="Q24" s="15">
        <v>78.02</v>
      </c>
      <c r="R24" s="15">
        <v>8.35</v>
      </c>
      <c r="S24" s="15">
        <v>39.51</v>
      </c>
      <c r="T24" s="15">
        <v>30.21</v>
      </c>
      <c r="U24" s="15">
        <v>1894.11371751249</v>
      </c>
      <c r="V24" s="15"/>
      <c r="W24" s="13">
        <v>1.3</v>
      </c>
      <c r="X24" s="14">
        <f>(100/J24)*(W24/1000)</f>
        <v>5.4507337526205442E-3</v>
      </c>
      <c r="Y24" s="13">
        <v>1.4258999999999999</v>
      </c>
      <c r="Z24" s="14">
        <f>(100/J24)*Y24</f>
        <v>5.9786163522012563</v>
      </c>
      <c r="AA24" s="13">
        <v>0.14749999999999999</v>
      </c>
      <c r="AB24" s="14">
        <f>(100/J24)*AA24</f>
        <v>0.61844863731656174</v>
      </c>
      <c r="AC24" s="13">
        <v>2.8</v>
      </c>
      <c r="AD24" s="10">
        <f>(100/J24)*(AC24/1000)</f>
        <v>1.1740041928721173E-2</v>
      </c>
      <c r="AE24" s="230">
        <v>5.7700000000000001E-2</v>
      </c>
      <c r="AF24" s="14">
        <f>(100/J24)*AE24</f>
        <v>0.24192872117400416</v>
      </c>
      <c r="AG24" s="13">
        <v>7.0800000000000002E-2</v>
      </c>
      <c r="AH24" s="14">
        <f>(100/J24)*AG24</f>
        <v>0.29685534591194968</v>
      </c>
      <c r="AI24" s="13"/>
      <c r="AJ24" s="13">
        <v>7.6899999999999996E-2</v>
      </c>
      <c r="AK24" s="10">
        <f>(100/J24)*AJ24</f>
        <v>0.32243186582809219</v>
      </c>
      <c r="AL24" s="14">
        <f t="shared" ref="AL24:AL25" si="44">(AJ24*1000)/M24</f>
        <v>0.23915019389733297</v>
      </c>
      <c r="AM24" s="13">
        <v>0.1263</v>
      </c>
      <c r="AN24" s="10">
        <f>(100/J24)*AM24</f>
        <v>0.52955974842767284</v>
      </c>
      <c r="AO24" s="14">
        <f t="shared" ref="AO24:AO25" si="45">(AM24*1000)/M24</f>
        <v>0.39277853692110737</v>
      </c>
      <c r="AP24" s="13">
        <v>3.567E-2</v>
      </c>
      <c r="AQ24" s="10">
        <f>(100/J24)*AP24</f>
        <v>0.14955974842767294</v>
      </c>
      <c r="AR24" s="14">
        <f t="shared" ref="AR24:AR25" si="46">(AP24*1000)/M24</f>
        <v>0.11092961529672131</v>
      </c>
      <c r="AS24" s="13"/>
      <c r="AT24" s="13">
        <f>AJ24+AM24+AP24</f>
        <v>0.23887</v>
      </c>
      <c r="AU24" s="10">
        <f>(100/J24)*AT24</f>
        <v>1.001551362683438</v>
      </c>
      <c r="AV24" s="14">
        <f t="shared" ref="AV24:AV25" si="47">(AT24*1000)/M24</f>
        <v>0.74285834611516166</v>
      </c>
      <c r="AW24" s="13">
        <v>0.17730000000000001</v>
      </c>
      <c r="AX24" s="383">
        <f>(100/J24)*AW24</f>
        <v>0.74339622641509429</v>
      </c>
      <c r="AY24" s="14">
        <f t="shared" ref="AY24:AY25" si="48">(AW24*1000)/M24</f>
        <v>0.55138269672297979</v>
      </c>
      <c r="AZ24" s="123"/>
      <c r="BA24" s="13"/>
      <c r="BC24" s="14"/>
      <c r="BD24" s="13"/>
      <c r="BF24" s="14"/>
      <c r="BG24"/>
      <c r="BH24" s="13">
        <v>40.5</v>
      </c>
      <c r="BI24" s="10">
        <v>33.333333333333336</v>
      </c>
      <c r="BJ24" s="10">
        <v>16.75</v>
      </c>
      <c r="BL24" s="14"/>
      <c r="BM24" s="13">
        <v>8.2664806417858352E-2</v>
      </c>
      <c r="BP24" s="14"/>
      <c r="BQ24" s="123"/>
      <c r="BR24" s="13"/>
      <c r="BV24" s="1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</row>
    <row r="25" spans="1:188" s="10" customFormat="1" ht="16.350000000000001" customHeight="1">
      <c r="A25" s="313" t="s">
        <v>298</v>
      </c>
      <c r="B25" s="13" t="s">
        <v>299</v>
      </c>
      <c r="C25" s="142">
        <v>43703</v>
      </c>
      <c r="D25" s="10" t="s">
        <v>26</v>
      </c>
      <c r="E25" s="10" t="s">
        <v>284</v>
      </c>
      <c r="F25" s="89">
        <v>43742</v>
      </c>
      <c r="G25" s="164">
        <v>0.73263888888888884</v>
      </c>
      <c r="H25" s="63">
        <v>19.09</v>
      </c>
      <c r="I25" s="64">
        <f>H26-H25</f>
        <v>0.31875000000000142</v>
      </c>
      <c r="J25" s="63">
        <v>21.7</v>
      </c>
      <c r="K25" s="14">
        <f t="shared" si="26"/>
        <v>2.6099999999999994</v>
      </c>
      <c r="L25" s="13">
        <v>73.220000000000027</v>
      </c>
      <c r="M25" s="86">
        <v>267.72809258511774</v>
      </c>
      <c r="N25" s="15">
        <v>8.8000000000000007</v>
      </c>
      <c r="O25" s="13">
        <v>14.500999999999999</v>
      </c>
      <c r="P25" s="14">
        <v>16.846</v>
      </c>
      <c r="Q25" s="15">
        <v>73.81</v>
      </c>
      <c r="R25" s="15">
        <v>7.37</v>
      </c>
      <c r="S25" s="15">
        <v>36.54</v>
      </c>
      <c r="T25" s="15">
        <v>30.15</v>
      </c>
      <c r="U25" s="15">
        <v>1680.2017365138599</v>
      </c>
      <c r="V25" s="15"/>
      <c r="W25" s="13">
        <v>1.1000000000000001</v>
      </c>
      <c r="X25" s="14">
        <f>(100/J25)*(W25/1000)</f>
        <v>5.0691244239631341E-3</v>
      </c>
      <c r="Y25" s="13">
        <v>0.99039999999999995</v>
      </c>
      <c r="Z25" s="14">
        <f>(100/J25)*Y25</f>
        <v>4.564055299539171</v>
      </c>
      <c r="AA25" s="13">
        <v>0.11840000000000001</v>
      </c>
      <c r="AB25" s="14">
        <f>(100/J25)*AA25</f>
        <v>0.54562211981566833</v>
      </c>
      <c r="AC25" s="13">
        <v>4.0999999999999996</v>
      </c>
      <c r="AD25" s="10">
        <f>(100/J25)*(AC25/1000)</f>
        <v>1.889400921658986E-2</v>
      </c>
      <c r="AE25" s="230">
        <v>6.4199999999999993E-2</v>
      </c>
      <c r="AF25" s="14">
        <f>(100/J25)*AE25</f>
        <v>0.295852534562212</v>
      </c>
      <c r="AG25" s="13">
        <v>6.54E-2</v>
      </c>
      <c r="AH25" s="14">
        <f>(100/J25)*AG25</f>
        <v>0.30138248847926269</v>
      </c>
      <c r="AI25" s="13"/>
      <c r="AJ25" s="13">
        <v>9.4899999999999998E-2</v>
      </c>
      <c r="AK25" s="10">
        <f>(100/J25)*AJ25</f>
        <v>0.4373271889400922</v>
      </c>
      <c r="AL25" s="14">
        <f t="shared" si="44"/>
        <v>0.35446410977521459</v>
      </c>
      <c r="AM25" s="13">
        <v>0.1244</v>
      </c>
      <c r="AN25" s="10">
        <f>(100/J25)*AM25</f>
        <v>0.57327188940092166</v>
      </c>
      <c r="AO25" s="14">
        <f t="shared" si="45"/>
        <v>0.46465052956835295</v>
      </c>
      <c r="AP25" s="13">
        <v>2.41E-2</v>
      </c>
      <c r="AQ25" s="10">
        <f>(100/J25)*AP25</f>
        <v>0.1110599078341014</v>
      </c>
      <c r="AR25" s="14">
        <f t="shared" si="46"/>
        <v>9.0016702271682542E-2</v>
      </c>
      <c r="AS25" s="13"/>
      <c r="AT25" s="13">
        <f>AJ25+AM25+AP25</f>
        <v>0.24340000000000001</v>
      </c>
      <c r="AU25" s="10">
        <f>(100/J25)*AT25</f>
        <v>1.1216589861751154</v>
      </c>
      <c r="AV25" s="14">
        <f t="shared" si="47"/>
        <v>0.90913134161525022</v>
      </c>
      <c r="AW25" s="13">
        <v>0.1026</v>
      </c>
      <c r="AX25" s="10">
        <f>(100/J25)*AW25</f>
        <v>0.47281105990783412</v>
      </c>
      <c r="AY25" s="14">
        <f t="shared" si="48"/>
        <v>0.3832246329076609</v>
      </c>
      <c r="AZ25" s="123"/>
      <c r="BA25" s="13"/>
      <c r="BC25" s="14"/>
      <c r="BD25" s="13"/>
      <c r="BF25" s="14"/>
      <c r="BG25"/>
      <c r="BH25" s="13"/>
      <c r="BL25" s="14"/>
      <c r="BM25" s="13"/>
      <c r="BP25" s="14"/>
      <c r="BQ25" s="123"/>
      <c r="BR25" s="13"/>
      <c r="BV25" s="14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</row>
    <row r="26" spans="1:188" s="10" customFormat="1" ht="16.350000000000001" customHeight="1">
      <c r="A26" s="123"/>
      <c r="B26" s="11"/>
      <c r="C26" s="3"/>
      <c r="D26" s="12"/>
      <c r="E26" s="12"/>
      <c r="F26" s="3" t="s">
        <v>281</v>
      </c>
      <c r="G26" s="333">
        <f t="shared" ref="G26:AY26" si="49">AVERAGE(G17:G25)</f>
        <v>0.60112847222222232</v>
      </c>
      <c r="H26" s="18">
        <f t="shared" si="49"/>
        <v>19.408750000000001</v>
      </c>
      <c r="I26" s="3">
        <f t="shared" si="49"/>
        <v>1.3322676295501878E-15</v>
      </c>
      <c r="J26" s="18">
        <f t="shared" si="49"/>
        <v>22.862499999999997</v>
      </c>
      <c r="K26" s="3">
        <f t="shared" si="49"/>
        <v>3.4537499999999999</v>
      </c>
      <c r="L26" s="18">
        <f t="shared" si="49"/>
        <v>87.133750000000006</v>
      </c>
      <c r="M26" s="3">
        <f t="shared" si="49"/>
        <v>321.92335651565645</v>
      </c>
      <c r="N26" s="58">
        <f t="shared" si="49"/>
        <v>8.9625000000000004</v>
      </c>
      <c r="O26" s="18">
        <f t="shared" si="49"/>
        <v>14.638625000000001</v>
      </c>
      <c r="P26" s="3">
        <f t="shared" si="49"/>
        <v>17.11675</v>
      </c>
      <c r="Q26" s="58">
        <f t="shared" si="49"/>
        <v>79.576249999999987</v>
      </c>
      <c r="R26" s="58">
        <f t="shared" si="49"/>
        <v>10.046250000000001</v>
      </c>
      <c r="S26" s="58">
        <f t="shared" si="49"/>
        <v>39.565000000000005</v>
      </c>
      <c r="T26" s="58">
        <f t="shared" si="49"/>
        <v>30.720000000000002</v>
      </c>
      <c r="U26" s="58">
        <f t="shared" si="49"/>
        <v>2702.6040079746513</v>
      </c>
      <c r="V26" s="58" t="e">
        <f t="shared" si="49"/>
        <v>#DIV/0!</v>
      </c>
      <c r="W26" s="18">
        <f t="shared" si="49"/>
        <v>1.3</v>
      </c>
      <c r="X26" s="3">
        <f t="shared" si="49"/>
        <v>5.7036727054407864E-3</v>
      </c>
      <c r="Y26" s="18">
        <f t="shared" si="49"/>
        <v>1.110725</v>
      </c>
      <c r="Z26" s="3">
        <f t="shared" si="49"/>
        <v>4.8650815042100195</v>
      </c>
      <c r="AA26" s="18">
        <f t="shared" si="49"/>
        <v>0.1426</v>
      </c>
      <c r="AB26" s="3">
        <f t="shared" si="49"/>
        <v>0.62371027474229457</v>
      </c>
      <c r="AC26" s="18">
        <f t="shared" si="49"/>
        <v>2.8</v>
      </c>
      <c r="AD26" s="3">
        <f t="shared" si="49"/>
        <v>1.2410311114790769E-2</v>
      </c>
      <c r="AE26" s="18">
        <f t="shared" si="49"/>
        <v>6.4895000000000008E-2</v>
      </c>
      <c r="AF26" s="3">
        <f t="shared" si="49"/>
        <v>0.28186270223694931</v>
      </c>
      <c r="AG26" s="18">
        <f t="shared" si="49"/>
        <v>7.39625E-2</v>
      </c>
      <c r="AH26" s="3">
        <f t="shared" si="49"/>
        <v>0.32501333595572696</v>
      </c>
      <c r="AI26" s="58" t="e">
        <f t="shared" si="49"/>
        <v>#DIV/0!</v>
      </c>
      <c r="AJ26" s="59">
        <f t="shared" si="49"/>
        <v>0.1078875</v>
      </c>
      <c r="AK26" s="334">
        <f t="shared" si="49"/>
        <v>0.46797224363917744</v>
      </c>
      <c r="AL26" s="88">
        <f t="shared" si="49"/>
        <v>0.33621654823010394</v>
      </c>
      <c r="AM26" s="59">
        <f t="shared" si="49"/>
        <v>0.13343749999999999</v>
      </c>
      <c r="AN26" s="334">
        <f t="shared" si="49"/>
        <v>0.57982696390036192</v>
      </c>
      <c r="AO26" s="88">
        <f t="shared" si="49"/>
        <v>0.41436143264453523</v>
      </c>
      <c r="AP26" s="59">
        <f t="shared" si="49"/>
        <v>3.8183750000000002E-2</v>
      </c>
      <c r="AQ26" s="334">
        <f t="shared" si="49"/>
        <v>0.16038778272486592</v>
      </c>
      <c r="AR26" s="88">
        <f t="shared" si="49"/>
        <v>0.11660061494095364</v>
      </c>
      <c r="AS26" s="58" t="e">
        <f t="shared" si="49"/>
        <v>#DIV/0!</v>
      </c>
      <c r="AT26" s="59">
        <f t="shared" si="49"/>
        <v>0.27950874999999997</v>
      </c>
      <c r="AU26" s="334">
        <f t="shared" si="49"/>
        <v>1.2081869902644053</v>
      </c>
      <c r="AV26" s="88">
        <f t="shared" si="49"/>
        <v>0.86717859581559276</v>
      </c>
      <c r="AW26" s="59">
        <f t="shared" si="49"/>
        <v>0.1221375</v>
      </c>
      <c r="AX26" s="334">
        <f t="shared" si="49"/>
        <v>0.53194245322864031</v>
      </c>
      <c r="AY26" s="88">
        <f t="shared" si="49"/>
        <v>0.38151081354682481</v>
      </c>
      <c r="AZ26" s="123"/>
      <c r="BA26" s="59" t="e">
        <f t="shared" ref="BA26:BF26" si="50">AVERAGE(BA17:BA25)</f>
        <v>#DIV/0!</v>
      </c>
      <c r="BB26" s="334" t="e">
        <f t="shared" si="50"/>
        <v>#DIV/0!</v>
      </c>
      <c r="BC26" s="88" t="e">
        <f t="shared" si="50"/>
        <v>#DIV/0!</v>
      </c>
      <c r="BD26" s="59" t="e">
        <f t="shared" si="50"/>
        <v>#DIV/0!</v>
      </c>
      <c r="BE26" s="334" t="e">
        <f t="shared" si="50"/>
        <v>#DIV/0!</v>
      </c>
      <c r="BF26" s="88" t="e">
        <f t="shared" si="50"/>
        <v>#DIV/0!</v>
      </c>
      <c r="BG26"/>
      <c r="BH26" s="335">
        <f>AVERAGE(BH17:BH25)</f>
        <v>29.261905000000002</v>
      </c>
      <c r="BI26" s="334">
        <f>AVERAGE(BI17:BI25)</f>
        <v>19.652082916666668</v>
      </c>
      <c r="BJ26" s="334">
        <f t="shared" ref="BJ26:BL26" si="51">AVERAGE(BJ17:BJ25)</f>
        <v>11.9625</v>
      </c>
      <c r="BK26" s="334">
        <f t="shared" si="51"/>
        <v>11.22222</v>
      </c>
      <c r="BL26" s="334">
        <f t="shared" si="51"/>
        <v>5.6666699999999999</v>
      </c>
      <c r="BM26" s="335">
        <f>AVERAGE(BM17:BM25)</f>
        <v>0.14714180686025974</v>
      </c>
      <c r="BN26" s="334">
        <f>AVERAGE(BN17:BN25)</f>
        <v>14.856942628333334</v>
      </c>
      <c r="BO26" s="334">
        <f t="shared" ref="BO26" si="52">AVERAGE(BO17:BO25)</f>
        <v>44.666666666666664</v>
      </c>
      <c r="BP26" s="334">
        <f t="shared" ref="BP26" si="53">AVERAGE(BP17:BP25)</f>
        <v>5.3277633333333334</v>
      </c>
      <c r="BQ26" s="123"/>
      <c r="BR26" s="335">
        <f>AVERAGE(BR17:BR25)</f>
        <v>0.57539676666666673</v>
      </c>
      <c r="BS26" s="334">
        <f>AVERAGE(BS17:BS25)</f>
        <v>0.4722223333333333</v>
      </c>
      <c r="BT26" s="334">
        <f t="shared" ref="BT26" si="54">AVERAGE(BT17:BT25)</f>
        <v>6.6666666666666666E-2</v>
      </c>
      <c r="BU26" s="334">
        <f t="shared" ref="BU26" si="55">AVERAGE(BU17:BU25)</f>
        <v>0.44444443333333333</v>
      </c>
      <c r="BV26" s="334">
        <f t="shared" ref="BV26" si="56">AVERAGE(BV17:BV25)</f>
        <v>0.22222333333333333</v>
      </c>
      <c r="BW26" s="13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</row>
    <row r="27" spans="1:188" s="10" customFormat="1" ht="16.350000000000001" customHeight="1">
      <c r="A27" s="123"/>
      <c r="B27" s="31"/>
      <c r="C27" s="3"/>
      <c r="D27" s="12"/>
      <c r="E27" s="12"/>
      <c r="F27" s="3" t="s">
        <v>45</v>
      </c>
      <c r="G27" s="88">
        <f>(STDEV(G17:G25)/(SQRT(COUNT(G17:G25))))</f>
        <v>3.9293340738146346E-2</v>
      </c>
      <c r="H27" s="18">
        <f t="shared" ref="H27:M27" si="57">STDEV(H17:H25)/SQRT(COUNT(H17:H25))</f>
        <v>0.45447944122919354</v>
      </c>
      <c r="I27" s="3">
        <f t="shared" si="57"/>
        <v>0.45447944122919354</v>
      </c>
      <c r="J27" s="18">
        <f t="shared" si="57"/>
        <v>0.82250434215093549</v>
      </c>
      <c r="K27" s="3">
        <f t="shared" si="57"/>
        <v>0.47422093065514115</v>
      </c>
      <c r="L27" s="18">
        <f t="shared" si="57"/>
        <v>3.5320269056874607</v>
      </c>
      <c r="M27" s="3">
        <f t="shared" si="57"/>
        <v>14.037099982778873</v>
      </c>
      <c r="N27" s="58">
        <f>(STDEV(N17:N25)/(SQRT(COUNT(N17:N25))))</f>
        <v>7.5445107765277117E-2</v>
      </c>
      <c r="O27" s="18">
        <f>STDEV(O17:O25)/SQRT(COUNT(O17:O25))</f>
        <v>0.10952004668096155</v>
      </c>
      <c r="P27" s="3">
        <f>STDEV(P17:P25)/SQRT(COUNT(P17:P25))</f>
        <v>9.0320807205680531E-2</v>
      </c>
      <c r="Q27" s="58">
        <f t="shared" ref="Q27:V27" si="58">(STDEV(Q17:Q25)/(SQRT(COUNT(Q17:Q25))))</f>
        <v>1.3502631191998942</v>
      </c>
      <c r="R27" s="58">
        <f t="shared" si="58"/>
        <v>0.67383215772602678</v>
      </c>
      <c r="S27" s="58">
        <f t="shared" si="58"/>
        <v>1.4084959049588015</v>
      </c>
      <c r="T27" s="58">
        <f t="shared" si="58"/>
        <v>1.6201421895271082</v>
      </c>
      <c r="U27" s="58">
        <f t="shared" si="58"/>
        <v>373.20826658939978</v>
      </c>
      <c r="V27" s="58" t="e">
        <f t="shared" si="58"/>
        <v>#DIV/0!</v>
      </c>
      <c r="W27" s="18">
        <f t="shared" ref="W27:AH27" si="59">STDEV(W17:W25)/SQRT(COUNT(W17:W25))</f>
        <v>5.9761430466719577E-2</v>
      </c>
      <c r="X27" s="3">
        <f t="shared" si="59"/>
        <v>2.4061648793356131E-4</v>
      </c>
      <c r="Y27" s="18">
        <f t="shared" si="59"/>
        <v>6.8625796248307849E-2</v>
      </c>
      <c r="Z27" s="3">
        <f t="shared" si="59"/>
        <v>0.25286347443828072</v>
      </c>
      <c r="AA27" s="18">
        <f t="shared" si="59"/>
        <v>7.7213988369983716E-3</v>
      </c>
      <c r="AB27" s="3">
        <f t="shared" si="59"/>
        <v>2.6876229229108855E-2</v>
      </c>
      <c r="AC27" s="18">
        <f t="shared" si="59"/>
        <v>0.21297216451250814</v>
      </c>
      <c r="AD27" s="3">
        <f t="shared" si="59"/>
        <v>1.1400138167985321E-3</v>
      </c>
      <c r="AE27" s="18">
        <f t="shared" si="59"/>
        <v>5.3345929688081153E-3</v>
      </c>
      <c r="AF27" s="3">
        <f t="shared" si="59"/>
        <v>1.5282986609368495E-2</v>
      </c>
      <c r="AG27" s="18">
        <f t="shared" si="59"/>
        <v>2.4328802374962897E-3</v>
      </c>
      <c r="AH27" s="3">
        <f t="shared" si="59"/>
        <v>1.0797010699268328E-2</v>
      </c>
      <c r="AI27" s="58" t="e">
        <f t="shared" ref="AI27:AY27" si="60">(STDEV(AI17:AI25)/(SQRT(COUNT(AI17:AI25))))</f>
        <v>#DIV/0!</v>
      </c>
      <c r="AJ27" s="59">
        <f t="shared" si="60"/>
        <v>1.1478418219486034E-2</v>
      </c>
      <c r="AK27" s="55">
        <f t="shared" si="60"/>
        <v>3.7744345007987748E-2</v>
      </c>
      <c r="AL27" s="88">
        <f t="shared" si="60"/>
        <v>3.285216016016855E-2</v>
      </c>
      <c r="AM27" s="59">
        <f t="shared" si="60"/>
        <v>1.0017501426075694E-2</v>
      </c>
      <c r="AN27" s="55">
        <f t="shared" si="60"/>
        <v>2.7406516595724614E-2</v>
      </c>
      <c r="AO27" s="88">
        <f t="shared" si="60"/>
        <v>2.3792516331865538E-2</v>
      </c>
      <c r="AP27" s="59">
        <f t="shared" si="60"/>
        <v>8.542309393646759E-3</v>
      </c>
      <c r="AQ27" s="55">
        <f t="shared" si="60"/>
        <v>2.8299670519608251E-2</v>
      </c>
      <c r="AR27" s="88">
        <f t="shared" si="60"/>
        <v>2.3295575514668914E-2</v>
      </c>
      <c r="AS27" s="58" t="e">
        <f t="shared" si="60"/>
        <v>#DIV/0!</v>
      </c>
      <c r="AT27" s="59">
        <f t="shared" si="60"/>
        <v>2.8818510385656925E-2</v>
      </c>
      <c r="AU27" s="55">
        <f t="shared" si="60"/>
        <v>8.4266723166227173E-2</v>
      </c>
      <c r="AV27" s="88">
        <f t="shared" si="60"/>
        <v>7.5183611424036317E-2</v>
      </c>
      <c r="AW27" s="59">
        <f t="shared" si="60"/>
        <v>9.8157114853832956E-3</v>
      </c>
      <c r="AX27" s="55">
        <f t="shared" si="60"/>
        <v>3.3355979517734134E-2</v>
      </c>
      <c r="AY27" s="88">
        <f t="shared" si="60"/>
        <v>2.9481989985780024E-2</v>
      </c>
      <c r="AZ27" s="123"/>
      <c r="BA27" s="59" t="e">
        <f t="shared" ref="BA27:BF27" si="61">(STDEV(BA17:BA25)/(SQRT(COUNT(BA17:BA25))))</f>
        <v>#DIV/0!</v>
      </c>
      <c r="BB27" s="55" t="e">
        <f t="shared" si="61"/>
        <v>#DIV/0!</v>
      </c>
      <c r="BC27" s="88" t="e">
        <f t="shared" si="61"/>
        <v>#DIV/0!</v>
      </c>
      <c r="BD27" s="59" t="e">
        <f t="shared" si="61"/>
        <v>#DIV/0!</v>
      </c>
      <c r="BE27" s="55" t="e">
        <f t="shared" si="61"/>
        <v>#DIV/0!</v>
      </c>
      <c r="BF27" s="88" t="e">
        <f t="shared" si="61"/>
        <v>#DIV/0!</v>
      </c>
      <c r="BG27"/>
      <c r="BH27" s="59">
        <f>(STDEV(BH17:BH25)/(SQRT(COUNT(BH17:BH25))))</f>
        <v>4.5196407217168879</v>
      </c>
      <c r="BI27" s="55">
        <f>(STDEV(BI17:BI25)/(SQRT(COUNT(BI17:BI25))))</f>
        <v>2.9965251193545472</v>
      </c>
      <c r="BJ27" s="55">
        <f t="shared" ref="BJ27:BL27" si="62">(STDEV(BJ17:BJ25)/(SQRT(COUNT(BJ17:BJ25))))</f>
        <v>1.3728401145649589</v>
      </c>
      <c r="BK27" s="55">
        <f t="shared" si="62"/>
        <v>2.62702025726868</v>
      </c>
      <c r="BL27" s="55">
        <f t="shared" si="62"/>
        <v>1.7320508075688765</v>
      </c>
      <c r="BM27" s="59">
        <f>(STDEV(BM17:BM25)/(SQRT(COUNT(BM17:BM25))))</f>
        <v>7.3855067141169101E-2</v>
      </c>
      <c r="BN27" s="55">
        <f>(STDEV(BN17:BN25)/(SQRT(COUNT(BN17:BN25))))</f>
        <v>2.5926614282301301</v>
      </c>
      <c r="BO27" s="55">
        <f t="shared" ref="BO27:BP27" si="63">(STDEV(BO17:BO25)/(SQRT(COUNT(BO17:BO25))))</f>
        <v>7.6666666666666705</v>
      </c>
      <c r="BP27" s="55">
        <f t="shared" si="63"/>
        <v>1.6294860036254104</v>
      </c>
      <c r="BQ27" s="123"/>
      <c r="BR27" s="59">
        <f>(STDEV(BR17:BR25)/(SQRT(COUNT(BR17:BR25))))</f>
        <v>0.28474810332014705</v>
      </c>
      <c r="BS27" s="55">
        <f>(STDEV(BS17:BS25)/(SQRT(COUNT(BS17:BS25))))</f>
        <v>0.12108061542671118</v>
      </c>
      <c r="BT27" s="55">
        <f t="shared" ref="BT27:BV27" si="64">(STDEV(BT17:BT25)/(SQRT(COUNT(BT17:BT25))))</f>
        <v>6.666666666666668E-2</v>
      </c>
      <c r="BU27" s="55">
        <f t="shared" si="64"/>
        <v>0.44444443333333333</v>
      </c>
      <c r="BV27" s="55">
        <f t="shared" si="64"/>
        <v>0.22222333333333336</v>
      </c>
      <c r="BW27" s="13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</row>
    <row r="28" spans="1:188" s="10" customFormat="1" ht="16.350000000000001" customHeight="1">
      <c r="A28" s="123"/>
      <c r="B28" s="31"/>
      <c r="C28" s="3"/>
      <c r="D28" s="12"/>
      <c r="E28" s="12"/>
      <c r="F28" s="62" t="s">
        <v>300</v>
      </c>
      <c r="G28" s="62">
        <f t="shared" ref="G28" si="65">(100/G14)*G26</f>
        <v>95.25447042640991</v>
      </c>
      <c r="H28" s="63">
        <f>(100/H14)*H26</f>
        <v>100.78540828248737</v>
      </c>
      <c r="I28" s="62"/>
      <c r="J28" s="63">
        <f t="shared" ref="J28:P28" si="66">(100/J14)*J26</f>
        <v>99.052261034389375</v>
      </c>
      <c r="K28" s="62">
        <f t="shared" si="66"/>
        <v>90.323635174893738</v>
      </c>
      <c r="L28" s="63">
        <f t="shared" si="66"/>
        <v>98.609421417456502</v>
      </c>
      <c r="M28" s="62">
        <f t="shared" si="66"/>
        <v>99.702985127867635</v>
      </c>
      <c r="N28" s="63">
        <f t="shared" si="66"/>
        <v>99.033149171270736</v>
      </c>
      <c r="O28" s="63">
        <f t="shared" si="66"/>
        <v>99.228937713419029</v>
      </c>
      <c r="P28" s="62">
        <f t="shared" si="66"/>
        <v>100.06064990391009</v>
      </c>
      <c r="Q28" s="63">
        <f>(100/Q14)*Q26</f>
        <v>96.759533688994267</v>
      </c>
      <c r="R28" s="63">
        <f t="shared" ref="R28:AE28" si="67">(100/R14)*R26</f>
        <v>87.396694214876021</v>
      </c>
      <c r="S28" s="63">
        <f t="shared" si="67"/>
        <v>98.789013732833979</v>
      </c>
      <c r="T28" s="63">
        <f t="shared" si="67"/>
        <v>98.560256667335068</v>
      </c>
      <c r="U28" s="63">
        <f t="shared" si="67"/>
        <v>103.92638815605584</v>
      </c>
      <c r="V28" s="63" t="e">
        <f t="shared" si="67"/>
        <v>#DIV/0!</v>
      </c>
      <c r="W28" s="63">
        <f t="shared" si="67"/>
        <v>91</v>
      </c>
      <c r="X28" s="62">
        <f t="shared" si="67"/>
        <v>91.944741036636188</v>
      </c>
      <c r="Y28" s="63">
        <f t="shared" si="67"/>
        <v>99.516183223205303</v>
      </c>
      <c r="Z28" s="62">
        <f t="shared" si="67"/>
        <v>100.5269591921754</v>
      </c>
      <c r="AA28" s="63">
        <f t="shared" si="67"/>
        <v>98.489165155831813</v>
      </c>
      <c r="AB28" s="62">
        <f t="shared" si="67"/>
        <v>98.848361006947684</v>
      </c>
      <c r="AC28" s="63">
        <f t="shared" si="67"/>
        <v>98.245614035087726</v>
      </c>
      <c r="AD28" s="62">
        <f t="shared" si="67"/>
        <v>99.006244577471236</v>
      </c>
      <c r="AE28" s="224">
        <f t="shared" si="67"/>
        <v>98.925304878048792</v>
      </c>
      <c r="AF28" s="62">
        <f>(100/AF14)*AF26</f>
        <v>99.092918444824903</v>
      </c>
      <c r="AG28" s="63">
        <f>(100/AG14)*AG26</f>
        <v>89.475275971571151</v>
      </c>
      <c r="AH28" s="64">
        <f>(100/AH14)*AH26</f>
        <v>90.238044104441826</v>
      </c>
      <c r="AI28" s="63" t="e">
        <f>(100/#REF!)*AI26</f>
        <v>#REF!</v>
      </c>
      <c r="AJ28" s="63">
        <f t="shared" ref="AJ28:AR28" si="68">(100/AJ14)*AJ26</f>
        <v>137.67746052001914</v>
      </c>
      <c r="AK28" s="62">
        <f t="shared" si="68"/>
        <v>137.32603452876731</v>
      </c>
      <c r="AL28" s="62">
        <f t="shared" si="68"/>
        <v>136.32807601280842</v>
      </c>
      <c r="AM28" s="63">
        <f t="shared" si="68"/>
        <v>117.2432729269632</v>
      </c>
      <c r="AN28" s="62">
        <f t="shared" si="68"/>
        <v>118.20707586452961</v>
      </c>
      <c r="AO28" s="62">
        <f t="shared" si="68"/>
        <v>116.17900390117778</v>
      </c>
      <c r="AP28" s="63">
        <f t="shared" si="68"/>
        <v>189.02846534653463</v>
      </c>
      <c r="AQ28" s="62">
        <f t="shared" si="68"/>
        <v>184.26892924193695</v>
      </c>
      <c r="AR28" s="62">
        <f t="shared" si="68"/>
        <v>182.34869245955088</v>
      </c>
      <c r="AS28" s="63" t="e">
        <f>(100/#REF!)*AS26</f>
        <v>#REF!</v>
      </c>
      <c r="AT28" s="63">
        <f t="shared" ref="AT28:AY28" si="69">(100/AT14)*AT26</f>
        <v>131.61094761624483</v>
      </c>
      <c r="AU28" s="62">
        <f t="shared" si="69"/>
        <v>131.56311101762103</v>
      </c>
      <c r="AV28" s="62">
        <f t="shared" si="69"/>
        <v>129.96801178577144</v>
      </c>
      <c r="AW28" s="63">
        <f t="shared" si="69"/>
        <v>129.96807661612132</v>
      </c>
      <c r="AX28" s="62">
        <f t="shared" si="69"/>
        <v>130.1080768852064</v>
      </c>
      <c r="AY28" s="64">
        <f t="shared" si="69"/>
        <v>129.65387986593103</v>
      </c>
      <c r="AZ28" s="123"/>
      <c r="BA28" s="63" t="e">
        <f>(100/#REF!)*BA26</f>
        <v>#REF!</v>
      </c>
      <c r="BB28" s="62" t="e">
        <f>(100/#REF!)*BB26</f>
        <v>#REF!</v>
      </c>
      <c r="BC28" s="64" t="e">
        <f>(100/#REF!)*BC26</f>
        <v>#REF!</v>
      </c>
      <c r="BD28" s="63" t="e">
        <f>(100/#REF!)*BD26</f>
        <v>#REF!</v>
      </c>
      <c r="BE28" s="62" t="e">
        <f>(100/#REF!)*BE26</f>
        <v>#REF!</v>
      </c>
      <c r="BF28" s="64" t="e">
        <f>(100/#REF!)*BF26</f>
        <v>#REF!</v>
      </c>
      <c r="BG28"/>
      <c r="BH28" s="63">
        <f>(100/BH14)*BH26</f>
        <v>133.32666447231784</v>
      </c>
      <c r="BI28" s="62">
        <f t="shared" ref="BI28:BP28" si="70">(100/BI14)*BI26</f>
        <v>117.17596287620673</v>
      </c>
      <c r="BJ28" s="62">
        <f t="shared" si="70"/>
        <v>142.57236095346198</v>
      </c>
      <c r="BK28" s="62">
        <f t="shared" si="70"/>
        <v>93.001812927976488</v>
      </c>
      <c r="BL28" s="62">
        <f t="shared" si="70"/>
        <v>111.84214162048904</v>
      </c>
      <c r="BM28" s="63">
        <f t="shared" si="70"/>
        <v>84.348806480403667</v>
      </c>
      <c r="BN28" s="62">
        <f t="shared" si="70"/>
        <v>114.19276037483901</v>
      </c>
      <c r="BO28" s="62">
        <f t="shared" si="70"/>
        <v>118.16578483245149</v>
      </c>
      <c r="BP28" s="64">
        <f t="shared" si="70"/>
        <v>134.58463873769898</v>
      </c>
      <c r="BQ28" s="123"/>
      <c r="BR28" s="63">
        <f>(100/BR14)*BR26</f>
        <v>62.381693836934453</v>
      </c>
      <c r="BS28" s="62">
        <f t="shared" ref="BS28:BV28" si="71">(100/BS14)*BS26</f>
        <v>65.952839851024208</v>
      </c>
      <c r="BT28" s="62">
        <f t="shared" si="71"/>
        <v>14.814814814814815</v>
      </c>
      <c r="BU28" s="62">
        <f t="shared" si="71"/>
        <v>111.11110833333333</v>
      </c>
      <c r="BV28" s="62">
        <f t="shared" si="71"/>
        <v>111.11166666666666</v>
      </c>
      <c r="BW28" s="13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</row>
    <row r="29" spans="1:188" s="22" customFormat="1" ht="16.350000000000001" customHeight="1">
      <c r="A29" s="124"/>
      <c r="B29" s="65"/>
      <c r="C29" s="65"/>
      <c r="D29" s="24"/>
      <c r="E29" s="65"/>
      <c r="F29" s="65"/>
      <c r="G29" s="65"/>
      <c r="H29" s="67"/>
      <c r="I29" s="65"/>
      <c r="J29" s="67"/>
      <c r="K29" s="28"/>
      <c r="L29" s="26"/>
      <c r="M29" s="28"/>
      <c r="N29" s="32"/>
      <c r="O29" s="30"/>
      <c r="P29" s="28"/>
      <c r="Q29" s="32"/>
      <c r="R29" s="32"/>
      <c r="S29" s="32"/>
      <c r="T29" s="32"/>
      <c r="U29" s="32"/>
      <c r="V29" s="32"/>
      <c r="W29" s="30"/>
      <c r="X29" s="28"/>
      <c r="Y29" s="30"/>
      <c r="AA29" s="30"/>
      <c r="AB29" s="28"/>
      <c r="AC29" s="30"/>
      <c r="AE29" s="275"/>
      <c r="AF29" s="28"/>
      <c r="AG29" s="30"/>
      <c r="AH29" s="28"/>
      <c r="AI29" s="30"/>
      <c r="AJ29" s="30"/>
      <c r="AL29" s="28"/>
      <c r="AM29" s="30"/>
      <c r="AO29" s="28"/>
      <c r="AP29" s="30"/>
      <c r="AR29" s="28"/>
      <c r="AS29" s="30"/>
      <c r="AT29" s="30"/>
      <c r="AV29" s="28"/>
      <c r="AW29" s="30"/>
      <c r="AY29" s="28"/>
      <c r="AZ29" s="124"/>
      <c r="BA29" s="30"/>
      <c r="BC29" s="28"/>
      <c r="BD29" s="30"/>
      <c r="BF29" s="28"/>
      <c r="BG29"/>
      <c r="BH29" s="30"/>
      <c r="BL29" s="28"/>
      <c r="BM29" s="30"/>
      <c r="BP29" s="28"/>
      <c r="BQ29" s="124"/>
      <c r="BR29" s="30"/>
      <c r="BV29" s="28"/>
      <c r="BW29" s="10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</row>
    <row r="30" spans="1:188" s="10" customFormat="1" ht="16.350000000000001" customHeight="1">
      <c r="A30" s="9" t="s">
        <v>301</v>
      </c>
      <c r="B30" s="224" t="s">
        <v>302</v>
      </c>
      <c r="C30" s="11">
        <v>42559</v>
      </c>
      <c r="D30" s="12" t="s">
        <v>26</v>
      </c>
      <c r="E30" s="10" t="s">
        <v>303</v>
      </c>
      <c r="F30" s="11" t="s">
        <v>271</v>
      </c>
      <c r="G30" s="336">
        <v>0.60763888888888895</v>
      </c>
      <c r="H30" s="62">
        <v>19.399999999999999</v>
      </c>
      <c r="I30" s="64">
        <f>H39-H30</f>
        <v>-0.32999999999999829</v>
      </c>
      <c r="J30" s="63">
        <v>21.34</v>
      </c>
      <c r="K30" s="14">
        <f t="shared" ref="K30:K38" si="72">J30-H30</f>
        <v>1.9400000000000013</v>
      </c>
      <c r="L30" s="13">
        <v>75.7</v>
      </c>
      <c r="M30" s="86">
        <v>266.64758555399999</v>
      </c>
      <c r="N30" s="15">
        <v>8.5</v>
      </c>
      <c r="O30" s="13">
        <v>14.273999999999999</v>
      </c>
      <c r="P30" s="14">
        <v>16.707000000000001</v>
      </c>
      <c r="Q30" s="15">
        <v>89.75</v>
      </c>
      <c r="R30" s="15">
        <v>13.99</v>
      </c>
      <c r="S30" s="15">
        <v>42.48</v>
      </c>
      <c r="T30" s="15">
        <v>33.840000000000003</v>
      </c>
      <c r="U30" s="15">
        <v>1631.8167733471901</v>
      </c>
      <c r="V30" s="15"/>
      <c r="W30" s="13">
        <v>1.1000000000000001</v>
      </c>
      <c r="X30" s="14">
        <f t="shared" ref="X30:X35" si="73">(100/J30)*(W30/1000)</f>
        <v>5.1546391752577327E-3</v>
      </c>
      <c r="Y30" s="13">
        <v>1.0427</v>
      </c>
      <c r="Z30" s="14">
        <f t="shared" ref="Z30:Z35" si="74">(100/J30)*Y30</f>
        <v>4.8861293345829431</v>
      </c>
      <c r="AA30" s="13">
        <v>0.1376</v>
      </c>
      <c r="AB30" s="14">
        <f t="shared" ref="AB30:AB35" si="75">(100/J30)*AA30</f>
        <v>0.64479850046860365</v>
      </c>
      <c r="AC30" s="13">
        <v>3.1</v>
      </c>
      <c r="AD30" s="10">
        <f t="shared" ref="AD30:AD35" si="76">(100/J30)*(AC30/1000)</f>
        <v>1.4526710402999063E-2</v>
      </c>
      <c r="AE30" s="230">
        <v>4.5100000000000001E-2</v>
      </c>
      <c r="AF30" s="14">
        <f t="shared" ref="AF30:AF35" si="77">(100/J30)*AE30</f>
        <v>0.21134020618556704</v>
      </c>
      <c r="AG30" s="13">
        <v>8.0699999999999994E-2</v>
      </c>
      <c r="AH30" s="14">
        <f t="shared" ref="AH30:AH35" si="78">(100/J30)*AG30</f>
        <v>0.37816307403936272</v>
      </c>
      <c r="AI30" s="13"/>
      <c r="AJ30" s="13">
        <v>9.01E-2</v>
      </c>
      <c r="AK30" s="10">
        <f>(100/J30)*AJ30</f>
        <v>0.42221180880974701</v>
      </c>
      <c r="AL30" s="14">
        <f>(AJ30*1000)/M30</f>
        <v>0.33789917809607711</v>
      </c>
      <c r="AM30" s="13">
        <v>0.1226</v>
      </c>
      <c r="AN30" s="10">
        <f>(100/J30)*AM30</f>
        <v>0.57450796626054368</v>
      </c>
      <c r="AO30" s="14">
        <f>(AM30*1000)/M30</f>
        <v>0.45978289938489514</v>
      </c>
      <c r="AP30" s="13">
        <v>2.8799999999999999E-2</v>
      </c>
      <c r="AQ30" s="10">
        <f>(100/J30)*AP30</f>
        <v>0.13495782567947517</v>
      </c>
      <c r="AR30" s="14">
        <f>(AP30*1000)/M30</f>
        <v>0.10800772840362953</v>
      </c>
      <c r="AS30" s="13"/>
      <c r="AT30" s="13">
        <f>AJ30+AM30+AP30</f>
        <v>0.24149999999999999</v>
      </c>
      <c r="AU30" s="10">
        <f>(100/J30)*AT30</f>
        <v>1.1316776007497658</v>
      </c>
      <c r="AV30" s="14">
        <f>(AT30*1000)/M30</f>
        <v>0.9056898058846018</v>
      </c>
      <c r="AW30" s="13">
        <v>0.1134</v>
      </c>
      <c r="AX30" s="10">
        <f>(100/J30)*AW30</f>
        <v>0.53139643861293351</v>
      </c>
      <c r="AY30" s="14">
        <f>(AW30*1000)/M30</f>
        <v>0.42528043058929133</v>
      </c>
      <c r="AZ30" s="123"/>
      <c r="BA30" s="13"/>
      <c r="BC30" s="14"/>
      <c r="BD30" s="13"/>
      <c r="BF30" s="14"/>
      <c r="BG30"/>
      <c r="BH30" s="13">
        <v>35.5</v>
      </c>
      <c r="BI30" s="10">
        <v>20.25</v>
      </c>
      <c r="BJ30" s="10">
        <v>14</v>
      </c>
      <c r="BK30" s="10">
        <v>23.75</v>
      </c>
      <c r="BL30" s="14">
        <v>13</v>
      </c>
      <c r="BM30">
        <v>0.26</v>
      </c>
      <c r="BN30" s="10">
        <v>22.987167899999999</v>
      </c>
      <c r="BO30">
        <v>61</v>
      </c>
      <c r="BP30">
        <v>3.75</v>
      </c>
      <c r="BQ30" s="123" t="s">
        <v>301</v>
      </c>
      <c r="BR30" s="13">
        <v>1.75</v>
      </c>
      <c r="BS30" s="10">
        <v>0.75</v>
      </c>
      <c r="BT30" s="10">
        <v>0.5</v>
      </c>
      <c r="BU30" s="10">
        <v>1</v>
      </c>
      <c r="BV30" s="14">
        <v>1.25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</row>
    <row r="31" spans="1:188" s="10" customFormat="1" ht="16.350000000000001" customHeight="1">
      <c r="A31" s="9" t="s">
        <v>304</v>
      </c>
      <c r="B31" s="224" t="s">
        <v>305</v>
      </c>
      <c r="C31" s="11"/>
      <c r="D31" s="12" t="s">
        <v>26</v>
      </c>
      <c r="E31" s="10" t="s">
        <v>303</v>
      </c>
      <c r="F31" s="11">
        <v>42411</v>
      </c>
      <c r="G31" s="336">
        <v>0.56666666666666665</v>
      </c>
      <c r="H31" s="62">
        <v>16.420000000000002</v>
      </c>
      <c r="I31" s="64">
        <f>H39-H31</f>
        <v>2.6499999999999986</v>
      </c>
      <c r="J31" s="63">
        <v>21.58</v>
      </c>
      <c r="K31" s="14">
        <f t="shared" si="72"/>
        <v>5.1599999999999966</v>
      </c>
      <c r="L31" s="13">
        <v>77.939999999999699</v>
      </c>
      <c r="M31" s="86">
        <v>284.82630098748143</v>
      </c>
      <c r="N31" s="15">
        <v>8.9</v>
      </c>
      <c r="O31" s="13">
        <v>14.124000000000001</v>
      </c>
      <c r="P31" s="14">
        <v>16.795999999999999</v>
      </c>
      <c r="Q31" s="15">
        <v>104.3</v>
      </c>
      <c r="R31" s="15">
        <v>10.95</v>
      </c>
      <c r="S31" s="15">
        <v>52.43</v>
      </c>
      <c r="T31" s="15">
        <v>41.35</v>
      </c>
      <c r="U31" s="15">
        <v>1218.45495502572</v>
      </c>
      <c r="V31" s="15"/>
      <c r="W31" s="13">
        <v>1.1000000000000001</v>
      </c>
      <c r="X31" s="14">
        <f t="shared" si="73"/>
        <v>5.0973123262279896E-3</v>
      </c>
      <c r="Y31" s="13">
        <v>1.2362</v>
      </c>
      <c r="Z31" s="14">
        <f t="shared" si="74"/>
        <v>5.7284522706209451</v>
      </c>
      <c r="AA31" s="13">
        <v>0.128</v>
      </c>
      <c r="AB31" s="14">
        <f t="shared" si="75"/>
        <v>0.59314179796107513</v>
      </c>
      <c r="AC31" s="13">
        <v>2.4</v>
      </c>
      <c r="AD31" s="10">
        <f t="shared" si="76"/>
        <v>1.1121408711770158E-2</v>
      </c>
      <c r="AE31" s="230">
        <v>3.9699999999999999E-2</v>
      </c>
      <c r="AF31" s="14">
        <f t="shared" si="77"/>
        <v>0.18396663577386468</v>
      </c>
      <c r="AG31" s="13">
        <v>8.0699999999999994E-2</v>
      </c>
      <c r="AH31" s="14">
        <f t="shared" si="78"/>
        <v>0.37395736793327156</v>
      </c>
      <c r="AI31" s="13"/>
      <c r="AJ31" s="13">
        <v>9.8199999999999996E-2</v>
      </c>
      <c r="AK31" s="10">
        <f>(100/J31)*AJ31</f>
        <v>0.45505097312326226</v>
      </c>
      <c r="AL31" s="14">
        <f t="shared" ref="AL31:AL35" si="79">(AJ31*1000)/M31</f>
        <v>0.34477153148969919</v>
      </c>
      <c r="AM31" s="13">
        <v>8.9700000000000002E-2</v>
      </c>
      <c r="AN31" s="10">
        <f>(100/J31)*AM31</f>
        <v>0.41566265060240964</v>
      </c>
      <c r="AO31" s="14">
        <f>(AM31*1000)/M31</f>
        <v>0.31492878181900225</v>
      </c>
      <c r="AP31" s="13">
        <v>1.83E-2</v>
      </c>
      <c r="AQ31" s="10">
        <f>(100/J31)*AP31</f>
        <v>8.4800741427247459E-2</v>
      </c>
      <c r="AR31" s="14">
        <f>(AP31*1000)/M31</f>
        <v>6.4249684585147612E-2</v>
      </c>
      <c r="AS31" s="13"/>
      <c r="AT31" s="13">
        <f>AJ31+AM31+AP31</f>
        <v>0.20620000000000002</v>
      </c>
      <c r="AU31" s="10">
        <f>(100/J31)*AT31</f>
        <v>0.95551436515291954</v>
      </c>
      <c r="AV31" s="14">
        <f t="shared" ref="AV31:AV35" si="80">(AT31*1000)/M31</f>
        <v>0.72394999789384906</v>
      </c>
      <c r="AW31" s="13">
        <v>0.1047</v>
      </c>
      <c r="AX31" s="10">
        <f>(100/J31)*AW31</f>
        <v>0.48517145505097314</v>
      </c>
      <c r="AY31" s="14">
        <f t="shared" ref="AY31:AY35" si="81">(AW31*1000)/M31</f>
        <v>0.36759245770846749</v>
      </c>
      <c r="AZ31" s="123"/>
      <c r="BA31" s="13"/>
      <c r="BC31" s="14"/>
      <c r="BD31" s="13"/>
      <c r="BF31" s="14"/>
      <c r="BG31"/>
      <c r="BH31" s="13">
        <v>24.63</v>
      </c>
      <c r="BI31" s="10">
        <v>23.25</v>
      </c>
      <c r="BJ31" s="10">
        <v>11.8</v>
      </c>
      <c r="BK31" s="10">
        <v>8.33</v>
      </c>
      <c r="BL31" s="14">
        <v>6.67</v>
      </c>
      <c r="BM31">
        <v>0.44</v>
      </c>
      <c r="BN31" s="10">
        <v>16.822680500000001</v>
      </c>
      <c r="BO31">
        <v>34</v>
      </c>
      <c r="BP31">
        <v>4.1538459999999997</v>
      </c>
      <c r="BQ31" s="123" t="s">
        <v>304</v>
      </c>
      <c r="BR31" s="13">
        <v>1</v>
      </c>
      <c r="BS31" s="10">
        <v>0</v>
      </c>
      <c r="BT31" s="10">
        <v>1.6</v>
      </c>
      <c r="BU31" s="10">
        <v>0</v>
      </c>
      <c r="BV31" s="14">
        <v>0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</row>
    <row r="32" spans="1:188" s="10" customFormat="1" ht="16.350000000000001" customHeight="1">
      <c r="A32" s="133" t="s">
        <v>306</v>
      </c>
      <c r="B32" s="224" t="s">
        <v>307</v>
      </c>
      <c r="C32" s="11" t="s">
        <v>308</v>
      </c>
      <c r="D32" s="12" t="s">
        <v>26</v>
      </c>
      <c r="E32" s="10" t="s">
        <v>303</v>
      </c>
      <c r="F32" s="11" t="s">
        <v>309</v>
      </c>
      <c r="G32" s="336">
        <v>0.52569444444444446</v>
      </c>
      <c r="H32" s="62">
        <v>20.27</v>
      </c>
      <c r="I32" s="64">
        <f>H39-H32</f>
        <v>-1.1999999999999993</v>
      </c>
      <c r="J32" s="63">
        <v>22.35</v>
      </c>
      <c r="K32" s="14">
        <f t="shared" si="72"/>
        <v>2.0800000000000018</v>
      </c>
      <c r="L32" s="13">
        <v>69.06</v>
      </c>
      <c r="M32" s="86">
        <v>244.036</v>
      </c>
      <c r="N32" s="15">
        <v>9.1</v>
      </c>
      <c r="O32" s="13">
        <v>14.688000000000001</v>
      </c>
      <c r="P32" s="14">
        <v>17.460999999999999</v>
      </c>
      <c r="Q32" s="15">
        <v>87.55</v>
      </c>
      <c r="R32" s="15">
        <v>12.6</v>
      </c>
      <c r="S32" s="15">
        <v>41.32</v>
      </c>
      <c r="T32" s="15">
        <v>34.18</v>
      </c>
      <c r="U32" s="15">
        <v>1947.8494493783601</v>
      </c>
      <c r="V32" s="15"/>
      <c r="W32" s="13">
        <v>1.1000000000000001</v>
      </c>
      <c r="X32" s="14">
        <f t="shared" si="73"/>
        <v>4.9217002237136468E-3</v>
      </c>
      <c r="Y32" s="13">
        <v>1.1878</v>
      </c>
      <c r="Z32" s="14">
        <f t="shared" si="74"/>
        <v>5.3145413870246081</v>
      </c>
      <c r="AA32" s="13">
        <v>0.1545</v>
      </c>
      <c r="AB32" s="14">
        <f t="shared" si="75"/>
        <v>0.6912751677852349</v>
      </c>
      <c r="AC32" s="13">
        <v>2.1</v>
      </c>
      <c r="AD32" s="10">
        <f t="shared" si="76"/>
        <v>9.3959731543624171E-3</v>
      </c>
      <c r="AE32" s="230">
        <v>5.5100000000000003E-2</v>
      </c>
      <c r="AF32" s="14">
        <f t="shared" si="77"/>
        <v>0.24653243847874723</v>
      </c>
      <c r="AG32" s="13">
        <v>8.1199999999999994E-2</v>
      </c>
      <c r="AH32" s="14">
        <f t="shared" si="78"/>
        <v>0.36331096196868007</v>
      </c>
      <c r="AI32" s="13"/>
      <c r="AJ32" s="13">
        <v>9.8400000000000001E-2</v>
      </c>
      <c r="AK32" s="10">
        <f>(100/J32)*AJ32</f>
        <v>0.44026845637583895</v>
      </c>
      <c r="AL32" s="14">
        <f t="shared" si="79"/>
        <v>0.40321919716763105</v>
      </c>
      <c r="AM32" s="13">
        <v>0.11020000000000001</v>
      </c>
      <c r="AN32" s="10">
        <f>(100/J32)*AM32</f>
        <v>0.49306487695749446</v>
      </c>
      <c r="AO32" s="14">
        <f>(AM32*1000)/M32</f>
        <v>0.45157271877919652</v>
      </c>
      <c r="AP32" s="13">
        <v>1.7999999999999999E-2</v>
      </c>
      <c r="AQ32" s="10">
        <f>(100/J32)*AP32</f>
        <v>8.0536912751677847E-2</v>
      </c>
      <c r="AR32" s="14">
        <f>(AP32*1000)/M32</f>
        <v>7.3759609237981277E-2</v>
      </c>
      <c r="AS32" s="13"/>
      <c r="AT32" s="13">
        <f>AJ32+AM32+AP32</f>
        <v>0.2266</v>
      </c>
      <c r="AU32" s="10">
        <f>(100/J32)*AT32</f>
        <v>1.0138702460850111</v>
      </c>
      <c r="AV32" s="14">
        <f t="shared" si="80"/>
        <v>0.92855152518480877</v>
      </c>
      <c r="AW32" s="13">
        <v>7.7899999999999997E-2</v>
      </c>
      <c r="AX32" s="10">
        <f>(100/J32)*AW32</f>
        <v>0.34854586129753912</v>
      </c>
      <c r="AY32" s="14">
        <f t="shared" si="81"/>
        <v>0.31921519775770785</v>
      </c>
      <c r="AZ32" s="123"/>
      <c r="BA32" s="13"/>
      <c r="BC32" s="14"/>
      <c r="BD32" s="13"/>
      <c r="BF32" s="14"/>
      <c r="BG32"/>
      <c r="BH32" s="13">
        <v>30.14</v>
      </c>
      <c r="BI32" s="10">
        <v>18.670000000000002</v>
      </c>
      <c r="BJ32" s="10">
        <v>8.75</v>
      </c>
      <c r="BK32" s="10">
        <v>27.33</v>
      </c>
      <c r="BL32" s="14">
        <v>12.67</v>
      </c>
      <c r="BM32">
        <v>7.0000000000000007E-2</v>
      </c>
      <c r="BN32" s="10">
        <v>20.307557259999999</v>
      </c>
      <c r="BO32">
        <v>52</v>
      </c>
      <c r="BP32">
        <v>2.3783780000000001</v>
      </c>
      <c r="BQ32" s="134" t="s">
        <v>306</v>
      </c>
      <c r="BR32" s="13">
        <v>1.428571</v>
      </c>
      <c r="BS32" s="10">
        <v>0.33</v>
      </c>
      <c r="BT32" s="10">
        <v>0.75</v>
      </c>
      <c r="BU32" s="10">
        <v>2</v>
      </c>
      <c r="BV32" s="14">
        <v>0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</row>
    <row r="33" spans="1:188" s="10" customFormat="1" ht="16.350000000000001" customHeight="1">
      <c r="A33" s="123" t="s">
        <v>310</v>
      </c>
      <c r="B33" s="12" t="s">
        <v>311</v>
      </c>
      <c r="C33" s="305">
        <v>42897</v>
      </c>
      <c r="D33" s="12" t="s">
        <v>26</v>
      </c>
      <c r="E33" s="10" t="s">
        <v>303</v>
      </c>
      <c r="F33" s="11" t="s">
        <v>291</v>
      </c>
      <c r="G33" s="336">
        <v>0.51388888888888895</v>
      </c>
      <c r="H33" s="12">
        <v>21.13</v>
      </c>
      <c r="I33" s="64">
        <f>H39-H33</f>
        <v>-2.0599999999999987</v>
      </c>
      <c r="J33" s="63">
        <v>23.62</v>
      </c>
      <c r="K33" s="14">
        <f t="shared" si="72"/>
        <v>2.490000000000002</v>
      </c>
      <c r="L33" s="13">
        <v>93.420000000000059</v>
      </c>
      <c r="M33" s="86">
        <v>331.93716478440024</v>
      </c>
      <c r="N33" s="15">
        <v>8.9</v>
      </c>
      <c r="O33" s="13">
        <v>14.648999999999999</v>
      </c>
      <c r="P33" s="14">
        <v>17.001000000000001</v>
      </c>
      <c r="Q33" s="15">
        <v>84.31</v>
      </c>
      <c r="R33" s="15">
        <v>9.9600000000000009</v>
      </c>
      <c r="S33" s="15">
        <v>41.83</v>
      </c>
      <c r="T33" s="15">
        <v>33.17</v>
      </c>
      <c r="U33" s="15">
        <v>5821.0426325197895</v>
      </c>
      <c r="V33" s="15"/>
      <c r="W33" s="13">
        <v>1.3</v>
      </c>
      <c r="X33" s="14">
        <f t="shared" si="73"/>
        <v>5.5038103302286192E-3</v>
      </c>
      <c r="Y33" s="13">
        <v>1.27</v>
      </c>
      <c r="Z33" s="14">
        <f t="shared" si="74"/>
        <v>5.3767993226079591</v>
      </c>
      <c r="AA33" s="13">
        <v>0.1318</v>
      </c>
      <c r="AB33" s="14">
        <f t="shared" si="75"/>
        <v>0.55800169348010153</v>
      </c>
      <c r="AC33" s="13">
        <v>2.2999999999999998</v>
      </c>
      <c r="AD33" s="10">
        <f t="shared" si="76"/>
        <v>9.7375105842506336E-3</v>
      </c>
      <c r="AE33" s="230">
        <v>5.6099999999999997E-2</v>
      </c>
      <c r="AF33" s="14">
        <f t="shared" si="77"/>
        <v>0.23751058425063501</v>
      </c>
      <c r="AG33" s="13">
        <v>7.8700000000000006E-2</v>
      </c>
      <c r="AH33" s="14">
        <f t="shared" si="78"/>
        <v>0.3331922099915326</v>
      </c>
      <c r="AI33" s="13"/>
      <c r="AJ33" s="13">
        <v>0.15890000000000001</v>
      </c>
      <c r="AK33" s="383">
        <f>(100/J33)*AJ33</f>
        <v>0.67273497036409824</v>
      </c>
      <c r="AL33" s="14">
        <f t="shared" si="79"/>
        <v>0.47870505884211156</v>
      </c>
      <c r="AM33" s="13">
        <v>0.155</v>
      </c>
      <c r="AN33" s="10">
        <f>(100/J33)*AM33</f>
        <v>0.65622353937341227</v>
      </c>
      <c r="AO33" s="14">
        <f>(AM33*1000)/M33</f>
        <v>0.46695584720281491</v>
      </c>
      <c r="AP33" s="13">
        <v>5.4399999999999997E-2</v>
      </c>
      <c r="AQ33" s="383">
        <f>(100/J33)*AP33</f>
        <v>0.23031329381879759</v>
      </c>
      <c r="AR33" s="14">
        <f>(AP33*1000)/M33</f>
        <v>0.16388643927634278</v>
      </c>
      <c r="AS33" s="13"/>
      <c r="AT33" s="13">
        <f>AJ33+AM33+AP33</f>
        <v>0.36830000000000002</v>
      </c>
      <c r="AU33" s="10">
        <f>(100/J33)*AT33</f>
        <v>1.559271803556308</v>
      </c>
      <c r="AV33" s="14">
        <f t="shared" si="80"/>
        <v>1.1095473453212694</v>
      </c>
      <c r="AW33" s="13">
        <v>9.7900000000000001E-2</v>
      </c>
      <c r="AX33" s="10">
        <f>(100/J33)*AW33</f>
        <v>0.41447925486875525</v>
      </c>
      <c r="AY33" s="14">
        <f t="shared" si="81"/>
        <v>0.29493533833003605</v>
      </c>
      <c r="AZ33" s="123"/>
      <c r="BA33" s="13"/>
      <c r="BC33" s="14"/>
      <c r="BD33" s="13"/>
      <c r="BF33" s="14"/>
      <c r="BG33"/>
      <c r="BH33" s="13">
        <v>29.2</v>
      </c>
      <c r="BI33" s="10">
        <v>16.333333333333332</v>
      </c>
      <c r="BJ33" s="10">
        <v>13.333333333333334</v>
      </c>
      <c r="BL33" s="14"/>
      <c r="BM33" s="13">
        <v>0.51563229118058784</v>
      </c>
      <c r="BN33" s="10">
        <v>11.5246</v>
      </c>
      <c r="BP33" s="14"/>
      <c r="BQ33" s="123"/>
      <c r="BR33" s="13"/>
      <c r="BV33" s="14"/>
      <c r="BW33" s="10" t="s">
        <v>725</v>
      </c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</row>
    <row r="34" spans="1:188" s="10" customFormat="1" ht="16.350000000000001" customHeight="1">
      <c r="A34" s="123" t="s">
        <v>312</v>
      </c>
      <c r="B34" s="12" t="s">
        <v>313</v>
      </c>
      <c r="C34" s="305">
        <v>43165</v>
      </c>
      <c r="D34" s="12" t="s">
        <v>26</v>
      </c>
      <c r="E34" s="10" t="s">
        <v>303</v>
      </c>
      <c r="F34" s="11" t="s">
        <v>723</v>
      </c>
      <c r="G34" s="164">
        <v>0.59375</v>
      </c>
      <c r="H34" s="63">
        <v>20.99</v>
      </c>
      <c r="I34" s="64">
        <f>H39-H34</f>
        <v>-1.9199999999999982</v>
      </c>
      <c r="J34" s="63">
        <v>22.66</v>
      </c>
      <c r="K34" s="14">
        <f t="shared" si="72"/>
        <v>1.6700000000000017</v>
      </c>
      <c r="L34" s="13">
        <v>76.61</v>
      </c>
      <c r="M34" s="86">
        <v>280.22606026461119</v>
      </c>
      <c r="N34" s="15">
        <v>9</v>
      </c>
      <c r="O34" s="13">
        <v>14.76</v>
      </c>
      <c r="P34" s="14">
        <v>17.524000000000001</v>
      </c>
      <c r="Q34" s="15">
        <v>95.45</v>
      </c>
      <c r="R34" s="15">
        <v>9.09</v>
      </c>
      <c r="S34" s="15">
        <v>48.1</v>
      </c>
      <c r="T34" s="15">
        <v>38.74</v>
      </c>
      <c r="U34" s="15">
        <v>6262.72587579847</v>
      </c>
      <c r="V34" s="15"/>
      <c r="W34" s="13">
        <v>1</v>
      </c>
      <c r="X34" s="14">
        <f t="shared" si="73"/>
        <v>4.4130626654898504E-3</v>
      </c>
      <c r="Y34" s="13">
        <v>1.117</v>
      </c>
      <c r="Z34" s="14">
        <f t="shared" si="74"/>
        <v>4.9293909973521624</v>
      </c>
      <c r="AA34" s="13">
        <v>0.1424</v>
      </c>
      <c r="AB34" s="14">
        <f t="shared" si="75"/>
        <v>0.62842012356575461</v>
      </c>
      <c r="AC34" s="13">
        <v>3.4</v>
      </c>
      <c r="AD34" s="10">
        <f t="shared" si="76"/>
        <v>1.5004413062665489E-2</v>
      </c>
      <c r="AE34" s="230">
        <v>7.5200000000000003E-2</v>
      </c>
      <c r="AF34" s="14">
        <f t="shared" si="77"/>
        <v>0.33186231244483672</v>
      </c>
      <c r="AG34" s="13">
        <v>7.3599999999999999E-2</v>
      </c>
      <c r="AH34" s="14">
        <f t="shared" si="78"/>
        <v>0.32480141218005293</v>
      </c>
      <c r="AI34" s="13"/>
      <c r="AJ34" s="13">
        <v>0.09</v>
      </c>
      <c r="AK34" s="10">
        <f t="shared" ref="AK34:AK35" si="82">(100/J34)*AJ34</f>
        <v>0.3971756398940865</v>
      </c>
      <c r="AL34" s="14">
        <f t="shared" si="79"/>
        <v>0.32116927281857732</v>
      </c>
      <c r="AM34" s="13">
        <v>8.6400000000000005E-2</v>
      </c>
      <c r="AN34" s="10">
        <f t="shared" ref="AN34:AN35" si="83">(100/J34)*AM34</f>
        <v>0.38128861429832306</v>
      </c>
      <c r="AO34" s="14">
        <f t="shared" ref="AO34:AO35" si="84">(AM34*1000)/M34</f>
        <v>0.30832250190583427</v>
      </c>
      <c r="AP34" s="13">
        <v>2.0400000000000001E-2</v>
      </c>
      <c r="AQ34" s="10">
        <f t="shared" ref="AQ34:AQ35" si="85">(100/J34)*AP34</f>
        <v>9.0026478375992938E-2</v>
      </c>
      <c r="AR34" s="14">
        <f t="shared" ref="AR34:AR35" si="86">(AP34*1000)/M34</f>
        <v>7.2798368505544206E-2</v>
      </c>
      <c r="AS34" s="13"/>
      <c r="AT34" s="13">
        <f t="shared" ref="AT34:AT35" si="87">AJ34+AM34+AP34</f>
        <v>0.1968</v>
      </c>
      <c r="AU34" s="10">
        <f t="shared" ref="AU34:AU35" si="88">(100/J34)*AT34</f>
        <v>0.86849073256840248</v>
      </c>
      <c r="AV34" s="14">
        <f t="shared" si="80"/>
        <v>0.70229014322995575</v>
      </c>
      <c r="AW34" s="13">
        <v>8.6199999999999999E-2</v>
      </c>
      <c r="AX34" s="10">
        <f t="shared" ref="AX34:AX35" si="89">(100/J34)*AW34</f>
        <v>0.38040600176522504</v>
      </c>
      <c r="AY34" s="14">
        <f t="shared" si="81"/>
        <v>0.30760879241068184</v>
      </c>
      <c r="AZ34" s="123"/>
      <c r="BA34" s="13"/>
      <c r="BC34" s="14"/>
      <c r="BD34" s="13"/>
      <c r="BF34" s="14"/>
      <c r="BG34"/>
      <c r="BH34" s="13">
        <v>30</v>
      </c>
      <c r="BI34" s="10">
        <v>17.399999999999999</v>
      </c>
      <c r="BJ34" s="10">
        <v>13.4</v>
      </c>
      <c r="BL34" s="14"/>
      <c r="BM34" s="13">
        <v>0.39709606618267768</v>
      </c>
      <c r="BN34" s="10">
        <v>9.8872999999999998</v>
      </c>
      <c r="BP34" s="14"/>
      <c r="BQ34" s="123"/>
      <c r="BR34" s="13"/>
      <c r="BV34" s="1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</row>
    <row r="35" spans="1:188" s="10" customFormat="1" ht="16.350000000000001" customHeight="1">
      <c r="A35" s="123" t="s">
        <v>314</v>
      </c>
      <c r="B35" s="62" t="s">
        <v>315</v>
      </c>
      <c r="C35" s="11">
        <v>43253</v>
      </c>
      <c r="D35" s="12" t="s">
        <v>26</v>
      </c>
      <c r="E35" s="10" t="s">
        <v>303</v>
      </c>
      <c r="F35" s="11" t="s">
        <v>724</v>
      </c>
      <c r="G35" s="164">
        <v>0.58333333333333337</v>
      </c>
      <c r="H35" s="63">
        <v>12.99</v>
      </c>
      <c r="I35" s="64">
        <f>H39-H35</f>
        <v>6.08</v>
      </c>
      <c r="J35" s="63">
        <v>22.06</v>
      </c>
      <c r="K35" s="14">
        <f t="shared" si="72"/>
        <v>9.0699999999999985</v>
      </c>
      <c r="L35" s="13">
        <v>70.880000000000024</v>
      </c>
      <c r="M35" s="86">
        <v>259.77769412078487</v>
      </c>
      <c r="N35" s="15">
        <v>8.6</v>
      </c>
      <c r="O35" s="13">
        <v>13.744999999999999</v>
      </c>
      <c r="P35" s="14">
        <v>16.111000000000001</v>
      </c>
      <c r="Q35" s="15">
        <v>109.73</v>
      </c>
      <c r="R35" s="15">
        <v>9.32</v>
      </c>
      <c r="S35" s="15">
        <v>49.2</v>
      </c>
      <c r="T35" s="15">
        <v>52.3</v>
      </c>
      <c r="U35" s="15">
        <v>3648.9815589999998</v>
      </c>
      <c r="V35" s="15"/>
      <c r="W35" s="13">
        <v>1</v>
      </c>
      <c r="X35" s="14">
        <f t="shared" si="73"/>
        <v>4.5330915684496827E-3</v>
      </c>
      <c r="Y35" s="13">
        <v>0.87019999999999997</v>
      </c>
      <c r="Z35" s="14">
        <f t="shared" si="74"/>
        <v>3.9446962828649137</v>
      </c>
      <c r="AA35" s="13">
        <v>0.14299999999999999</v>
      </c>
      <c r="AB35" s="14">
        <f t="shared" si="75"/>
        <v>0.64823209428830453</v>
      </c>
      <c r="AC35" s="13">
        <v>2.8</v>
      </c>
      <c r="AD35" s="10">
        <f t="shared" si="76"/>
        <v>1.2692656391659111E-2</v>
      </c>
      <c r="AE35" s="230">
        <v>5.5500000000000001E-2</v>
      </c>
      <c r="AF35" s="14">
        <f t="shared" si="77"/>
        <v>0.2515865820489574</v>
      </c>
      <c r="AG35" s="13">
        <v>5.1700000000000003E-2</v>
      </c>
      <c r="AH35" s="14">
        <f t="shared" si="78"/>
        <v>0.23436083408884861</v>
      </c>
      <c r="AI35" s="13"/>
      <c r="AJ35" s="13">
        <v>9.0300000000000005E-2</v>
      </c>
      <c r="AK35" s="10">
        <f t="shared" si="82"/>
        <v>0.40933816863100636</v>
      </c>
      <c r="AL35" s="14">
        <f t="shared" si="79"/>
        <v>0.34760490235937885</v>
      </c>
      <c r="AM35" s="13">
        <v>0.11119999999999999</v>
      </c>
      <c r="AN35" s="10">
        <f t="shared" si="83"/>
        <v>0.50407978241160467</v>
      </c>
      <c r="AO35" s="14">
        <f t="shared" si="84"/>
        <v>0.42805830722439558</v>
      </c>
      <c r="AP35" s="13">
        <v>3.04E-2</v>
      </c>
      <c r="AQ35" s="10">
        <f t="shared" si="85"/>
        <v>0.13780598368087035</v>
      </c>
      <c r="AR35" s="14">
        <f t="shared" si="86"/>
        <v>0.11702313434911533</v>
      </c>
      <c r="AS35" s="13"/>
      <c r="AT35" s="13">
        <f t="shared" si="87"/>
        <v>0.23190000000000002</v>
      </c>
      <c r="AU35" s="10">
        <f t="shared" si="88"/>
        <v>1.0512239347234815</v>
      </c>
      <c r="AV35" s="14">
        <f t="shared" si="80"/>
        <v>0.89268634393288993</v>
      </c>
      <c r="AW35" s="13">
        <v>0.1174</v>
      </c>
      <c r="AX35" s="10">
        <f t="shared" si="89"/>
        <v>0.53218495013599276</v>
      </c>
      <c r="AY35" s="14">
        <f t="shared" si="81"/>
        <v>0.45192486751928101</v>
      </c>
      <c r="AZ35" s="123"/>
      <c r="BA35" s="13"/>
      <c r="BC35" s="14"/>
      <c r="BD35" s="13"/>
      <c r="BF35" s="14"/>
      <c r="BG35"/>
      <c r="BH35" s="13">
        <v>19</v>
      </c>
      <c r="BI35" s="10">
        <v>16.666666666666668</v>
      </c>
      <c r="BJ35" s="10">
        <v>7.75</v>
      </c>
      <c r="BL35" s="14"/>
      <c r="BM35" s="13">
        <v>0.40105152471083066</v>
      </c>
      <c r="BN35" s="10">
        <v>19.420100000000001</v>
      </c>
      <c r="BP35" s="14"/>
      <c r="BQ35" s="123"/>
      <c r="BR35" s="13"/>
      <c r="BV35" s="14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</row>
    <row r="36" spans="1:188" s="10" customFormat="1" ht="16.350000000000001" customHeight="1">
      <c r="A36" s="123"/>
      <c r="C36" s="89"/>
      <c r="F36" s="89"/>
      <c r="G36" s="164"/>
      <c r="H36" s="63"/>
      <c r="I36" s="64"/>
      <c r="J36" s="63"/>
      <c r="K36" s="14"/>
      <c r="L36" s="13"/>
      <c r="M36" s="186"/>
      <c r="N36" s="15"/>
      <c r="O36" s="13"/>
      <c r="P36" s="14"/>
      <c r="Q36" s="15"/>
      <c r="R36" s="15"/>
      <c r="S36" s="15"/>
      <c r="T36" s="15"/>
      <c r="U36" s="386"/>
      <c r="V36" s="15"/>
      <c r="W36" s="13"/>
      <c r="X36" s="14"/>
      <c r="Y36" s="13"/>
      <c r="Z36" s="14"/>
      <c r="AA36" s="13"/>
      <c r="AB36" s="14"/>
      <c r="AC36" s="13"/>
      <c r="AE36" s="230"/>
      <c r="AF36" s="14"/>
      <c r="AG36" s="13"/>
      <c r="AH36" s="14"/>
      <c r="AI36" s="13"/>
      <c r="AJ36" s="13"/>
      <c r="AL36" s="14"/>
      <c r="AM36" s="13"/>
      <c r="AO36" s="14"/>
      <c r="AP36" s="13"/>
      <c r="AR36" s="14"/>
      <c r="AS36" s="13"/>
      <c r="AT36" s="13"/>
      <c r="AV36" s="14"/>
      <c r="AW36" s="13"/>
      <c r="AY36" s="14"/>
      <c r="AZ36" s="123"/>
      <c r="BA36" s="13"/>
      <c r="BC36" s="14"/>
      <c r="BD36" s="13"/>
      <c r="BF36" s="14"/>
      <c r="BG36"/>
      <c r="BH36" s="13"/>
      <c r="BI36" s="10">
        <v>14.4</v>
      </c>
      <c r="BJ36" s="10">
        <v>11</v>
      </c>
      <c r="BL36" s="14"/>
      <c r="BM36" s="13">
        <v>0.24881141045958796</v>
      </c>
      <c r="BP36" s="14"/>
      <c r="BQ36" s="123"/>
      <c r="BR36" s="13"/>
      <c r="BV36" s="14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</row>
    <row r="37" spans="1:188" s="10" customFormat="1" ht="16.350000000000001" customHeight="1">
      <c r="A37" s="313" t="s">
        <v>317</v>
      </c>
      <c r="B37" s="13" t="s">
        <v>318</v>
      </c>
      <c r="C37" s="142">
        <v>43704</v>
      </c>
      <c r="D37" s="10" t="s">
        <v>26</v>
      </c>
      <c r="E37" s="10" t="s">
        <v>303</v>
      </c>
      <c r="F37" s="89">
        <v>43742</v>
      </c>
      <c r="G37" s="164">
        <v>0.5625</v>
      </c>
      <c r="H37" s="63">
        <v>21.59</v>
      </c>
      <c r="I37" s="64">
        <f>H39-H37</f>
        <v>-2.5199999999999996</v>
      </c>
      <c r="J37" s="63">
        <v>23.81</v>
      </c>
      <c r="K37" s="14">
        <f t="shared" si="72"/>
        <v>2.2199999999999989</v>
      </c>
      <c r="L37" s="13">
        <v>81.510000000000076</v>
      </c>
      <c r="M37" s="86">
        <v>297.7606547087691</v>
      </c>
      <c r="N37" s="15">
        <v>8.9</v>
      </c>
      <c r="O37" s="13">
        <v>14.483000000000001</v>
      </c>
      <c r="P37" s="14">
        <v>17.332999999999998</v>
      </c>
      <c r="Q37" s="15">
        <v>85.92</v>
      </c>
      <c r="R37" s="15">
        <v>10.55</v>
      </c>
      <c r="S37" s="15">
        <v>42.32</v>
      </c>
      <c r="T37" s="15">
        <v>32.840000000000003</v>
      </c>
      <c r="U37" s="15">
        <v>1999.07784357178</v>
      </c>
      <c r="V37" s="15"/>
      <c r="W37" s="13">
        <v>1.9</v>
      </c>
      <c r="X37" s="14">
        <f>(100/J37)*(W37/1000)</f>
        <v>7.9798404031919366E-3</v>
      </c>
      <c r="Y37" s="13">
        <v>1.3841000000000001</v>
      </c>
      <c r="Z37" s="14">
        <f>(100/J37)*Y37</f>
        <v>5.8131037379252417</v>
      </c>
      <c r="AA37" s="13">
        <v>0.14799999999999999</v>
      </c>
      <c r="AB37" s="14">
        <f>(100/J37)*AA37</f>
        <v>0.62158756824863504</v>
      </c>
      <c r="AC37" s="13">
        <v>2.4</v>
      </c>
      <c r="AD37" s="10">
        <f>(100/J37)*(AC37/1000)</f>
        <v>1.0079798404031918E-2</v>
      </c>
      <c r="AE37" s="230">
        <v>6.1199999999999997E-2</v>
      </c>
      <c r="AF37" s="14">
        <f>(100/J37)*AE37</f>
        <v>0.25703485930281395</v>
      </c>
      <c r="AG37" s="13">
        <v>8.5599999999999996E-2</v>
      </c>
      <c r="AH37" s="14">
        <f>(100/J37)*AG37</f>
        <v>0.35951280974380512</v>
      </c>
      <c r="AI37" s="13"/>
      <c r="AJ37" s="13">
        <v>0.1132</v>
      </c>
      <c r="AK37" s="10">
        <f>(100/J37)*AJ37</f>
        <v>0.47543049139017218</v>
      </c>
      <c r="AL37" s="14">
        <f>(AJ37*1000)/M37</f>
        <v>0.38017111465152292</v>
      </c>
      <c r="AM37" s="13">
        <v>0.1474</v>
      </c>
      <c r="AN37" s="10">
        <f>(100/J37)*AM37</f>
        <v>0.61906761864762705</v>
      </c>
      <c r="AO37" s="14">
        <f>(AM37*1000)/M37</f>
        <v>0.49502846554447427</v>
      </c>
      <c r="AP37" s="13">
        <v>2.6800000000000001E-2</v>
      </c>
      <c r="AQ37" s="10">
        <f>(100/J37)*AP37</f>
        <v>0.11255774884502311</v>
      </c>
      <c r="AR37" s="14">
        <f>(AP37*1000)/M37</f>
        <v>9.0005175553540775E-2</v>
      </c>
      <c r="AS37" s="13"/>
      <c r="AT37" s="13">
        <f>AJ37+AM37+AP37</f>
        <v>0.28739999999999999</v>
      </c>
      <c r="AU37" s="10">
        <f>(100/J37)*AT37</f>
        <v>1.2070558588828222</v>
      </c>
      <c r="AV37" s="14">
        <f>(AT37*1000)/M37</f>
        <v>0.9652047557495379</v>
      </c>
      <c r="AW37" s="13">
        <v>0.10290000000000001</v>
      </c>
      <c r="AX37" s="10">
        <f>(100/J37)*AW37</f>
        <v>0.43217135657286854</v>
      </c>
      <c r="AY37" s="14">
        <f>(AW37*1000)/M37</f>
        <v>0.34557957330072187</v>
      </c>
      <c r="AZ37" s="123"/>
      <c r="BA37" s="13"/>
      <c r="BC37" s="14"/>
      <c r="BD37" s="13"/>
      <c r="BF37" s="14"/>
      <c r="BG37"/>
      <c r="BH37" s="13">
        <v>25.4</v>
      </c>
      <c r="BI37" s="10">
        <v>9</v>
      </c>
      <c r="BJ37" s="10">
        <v>4.5714285714285712</v>
      </c>
      <c r="BL37" s="14"/>
      <c r="BM37" s="13">
        <v>0.25085130533484679</v>
      </c>
      <c r="BP37" s="14"/>
      <c r="BQ37" s="123"/>
      <c r="BR37" s="13"/>
      <c r="BV37" s="14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</row>
    <row r="38" spans="1:188" s="10" customFormat="1" ht="16.350000000000001" customHeight="1">
      <c r="A38" s="313" t="s">
        <v>320</v>
      </c>
      <c r="B38" s="13" t="s">
        <v>321</v>
      </c>
      <c r="C38" s="142">
        <v>43703</v>
      </c>
      <c r="D38" s="10" t="s">
        <v>26</v>
      </c>
      <c r="E38" s="10" t="s">
        <v>303</v>
      </c>
      <c r="F38" s="89">
        <v>43742</v>
      </c>
      <c r="G38" s="164">
        <v>0.63888888888888895</v>
      </c>
      <c r="H38" s="63">
        <v>19.77</v>
      </c>
      <c r="I38" s="64">
        <f>H39-H38</f>
        <v>-0.69999999999999929</v>
      </c>
      <c r="J38" s="63">
        <v>23.51</v>
      </c>
      <c r="K38" s="14">
        <f t="shared" si="72"/>
        <v>3.740000000000002</v>
      </c>
      <c r="L38" s="13">
        <v>76.070000000000022</v>
      </c>
      <c r="M38" s="86">
        <v>278.36275797206173</v>
      </c>
      <c r="N38" s="15">
        <v>8.1999999999999993</v>
      </c>
      <c r="O38" s="13">
        <v>14.351000000000001</v>
      </c>
      <c r="P38" s="14">
        <v>16.515999999999998</v>
      </c>
      <c r="Q38" s="15">
        <v>90.46</v>
      </c>
      <c r="R38" s="15">
        <v>9.66</v>
      </c>
      <c r="S38" s="13">
        <v>47.63</v>
      </c>
      <c r="T38" s="202">
        <v>33.08</v>
      </c>
      <c r="U38" s="15">
        <v>2128.6949860459999</v>
      </c>
      <c r="V38" s="15"/>
      <c r="W38" s="13">
        <v>0.9</v>
      </c>
      <c r="X38" s="14">
        <f>(100/J38)*(W38/1000)</f>
        <v>3.8281582305401953E-3</v>
      </c>
      <c r="Y38" s="13">
        <v>1.1075999999999999</v>
      </c>
      <c r="Z38" s="14">
        <f>(100/J38)*Y38</f>
        <v>4.7111867290514668</v>
      </c>
      <c r="AA38" s="13">
        <v>0.1241</v>
      </c>
      <c r="AB38" s="14">
        <f>(100/J38)*AA38</f>
        <v>0.52786048490004256</v>
      </c>
      <c r="AC38" s="13">
        <v>2.5</v>
      </c>
      <c r="AD38" s="10">
        <f>(100/J38)*(AC38/1000)</f>
        <v>1.0633772862611655E-2</v>
      </c>
      <c r="AE38" s="230">
        <v>0.06</v>
      </c>
      <c r="AF38" s="14">
        <f>(100/J38)*AE38</f>
        <v>0.25521054870267967</v>
      </c>
      <c r="AG38" s="13">
        <v>8.5699999999999998E-2</v>
      </c>
      <c r="AH38" s="14">
        <f>(100/J38)*AG38</f>
        <v>0.36452573373032748</v>
      </c>
      <c r="AI38" s="13"/>
      <c r="AJ38" s="13">
        <v>6.2E-2</v>
      </c>
      <c r="AK38" s="383">
        <f>(100/J38)*AJ38</f>
        <v>0.26371756699276905</v>
      </c>
      <c r="AL38" s="14">
        <f>(AJ38*1000)/M38</f>
        <v>0.22273094451170339</v>
      </c>
      <c r="AM38" s="13">
        <v>0.1206</v>
      </c>
      <c r="AN38" s="10">
        <f>(100/J38)*AM38</f>
        <v>0.51297320289238624</v>
      </c>
      <c r="AO38" s="14">
        <f>(AM38*1000)/M38</f>
        <v>0.43324761142115203</v>
      </c>
      <c r="AP38" s="13">
        <v>1.6199999999999999E-2</v>
      </c>
      <c r="AQ38" s="10">
        <f>(100/J38)*AP38</f>
        <v>6.8906848149723518E-2</v>
      </c>
      <c r="AR38" s="14">
        <f>(AP38*1000)/M38</f>
        <v>5.8197440340154755E-2</v>
      </c>
      <c r="AS38" s="13"/>
      <c r="AT38" s="13">
        <f>AJ38+AM38+AP38</f>
        <v>0.19879999999999998</v>
      </c>
      <c r="AU38" s="10">
        <f>(100/J38)*AT38</f>
        <v>0.84559761803487865</v>
      </c>
      <c r="AV38" s="14">
        <f>(AT38*1000)/M38</f>
        <v>0.71417599627301009</v>
      </c>
      <c r="AW38" s="13">
        <v>8.4400000000000003E-2</v>
      </c>
      <c r="AX38" s="10">
        <f>(100/J38)*AW38</f>
        <v>0.35899617184176946</v>
      </c>
      <c r="AY38" s="14">
        <f>(AW38*1000)/M38</f>
        <v>0.30320147930302849</v>
      </c>
      <c r="AZ38" s="123"/>
      <c r="BA38" s="13"/>
      <c r="BC38" s="14"/>
      <c r="BD38" s="13"/>
      <c r="BF38" s="14"/>
      <c r="BG38"/>
      <c r="BH38" s="13">
        <v>12.333333333333334</v>
      </c>
      <c r="BL38" s="14"/>
      <c r="BM38" s="13"/>
      <c r="BP38" s="14"/>
      <c r="BQ38" s="123"/>
      <c r="BR38" s="13"/>
      <c r="BV38" s="14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</row>
    <row r="39" spans="1:188" s="10" customFormat="1" ht="16.350000000000001" customHeight="1">
      <c r="A39" s="121"/>
      <c r="B39" s="89"/>
      <c r="C39" s="55"/>
      <c r="F39" s="55" t="s">
        <v>281</v>
      </c>
      <c r="G39" s="19">
        <f t="shared" ref="G39:AY39" si="90">AVERAGE(G30:G38)</f>
        <v>0.57404513888888897</v>
      </c>
      <c r="H39" s="18">
        <f t="shared" si="90"/>
        <v>19.07</v>
      </c>
      <c r="I39" s="19">
        <f t="shared" si="90"/>
        <v>6.6613381477509392E-16</v>
      </c>
      <c r="J39" s="18">
        <f t="shared" si="90"/>
        <v>22.616250000000001</v>
      </c>
      <c r="K39" s="19">
        <f t="shared" si="90"/>
        <v>3.5462500000000006</v>
      </c>
      <c r="L39" s="18">
        <f t="shared" si="90"/>
        <v>77.648749999999993</v>
      </c>
      <c r="M39" s="19">
        <f t="shared" si="90"/>
        <v>280.44677729901355</v>
      </c>
      <c r="N39" s="59">
        <f t="shared" si="90"/>
        <v>8.7624999999999993</v>
      </c>
      <c r="O39" s="274">
        <f t="shared" si="90"/>
        <v>14.384250000000002</v>
      </c>
      <c r="P39" s="55">
        <f t="shared" si="90"/>
        <v>16.931125000000002</v>
      </c>
      <c r="Q39" s="274">
        <f>AVERAGE(Q30:Q38)</f>
        <v>93.433750000000003</v>
      </c>
      <c r="R39" s="59">
        <f t="shared" si="90"/>
        <v>10.764999999999999</v>
      </c>
      <c r="S39" s="59">
        <f t="shared" si="90"/>
        <v>45.66375</v>
      </c>
      <c r="T39" s="59">
        <f t="shared" si="90"/>
        <v>37.437500000000007</v>
      </c>
      <c r="U39" s="59">
        <f t="shared" si="90"/>
        <v>3082.330509335914</v>
      </c>
      <c r="V39" s="59" t="e">
        <f t="shared" si="90"/>
        <v>#DIV/0!</v>
      </c>
      <c r="W39" s="18">
        <f t="shared" si="90"/>
        <v>1.175</v>
      </c>
      <c r="X39" s="19">
        <f t="shared" si="90"/>
        <v>5.1789518653874572E-3</v>
      </c>
      <c r="Y39" s="18">
        <f t="shared" si="90"/>
        <v>1.15195</v>
      </c>
      <c r="Z39" s="19">
        <f t="shared" si="90"/>
        <v>5.0880375077537803</v>
      </c>
      <c r="AA39" s="18">
        <f t="shared" si="90"/>
        <v>0.13867500000000002</v>
      </c>
      <c r="AB39" s="19">
        <f t="shared" si="90"/>
        <v>0.61416467883721892</v>
      </c>
      <c r="AC39" s="18">
        <f t="shared" si="90"/>
        <v>2.6249999999999996</v>
      </c>
      <c r="AD39" s="19">
        <f t="shared" si="90"/>
        <v>1.1649030446793805E-2</v>
      </c>
      <c r="AE39" s="18">
        <f t="shared" si="90"/>
        <v>5.5987499999999996E-2</v>
      </c>
      <c r="AF39" s="19">
        <f t="shared" si="90"/>
        <v>0.2468805208985127</v>
      </c>
      <c r="AG39" s="18">
        <f t="shared" si="90"/>
        <v>7.7237500000000001E-2</v>
      </c>
      <c r="AH39" s="19">
        <f t="shared" si="90"/>
        <v>0.34147805045948509</v>
      </c>
      <c r="AI39" s="59" t="e">
        <f t="shared" si="90"/>
        <v>#DIV/0!</v>
      </c>
      <c r="AJ39" s="59">
        <f t="shared" si="90"/>
        <v>0.10013749999999999</v>
      </c>
      <c r="AK39" s="55">
        <f t="shared" si="90"/>
        <v>0.4419910094476226</v>
      </c>
      <c r="AL39" s="88">
        <f t="shared" si="90"/>
        <v>0.35453389999208768</v>
      </c>
      <c r="AM39" s="59">
        <f t="shared" si="90"/>
        <v>0.11788750000000001</v>
      </c>
      <c r="AN39" s="55">
        <f t="shared" si="90"/>
        <v>0.51960853143047514</v>
      </c>
      <c r="AO39" s="88">
        <f t="shared" si="90"/>
        <v>0.41973714166022064</v>
      </c>
      <c r="AP39" s="59">
        <f t="shared" si="90"/>
        <v>2.6662499999999999E-2</v>
      </c>
      <c r="AQ39" s="55">
        <f t="shared" si="90"/>
        <v>0.117488229091101</v>
      </c>
      <c r="AR39" s="88">
        <f t="shared" si="90"/>
        <v>9.3490947531432042E-2</v>
      </c>
      <c r="AS39" s="59" t="e">
        <f t="shared" si="90"/>
        <v>#DIV/0!</v>
      </c>
      <c r="AT39" s="59">
        <f t="shared" si="90"/>
        <v>0.2446875</v>
      </c>
      <c r="AU39" s="55">
        <f t="shared" si="90"/>
        <v>1.0790877699691988</v>
      </c>
      <c r="AV39" s="88">
        <f t="shared" si="90"/>
        <v>0.86776198918374026</v>
      </c>
      <c r="AW39" s="59">
        <f t="shared" si="90"/>
        <v>9.8100000000000007E-2</v>
      </c>
      <c r="AX39" s="55">
        <f t="shared" si="90"/>
        <v>0.43541893626825712</v>
      </c>
      <c r="AY39" s="88">
        <f t="shared" si="90"/>
        <v>0.35191726711490201</v>
      </c>
      <c r="AZ39" s="121"/>
      <c r="BA39" s="59" t="e">
        <f t="shared" ref="BA39:BF39" si="91">AVERAGE(BA30:BA38)</f>
        <v>#DIV/0!</v>
      </c>
      <c r="BB39" s="55" t="e">
        <f t="shared" si="91"/>
        <v>#DIV/0!</v>
      </c>
      <c r="BC39" s="88" t="e">
        <f t="shared" si="91"/>
        <v>#DIV/0!</v>
      </c>
      <c r="BD39" s="59" t="e">
        <f t="shared" si="91"/>
        <v>#DIV/0!</v>
      </c>
      <c r="BE39" s="55" t="e">
        <f t="shared" si="91"/>
        <v>#DIV/0!</v>
      </c>
      <c r="BF39" s="88" t="e">
        <f t="shared" si="91"/>
        <v>#DIV/0!</v>
      </c>
      <c r="BG39"/>
      <c r="BH39" s="59">
        <f t="shared" ref="BH39:BP39" si="92">AVERAGE(BH30:BH38)</f>
        <v>25.775416666666668</v>
      </c>
      <c r="BI39" s="55">
        <f t="shared" si="92"/>
        <v>16.996250000000003</v>
      </c>
      <c r="BJ39" s="55">
        <f t="shared" si="92"/>
        <v>10.575595238095238</v>
      </c>
      <c r="BK39" s="55">
        <f t="shared" si="92"/>
        <v>19.803333333333331</v>
      </c>
      <c r="BL39" s="55">
        <f t="shared" si="92"/>
        <v>10.780000000000001</v>
      </c>
      <c r="BM39" s="59">
        <f t="shared" si="92"/>
        <v>0.32293032473356637</v>
      </c>
      <c r="BN39" s="55">
        <f t="shared" si="92"/>
        <v>16.824900943333333</v>
      </c>
      <c r="BO39" s="55">
        <f t="shared" si="92"/>
        <v>49</v>
      </c>
      <c r="BP39" s="55">
        <f t="shared" si="92"/>
        <v>3.4274079999999998</v>
      </c>
      <c r="BQ39" s="121"/>
      <c r="BR39" s="59">
        <f>AVERAGE(BR30:BR38)</f>
        <v>1.392857</v>
      </c>
      <c r="BS39" s="55">
        <f>AVERAGE(BS30:BS38)</f>
        <v>0.36000000000000004</v>
      </c>
      <c r="BT39" s="55">
        <f>AVERAGE(BT30:BT38)</f>
        <v>0.95000000000000007</v>
      </c>
      <c r="BU39" s="55">
        <f>AVERAGE(BU30:BU38)</f>
        <v>1</v>
      </c>
      <c r="BV39" s="55">
        <f>AVERAGE(BV30:BV38)</f>
        <v>0.41666666666666669</v>
      </c>
      <c r="BW39" s="13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</row>
    <row r="40" spans="1:188" s="10" customFormat="1" ht="16.350000000000001" customHeight="1">
      <c r="A40" s="121"/>
      <c r="B40" s="122"/>
      <c r="C40" s="55"/>
      <c r="F40" s="55" t="s">
        <v>45</v>
      </c>
      <c r="G40" s="19">
        <f t="shared" ref="G40:M40" si="93">STDEV(G30:G38)/SQRT(COUNT(G30:G38))</f>
        <v>1.4609256002000531E-2</v>
      </c>
      <c r="H40" s="18">
        <f t="shared" si="93"/>
        <v>1.0377534113926745</v>
      </c>
      <c r="I40" s="19">
        <f t="shared" si="93"/>
        <v>1.0377534113926787</v>
      </c>
      <c r="J40" s="18">
        <f t="shared" si="93"/>
        <v>0.33584082911403146</v>
      </c>
      <c r="K40" s="19">
        <f t="shared" si="93"/>
        <v>0.88920497697180434</v>
      </c>
      <c r="L40" s="18">
        <f t="shared" si="93"/>
        <v>2.641286508435404</v>
      </c>
      <c r="M40" s="19">
        <f t="shared" si="93"/>
        <v>9.3712857694015135</v>
      </c>
      <c r="N40" s="59">
        <f t="shared" ref="N40:V40" si="94">(STDEV(N30:N38)/(SQRT(COUNT(N30:N38))))</f>
        <v>0.10680004681646922</v>
      </c>
      <c r="O40" s="274">
        <f t="shared" si="94"/>
        <v>0.11974135071656986</v>
      </c>
      <c r="P40" s="55">
        <f t="shared" si="94"/>
        <v>0.17485089949317217</v>
      </c>
      <c r="Q40" s="274">
        <f t="shared" si="94"/>
        <v>3.2305444794846228</v>
      </c>
      <c r="R40" s="59">
        <f t="shared" si="94"/>
        <v>0.60667418885970026</v>
      </c>
      <c r="S40" s="59">
        <f t="shared" si="94"/>
        <v>1.4818628930938826</v>
      </c>
      <c r="T40" s="59">
        <f t="shared" si="94"/>
        <v>2.3896643144413003</v>
      </c>
      <c r="U40" s="59">
        <f t="shared" si="94"/>
        <v>692.87803886593247</v>
      </c>
      <c r="V40" s="59" t="e">
        <f t="shared" si="94"/>
        <v>#DIV/0!</v>
      </c>
      <c r="W40" s="18">
        <f t="shared" ref="W40:AH40" si="95">STDEV(W30:W38)/SQRT(COUNT(W30:W38))</f>
        <v>0.11140338543201589</v>
      </c>
      <c r="X40" s="19">
        <f t="shared" si="95"/>
        <v>4.4021726343378039E-4</v>
      </c>
      <c r="Y40" s="18">
        <f t="shared" si="95"/>
        <v>5.521383108295505E-2</v>
      </c>
      <c r="Z40" s="19">
        <f t="shared" si="95"/>
        <v>0.21488039826471514</v>
      </c>
      <c r="AA40" s="18">
        <f t="shared" si="95"/>
        <v>3.6468552989429893E-3</v>
      </c>
      <c r="AB40" s="19">
        <f t="shared" si="95"/>
        <v>1.8587640217737511E-2</v>
      </c>
      <c r="AC40" s="18">
        <f t="shared" si="95"/>
        <v>0.15555201243130468</v>
      </c>
      <c r="AD40" s="19">
        <f t="shared" si="95"/>
        <v>7.6916683532352644E-4</v>
      </c>
      <c r="AE40" s="18">
        <f t="shared" si="95"/>
        <v>3.773139915432322E-3</v>
      </c>
      <c r="AF40" s="19">
        <f t="shared" si="95"/>
        <v>1.5074659225685648E-2</v>
      </c>
      <c r="AG40" s="18">
        <f t="shared" si="95"/>
        <v>3.8931229430882292E-3</v>
      </c>
      <c r="AH40" s="19">
        <f t="shared" si="95"/>
        <v>1.6666200157022953E-2</v>
      </c>
      <c r="AI40" s="59" t="e">
        <f t="shared" ref="AI40:AY40" si="96">(STDEV(AI30:AI38)/(SQRT(COUNT(AI30:AI38))))</f>
        <v>#DIV/0!</v>
      </c>
      <c r="AJ40" s="335">
        <f t="shared" si="96"/>
        <v>9.8063379195731191E-3</v>
      </c>
      <c r="AK40" s="55">
        <f t="shared" si="96"/>
        <v>4.0040552371603887E-2</v>
      </c>
      <c r="AL40" s="88">
        <f t="shared" si="96"/>
        <v>2.5826083114488519E-2</v>
      </c>
      <c r="AM40" s="335">
        <f t="shared" si="96"/>
        <v>8.6268980830721681E-3</v>
      </c>
      <c r="AN40" s="55">
        <f t="shared" si="96"/>
        <v>3.3406746327390616E-2</v>
      </c>
      <c r="AO40" s="88">
        <f t="shared" si="96"/>
        <v>2.470011029519787E-2</v>
      </c>
      <c r="AP40" s="335">
        <f t="shared" si="96"/>
        <v>4.394758952434138E-3</v>
      </c>
      <c r="AQ40" s="55">
        <f t="shared" si="96"/>
        <v>1.8429388786419938E-2</v>
      </c>
      <c r="AR40" s="88">
        <f t="shared" si="96"/>
        <v>1.2428630724022918E-2</v>
      </c>
      <c r="AS40" s="59" t="e">
        <f t="shared" si="96"/>
        <v>#DIV/0!</v>
      </c>
      <c r="AT40" s="335">
        <f t="shared" si="96"/>
        <v>2.0478825628124885E-2</v>
      </c>
      <c r="AU40" s="55">
        <f t="shared" si="96"/>
        <v>8.1161995913826751E-2</v>
      </c>
      <c r="AV40" s="88">
        <f t="shared" si="96"/>
        <v>5.0948475283091967E-2</v>
      </c>
      <c r="AW40" s="335">
        <f t="shared" si="96"/>
        <v>5.0188217171534665E-3</v>
      </c>
      <c r="AX40" s="55">
        <f t="shared" si="96"/>
        <v>2.6019726579928501E-2</v>
      </c>
      <c r="AY40" s="88">
        <f t="shared" si="96"/>
        <v>2.0840545268808835E-2</v>
      </c>
      <c r="AZ40" s="121"/>
      <c r="BA40" s="335" t="e">
        <f t="shared" ref="BA40:BF40" si="97">(STDEV(BA30:BA38)/(SQRT(COUNT(BA30:BA38))))</f>
        <v>#DIV/0!</v>
      </c>
      <c r="BB40" s="55" t="e">
        <f t="shared" si="97"/>
        <v>#DIV/0!</v>
      </c>
      <c r="BC40" s="88" t="e">
        <f t="shared" si="97"/>
        <v>#DIV/0!</v>
      </c>
      <c r="BD40" s="335" t="e">
        <f t="shared" si="97"/>
        <v>#DIV/0!</v>
      </c>
      <c r="BE40" s="55" t="e">
        <f t="shared" si="97"/>
        <v>#DIV/0!</v>
      </c>
      <c r="BF40" s="88" t="e">
        <f t="shared" si="97"/>
        <v>#DIV/0!</v>
      </c>
      <c r="BG40"/>
      <c r="BH40" s="335">
        <f t="shared" ref="BH40:BP40" si="98">(STDEV(BH30:BH38)/(SQRT(COUNT(BH30:BH38))))</f>
        <v>2.574742623714652</v>
      </c>
      <c r="BI40" s="55">
        <f t="shared" si="98"/>
        <v>1.4873835071764832</v>
      </c>
      <c r="BJ40" s="55">
        <f t="shared" si="98"/>
        <v>1.1676825326969376</v>
      </c>
      <c r="BK40" s="334">
        <f t="shared" si="98"/>
        <v>5.8290117325133073</v>
      </c>
      <c r="BL40" s="55">
        <f t="shared" si="98"/>
        <v>2.057206844242935</v>
      </c>
      <c r="BM40" s="335">
        <f t="shared" si="98"/>
        <v>5.0189962225965501E-2</v>
      </c>
      <c r="BN40" s="55">
        <f t="shared" si="98"/>
        <v>2.1060309358140681</v>
      </c>
      <c r="BO40" s="55">
        <f t="shared" si="98"/>
        <v>7.9372539331937721</v>
      </c>
      <c r="BP40" s="334">
        <f t="shared" si="98"/>
        <v>0.53731457378460723</v>
      </c>
      <c r="BQ40" s="121"/>
      <c r="BR40" s="335">
        <f>(STDEV(BR30:BR38)/(SQRT(COUNT(BR30:BR38))))</f>
        <v>0.21724150719648411</v>
      </c>
      <c r="BS40" s="55">
        <f>(STDEV(BS30:BS38)/(SQRT(COUNT(BS30:BS38))))</f>
        <v>0.21702534414210706</v>
      </c>
      <c r="BT40" s="55">
        <f>(STDEV(BT30:BT38)/(SQRT(COUNT(BT30:BT38))))</f>
        <v>0.33291640592396982</v>
      </c>
      <c r="BU40" s="334">
        <f>(STDEV(BU30:BU38)/(SQRT(COUNT(BU30:BU38))))</f>
        <v>0.57735026918962584</v>
      </c>
      <c r="BV40" s="55">
        <f>(STDEV(BV30:BV38)/(SQRT(COUNT(BV30:BV38))))</f>
        <v>0.41666666666666669</v>
      </c>
      <c r="BW40" s="397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</row>
    <row r="41" spans="1:188" s="10" customFormat="1" ht="16.350000000000001" customHeight="1">
      <c r="A41" s="37"/>
      <c r="B41" s="34"/>
      <c r="C41" s="34"/>
      <c r="D41" s="34"/>
      <c r="E41" s="34"/>
      <c r="F41" s="34" t="s">
        <v>300</v>
      </c>
      <c r="G41" s="69">
        <f>(100/G14)*G39</f>
        <v>90.962861072902342</v>
      </c>
      <c r="H41" s="68">
        <f>(100/H14)*H39</f>
        <v>99.026353368817368</v>
      </c>
      <c r="I41" s="69"/>
      <c r="J41" s="68">
        <f t="shared" ref="J41:AH41" si="99">(100/J14)*J39</f>
        <v>97.985377741673446</v>
      </c>
      <c r="K41" s="69">
        <f t="shared" si="99"/>
        <v>92.742726381170328</v>
      </c>
      <c r="L41" s="68">
        <f t="shared" si="99"/>
        <v>87.87522987692742</v>
      </c>
      <c r="M41" s="69">
        <f t="shared" si="99"/>
        <v>86.857260587869391</v>
      </c>
      <c r="N41" s="68">
        <f t="shared" si="99"/>
        <v>96.823204419889507</v>
      </c>
      <c r="O41" s="407">
        <f t="shared" si="99"/>
        <v>97.504639083537398</v>
      </c>
      <c r="P41" s="408">
        <f t="shared" si="99"/>
        <v>98.975528129133153</v>
      </c>
      <c r="Q41" s="210">
        <f t="shared" si="99"/>
        <v>113.60935053881113</v>
      </c>
      <c r="R41" s="68">
        <f t="shared" si="99"/>
        <v>93.649412788168746</v>
      </c>
      <c r="S41" s="68">
        <f t="shared" si="99"/>
        <v>114.01685393258428</v>
      </c>
      <c r="T41" s="68">
        <f t="shared" si="99"/>
        <v>120.11229195909365</v>
      </c>
      <c r="U41" s="68">
        <f t="shared" si="99"/>
        <v>118.52845477667998</v>
      </c>
      <c r="V41" s="68" t="e">
        <f t="shared" si="99"/>
        <v>#DIV/0!</v>
      </c>
      <c r="W41" s="68">
        <f t="shared" si="99"/>
        <v>82.25</v>
      </c>
      <c r="X41" s="69">
        <f t="shared" si="99"/>
        <v>83.486099693277211</v>
      </c>
      <c r="Y41" s="68">
        <f t="shared" si="99"/>
        <v>103.20976593123532</v>
      </c>
      <c r="Z41" s="69">
        <f t="shared" si="99"/>
        <v>105.13388901452244</v>
      </c>
      <c r="AA41" s="68">
        <f t="shared" si="99"/>
        <v>95.778295778295785</v>
      </c>
      <c r="AB41" s="69">
        <f t="shared" si="99"/>
        <v>97.335532778422476</v>
      </c>
      <c r="AC41" s="68">
        <f t="shared" si="99"/>
        <v>92.105263157894726</v>
      </c>
      <c r="AD41" s="69">
        <f t="shared" si="99"/>
        <v>92.932944777760383</v>
      </c>
      <c r="AE41" s="210">
        <f t="shared" si="99"/>
        <v>85.346798780487788</v>
      </c>
      <c r="AF41" s="69">
        <f t="shared" si="99"/>
        <v>86.794425544272002</v>
      </c>
      <c r="AG41" s="68">
        <f t="shared" si="99"/>
        <v>93.437169212157869</v>
      </c>
      <c r="AH41" s="70">
        <f t="shared" si="99"/>
        <v>94.809375398243134</v>
      </c>
      <c r="AI41" s="68" t="e">
        <f>(100/#REF!)*AI39</f>
        <v>#REF!</v>
      </c>
      <c r="AJ41" s="68">
        <f t="shared" ref="AJ41:AR41" si="100">(100/AJ14)*AJ39</f>
        <v>127.78752592119955</v>
      </c>
      <c r="AK41" s="69">
        <f t="shared" si="100"/>
        <v>129.70186469351438</v>
      </c>
      <c r="AL41" s="69">
        <f t="shared" si="100"/>
        <v>143.75534078162053</v>
      </c>
      <c r="AM41" s="68">
        <f t="shared" si="100"/>
        <v>103.58045030203186</v>
      </c>
      <c r="AN41" s="69">
        <f t="shared" si="100"/>
        <v>105.93057742863735</v>
      </c>
      <c r="AO41" s="69">
        <f t="shared" si="100"/>
        <v>117.68624967624653</v>
      </c>
      <c r="AP41" s="68">
        <f t="shared" si="100"/>
        <v>131.99257425742573</v>
      </c>
      <c r="AQ41" s="69">
        <f t="shared" si="100"/>
        <v>134.98179104007355</v>
      </c>
      <c r="AR41" s="69">
        <f t="shared" si="100"/>
        <v>146.2080800156514</v>
      </c>
      <c r="AS41" s="68" t="e">
        <f>(100/#REF!)*AS39</f>
        <v>#REF!</v>
      </c>
      <c r="AT41" s="68">
        <f t="shared" ref="AT41:AY41" si="101">(100/AT14)*AT39</f>
        <v>115.21483225426719</v>
      </c>
      <c r="AU41" s="69">
        <f t="shared" si="101"/>
        <v>117.5051090784762</v>
      </c>
      <c r="AV41" s="69">
        <f t="shared" si="101"/>
        <v>130.05544761100168</v>
      </c>
      <c r="AW41" s="68">
        <f t="shared" si="101"/>
        <v>104.38946528332005</v>
      </c>
      <c r="AX41" s="69">
        <f t="shared" si="101"/>
        <v>106.49934047079175</v>
      </c>
      <c r="AY41" s="69">
        <f t="shared" si="101"/>
        <v>119.59671247342554</v>
      </c>
      <c r="AZ41" s="37"/>
      <c r="BA41" s="68" t="e">
        <f>(100/#REF!)*BA39</f>
        <v>#REF!</v>
      </c>
      <c r="BB41" s="69" t="e">
        <f>(100/#REF!)*BB39</f>
        <v>#REF!</v>
      </c>
      <c r="BC41" s="70" t="e">
        <f>(100/#REF!)*BC39</f>
        <v>#REF!</v>
      </c>
      <c r="BD41" s="68" t="e">
        <f>(100/#REF!)*BD39</f>
        <v>#REF!</v>
      </c>
      <c r="BE41" s="69" t="e">
        <f>(100/#REF!)*BE39</f>
        <v>#REF!</v>
      </c>
      <c r="BF41" s="70" t="e">
        <f>(100/#REF!)*BF39</f>
        <v>#REF!</v>
      </c>
      <c r="BG41"/>
      <c r="BH41" s="68">
        <f t="shared" ref="BH41:BP41" si="102">(100/BH14)*BH39</f>
        <v>117.44110062386081</v>
      </c>
      <c r="BI41" s="69">
        <f t="shared" si="102"/>
        <v>101.3405025553663</v>
      </c>
      <c r="BJ41" s="69">
        <f t="shared" si="102"/>
        <v>126.04284903518727</v>
      </c>
      <c r="BK41" s="69">
        <f t="shared" si="102"/>
        <v>164.11600396508246</v>
      </c>
      <c r="BL41" s="69">
        <f t="shared" si="102"/>
        <v>212.7631019044469</v>
      </c>
      <c r="BM41" s="68">
        <f t="shared" si="102"/>
        <v>185.11929443325457</v>
      </c>
      <c r="BN41" s="69">
        <f t="shared" si="102"/>
        <v>129.31879255483113</v>
      </c>
      <c r="BO41" s="69">
        <f t="shared" si="102"/>
        <v>129.62962962962962</v>
      </c>
      <c r="BP41" s="70">
        <f t="shared" si="102"/>
        <v>86.579759389969027</v>
      </c>
      <c r="BQ41" s="37"/>
      <c r="BR41" s="68">
        <f>(100/BR14)*BR39</f>
        <v>151.0067208684309</v>
      </c>
      <c r="BS41" s="69">
        <f>(100/BS14)*BS39</f>
        <v>50.279329608938554</v>
      </c>
      <c r="BT41" s="69">
        <f>(100/BT14)*BT39</f>
        <v>211.11111111111114</v>
      </c>
      <c r="BU41" s="69">
        <f>(100/BU14)*BU39</f>
        <v>250</v>
      </c>
      <c r="BV41" s="69">
        <f>(100/BV14)*BV39</f>
        <v>208.33333333333334</v>
      </c>
      <c r="BW41" s="397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</row>
    <row r="42" spans="1:188" s="10" customFormat="1" ht="16.350000000000001" customHeight="1">
      <c r="A42" s="185" t="s">
        <v>355</v>
      </c>
      <c r="B42" s="10" t="s">
        <v>356</v>
      </c>
      <c r="C42" s="184">
        <v>42548</v>
      </c>
      <c r="D42" s="10" t="s">
        <v>22</v>
      </c>
      <c r="E42" s="10" t="s">
        <v>262</v>
      </c>
      <c r="F42" s="89">
        <v>43258</v>
      </c>
      <c r="G42" s="164">
        <v>0.55208333333333337</v>
      </c>
      <c r="H42" s="63">
        <v>18.18</v>
      </c>
      <c r="I42" s="64">
        <f>H51-H42</f>
        <v>0.21111111111111214</v>
      </c>
      <c r="J42" s="63">
        <v>22.07</v>
      </c>
      <c r="K42" s="14">
        <f>J42-H42</f>
        <v>3.8900000000000006</v>
      </c>
      <c r="L42" s="13">
        <v>95.93</v>
      </c>
      <c r="M42" s="186">
        <v>351.18601619999998</v>
      </c>
      <c r="N42" s="15">
        <v>9</v>
      </c>
      <c r="O42" s="13">
        <v>14.744</v>
      </c>
      <c r="P42" s="14">
        <v>17.189</v>
      </c>
      <c r="Q42" s="15">
        <v>82.88</v>
      </c>
      <c r="R42" s="15">
        <v>9.0399999999999991</v>
      </c>
      <c r="S42" s="15">
        <v>49.57</v>
      </c>
      <c r="T42" s="15">
        <v>24.84</v>
      </c>
      <c r="U42" s="15">
        <v>1845.45872628915</v>
      </c>
      <c r="V42" s="15"/>
      <c r="W42" s="13">
        <v>1.2</v>
      </c>
      <c r="X42" s="14">
        <f>(100/J42)*(W42/1000)</f>
        <v>5.4372451291345714E-3</v>
      </c>
      <c r="Y42" s="13">
        <v>1.151</v>
      </c>
      <c r="Z42" s="14">
        <f>(100/J42)*Y42</f>
        <v>5.2152242863615772</v>
      </c>
      <c r="AA42" s="13">
        <v>0.14299999999999999</v>
      </c>
      <c r="AB42" s="14">
        <f>(100/J42)*AA42</f>
        <v>0.64793837788853648</v>
      </c>
      <c r="AC42" s="13">
        <v>3</v>
      </c>
      <c r="AD42" s="14">
        <f>(100/J42)*(AC42/1000)</f>
        <v>1.359311282283643E-2</v>
      </c>
      <c r="AE42" s="13">
        <v>6.9599999999999995E-2</v>
      </c>
      <c r="AF42" s="14">
        <f>(100/J42)*AE42</f>
        <v>0.31536021748980514</v>
      </c>
      <c r="AG42" s="13">
        <v>7.8100000000000003E-2</v>
      </c>
      <c r="AH42" s="14">
        <f>(100/J42)*AG42</f>
        <v>0.35387403715450838</v>
      </c>
      <c r="AI42" s="13"/>
      <c r="AJ42" s="13">
        <v>8.6900000000000005E-2</v>
      </c>
      <c r="AK42" s="10">
        <f>(100/J42)*AJ42</f>
        <v>0.39374716810149529</v>
      </c>
      <c r="AL42" s="14">
        <f>(AJ42*1000)/M42</f>
        <v>0.24744721028558997</v>
      </c>
      <c r="AM42" s="13">
        <v>8.4599999999999995E-2</v>
      </c>
      <c r="AN42" s="10">
        <f>(100/J42)*AM42</f>
        <v>0.38332578160398728</v>
      </c>
      <c r="AO42" s="14">
        <f>(AM42*1000)/M42</f>
        <v>0.24089797457032117</v>
      </c>
      <c r="AP42" s="13">
        <v>1.9E-2</v>
      </c>
      <c r="AQ42" s="10">
        <f>(100/J42)*AP42</f>
        <v>8.6089714544630713E-2</v>
      </c>
      <c r="AR42" s="14">
        <f>(AP42*1000)/M42</f>
        <v>5.4102381995698612E-2</v>
      </c>
      <c r="AS42" s="13"/>
      <c r="AT42" s="13">
        <f>AJ42+AM42+AP42</f>
        <v>0.19049999999999997</v>
      </c>
      <c r="AU42" s="10">
        <f>(100/J42)*AT42</f>
        <v>0.86316266425011312</v>
      </c>
      <c r="AV42" s="14">
        <f>(AT42*1000)/M42</f>
        <v>0.54244756685160966</v>
      </c>
      <c r="AW42" s="13">
        <v>0.1158</v>
      </c>
      <c r="AX42" s="10">
        <f>(100/J42)*AW42</f>
        <v>0.52469415496148619</v>
      </c>
      <c r="AY42" s="14">
        <f>(AW42*1000)/M42</f>
        <v>0.32973978079483679</v>
      </c>
      <c r="AZ42" s="123"/>
      <c r="BA42" s="13"/>
      <c r="BC42" s="14"/>
      <c r="BD42" s="13"/>
      <c r="BF42" s="14"/>
      <c r="BG42"/>
      <c r="BH42" s="13">
        <v>5</v>
      </c>
      <c r="BI42" s="10">
        <v>2.5</v>
      </c>
      <c r="BJ42" s="10">
        <v>3</v>
      </c>
      <c r="BK42" s="10">
        <v>4.6666699999999999</v>
      </c>
      <c r="BL42" s="14">
        <v>0.33333000000000002</v>
      </c>
      <c r="BM42" s="13">
        <v>0.15</v>
      </c>
      <c r="BN42">
        <v>13.195877832573899</v>
      </c>
      <c r="BO42">
        <v>35</v>
      </c>
      <c r="BP42">
        <v>2.9444439999999998</v>
      </c>
      <c r="BQ42" s="185" t="s">
        <v>355</v>
      </c>
      <c r="BR42" s="13">
        <v>0.375</v>
      </c>
      <c r="BS42" s="10">
        <v>0.5</v>
      </c>
      <c r="BT42" s="10">
        <v>0.2</v>
      </c>
      <c r="BU42" s="10">
        <v>0</v>
      </c>
      <c r="BV42" s="14">
        <v>0</v>
      </c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</row>
    <row r="43" spans="1:188" s="10" customFormat="1" ht="16.350000000000001" customHeight="1">
      <c r="A43" s="121" t="s">
        <v>357</v>
      </c>
      <c r="B43" s="182" t="s">
        <v>358</v>
      </c>
      <c r="C43" s="184">
        <v>42548</v>
      </c>
      <c r="D43" s="10" t="s">
        <v>22</v>
      </c>
      <c r="E43" s="10" t="s">
        <v>262</v>
      </c>
      <c r="F43" s="89">
        <v>43258</v>
      </c>
      <c r="G43" s="164">
        <v>0.71388888888888891</v>
      </c>
      <c r="H43" s="63">
        <v>17.29</v>
      </c>
      <c r="I43" s="64">
        <f>H51-H43</f>
        <v>1.1011111111111127</v>
      </c>
      <c r="J43" s="63">
        <v>21.73</v>
      </c>
      <c r="K43" s="14">
        <f>J43-H43</f>
        <v>4.4400000000000013</v>
      </c>
      <c r="L43" s="13">
        <v>109.7</v>
      </c>
      <c r="M43" s="186">
        <v>403.1435826</v>
      </c>
      <c r="N43" s="15">
        <v>8.6</v>
      </c>
      <c r="O43" s="13">
        <v>14.342000000000001</v>
      </c>
      <c r="P43" s="14">
        <v>17.186</v>
      </c>
      <c r="Q43" s="15">
        <v>84.62</v>
      </c>
      <c r="R43" s="15">
        <v>12.61</v>
      </c>
      <c r="S43" s="15">
        <v>44.43</v>
      </c>
      <c r="T43" s="15">
        <v>27.73</v>
      </c>
      <c r="U43" s="15">
        <v>1615.05195877812</v>
      </c>
      <c r="V43" s="15"/>
      <c r="W43" s="13">
        <v>1.3</v>
      </c>
      <c r="X43" s="14">
        <f>(100/J43)*(W43/1000)</f>
        <v>5.9825126553152324E-3</v>
      </c>
      <c r="Y43" s="13">
        <v>0.95589999999999997</v>
      </c>
      <c r="Z43" s="14">
        <f>(100/J43)*Y43</f>
        <v>4.3989875747814082</v>
      </c>
      <c r="AA43" s="13">
        <v>0.1502</v>
      </c>
      <c r="AB43" s="14">
        <f>(100/J43)*AA43</f>
        <v>0.69121030832949837</v>
      </c>
      <c r="AC43" s="13">
        <v>3</v>
      </c>
      <c r="AD43" s="14">
        <f>(100/J43)*(AC43/1000)</f>
        <v>1.3805798435342844E-2</v>
      </c>
      <c r="AE43" s="13">
        <v>7.6700000000000004E-2</v>
      </c>
      <c r="AF43" s="14">
        <f t="shared" ref="AF43:AF49" si="103">(100/J43)*AE43</f>
        <v>0.35296824666359872</v>
      </c>
      <c r="AG43" s="13">
        <v>9.01E-2</v>
      </c>
      <c r="AH43" s="14">
        <f>(100/J43)*AG43</f>
        <v>0.41463414634146339</v>
      </c>
      <c r="AI43" s="13"/>
      <c r="AJ43" s="13">
        <v>7.1999999999999995E-2</v>
      </c>
      <c r="AK43" s="10">
        <f t="shared" ref="AK43:AK50" si="104">(100/J43)*AJ43</f>
        <v>0.33133916244822825</v>
      </c>
      <c r="AL43" s="14">
        <f t="shared" ref="AL43:AL50" si="105">(AJ43*1000)/M43</f>
        <v>0.1785964185158283</v>
      </c>
      <c r="AM43" s="13">
        <v>0.1118</v>
      </c>
      <c r="AN43" s="10">
        <f t="shared" ref="AN43:AN50" si="106">(100/J43)*AM43</f>
        <v>0.51449608835710992</v>
      </c>
      <c r="AO43" s="14">
        <f t="shared" ref="AO43:AO50" si="107">(AM43*1000)/M43</f>
        <v>0.27732054986207783</v>
      </c>
      <c r="AP43" s="13">
        <v>2.1600000000000001E-2</v>
      </c>
      <c r="AQ43" s="10">
        <f t="shared" ref="AQ43:AQ50" si="108">(100/J43)*AP43</f>
        <v>9.9401748734468484E-2</v>
      </c>
      <c r="AR43" s="14">
        <f t="shared" ref="AR43:AR50" si="109">(AP43*1000)/M43</f>
        <v>5.3578925554748497E-2</v>
      </c>
      <c r="AS43" s="13"/>
      <c r="AT43" s="13">
        <f t="shared" ref="AT43:AT50" si="110">AJ43+AM43+AP43</f>
        <v>0.2054</v>
      </c>
      <c r="AU43" s="10">
        <f t="shared" ref="AU43:AU50" si="111">(100/J43)*AT43</f>
        <v>0.94523699953980667</v>
      </c>
      <c r="AV43" s="14">
        <f t="shared" ref="AV43:AV50" si="112">(AT43*1000)/M43</f>
        <v>0.50949589393265471</v>
      </c>
      <c r="AW43" s="13">
        <v>8.9099999999999999E-2</v>
      </c>
      <c r="AX43" s="10">
        <f t="shared" ref="AX43:AX50" si="113">(100/J43)*AW43</f>
        <v>0.41003221352968244</v>
      </c>
      <c r="AY43" s="14">
        <f t="shared" ref="AY43:AY50" si="114">(AW43*1000)/M43</f>
        <v>0.22101306791333752</v>
      </c>
      <c r="AZ43" s="123"/>
      <c r="BA43" s="13"/>
      <c r="BC43" s="14"/>
      <c r="BD43" s="13"/>
      <c r="BF43" s="14"/>
      <c r="BG43"/>
      <c r="BH43" s="13">
        <v>13.857139999999999</v>
      </c>
      <c r="BI43" s="10">
        <v>13</v>
      </c>
      <c r="BJ43" s="10">
        <v>4.3</v>
      </c>
      <c r="BK43" s="10">
        <v>11</v>
      </c>
      <c r="BL43" s="14">
        <v>2.6666699999999999</v>
      </c>
      <c r="BM43" s="13">
        <v>0.1</v>
      </c>
      <c r="BN43">
        <v>11.303117606704733</v>
      </c>
      <c r="BO43">
        <v>25</v>
      </c>
      <c r="BP43">
        <v>2.25</v>
      </c>
      <c r="BQ43" s="121" t="s">
        <v>357</v>
      </c>
      <c r="BR43" s="13">
        <v>0.57142899999999996</v>
      </c>
      <c r="BS43" s="10">
        <v>0.67</v>
      </c>
      <c r="BT43" s="10">
        <v>0.25</v>
      </c>
      <c r="BU43" s="10">
        <v>0.33333000000000002</v>
      </c>
      <c r="BV43" s="14">
        <v>0</v>
      </c>
      <c r="BW43"/>
      <c r="BX43" t="s">
        <v>737</v>
      </c>
      <c r="BY43" t="s">
        <v>264</v>
      </c>
      <c r="BZ43" t="s">
        <v>319</v>
      </c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</row>
    <row r="44" spans="1:188" s="10" customFormat="1" ht="16.350000000000001" customHeight="1">
      <c r="A44" s="121" t="s">
        <v>359</v>
      </c>
      <c r="B44" s="182" t="s">
        <v>360</v>
      </c>
      <c r="C44" s="183">
        <v>42550</v>
      </c>
      <c r="D44" s="10" t="s">
        <v>22</v>
      </c>
      <c r="E44" s="10" t="s">
        <v>262</v>
      </c>
      <c r="F44" s="89">
        <v>43258</v>
      </c>
      <c r="G44" s="164">
        <v>0.76388888888888884</v>
      </c>
      <c r="H44" s="63">
        <v>20.309999999999999</v>
      </c>
      <c r="I44" s="64">
        <f>H51-H44</f>
        <v>-1.9188888888888869</v>
      </c>
      <c r="J44" s="63">
        <v>20.74</v>
      </c>
      <c r="K44" s="14">
        <f>J44-H44</f>
        <v>0.42999999999999972</v>
      </c>
      <c r="L44" s="13">
        <v>87.69</v>
      </c>
      <c r="M44" s="186">
        <v>324.48196899999999</v>
      </c>
      <c r="N44" s="15">
        <v>8.9</v>
      </c>
      <c r="O44" s="13">
        <v>14.618</v>
      </c>
      <c r="P44" s="14">
        <v>16.852</v>
      </c>
      <c r="Q44" s="15">
        <v>81.62</v>
      </c>
      <c r="R44" s="15">
        <v>15.82</v>
      </c>
      <c r="S44" s="15">
        <v>38.53</v>
      </c>
      <c r="T44" s="15">
        <v>27.24</v>
      </c>
      <c r="U44" s="15">
        <v>3181.9215943000499</v>
      </c>
      <c r="V44" s="15"/>
      <c r="W44" s="13">
        <v>1.1000000000000001</v>
      </c>
      <c r="X44" s="14">
        <f>(100/J44)*(W44/1000)</f>
        <v>5.3037608486017369E-3</v>
      </c>
      <c r="Y44" s="13">
        <v>0.93130000000000002</v>
      </c>
      <c r="Z44" s="14">
        <f>(100/J44)*Y44</f>
        <v>4.4903567984570882</v>
      </c>
      <c r="AA44" s="13">
        <v>0.1467</v>
      </c>
      <c r="AB44" s="14">
        <f>(100/J44)*AA44</f>
        <v>0.70732883317261341</v>
      </c>
      <c r="AC44" s="13">
        <v>2.5</v>
      </c>
      <c r="AD44" s="14">
        <f>(100/J44)*(AC44/1000)</f>
        <v>1.205400192864031E-2</v>
      </c>
      <c r="AE44" s="13">
        <v>5.2900000000000003E-2</v>
      </c>
      <c r="AF44" s="14">
        <f t="shared" si="103"/>
        <v>0.25506268081002897</v>
      </c>
      <c r="AG44" s="13">
        <v>8.4599999999999995E-2</v>
      </c>
      <c r="AH44" s="14">
        <f>(100/J44)*AG44</f>
        <v>0.40790742526518808</v>
      </c>
      <c r="AI44" s="13"/>
      <c r="AJ44" s="13">
        <v>0.1077</v>
      </c>
      <c r="AK44" s="10">
        <f t="shared" si="104"/>
        <v>0.51928640308582452</v>
      </c>
      <c r="AL44" s="14">
        <f t="shared" si="105"/>
        <v>0.33191366636461705</v>
      </c>
      <c r="AM44" s="13">
        <v>0.1191</v>
      </c>
      <c r="AN44" s="10">
        <f t="shared" si="106"/>
        <v>0.5742526518804244</v>
      </c>
      <c r="AO44" s="14">
        <f t="shared" si="107"/>
        <v>0.36704658926672129</v>
      </c>
      <c r="AP44" s="13">
        <v>2.6499999999999999E-2</v>
      </c>
      <c r="AQ44" s="10">
        <f t="shared" si="108"/>
        <v>0.12777242044358728</v>
      </c>
      <c r="AR44" s="14">
        <f t="shared" si="109"/>
        <v>8.1668636570681075E-2</v>
      </c>
      <c r="AS44" s="13"/>
      <c r="AT44" s="13">
        <f t="shared" si="110"/>
        <v>0.25330000000000003</v>
      </c>
      <c r="AU44" s="10">
        <f t="shared" si="111"/>
        <v>1.2213114754098364</v>
      </c>
      <c r="AV44" s="14">
        <f t="shared" si="112"/>
        <v>0.78062889220201948</v>
      </c>
      <c r="AW44" s="13">
        <v>0.1067</v>
      </c>
      <c r="AX44" s="10">
        <f t="shared" si="113"/>
        <v>0.51446480231436842</v>
      </c>
      <c r="AY44" s="14">
        <f t="shared" si="114"/>
        <v>0.32883183102232716</v>
      </c>
      <c r="AZ44" s="123"/>
      <c r="BA44" s="13"/>
      <c r="BC44" s="14"/>
      <c r="BD44" s="13"/>
      <c r="BF44" s="14"/>
      <c r="BG44"/>
      <c r="BH44" s="13">
        <v>10.857139999999999</v>
      </c>
      <c r="BI44" s="10">
        <v>10.7</v>
      </c>
      <c r="BJ44" s="10">
        <v>3.8</v>
      </c>
      <c r="BK44" s="10">
        <v>7.3333300000000001</v>
      </c>
      <c r="BL44" s="14">
        <v>2.3333300000000001</v>
      </c>
      <c r="BM44" s="13">
        <v>0.01</v>
      </c>
      <c r="BN44">
        <v>18.249253618319827</v>
      </c>
      <c r="BO44">
        <v>36</v>
      </c>
      <c r="BP44">
        <v>2.0833330000000001</v>
      </c>
      <c r="BQ44" s="121" t="s">
        <v>359</v>
      </c>
      <c r="BR44" s="13">
        <v>0.14285700000000001</v>
      </c>
      <c r="BS44" s="10">
        <v>0</v>
      </c>
      <c r="BT44" s="10">
        <v>0.25</v>
      </c>
      <c r="BU44" s="10">
        <v>0</v>
      </c>
      <c r="BV44" s="14">
        <v>0</v>
      </c>
      <c r="BW44"/>
      <c r="BX44"/>
      <c r="BY44" s="63">
        <v>12.99</v>
      </c>
      <c r="BZ44" s="63">
        <v>18.18</v>
      </c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</row>
    <row r="45" spans="1:188" s="10" customFormat="1" ht="16.350000000000001" customHeight="1">
      <c r="A45" s="133" t="s">
        <v>361</v>
      </c>
      <c r="B45" s="227" t="s">
        <v>362</v>
      </c>
      <c r="C45" s="142">
        <v>42559</v>
      </c>
      <c r="D45" s="12" t="s">
        <v>22</v>
      </c>
      <c r="E45" s="10" t="s">
        <v>262</v>
      </c>
      <c r="F45" s="11" t="s">
        <v>271</v>
      </c>
      <c r="G45" s="164">
        <v>0.53125</v>
      </c>
      <c r="H45" s="63">
        <v>16.54</v>
      </c>
      <c r="I45" s="64">
        <f>H51-H45</f>
        <v>1.8511111111111127</v>
      </c>
      <c r="J45" s="63">
        <v>20.309999999999999</v>
      </c>
      <c r="K45" s="14">
        <f t="shared" ref="K45:K50" si="115">J45-H45</f>
        <v>3.7699999999999996</v>
      </c>
      <c r="L45" s="13">
        <v>81.87</v>
      </c>
      <c r="M45" s="86">
        <v>298.2276904626238</v>
      </c>
      <c r="N45" s="15">
        <v>8.3000000000000007</v>
      </c>
      <c r="O45" s="13">
        <v>14.260999999999999</v>
      </c>
      <c r="P45" s="14">
        <v>16.606000000000002</v>
      </c>
      <c r="Q45" s="15">
        <v>89.6</v>
      </c>
      <c r="R45" s="15">
        <v>12.19</v>
      </c>
      <c r="S45" s="15">
        <v>46.29</v>
      </c>
      <c r="T45" s="15">
        <v>32.67</v>
      </c>
      <c r="U45" s="15">
        <v>1587.3888170968801</v>
      </c>
      <c r="V45" s="15"/>
      <c r="W45" s="13">
        <v>1.4</v>
      </c>
      <c r="X45" s="14">
        <f t="shared" ref="X45:X50" si="116">(100/J45)*(W45/1000)</f>
        <v>6.8931560807483994E-3</v>
      </c>
      <c r="Y45" s="13">
        <v>1.0955999999999999</v>
      </c>
      <c r="Z45" s="14">
        <f t="shared" ref="Z45:Z50" si="117">(100/J45)*Y45</f>
        <v>5.3943870014771047</v>
      </c>
      <c r="AA45" s="13">
        <v>0.13689999999999999</v>
      </c>
      <c r="AB45" s="14">
        <f t="shared" ref="AB45:AB50" si="118">(100/J45)*AA45</f>
        <v>0.67405219103889702</v>
      </c>
      <c r="AC45" s="13">
        <v>3</v>
      </c>
      <c r="AD45" s="14">
        <f t="shared" ref="AD45:AD50" si="119">(100/J45)*(AC45/1000)</f>
        <v>1.4771048744460858E-2</v>
      </c>
      <c r="AE45" s="13">
        <v>5.0900000000000001E-2</v>
      </c>
      <c r="AF45" s="14">
        <f t="shared" si="103"/>
        <v>0.25061546036435256</v>
      </c>
      <c r="AG45" s="13">
        <v>7.2999999999999995E-2</v>
      </c>
      <c r="AH45" s="14">
        <f t="shared" ref="AH45:AH50" si="120">(100/J45)*AG45</f>
        <v>0.3594288527818808</v>
      </c>
      <c r="AI45" s="13"/>
      <c r="AJ45" s="13">
        <v>6.0199999999999997E-2</v>
      </c>
      <c r="AK45" s="10">
        <f t="shared" si="104"/>
        <v>0.2964057114721812</v>
      </c>
      <c r="AL45" s="14">
        <f t="shared" si="105"/>
        <v>0.20185918989150581</v>
      </c>
      <c r="AM45" s="13">
        <v>7.3999999999999996E-2</v>
      </c>
      <c r="AN45" s="10">
        <f t="shared" si="106"/>
        <v>0.36435253569670112</v>
      </c>
      <c r="AO45" s="14">
        <f t="shared" si="107"/>
        <v>0.2481325590028477</v>
      </c>
      <c r="AP45" s="13">
        <v>1.14E-2</v>
      </c>
      <c r="AQ45" s="10">
        <f t="shared" si="108"/>
        <v>5.6129985228951261E-2</v>
      </c>
      <c r="AR45" s="14">
        <f t="shared" si="109"/>
        <v>3.8225826657195455E-2</v>
      </c>
      <c r="AS45" s="13"/>
      <c r="AT45" s="13">
        <f t="shared" si="110"/>
        <v>0.14559999999999998</v>
      </c>
      <c r="AU45" s="10">
        <f t="shared" si="111"/>
        <v>0.7168882323978335</v>
      </c>
      <c r="AV45" s="14">
        <f t="shared" si="112"/>
        <v>0.48821757555154888</v>
      </c>
      <c r="AW45" s="13">
        <v>8.7499999999999994E-2</v>
      </c>
      <c r="AX45" s="10">
        <f t="shared" si="113"/>
        <v>0.43082225504677496</v>
      </c>
      <c r="AY45" s="14">
        <f t="shared" si="114"/>
        <v>0.29339998530742128</v>
      </c>
      <c r="AZ45" s="123"/>
      <c r="BA45" s="13"/>
      <c r="BC45" s="14"/>
      <c r="BD45" s="13"/>
      <c r="BF45" s="14"/>
      <c r="BG45"/>
      <c r="BH45" s="13">
        <v>27.571428600000001</v>
      </c>
      <c r="BI45" s="10">
        <v>19.8</v>
      </c>
      <c r="BJ45" s="10">
        <v>8.3000000000000007</v>
      </c>
      <c r="BK45" s="10">
        <v>18.33333</v>
      </c>
      <c r="BL45" s="14">
        <v>8.6666699999999999</v>
      </c>
      <c r="BM45" s="13">
        <v>0.23</v>
      </c>
      <c r="BN45">
        <v>12.676205255332926</v>
      </c>
      <c r="BO45">
        <v>39</v>
      </c>
      <c r="BP45">
        <v>3.2777780000000001</v>
      </c>
      <c r="BQ45" s="134" t="s">
        <v>361</v>
      </c>
      <c r="BR45" s="13">
        <v>0.57142899999999996</v>
      </c>
      <c r="BS45" s="10">
        <v>0.25</v>
      </c>
      <c r="BT45" s="10">
        <v>0</v>
      </c>
      <c r="BU45" s="10">
        <v>0.33333299999999999</v>
      </c>
      <c r="BV45" s="14">
        <v>0.66666999999999998</v>
      </c>
      <c r="BW45"/>
      <c r="BX45"/>
      <c r="BY45" s="63">
        <v>16.420000000000002</v>
      </c>
      <c r="BZ45" s="13">
        <v>16.059999999999999</v>
      </c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</row>
    <row r="46" spans="1:188" s="10" customFormat="1" ht="16.350000000000001" customHeight="1">
      <c r="A46" s="133" t="s">
        <v>363</v>
      </c>
      <c r="B46" s="227" t="s">
        <v>364</v>
      </c>
      <c r="C46" s="142">
        <v>42559</v>
      </c>
      <c r="D46" s="12" t="s">
        <v>22</v>
      </c>
      <c r="E46" s="10" t="s">
        <v>262</v>
      </c>
      <c r="F46" s="11" t="s">
        <v>271</v>
      </c>
      <c r="G46" s="164">
        <v>0.72222222222222221</v>
      </c>
      <c r="H46" s="63">
        <v>17.46</v>
      </c>
      <c r="I46" s="64">
        <f>H51-H46</f>
        <v>0.931111111111111</v>
      </c>
      <c r="J46" s="63">
        <v>18.88</v>
      </c>
      <c r="K46" s="14">
        <f t="shared" si="115"/>
        <v>1.4199999999999982</v>
      </c>
      <c r="L46" s="13">
        <v>84.77</v>
      </c>
      <c r="M46" s="86">
        <v>309.79095298114333</v>
      </c>
      <c r="N46" s="15">
        <v>8.6</v>
      </c>
      <c r="O46" s="13">
        <v>14.196999999999999</v>
      </c>
      <c r="P46" s="14">
        <v>16.629000000000001</v>
      </c>
      <c r="Q46" s="15">
        <v>85.6</v>
      </c>
      <c r="R46" s="15">
        <v>11.93</v>
      </c>
      <c r="S46" s="15">
        <v>40.74</v>
      </c>
      <c r="T46" s="15">
        <v>32.92</v>
      </c>
      <c r="U46" s="15">
        <v>2185.6833779816197</v>
      </c>
      <c r="V46" s="15"/>
      <c r="W46" s="13">
        <v>1</v>
      </c>
      <c r="X46" s="14">
        <f t="shared" si="116"/>
        <v>5.2966101694915261E-3</v>
      </c>
      <c r="Y46" s="13">
        <v>0.77959999999999996</v>
      </c>
      <c r="Z46" s="14">
        <f t="shared" si="117"/>
        <v>4.1292372881355934</v>
      </c>
      <c r="AA46" s="13">
        <v>0.1484</v>
      </c>
      <c r="AB46" s="14">
        <f t="shared" si="118"/>
        <v>0.7860169491525425</v>
      </c>
      <c r="AC46" s="13">
        <v>3.1</v>
      </c>
      <c r="AD46" s="14">
        <f t="shared" si="119"/>
        <v>1.641949152542373E-2</v>
      </c>
      <c r="AE46" s="13">
        <v>4.7600000000000003E-2</v>
      </c>
      <c r="AF46" s="14">
        <f t="shared" si="103"/>
        <v>0.25211864406779666</v>
      </c>
      <c r="AG46" s="13">
        <v>7.2900000000000006E-2</v>
      </c>
      <c r="AH46" s="14">
        <f t="shared" si="120"/>
        <v>0.38612288135593226</v>
      </c>
      <c r="AI46" s="13"/>
      <c r="AJ46" s="13">
        <v>8.1000000000000003E-2</v>
      </c>
      <c r="AK46" s="10">
        <f t="shared" si="104"/>
        <v>0.42902542372881364</v>
      </c>
      <c r="AL46" s="14">
        <f t="shared" si="105"/>
        <v>0.26146664136099024</v>
      </c>
      <c r="AM46" s="13">
        <v>8.3900000000000002E-2</v>
      </c>
      <c r="AN46" s="10">
        <f t="shared" si="106"/>
        <v>0.44438559322033905</v>
      </c>
      <c r="AO46" s="14">
        <f t="shared" si="107"/>
        <v>0.27082779271835905</v>
      </c>
      <c r="AP46" s="13">
        <v>1.6799999999999999E-2</v>
      </c>
      <c r="AQ46" s="10">
        <f t="shared" si="108"/>
        <v>8.8983050847457626E-2</v>
      </c>
      <c r="AR46" s="14">
        <f t="shared" si="109"/>
        <v>5.4230118208205391E-2</v>
      </c>
      <c r="AS46" s="13"/>
      <c r="AT46" s="13">
        <f t="shared" si="110"/>
        <v>0.1817</v>
      </c>
      <c r="AU46" s="10">
        <f t="shared" si="111"/>
        <v>0.9623940677966103</v>
      </c>
      <c r="AV46" s="14">
        <f t="shared" si="112"/>
        <v>0.58652455228755462</v>
      </c>
      <c r="AW46" s="13">
        <v>8.3400000000000002E-2</v>
      </c>
      <c r="AX46" s="10">
        <f t="shared" si="113"/>
        <v>0.44173728813559326</v>
      </c>
      <c r="AY46" s="14">
        <f t="shared" si="114"/>
        <v>0.26921380110501963</v>
      </c>
      <c r="AZ46" s="123"/>
      <c r="BA46" s="13"/>
      <c r="BC46" s="14"/>
      <c r="BD46" s="13"/>
      <c r="BF46" s="14"/>
      <c r="BG46"/>
      <c r="BH46" s="13">
        <v>23.142859999999999</v>
      </c>
      <c r="BI46" s="10">
        <v>20.8</v>
      </c>
      <c r="BJ46" s="10">
        <v>10.8</v>
      </c>
      <c r="BK46" s="10">
        <v>7.6666699999999999</v>
      </c>
      <c r="BL46" s="14">
        <v>4.3333300000000001</v>
      </c>
      <c r="BM46" s="13">
        <v>-7.0000000000000007E-2</v>
      </c>
      <c r="BN46">
        <v>8.730921264897983</v>
      </c>
      <c r="BO46">
        <v>29</v>
      </c>
      <c r="BP46">
        <v>5.7142860000000004</v>
      </c>
      <c r="BQ46" s="134" t="s">
        <v>363</v>
      </c>
      <c r="BR46" s="13">
        <v>1</v>
      </c>
      <c r="BS46" s="10">
        <v>0.5</v>
      </c>
      <c r="BT46" s="10">
        <v>0.75</v>
      </c>
      <c r="BU46" s="10">
        <v>0.33333299999999999</v>
      </c>
      <c r="BV46" s="14">
        <v>0.33333000000000002</v>
      </c>
      <c r="BW46"/>
      <c r="BX46"/>
      <c r="BY46" s="63">
        <v>17.57</v>
      </c>
      <c r="BZ46" s="63">
        <v>16.54</v>
      </c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</row>
    <row r="47" spans="1:188" s="10" customFormat="1" ht="16.350000000000001" customHeight="1">
      <c r="A47" s="133" t="s">
        <v>365</v>
      </c>
      <c r="B47" s="224" t="s">
        <v>366</v>
      </c>
      <c r="C47" s="62"/>
      <c r="D47" s="12" t="s">
        <v>22</v>
      </c>
      <c r="E47" s="10" t="s">
        <v>262</v>
      </c>
      <c r="F47" s="11">
        <v>42411</v>
      </c>
      <c r="G47" s="164">
        <v>0.48194444444444445</v>
      </c>
      <c r="H47" s="13">
        <v>20.56</v>
      </c>
      <c r="I47" s="64">
        <f>H51-H47</f>
        <v>-2.1688888888888869</v>
      </c>
      <c r="J47" s="63">
        <v>24.62</v>
      </c>
      <c r="K47" s="14">
        <f t="shared" si="115"/>
        <v>4.0600000000000023</v>
      </c>
      <c r="L47" s="13">
        <v>103.37000000000003</v>
      </c>
      <c r="M47" s="86">
        <v>378.21231298230089</v>
      </c>
      <c r="N47" s="15">
        <v>9.4</v>
      </c>
      <c r="O47" s="13">
        <v>14.964</v>
      </c>
      <c r="P47" s="14">
        <v>17.536000000000001</v>
      </c>
      <c r="Q47" s="15">
        <v>85.86</v>
      </c>
      <c r="R47" s="15">
        <v>12.04</v>
      </c>
      <c r="S47" s="15">
        <v>46</v>
      </c>
      <c r="T47" s="15">
        <v>25.87</v>
      </c>
      <c r="U47" s="15">
        <v>2154.7644568250398</v>
      </c>
      <c r="V47" s="15"/>
      <c r="W47" s="13">
        <v>1.3</v>
      </c>
      <c r="X47" s="14">
        <f t="shared" si="116"/>
        <v>5.2802599512591381E-3</v>
      </c>
      <c r="Y47" s="13">
        <v>1.3380000000000001</v>
      </c>
      <c r="Z47" s="14">
        <f t="shared" si="117"/>
        <v>5.4346060113728676</v>
      </c>
      <c r="AA47" s="13">
        <v>0.17849999999999999</v>
      </c>
      <c r="AB47" s="14">
        <f t="shared" si="118"/>
        <v>0.7250203086921202</v>
      </c>
      <c r="AC47" s="13">
        <v>2.1</v>
      </c>
      <c r="AD47" s="14">
        <f t="shared" si="119"/>
        <v>8.529650690495532E-3</v>
      </c>
      <c r="AE47" s="13">
        <v>7.9500000000000001E-2</v>
      </c>
      <c r="AF47" s="14">
        <f t="shared" si="103"/>
        <v>0.32290820471161658</v>
      </c>
      <c r="AG47" s="13">
        <v>0.09</v>
      </c>
      <c r="AH47" s="14">
        <f t="shared" si="120"/>
        <v>0.36555645816409421</v>
      </c>
      <c r="AI47" s="13"/>
      <c r="AJ47" s="13">
        <v>9.5000000000000001E-2</v>
      </c>
      <c r="AK47" s="10">
        <f t="shared" si="104"/>
        <v>0.38586515028432167</v>
      </c>
      <c r="AL47" s="14">
        <f t="shared" si="105"/>
        <v>0.25118166897026878</v>
      </c>
      <c r="AM47" s="13">
        <v>0.13059999999999999</v>
      </c>
      <c r="AN47" s="10">
        <f t="shared" si="106"/>
        <v>0.53046303818034113</v>
      </c>
      <c r="AO47" s="14">
        <f t="shared" si="107"/>
        <v>0.3453086943949169</v>
      </c>
      <c r="AP47" s="13">
        <v>1.9199999999999998E-2</v>
      </c>
      <c r="AQ47" s="10">
        <f t="shared" si="108"/>
        <v>7.7985377741673426E-2</v>
      </c>
      <c r="AR47" s="14">
        <f t="shared" si="109"/>
        <v>5.076513730767538E-2</v>
      </c>
      <c r="AS47" s="13"/>
      <c r="AT47" s="13">
        <f t="shared" si="110"/>
        <v>0.24479999999999999</v>
      </c>
      <c r="AU47" s="10">
        <f t="shared" si="111"/>
        <v>0.99431356620633626</v>
      </c>
      <c r="AV47" s="14">
        <f t="shared" si="112"/>
        <v>0.64725550067286108</v>
      </c>
      <c r="AW47" s="13">
        <v>9.6000000000000002E-2</v>
      </c>
      <c r="AX47" s="10">
        <f t="shared" si="113"/>
        <v>0.38992688870836717</v>
      </c>
      <c r="AY47" s="14">
        <f t="shared" si="114"/>
        <v>0.25382568653837689</v>
      </c>
      <c r="AZ47" s="123"/>
      <c r="BA47" s="13"/>
      <c r="BC47" s="14"/>
      <c r="BD47" s="13"/>
      <c r="BF47" s="14"/>
      <c r="BG47"/>
      <c r="BH47" s="13">
        <v>17.125</v>
      </c>
      <c r="BI47" s="10">
        <v>16.3</v>
      </c>
      <c r="BJ47" s="10">
        <v>8.1999999999999993</v>
      </c>
      <c r="BK47" s="10">
        <v>6</v>
      </c>
      <c r="BL47" s="14">
        <v>4.3333300000000001</v>
      </c>
      <c r="BM47" s="13">
        <v>0.3</v>
      </c>
      <c r="BN47">
        <v>10.642923913996166</v>
      </c>
      <c r="BO47">
        <v>26</v>
      </c>
      <c r="BP47">
        <v>2.8666670000000001</v>
      </c>
      <c r="BQ47" s="134" t="s">
        <v>365</v>
      </c>
      <c r="BR47" s="13">
        <v>0.625</v>
      </c>
      <c r="BS47" s="10">
        <v>0.5</v>
      </c>
      <c r="BT47" s="10">
        <v>0.2</v>
      </c>
      <c r="BU47" s="10">
        <v>0</v>
      </c>
      <c r="BV47" s="14">
        <v>0.66666999999999998</v>
      </c>
      <c r="BW47"/>
      <c r="BX47"/>
      <c r="BY47" s="13">
        <v>17.77</v>
      </c>
      <c r="BZ47" s="63">
        <v>16.920000000000002</v>
      </c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</row>
    <row r="48" spans="1:188" s="10" customFormat="1" ht="16.350000000000001" customHeight="1">
      <c r="A48" s="133" t="s">
        <v>367</v>
      </c>
      <c r="B48" s="224" t="s">
        <v>368</v>
      </c>
      <c r="C48" s="11"/>
      <c r="D48" s="12" t="s">
        <v>22</v>
      </c>
      <c r="E48" s="10" t="s">
        <v>262</v>
      </c>
      <c r="F48" s="11">
        <v>42411</v>
      </c>
      <c r="G48" s="164">
        <v>0.65277777777777779</v>
      </c>
      <c r="H48" s="13">
        <v>19.43</v>
      </c>
      <c r="I48" s="64">
        <f>H51-H48</f>
        <v>-1.0388888888888879</v>
      </c>
      <c r="J48" s="63">
        <v>20.149999999999999</v>
      </c>
      <c r="K48" s="14">
        <f t="shared" si="115"/>
        <v>0.71999999999999886</v>
      </c>
      <c r="L48" s="13">
        <v>98.859999999999928</v>
      </c>
      <c r="M48" s="86">
        <v>361.99994607064048</v>
      </c>
      <c r="N48" s="15">
        <v>8.6999999999999993</v>
      </c>
      <c r="O48" s="13">
        <v>14.260999999999999</v>
      </c>
      <c r="P48" s="14">
        <v>16.760999999999999</v>
      </c>
      <c r="Q48" s="15">
        <v>82.39</v>
      </c>
      <c r="R48" s="15">
        <v>11.63</v>
      </c>
      <c r="S48" s="15">
        <v>43.57</v>
      </c>
      <c r="T48" s="15">
        <v>28.1</v>
      </c>
      <c r="U48" s="15">
        <v>2041.6677716352501</v>
      </c>
      <c r="V48" s="15"/>
      <c r="W48" s="13">
        <v>1.1000000000000001</v>
      </c>
      <c r="X48" s="14">
        <f t="shared" si="116"/>
        <v>5.4590570719602986E-3</v>
      </c>
      <c r="Y48" s="13">
        <v>0.94030000000000002</v>
      </c>
      <c r="Z48" s="14">
        <f t="shared" si="117"/>
        <v>4.6665012406947897</v>
      </c>
      <c r="AA48" s="13">
        <v>0.1454</v>
      </c>
      <c r="AB48" s="14">
        <f t="shared" si="118"/>
        <v>0.72158808933002494</v>
      </c>
      <c r="AC48" s="13">
        <v>2.2999999999999998</v>
      </c>
      <c r="AD48" s="14">
        <f t="shared" si="119"/>
        <v>1.1414392059553351E-2</v>
      </c>
      <c r="AE48" s="13">
        <v>5.11E-2</v>
      </c>
      <c r="AF48" s="14">
        <f t="shared" si="103"/>
        <v>0.2535980148883375</v>
      </c>
      <c r="AG48" s="13">
        <v>7.9299999999999995E-2</v>
      </c>
      <c r="AH48" s="14">
        <f t="shared" si="120"/>
        <v>0.3935483870967742</v>
      </c>
      <c r="AI48" s="13"/>
      <c r="AJ48" s="13">
        <v>8.8599999999999998E-2</v>
      </c>
      <c r="AK48" s="10">
        <f t="shared" si="104"/>
        <v>0.43970223325062041</v>
      </c>
      <c r="AL48" s="14">
        <f t="shared" si="105"/>
        <v>0.24475141767758893</v>
      </c>
      <c r="AM48" s="13">
        <v>0.12130000000000001</v>
      </c>
      <c r="AN48" s="10">
        <f t="shared" si="106"/>
        <v>0.6019851116625311</v>
      </c>
      <c r="AO48" s="14">
        <f t="shared" si="107"/>
        <v>0.33508292284753433</v>
      </c>
      <c r="AP48" s="13">
        <v>1.9599999999999999E-2</v>
      </c>
      <c r="AQ48" s="10">
        <f t="shared" si="108"/>
        <v>9.7270471464019861E-2</v>
      </c>
      <c r="AR48" s="14">
        <f t="shared" si="109"/>
        <v>5.4143654474951952E-2</v>
      </c>
      <c r="AS48" s="13"/>
      <c r="AT48" s="13">
        <f t="shared" si="110"/>
        <v>0.22950000000000001</v>
      </c>
      <c r="AU48" s="10">
        <f t="shared" si="111"/>
        <v>1.1389578163771714</v>
      </c>
      <c r="AV48" s="14">
        <f t="shared" si="112"/>
        <v>0.63397799500007523</v>
      </c>
      <c r="AW48" s="13">
        <v>8.2600000000000007E-2</v>
      </c>
      <c r="AX48" s="10">
        <f t="shared" si="113"/>
        <v>0.40992555831265515</v>
      </c>
      <c r="AY48" s="14">
        <f t="shared" si="114"/>
        <v>0.22817682957301183</v>
      </c>
      <c r="AZ48" s="123"/>
      <c r="BA48" s="13"/>
      <c r="BC48" s="14"/>
      <c r="BD48" s="13"/>
      <c r="BF48" s="14"/>
      <c r="BG48"/>
      <c r="BH48" s="13">
        <v>21.875</v>
      </c>
      <c r="BI48" s="10">
        <v>13.3</v>
      </c>
      <c r="BJ48" s="10">
        <v>12.6</v>
      </c>
      <c r="BK48" s="10">
        <v>8.6666699999999999</v>
      </c>
      <c r="BL48" s="14">
        <v>11</v>
      </c>
      <c r="BM48" s="13">
        <v>0.17</v>
      </c>
      <c r="BN48">
        <v>14.497742421470376</v>
      </c>
      <c r="BO48">
        <v>46</v>
      </c>
      <c r="BP48">
        <v>3.045455</v>
      </c>
      <c r="BQ48" s="134" t="s">
        <v>367</v>
      </c>
      <c r="BR48" s="13">
        <v>0.625</v>
      </c>
      <c r="BS48" s="10">
        <v>0.75</v>
      </c>
      <c r="BT48" s="10">
        <v>0.4</v>
      </c>
      <c r="BU48" s="10">
        <v>0</v>
      </c>
      <c r="BV48" s="14">
        <v>0</v>
      </c>
      <c r="BW48"/>
      <c r="BX48"/>
      <c r="BY48" s="13">
        <v>17.91</v>
      </c>
      <c r="BZ48" s="63">
        <v>17.170000000000002</v>
      </c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</row>
    <row r="49" spans="1:180" s="10" customFormat="1" ht="16.350000000000001" customHeight="1">
      <c r="A49" s="9" t="s">
        <v>369</v>
      </c>
      <c r="B49" s="224" t="s">
        <v>370</v>
      </c>
      <c r="C49" s="11"/>
      <c r="D49" s="12" t="s">
        <v>22</v>
      </c>
      <c r="E49" s="10" t="s">
        <v>262</v>
      </c>
      <c r="F49" s="11">
        <v>42411</v>
      </c>
      <c r="G49" s="164">
        <v>0.73749999999999993</v>
      </c>
      <c r="H49" s="13">
        <v>16.059999999999999</v>
      </c>
      <c r="I49" s="64">
        <f>H51-H49</f>
        <v>2.3311111111111131</v>
      </c>
      <c r="J49" s="63">
        <v>23.62</v>
      </c>
      <c r="K49" s="14">
        <f t="shared" si="115"/>
        <v>7.5600000000000023</v>
      </c>
      <c r="L49" s="13">
        <v>99.870000000000019</v>
      </c>
      <c r="M49" s="86">
        <v>363.05424395909847</v>
      </c>
      <c r="N49" s="15">
        <v>9</v>
      </c>
      <c r="O49" s="13">
        <v>14.247</v>
      </c>
      <c r="P49" s="14">
        <v>17.045999999999999</v>
      </c>
      <c r="Q49" s="15">
        <v>85.56</v>
      </c>
      <c r="R49" s="15">
        <v>9.14</v>
      </c>
      <c r="S49" s="15">
        <v>50.04</v>
      </c>
      <c r="T49" s="15">
        <v>26.92</v>
      </c>
      <c r="U49" s="15">
        <v>2686.2362522418698</v>
      </c>
      <c r="V49" s="15"/>
      <c r="W49" s="13">
        <v>1.6</v>
      </c>
      <c r="X49" s="14">
        <f t="shared" si="116"/>
        <v>6.7739204064352241E-3</v>
      </c>
      <c r="Y49" s="13">
        <v>0.96950000000000003</v>
      </c>
      <c r="Z49" s="14">
        <f t="shared" si="117"/>
        <v>4.1045723962743432</v>
      </c>
      <c r="AA49" s="13">
        <v>0.17380000000000001</v>
      </c>
      <c r="AB49" s="14">
        <f t="shared" si="118"/>
        <v>0.73581710414902624</v>
      </c>
      <c r="AC49" s="13">
        <v>3.1</v>
      </c>
      <c r="AD49" s="14">
        <f t="shared" si="119"/>
        <v>1.3124470787468246E-2</v>
      </c>
      <c r="AE49" s="13">
        <v>6.1600000000000002E-2</v>
      </c>
      <c r="AF49" s="14">
        <f t="shared" si="103"/>
        <v>0.26079593564775611</v>
      </c>
      <c r="AG49" s="13">
        <v>6.4199999999999993E-2</v>
      </c>
      <c r="AH49" s="14">
        <f t="shared" si="120"/>
        <v>0.27180355630821335</v>
      </c>
      <c r="AI49" s="13"/>
      <c r="AJ49" s="13">
        <v>9.4399999999999998E-2</v>
      </c>
      <c r="AK49" s="10">
        <f t="shared" si="104"/>
        <v>0.3996613039796782</v>
      </c>
      <c r="AL49" s="14">
        <f t="shared" si="105"/>
        <v>0.26001624156922143</v>
      </c>
      <c r="AM49" s="13">
        <v>0.1129</v>
      </c>
      <c r="AN49" s="10">
        <f t="shared" si="106"/>
        <v>0.47798475867908546</v>
      </c>
      <c r="AO49" s="14">
        <f t="shared" si="107"/>
        <v>0.31097281433437607</v>
      </c>
      <c r="AP49" s="13">
        <v>1.9599999999999999E-2</v>
      </c>
      <c r="AQ49" s="10">
        <f t="shared" si="108"/>
        <v>8.2980524978831488E-2</v>
      </c>
      <c r="AR49" s="14">
        <f t="shared" si="109"/>
        <v>5.3986423037677325E-2</v>
      </c>
      <c r="AS49" s="13"/>
      <c r="AT49" s="13">
        <f t="shared" si="110"/>
        <v>0.22689999999999999</v>
      </c>
      <c r="AU49" s="10">
        <f t="shared" si="111"/>
        <v>0.96062658763759512</v>
      </c>
      <c r="AV49" s="14">
        <f t="shared" si="112"/>
        <v>0.62497547894127481</v>
      </c>
      <c r="AW49" s="13">
        <v>9.5699999999999993E-2</v>
      </c>
      <c r="AX49" s="10">
        <f t="shared" si="113"/>
        <v>0.40516511430990676</v>
      </c>
      <c r="AY49" s="14">
        <f t="shared" si="114"/>
        <v>0.26359697370947549</v>
      </c>
      <c r="AZ49" s="123"/>
      <c r="BA49" s="13"/>
      <c r="BC49" s="14"/>
      <c r="BD49" s="13"/>
      <c r="BF49" s="14"/>
      <c r="BG49"/>
      <c r="BH49" s="13">
        <v>16.625</v>
      </c>
      <c r="BI49" s="10">
        <v>13.4</v>
      </c>
      <c r="BL49" s="14"/>
      <c r="BM49" s="13">
        <v>-0.06</v>
      </c>
      <c r="BN49">
        <v>14.963199256757362</v>
      </c>
      <c r="BO49">
        <v>40</v>
      </c>
      <c r="BP49">
        <v>2.9523809999999999</v>
      </c>
      <c r="BQ49" s="123" t="s">
        <v>369</v>
      </c>
      <c r="BR49" s="13"/>
      <c r="BV49" s="14"/>
      <c r="BW49"/>
      <c r="BX49"/>
      <c r="BY49" s="63">
        <v>17.98</v>
      </c>
      <c r="BZ49" s="63">
        <v>17.29</v>
      </c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</row>
    <row r="50" spans="1:180" s="10" customFormat="1" ht="16.350000000000001" customHeight="1">
      <c r="A50" s="9" t="s">
        <v>371</v>
      </c>
      <c r="B50" s="63" t="s">
        <v>372</v>
      </c>
      <c r="C50" s="142">
        <v>43703</v>
      </c>
      <c r="D50" s="12" t="s">
        <v>22</v>
      </c>
      <c r="E50" s="10" t="s">
        <v>262</v>
      </c>
      <c r="F50" s="11">
        <v>43742</v>
      </c>
      <c r="G50" s="400">
        <v>0.62152777777777779</v>
      </c>
      <c r="H50" s="13">
        <v>19.690000000000001</v>
      </c>
      <c r="I50" s="64">
        <f>H51-H50</f>
        <v>-1.2988888888888894</v>
      </c>
      <c r="J50" s="63">
        <v>22.87</v>
      </c>
      <c r="K50" s="14">
        <f t="shared" si="115"/>
        <v>3.1799999999999997</v>
      </c>
      <c r="L50" s="13">
        <v>82.940000000000069</v>
      </c>
      <c r="M50" s="86">
        <v>304.73666331404348</v>
      </c>
      <c r="N50" s="15">
        <v>8.4</v>
      </c>
      <c r="O50" s="13">
        <v>14.471</v>
      </c>
      <c r="P50" s="14">
        <v>16.672000000000001</v>
      </c>
      <c r="Q50" s="15">
        <v>75.38</v>
      </c>
      <c r="R50" s="15">
        <v>8.27</v>
      </c>
      <c r="S50" s="15">
        <v>37.4</v>
      </c>
      <c r="T50" s="15">
        <v>29.65</v>
      </c>
      <c r="U50" s="15">
        <v>2373.0245514704702</v>
      </c>
      <c r="V50" s="15"/>
      <c r="W50" s="13">
        <v>1.3</v>
      </c>
      <c r="X50" s="14">
        <f t="shared" si="116"/>
        <v>5.684302579798863E-3</v>
      </c>
      <c r="Y50" s="13">
        <v>1.0505</v>
      </c>
      <c r="Z50" s="14">
        <f t="shared" si="117"/>
        <v>4.5933537385220813</v>
      </c>
      <c r="AA50" s="13">
        <v>0.1346</v>
      </c>
      <c r="AB50" s="14">
        <f t="shared" si="118"/>
        <v>0.58854394403148225</v>
      </c>
      <c r="AC50" s="13">
        <v>2.2000000000000002</v>
      </c>
      <c r="AD50" s="14">
        <f t="shared" si="119"/>
        <v>9.619588981198076E-3</v>
      </c>
      <c r="AE50" s="13">
        <v>7.0800000000000002E-2</v>
      </c>
      <c r="AF50" s="14">
        <f t="shared" ref="AF50" si="121">(1000/J50)*AE50</f>
        <v>3.095758635767381</v>
      </c>
      <c r="AG50" s="13">
        <v>6.5100000000000005E-2</v>
      </c>
      <c r="AH50" s="14">
        <f t="shared" si="120"/>
        <v>0.2846523830345431</v>
      </c>
      <c r="AI50" s="13"/>
      <c r="AJ50" s="13">
        <v>4.9299999999999997E-2</v>
      </c>
      <c r="AK50" s="10">
        <f t="shared" si="104"/>
        <v>0.21556624398775687</v>
      </c>
      <c r="AL50" s="14">
        <f t="shared" si="105"/>
        <v>0.16177902410513154</v>
      </c>
      <c r="AM50" s="13">
        <v>8.8700000000000001E-2</v>
      </c>
      <c r="AN50" s="10">
        <f t="shared" si="106"/>
        <v>0.38784433756012243</v>
      </c>
      <c r="AO50" s="14">
        <f t="shared" si="107"/>
        <v>0.29107098251775193</v>
      </c>
      <c r="AP50" s="13">
        <v>1.5699999999999999E-2</v>
      </c>
      <c r="AQ50" s="10">
        <f t="shared" si="108"/>
        <v>6.8648885002186258E-2</v>
      </c>
      <c r="AR50" s="14">
        <f t="shared" si="109"/>
        <v>5.1519892057820794E-2</v>
      </c>
      <c r="AS50" s="13"/>
      <c r="AT50" s="13">
        <f t="shared" si="110"/>
        <v>0.1537</v>
      </c>
      <c r="AU50" s="10">
        <f t="shared" si="111"/>
        <v>0.67205946655006565</v>
      </c>
      <c r="AV50" s="14">
        <f t="shared" si="112"/>
        <v>0.50436989868070436</v>
      </c>
      <c r="AW50" s="13">
        <v>7.9699999999999993E-2</v>
      </c>
      <c r="AX50" s="10">
        <f t="shared" si="113"/>
        <v>0.34849147354613025</v>
      </c>
      <c r="AY50" s="14">
        <f t="shared" si="114"/>
        <v>0.26153728643365076</v>
      </c>
      <c r="AZ50" s="123"/>
      <c r="BA50" s="13"/>
      <c r="BC50" s="14"/>
      <c r="BD50" s="13"/>
      <c r="BF50" s="14"/>
      <c r="BG50"/>
      <c r="BH50" s="13"/>
      <c r="BL50" s="14"/>
      <c r="BM50" s="13">
        <v>0.6495360456816559</v>
      </c>
      <c r="BP50" s="14"/>
      <c r="BQ50" s="123"/>
      <c r="BR50" s="13"/>
      <c r="BV50" s="14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</row>
    <row r="51" spans="1:180" s="10" customFormat="1" ht="16.350000000000001" customHeight="1">
      <c r="A51" s="126"/>
      <c r="B51" s="62"/>
      <c r="C51" s="11"/>
      <c r="D51" s="3"/>
      <c r="E51" s="3"/>
      <c r="F51" s="3" t="s">
        <v>281</v>
      </c>
      <c r="G51" s="333">
        <f>AVERAGE(G42:G50)</f>
        <v>0.64189814814814805</v>
      </c>
      <c r="H51" s="18">
        <f>AVERAGE(H42:H50)</f>
        <v>18.391111111111112</v>
      </c>
      <c r="I51" s="19">
        <f t="shared" ref="I51:AY51" si="122">AVERAGE(I42:I50)</f>
        <v>1.1842378929335002E-15</v>
      </c>
      <c r="J51" s="18">
        <f t="shared" si="122"/>
        <v>21.665555555555557</v>
      </c>
      <c r="K51" s="88">
        <f t="shared" si="122"/>
        <v>3.2744444444444447</v>
      </c>
      <c r="L51" s="59">
        <f t="shared" si="122"/>
        <v>93.888888888888886</v>
      </c>
      <c r="M51" s="88">
        <f t="shared" si="122"/>
        <v>343.87037528553896</v>
      </c>
      <c r="N51" s="58">
        <f t="shared" si="122"/>
        <v>8.7666666666666675</v>
      </c>
      <c r="O51" s="59">
        <f t="shared" si="122"/>
        <v>14.45611111111111</v>
      </c>
      <c r="P51" s="88">
        <f t="shared" si="122"/>
        <v>16.94188888888889</v>
      </c>
      <c r="Q51" s="58">
        <f t="shared" si="122"/>
        <v>83.723333333333343</v>
      </c>
      <c r="R51" s="58">
        <f t="shared" si="122"/>
        <v>11.407777777777776</v>
      </c>
      <c r="S51" s="58">
        <f t="shared" si="122"/>
        <v>44.063333333333333</v>
      </c>
      <c r="T51" s="58">
        <f t="shared" si="122"/>
        <v>28.437777777777782</v>
      </c>
      <c r="U51" s="59">
        <f t="shared" si="122"/>
        <v>2185.6886118464945</v>
      </c>
      <c r="V51" s="59" t="e">
        <f t="shared" si="122"/>
        <v>#DIV/0!</v>
      </c>
      <c r="W51" s="59">
        <f t="shared" si="122"/>
        <v>1.2555555555555555</v>
      </c>
      <c r="X51" s="88">
        <f t="shared" si="122"/>
        <v>5.7900916547494428E-3</v>
      </c>
      <c r="Y51" s="59">
        <f t="shared" si="122"/>
        <v>1.0235222222222222</v>
      </c>
      <c r="Z51" s="88">
        <f t="shared" si="122"/>
        <v>4.7141362595640945</v>
      </c>
      <c r="AA51" s="59">
        <f t="shared" si="122"/>
        <v>0.15083333333333332</v>
      </c>
      <c r="AB51" s="88">
        <f t="shared" si="122"/>
        <v>0.69750178953163788</v>
      </c>
      <c r="AC51" s="59">
        <f t="shared" si="122"/>
        <v>2.7</v>
      </c>
      <c r="AD51" s="88">
        <f t="shared" si="122"/>
        <v>1.2592395108379929E-2</v>
      </c>
      <c r="AE51" s="59">
        <f t="shared" si="122"/>
        <v>6.2299999999999994E-2</v>
      </c>
      <c r="AF51" s="88">
        <f t="shared" si="122"/>
        <v>0.59546511560118587</v>
      </c>
      <c r="AG51" s="59">
        <f t="shared" si="122"/>
        <v>7.7477777777777798E-2</v>
      </c>
      <c r="AH51" s="88">
        <f t="shared" si="122"/>
        <v>0.35972534750028862</v>
      </c>
      <c r="AI51" s="59" t="e">
        <f t="shared" si="122"/>
        <v>#DIV/0!</v>
      </c>
      <c r="AJ51" s="59">
        <f t="shared" si="122"/>
        <v>8.1677777777777794E-2</v>
      </c>
      <c r="AK51" s="55">
        <f t="shared" si="122"/>
        <v>0.37895542225988005</v>
      </c>
      <c r="AL51" s="88">
        <f t="shared" si="122"/>
        <v>0.23766794208230468</v>
      </c>
      <c r="AM51" s="59">
        <f t="shared" si="122"/>
        <v>0.10298888888888889</v>
      </c>
      <c r="AN51" s="55">
        <f t="shared" si="122"/>
        <v>0.47545443298229362</v>
      </c>
      <c r="AO51" s="88">
        <f t="shared" si="122"/>
        <v>0.2985178755016562</v>
      </c>
      <c r="AP51" s="59">
        <f t="shared" si="122"/>
        <v>1.8822222222222219E-2</v>
      </c>
      <c r="AQ51" s="55">
        <f t="shared" si="122"/>
        <v>8.7251353220645159E-2</v>
      </c>
      <c r="AR51" s="88">
        <f t="shared" si="122"/>
        <v>5.4691221762739391E-2</v>
      </c>
      <c r="AS51" s="59" t="e">
        <f t="shared" si="122"/>
        <v>#DIV/0!</v>
      </c>
      <c r="AT51" s="59">
        <f t="shared" si="122"/>
        <v>0.20348888888888886</v>
      </c>
      <c r="AU51" s="55">
        <f t="shared" si="122"/>
        <v>0.94166120846281887</v>
      </c>
      <c r="AV51" s="88">
        <f t="shared" si="122"/>
        <v>0.59087703934670044</v>
      </c>
      <c r="AW51" s="59">
        <f t="shared" si="122"/>
        <v>9.2944444444444441E-2</v>
      </c>
      <c r="AX51" s="55">
        <f>AVERAGE(AX42:AX50)</f>
        <v>0.43058441654055168</v>
      </c>
      <c r="AY51" s="88">
        <f t="shared" si="122"/>
        <v>0.27214836026638412</v>
      </c>
      <c r="AZ51" s="126"/>
      <c r="BA51" s="59" t="e">
        <f t="shared" ref="BA51:BF51" si="123">AVERAGE(BA42:BA50)</f>
        <v>#DIV/0!</v>
      </c>
      <c r="BB51" s="55" t="e">
        <f t="shared" si="123"/>
        <v>#DIV/0!</v>
      </c>
      <c r="BC51" s="88" t="e">
        <f t="shared" si="123"/>
        <v>#DIV/0!</v>
      </c>
      <c r="BD51" s="59" t="e">
        <f t="shared" si="123"/>
        <v>#DIV/0!</v>
      </c>
      <c r="BE51" s="55" t="e">
        <f t="shared" si="123"/>
        <v>#DIV/0!</v>
      </c>
      <c r="BF51" s="88" t="e">
        <f t="shared" si="123"/>
        <v>#DIV/0!</v>
      </c>
      <c r="BG51"/>
      <c r="BH51" s="59">
        <f t="shared" ref="BH51:BM51" si="124">AVERAGE(BH42:BH50)</f>
        <v>17.006696075000001</v>
      </c>
      <c r="BI51" s="55">
        <f t="shared" si="124"/>
        <v>13.725</v>
      </c>
      <c r="BJ51" s="55">
        <f t="shared" si="124"/>
        <v>7.2857142857142856</v>
      </c>
      <c r="BK51" s="55">
        <f t="shared" si="124"/>
        <v>9.0952385714285704</v>
      </c>
      <c r="BL51" s="88">
        <f t="shared" si="124"/>
        <v>4.8095228571428574</v>
      </c>
      <c r="BM51" s="59">
        <f t="shared" si="124"/>
        <v>0.16439289396462844</v>
      </c>
      <c r="BN51" s="55">
        <f>AVERAGE(BN42:BN50)</f>
        <v>13.032405146256659</v>
      </c>
      <c r="BO51" s="55">
        <f>AVERAGE(BO42:BO50)</f>
        <v>34.5</v>
      </c>
      <c r="BP51" s="88">
        <f>AVERAGE(BP42:BP50)</f>
        <v>3.1417929999999998</v>
      </c>
      <c r="BQ51" s="126"/>
      <c r="BR51" s="59">
        <f t="shared" ref="BR51:BV51" si="125">AVERAGE(BR42:BR50)</f>
        <v>0.55867357142857144</v>
      </c>
      <c r="BS51" s="55">
        <f t="shared" si="125"/>
        <v>0.45285714285714285</v>
      </c>
      <c r="BT51" s="55">
        <f t="shared" si="125"/>
        <v>0.29285714285714282</v>
      </c>
      <c r="BU51" s="55">
        <f t="shared" si="125"/>
        <v>0.14285657142857142</v>
      </c>
      <c r="BV51" s="88">
        <f t="shared" si="125"/>
        <v>0.23809571428571427</v>
      </c>
      <c r="BW51"/>
      <c r="BX51"/>
      <c r="BY51" s="13">
        <v>18.97</v>
      </c>
      <c r="BZ51" s="63">
        <v>17.46</v>
      </c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</row>
    <row r="52" spans="1:180" s="10" customFormat="1" ht="16.350000000000001" customHeight="1">
      <c r="A52" s="126"/>
      <c r="B52" s="62"/>
      <c r="C52" s="17"/>
      <c r="D52" s="3"/>
      <c r="E52" s="3"/>
      <c r="F52" s="3" t="s">
        <v>45</v>
      </c>
      <c r="G52" s="88">
        <f t="shared" ref="G52" si="126">(STDEV(G42:G50)/(SQRT(COUNT(G42:G50))))</f>
        <v>3.3764769986116792E-2</v>
      </c>
      <c r="H52" s="18">
        <f>STDEV(H42:H50)/SQRT(COUNT(H42:H50))</f>
        <v>0.55449287252318435</v>
      </c>
      <c r="I52" s="19">
        <f>STDEV(I42:I50)/SQRT(COUNT(I42:I50))</f>
        <v>0.55449287252318435</v>
      </c>
      <c r="J52" s="18">
        <f>STDEV(J42:J50)/SQRT(COUNT(J42:J50))</f>
        <v>0.61143526756293143</v>
      </c>
      <c r="K52" s="88">
        <f t="shared" ref="K52:AY52" si="127">(STDEV(K42:K50)/(SQRT(COUNT(K42:K50))))</f>
        <v>0.73626329663735746</v>
      </c>
      <c r="L52" s="59">
        <f t="shared" si="127"/>
        <v>3.3133708266005915</v>
      </c>
      <c r="M52" s="88">
        <f t="shared" si="127"/>
        <v>12.130609790275889</v>
      </c>
      <c r="N52" s="58">
        <f>(STDEV(N42:N50)/(SQRT(COUNT(N42:N50))))</f>
        <v>0.11426091000668408</v>
      </c>
      <c r="O52" s="59">
        <f t="shared" si="127"/>
        <v>8.8763487933516197E-2</v>
      </c>
      <c r="P52" s="88">
        <f t="shared" si="127"/>
        <v>0.1059889203387217</v>
      </c>
      <c r="Q52" s="58">
        <f t="shared" si="127"/>
        <v>1.3087525867532539</v>
      </c>
      <c r="R52" s="58">
        <f t="shared" si="127"/>
        <v>0.77137643530138622</v>
      </c>
      <c r="S52" s="58">
        <f t="shared" si="127"/>
        <v>1.496258296180472</v>
      </c>
      <c r="T52" s="58">
        <f t="shared" si="127"/>
        <v>0.9381005895155291</v>
      </c>
      <c r="U52" s="59">
        <f t="shared" si="127"/>
        <v>170.74861171404424</v>
      </c>
      <c r="V52" s="59" t="e">
        <f t="shared" si="127"/>
        <v>#DIV/0!</v>
      </c>
      <c r="W52" s="59">
        <f>(STDEV(W42:W50)/(SQRT(COUNT(W42:W50))))</f>
        <v>6.0348780506667886E-2</v>
      </c>
      <c r="X52" s="88">
        <f t="shared" si="127"/>
        <v>2.1104705475882563E-4</v>
      </c>
      <c r="Y52" s="59">
        <f t="shared" si="127"/>
        <v>5.3162480968405042E-2</v>
      </c>
      <c r="Z52" s="88">
        <f t="shared" si="127"/>
        <v>0.17130363349493494</v>
      </c>
      <c r="AA52" s="59">
        <f t="shared" si="127"/>
        <v>5.0892861319966421E-3</v>
      </c>
      <c r="AB52" s="88">
        <f t="shared" si="127"/>
        <v>1.8876350802788724E-2</v>
      </c>
      <c r="AC52" s="59">
        <f t="shared" si="127"/>
        <v>0.13944333775567883</v>
      </c>
      <c r="AD52" s="88">
        <f t="shared" si="127"/>
        <v>8.2639707996219299E-4</v>
      </c>
      <c r="AE52" s="59">
        <f t="shared" si="127"/>
        <v>4.0638651552432235E-3</v>
      </c>
      <c r="AF52" s="88">
        <f t="shared" si="127"/>
        <v>0.31279601354496761</v>
      </c>
      <c r="AG52" s="59">
        <f t="shared" si="127"/>
        <v>3.2082263089411884E-3</v>
      </c>
      <c r="AH52" s="88">
        <f t="shared" si="127"/>
        <v>1.6919677713423644E-2</v>
      </c>
      <c r="AI52" s="59" t="e">
        <f t="shared" si="127"/>
        <v>#DIV/0!</v>
      </c>
      <c r="AJ52" s="59">
        <f t="shared" si="127"/>
        <v>6.1185232826633578E-3</v>
      </c>
      <c r="AK52" s="55">
        <f t="shared" si="127"/>
        <v>2.9430479387506338E-2</v>
      </c>
      <c r="AL52" s="88">
        <f t="shared" si="127"/>
        <v>1.699973494564121E-2</v>
      </c>
      <c r="AM52" s="59">
        <f t="shared" si="127"/>
        <v>6.7496593421125899E-3</v>
      </c>
      <c r="AN52" s="55">
        <f t="shared" si="127"/>
        <v>2.8819317971914921E-2</v>
      </c>
      <c r="AO52" s="88">
        <f t="shared" si="127"/>
        <v>1.4676109719389976E-2</v>
      </c>
      <c r="AP52" s="59">
        <f t="shared" si="127"/>
        <v>1.3792890457061341E-3</v>
      </c>
      <c r="AQ52" s="55">
        <f t="shared" si="127"/>
        <v>6.7833635916900439E-3</v>
      </c>
      <c r="AR52" s="88">
        <f t="shared" si="127"/>
        <v>3.776673175446877E-3</v>
      </c>
      <c r="AS52" s="59" t="e">
        <f t="shared" si="127"/>
        <v>#DIV/0!</v>
      </c>
      <c r="AT52" s="59">
        <f t="shared" si="127"/>
        <v>1.2850415519054144E-2</v>
      </c>
      <c r="AU52" s="55">
        <f t="shared" si="127"/>
        <v>5.8934383106487152E-2</v>
      </c>
      <c r="AV52" s="88">
        <f t="shared" si="127"/>
        <v>3.1005015767192969E-2</v>
      </c>
      <c r="AW52" s="59">
        <f t="shared" si="127"/>
        <v>3.9903742205153097E-3</v>
      </c>
      <c r="AX52" s="55">
        <f>(STDEV(AX42:AX50)/(SQRT(COUNT(AX42:AX50))))</f>
        <v>1.896803354472501E-2</v>
      </c>
      <c r="AY52" s="88">
        <f t="shared" si="127"/>
        <v>1.2942064217870815E-2</v>
      </c>
      <c r="AZ52" s="126"/>
      <c r="BA52" s="59" t="e">
        <f t="shared" ref="BA52:BF52" si="128">(STDEV(BA42:BA50)/(SQRT(COUNT(BA42:BA50))))</f>
        <v>#DIV/0!</v>
      </c>
      <c r="BB52" s="55" t="e">
        <f t="shared" si="128"/>
        <v>#DIV/0!</v>
      </c>
      <c r="BC52" s="88" t="e">
        <f t="shared" si="128"/>
        <v>#DIV/0!</v>
      </c>
      <c r="BD52" s="59" t="e">
        <f t="shared" si="128"/>
        <v>#DIV/0!</v>
      </c>
      <c r="BE52" s="55" t="e">
        <f t="shared" si="128"/>
        <v>#DIV/0!</v>
      </c>
      <c r="BF52" s="88" t="e">
        <f t="shared" si="128"/>
        <v>#DIV/0!</v>
      </c>
      <c r="BG52"/>
      <c r="BH52" s="59">
        <f t="shared" ref="BH52:BM52" si="129">(STDEV(BH42:BH50)/(SQRT(COUNT(BH42:BH50))))</f>
        <v>2.5530921234439798</v>
      </c>
      <c r="BI52" s="55">
        <f t="shared" si="129"/>
        <v>2.0246472355873339</v>
      </c>
      <c r="BJ52" s="55">
        <f t="shared" si="129"/>
        <v>1.3963265703826107</v>
      </c>
      <c r="BK52" s="55">
        <f t="shared" si="129"/>
        <v>1.7147259377444175</v>
      </c>
      <c r="BL52" s="88">
        <f t="shared" si="129"/>
        <v>1.4176839138248296</v>
      </c>
      <c r="BM52" s="59">
        <f t="shared" si="129"/>
        <v>7.3746173381438365E-2</v>
      </c>
      <c r="BN52" s="55">
        <f>(STDEV(BN42:BN50)/(SQRT(COUNT(BN42:BN50))))</f>
        <v>1.0389478574205642</v>
      </c>
      <c r="BO52" s="55">
        <f>(STDEV(BO42:BO50)/(SQRT(COUNT(BO42:BO50))))</f>
        <v>2.598076211353316</v>
      </c>
      <c r="BP52" s="88">
        <f>(STDEV(BP42:BP50)/(SQRT(COUNT(BP42:BP50))))</f>
        <v>0.39441736735042837</v>
      </c>
      <c r="BQ52" s="126"/>
      <c r="BR52" s="59">
        <f t="shared" ref="BR52:BV52" si="130">(STDEV(BR42:BR50)/(SQRT(COUNT(BR42:BR50))))</f>
        <v>9.8866457627702714E-2</v>
      </c>
      <c r="BS52" s="55">
        <f t="shared" si="130"/>
        <v>9.6157467226426901E-2</v>
      </c>
      <c r="BT52" s="55">
        <f t="shared" si="130"/>
        <v>8.8255966632622113E-2</v>
      </c>
      <c r="BU52" s="55">
        <f t="shared" si="130"/>
        <v>6.734323359719617E-2</v>
      </c>
      <c r="BV52" s="88">
        <f t="shared" si="130"/>
        <v>0.11983914641554087</v>
      </c>
      <c r="BW52"/>
      <c r="BX52"/>
      <c r="BY52" s="63">
        <v>19.239999999999998</v>
      </c>
      <c r="BZ52" s="63">
        <v>17.690000000000001</v>
      </c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</row>
    <row r="53" spans="1:180" s="22" customFormat="1" ht="16.350000000000001" customHeight="1">
      <c r="A53" s="125"/>
      <c r="B53" s="65"/>
      <c r="C53" s="23"/>
      <c r="D53" s="24"/>
      <c r="E53" s="24"/>
      <c r="F53" s="25"/>
      <c r="G53" s="24"/>
      <c r="H53" s="26"/>
      <c r="I53" s="27"/>
      <c r="J53" s="26"/>
      <c r="K53" s="28"/>
      <c r="L53" s="26"/>
      <c r="M53" s="28"/>
      <c r="N53" s="32"/>
      <c r="O53" s="30"/>
      <c r="P53" s="28"/>
      <c r="Q53" s="32"/>
      <c r="R53" s="32"/>
      <c r="S53" s="32"/>
      <c r="T53" s="32"/>
      <c r="U53" s="32"/>
      <c r="V53" s="32"/>
      <c r="W53" s="30"/>
      <c r="X53" s="28"/>
      <c r="Y53" s="30"/>
      <c r="AA53" s="30"/>
      <c r="AB53" s="28"/>
      <c r="AC53" s="30"/>
      <c r="AD53" s="28"/>
      <c r="AE53" s="30"/>
      <c r="AF53" s="28"/>
      <c r="AG53" s="30"/>
      <c r="AH53" s="28"/>
      <c r="AI53" s="30"/>
      <c r="AJ53" s="30"/>
      <c r="AL53" s="28"/>
      <c r="AM53" s="30"/>
      <c r="AO53" s="28"/>
      <c r="AP53" s="30"/>
      <c r="AR53" s="28"/>
      <c r="AS53" s="30"/>
      <c r="AT53" s="30"/>
      <c r="AV53" s="28"/>
      <c r="AW53" s="30"/>
      <c r="AY53" s="28"/>
      <c r="AZ53" s="125"/>
      <c r="BA53" s="30"/>
      <c r="BC53" s="28"/>
      <c r="BD53" s="30"/>
      <c r="BF53" s="28"/>
      <c r="BG53"/>
      <c r="BH53" s="30"/>
      <c r="BL53" s="28"/>
      <c r="BM53" s="30"/>
      <c r="BP53" s="28"/>
      <c r="BQ53" s="125"/>
      <c r="BR53" s="30"/>
      <c r="BV53" s="28"/>
      <c r="BW53"/>
      <c r="BX53"/>
      <c r="BY53" s="63">
        <v>19.25</v>
      </c>
      <c r="BZ53" s="63">
        <v>17.84</v>
      </c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</row>
    <row r="54" spans="1:180" s="10" customFormat="1" ht="16.350000000000001" customHeight="1">
      <c r="A54" s="121" t="s">
        <v>373</v>
      </c>
      <c r="B54" s="182" t="s">
        <v>374</v>
      </c>
      <c r="C54" s="183">
        <v>42549</v>
      </c>
      <c r="D54" s="10" t="s">
        <v>22</v>
      </c>
      <c r="E54" s="10" t="s">
        <v>284</v>
      </c>
      <c r="F54" s="89">
        <v>43258</v>
      </c>
      <c r="G54" s="164">
        <v>0.62013888888888891</v>
      </c>
      <c r="H54" s="63">
        <v>17.84</v>
      </c>
      <c r="I54" s="64">
        <f>H62-H54</f>
        <v>0.74874999999999758</v>
      </c>
      <c r="J54" s="63">
        <v>21.43</v>
      </c>
      <c r="K54" s="14">
        <f>J54-H54</f>
        <v>3.59</v>
      </c>
      <c r="L54" s="13">
        <v>98.78</v>
      </c>
      <c r="M54" s="186">
        <v>361.00115929999998</v>
      </c>
      <c r="N54" s="15">
        <v>9.1</v>
      </c>
      <c r="O54" s="13">
        <v>14.423</v>
      </c>
      <c r="P54" s="14">
        <v>16.922999999999998</v>
      </c>
      <c r="Q54" s="15">
        <v>88.28</v>
      </c>
      <c r="R54" s="15">
        <v>8.2100000000000009</v>
      </c>
      <c r="S54" s="15">
        <v>53.4</v>
      </c>
      <c r="T54" s="15">
        <v>31.55</v>
      </c>
      <c r="U54" s="15">
        <v>1674.0558276243999</v>
      </c>
      <c r="V54" s="15"/>
      <c r="W54" s="13">
        <v>1</v>
      </c>
      <c r="X54" s="14">
        <f>(100/J54)*(W54/1000)</f>
        <v>4.6663555762949133E-3</v>
      </c>
      <c r="Y54" s="13">
        <v>1.0206</v>
      </c>
      <c r="Z54" s="14">
        <f>(100/J54)*Y54</f>
        <v>4.7624825011665886</v>
      </c>
      <c r="AA54" s="13">
        <v>0.15409999999999999</v>
      </c>
      <c r="AB54" s="14">
        <f>(100/J54)*AA54</f>
        <v>0.7190853943070461</v>
      </c>
      <c r="AC54" s="13">
        <v>2.2999999999999998</v>
      </c>
      <c r="AD54" s="14">
        <f>(100/J54)*(AC54/1000)</f>
        <v>1.07326178254783E-2</v>
      </c>
      <c r="AE54" s="13">
        <v>5.4699999999999999E-2</v>
      </c>
      <c r="AF54" s="14">
        <f>(100/J54)*AE54</f>
        <v>0.25524965002333178</v>
      </c>
      <c r="AG54" s="13">
        <v>8.4099999999999994E-2</v>
      </c>
      <c r="AH54" s="14">
        <f>(100/J54)*AG54</f>
        <v>0.39244050396640218</v>
      </c>
      <c r="AI54" s="13"/>
      <c r="AJ54" s="13">
        <v>7.9000000000000001E-2</v>
      </c>
      <c r="AK54" s="10">
        <f>(100/J54)*AJ54</f>
        <v>0.36864209052729818</v>
      </c>
      <c r="AL54" s="14">
        <f>(AJ54*1000)/M54</f>
        <v>0.2188358623368</v>
      </c>
      <c r="AM54" s="13">
        <v>9.7199999999999995E-2</v>
      </c>
      <c r="AN54" s="10">
        <f>(100/J54)*AM54</f>
        <v>0.45356976201586557</v>
      </c>
      <c r="AO54" s="14">
        <f>(AM54*1000)/M54</f>
        <v>0.26925121290046783</v>
      </c>
      <c r="AP54" s="13">
        <v>1.0999999999999999E-2</v>
      </c>
      <c r="AQ54" s="10">
        <f>(100/J54)*AP54</f>
        <v>5.1329911339244041E-2</v>
      </c>
      <c r="AR54" s="14">
        <f>(AP54*1000)/M54</f>
        <v>3.0470816274744301E-2</v>
      </c>
      <c r="AS54" s="13"/>
      <c r="AT54" s="13">
        <f>AJ54+AM54+AP54</f>
        <v>0.18720000000000001</v>
      </c>
      <c r="AU54" s="10">
        <f>(100/J54)*AT54</f>
        <v>0.87354176388240778</v>
      </c>
      <c r="AV54" s="14">
        <f>(AT54*1000)/M54</f>
        <v>0.51855789151201215</v>
      </c>
      <c r="AW54" s="13">
        <v>0.1353</v>
      </c>
      <c r="AX54" s="10">
        <f>(100/J54)*AW54</f>
        <v>0.63135790947270176</v>
      </c>
      <c r="AY54" s="14">
        <f>(AW54*1000)/M54</f>
        <v>0.37479104017935494</v>
      </c>
      <c r="AZ54" s="123"/>
      <c r="BA54" s="13"/>
      <c r="BC54" s="14"/>
      <c r="BD54" s="13"/>
      <c r="BF54" s="14"/>
      <c r="BG54"/>
      <c r="BH54" s="13">
        <v>12.28571</v>
      </c>
      <c r="BI54" s="10">
        <v>11.5</v>
      </c>
      <c r="BJ54" s="10">
        <v>3.6</v>
      </c>
      <c r="BK54" s="10">
        <v>10</v>
      </c>
      <c r="BL54" s="14">
        <v>1</v>
      </c>
      <c r="BM54" s="13">
        <v>0.01</v>
      </c>
      <c r="BN54" s="10">
        <v>16.687453590000001</v>
      </c>
      <c r="BO54">
        <v>56</v>
      </c>
      <c r="BP54">
        <v>12.8</v>
      </c>
      <c r="BQ54" s="121" t="s">
        <v>373</v>
      </c>
      <c r="BR54" s="13">
        <v>0.28571400000000002</v>
      </c>
      <c r="BS54" s="10">
        <v>0.25</v>
      </c>
      <c r="BT54" s="10">
        <v>0.2</v>
      </c>
      <c r="BU54" s="10">
        <v>0</v>
      </c>
      <c r="BV54" s="14">
        <v>0</v>
      </c>
      <c r="BW54"/>
      <c r="BX54"/>
      <c r="BY54" s="63">
        <v>19.399999999999999</v>
      </c>
      <c r="BZ54" s="63">
        <v>17.84</v>
      </c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</row>
    <row r="55" spans="1:180" s="10" customFormat="1" ht="16.350000000000001" customHeight="1">
      <c r="A55" s="9" t="s">
        <v>375</v>
      </c>
      <c r="B55" s="227" t="s">
        <v>376</v>
      </c>
      <c r="C55" s="142">
        <v>42529</v>
      </c>
      <c r="D55" s="12" t="s">
        <v>22</v>
      </c>
      <c r="E55" s="10" t="s">
        <v>284</v>
      </c>
      <c r="F55" s="11" t="s">
        <v>271</v>
      </c>
      <c r="G55" s="164">
        <v>0.55902777777777779</v>
      </c>
      <c r="H55" s="63">
        <v>20.72</v>
      </c>
      <c r="I55" s="64">
        <f>H62-H55</f>
        <v>-2.1312500000000014</v>
      </c>
      <c r="J55" s="63">
        <v>22.65</v>
      </c>
      <c r="K55" s="14">
        <f t="shared" ref="K55:K61" si="131">J55-H55</f>
        <v>1.9299999999999997</v>
      </c>
      <c r="L55" s="13">
        <v>101.59</v>
      </c>
      <c r="M55" s="86">
        <v>371.71661394209292</v>
      </c>
      <c r="N55" s="15">
        <v>9</v>
      </c>
      <c r="O55" s="13">
        <v>14.721</v>
      </c>
      <c r="P55" s="14">
        <v>17.242000000000001</v>
      </c>
      <c r="Q55" s="15">
        <v>74.47</v>
      </c>
      <c r="R55" s="15">
        <v>9.0299999999999994</v>
      </c>
      <c r="S55" s="15">
        <v>44.55</v>
      </c>
      <c r="T55" s="15">
        <v>21.46</v>
      </c>
      <c r="U55" s="15">
        <v>1416.2220596756601</v>
      </c>
      <c r="V55" s="15"/>
      <c r="W55" s="13">
        <v>1.7</v>
      </c>
      <c r="X55" s="14">
        <f t="shared" ref="X55:X61" si="132">(100/J55)*(W55/1000)</f>
        <v>7.5055187637969095E-3</v>
      </c>
      <c r="Y55" s="13">
        <v>1.0640000000000001</v>
      </c>
      <c r="Z55" s="14">
        <f t="shared" ref="Z55:Z61" si="133">(100/J55)*Y55</f>
        <v>4.6975717439293607</v>
      </c>
      <c r="AA55" s="13">
        <v>0.14610000000000001</v>
      </c>
      <c r="AB55" s="14">
        <f t="shared" ref="AB55:AB61" si="134">(100/J55)*AA55</f>
        <v>0.64503311258278151</v>
      </c>
      <c r="AC55" s="13">
        <v>4</v>
      </c>
      <c r="AD55" s="14">
        <f t="shared" ref="AD55:AD61" si="135">(100/J55)*(AC55/1000)</f>
        <v>1.7660044150110379E-2</v>
      </c>
      <c r="AE55" s="13">
        <v>6.8599999999999994E-2</v>
      </c>
      <c r="AF55" s="14">
        <f t="shared" ref="AF55:AF60" si="136">(100/J55)*AE55</f>
        <v>0.30286975717439296</v>
      </c>
      <c r="AG55" s="13">
        <v>8.3900000000000002E-2</v>
      </c>
      <c r="AH55" s="14">
        <f t="shared" ref="AH55:AH61" si="137">(100/J55)*AG55</f>
        <v>0.37041942604856515</v>
      </c>
      <c r="AI55" s="13"/>
      <c r="AJ55" s="13">
        <v>7.3700000000000002E-2</v>
      </c>
      <c r="AK55" s="10">
        <f t="shared" ref="AK55:AK61" si="138">(100/J55)*AJ55</f>
        <v>0.32538631346578367</v>
      </c>
      <c r="AL55" s="14">
        <f t="shared" ref="AL55:AL61" si="139">(AJ55*1000)/M55</f>
        <v>0.19826931924942479</v>
      </c>
      <c r="AM55" s="13">
        <v>0.10249999999999999</v>
      </c>
      <c r="AN55" s="10">
        <f t="shared" ref="AN55:AN61" si="140">(100/J55)*AM55</f>
        <v>0.4525386313465784</v>
      </c>
      <c r="AO55" s="14">
        <f t="shared" ref="AO55:AO61" si="141">(AM55*1000)/M55</f>
        <v>0.27574769637810093</v>
      </c>
      <c r="AP55" s="13">
        <v>1.8100000000000002E-2</v>
      </c>
      <c r="AQ55" s="10">
        <f t="shared" ref="AQ55:AQ61" si="142">(100/J55)*AP55</f>
        <v>7.9911699779249459E-2</v>
      </c>
      <c r="AR55" s="14">
        <f t="shared" ref="AR55:AR61" si="143">(AP55*1000)/M55</f>
        <v>4.869300784823051E-2</v>
      </c>
      <c r="AS55" s="13"/>
      <c r="AT55" s="13">
        <f t="shared" ref="AT55:AT61" si="144">AJ55+AM55+AP55</f>
        <v>0.1943</v>
      </c>
      <c r="AU55" s="10">
        <f t="shared" ref="AU55:AU61" si="145">(100/J55)*AT55</f>
        <v>0.85783664459161157</v>
      </c>
      <c r="AV55" s="14">
        <f t="shared" ref="AV55:AV61" si="146">(AT55*1000)/M55</f>
        <v>0.52271002347575624</v>
      </c>
      <c r="AW55" s="13">
        <v>8.4900000000000003E-2</v>
      </c>
      <c r="AX55" s="10">
        <f t="shared" ref="AX55:AX61" si="147">(100/J55)*AW55</f>
        <v>0.37483443708609276</v>
      </c>
      <c r="AY55" s="14">
        <f t="shared" ref="AY55:AY61" si="148">(AW55*1000)/M55</f>
        <v>0.22839979924390996</v>
      </c>
      <c r="AZ55" s="123"/>
      <c r="BA55" s="13"/>
      <c r="BC55" s="14"/>
      <c r="BD55" s="13"/>
      <c r="BF55" s="14"/>
      <c r="BG55"/>
      <c r="BH55" s="13">
        <v>18.857140000000001</v>
      </c>
      <c r="BI55" s="10">
        <v>17.66667</v>
      </c>
      <c r="BJ55" s="10">
        <v>8</v>
      </c>
      <c r="BK55" s="10">
        <v>10.66667</v>
      </c>
      <c r="BL55" s="14">
        <v>5</v>
      </c>
      <c r="BM55" s="13">
        <v>0.32</v>
      </c>
      <c r="BN55" s="10">
        <v>12.43796768</v>
      </c>
      <c r="BO55">
        <v>25</v>
      </c>
      <c r="BP55">
        <v>2.8125</v>
      </c>
      <c r="BQ55" s="123" t="s">
        <v>375</v>
      </c>
      <c r="BR55" s="13">
        <v>0.57142899999999996</v>
      </c>
      <c r="BS55" s="10">
        <v>1.3333330000000001</v>
      </c>
      <c r="BT55" s="10">
        <v>0</v>
      </c>
      <c r="BU55" s="10">
        <v>0</v>
      </c>
      <c r="BV55" s="14">
        <v>0</v>
      </c>
      <c r="BW55"/>
      <c r="BX55"/>
      <c r="BY55" s="63">
        <v>19.93</v>
      </c>
      <c r="BZ55" s="63">
        <v>18.61</v>
      </c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</row>
    <row r="56" spans="1:180" s="10" customFormat="1" ht="16.350000000000001" customHeight="1">
      <c r="A56" s="133" t="s">
        <v>377</v>
      </c>
      <c r="B56" s="227" t="s">
        <v>378</v>
      </c>
      <c r="C56" s="11">
        <v>42621</v>
      </c>
      <c r="D56" s="12" t="s">
        <v>22</v>
      </c>
      <c r="E56" s="10" t="s">
        <v>284</v>
      </c>
      <c r="F56" s="11" t="s">
        <v>271</v>
      </c>
      <c r="G56" s="164">
        <v>0.69236111111111109</v>
      </c>
      <c r="H56" s="63">
        <v>17.170000000000002</v>
      </c>
      <c r="I56" s="64">
        <f>H62-H56</f>
        <v>1.4187499999999957</v>
      </c>
      <c r="J56" s="63">
        <v>20.239999999999998</v>
      </c>
      <c r="K56" s="14">
        <f t="shared" si="131"/>
        <v>3.0699999999999967</v>
      </c>
      <c r="L56" s="13">
        <v>94.12</v>
      </c>
      <c r="M56" s="86">
        <v>343.63951472087706</v>
      </c>
      <c r="N56" s="15">
        <v>8.6999999999999993</v>
      </c>
      <c r="O56" s="13">
        <v>14.103</v>
      </c>
      <c r="P56" s="14">
        <v>16.451000000000001</v>
      </c>
      <c r="Q56" s="15">
        <v>87.32</v>
      </c>
      <c r="R56" s="15">
        <v>16.07</v>
      </c>
      <c r="S56" s="15">
        <v>42.46</v>
      </c>
      <c r="T56" s="15">
        <v>29.23</v>
      </c>
      <c r="U56" s="15">
        <v>1060.6237125489902</v>
      </c>
      <c r="V56" s="15"/>
      <c r="W56" s="13">
        <v>1.3</v>
      </c>
      <c r="X56" s="14">
        <f t="shared" si="132"/>
        <v>6.4229249011857718E-3</v>
      </c>
      <c r="Y56" s="13">
        <v>0.90800000000000003</v>
      </c>
      <c r="Z56" s="14">
        <f t="shared" si="133"/>
        <v>4.4861660079051395</v>
      </c>
      <c r="AA56" s="13">
        <v>0.1285</v>
      </c>
      <c r="AB56" s="14">
        <f t="shared" si="134"/>
        <v>0.63488142292490135</v>
      </c>
      <c r="AC56" s="13">
        <v>3.3</v>
      </c>
      <c r="AD56" s="14">
        <f t="shared" si="135"/>
        <v>1.630434782608696E-2</v>
      </c>
      <c r="AE56" s="13">
        <v>5.0500000000000003E-2</v>
      </c>
      <c r="AF56" s="14">
        <f t="shared" si="136"/>
        <v>0.249505928853755</v>
      </c>
      <c r="AG56" s="13">
        <v>7.8299999999999995E-2</v>
      </c>
      <c r="AH56" s="14">
        <f t="shared" si="137"/>
        <v>0.38685770750988147</v>
      </c>
      <c r="AI56" s="13"/>
      <c r="AJ56" s="13">
        <v>4.53E-2</v>
      </c>
      <c r="AK56" s="10">
        <f t="shared" si="138"/>
        <v>0.2238142292490119</v>
      </c>
      <c r="AL56" s="14">
        <f t="shared" si="139"/>
        <v>0.13182418802097062</v>
      </c>
      <c r="AM56" s="13">
        <v>7.3200000000000001E-2</v>
      </c>
      <c r="AN56" s="10">
        <f t="shared" si="140"/>
        <v>0.36166007905138348</v>
      </c>
      <c r="AO56" s="14">
        <f t="shared" si="141"/>
        <v>0.21301391971600553</v>
      </c>
      <c r="AP56" s="13">
        <v>9.4999999999999998E-3</v>
      </c>
      <c r="AQ56" s="10">
        <f t="shared" si="142"/>
        <v>4.6936758893280639E-2</v>
      </c>
      <c r="AR56" s="14">
        <f t="shared" si="143"/>
        <v>2.7645249143470659E-2</v>
      </c>
      <c r="AS56" s="13"/>
      <c r="AT56" s="13">
        <f t="shared" si="144"/>
        <v>0.128</v>
      </c>
      <c r="AU56" s="10">
        <f t="shared" si="145"/>
        <v>0.63241106719367601</v>
      </c>
      <c r="AV56" s="14">
        <f t="shared" si="146"/>
        <v>0.37248335688044681</v>
      </c>
      <c r="AW56" s="13">
        <v>6.1699999999999998E-2</v>
      </c>
      <c r="AX56" s="10">
        <f t="shared" si="147"/>
        <v>0.3048418972332016</v>
      </c>
      <c r="AY56" s="14">
        <f t="shared" si="148"/>
        <v>0.17954861812127787</v>
      </c>
      <c r="AZ56" s="123"/>
      <c r="BA56" s="13"/>
      <c r="BC56" s="14"/>
      <c r="BD56" s="13"/>
      <c r="BF56" s="14"/>
      <c r="BG56"/>
      <c r="BH56" s="13">
        <v>13.5</v>
      </c>
      <c r="BI56" s="10">
        <v>8.25</v>
      </c>
      <c r="BJ56" s="10">
        <v>5.4</v>
      </c>
      <c r="BK56" s="10">
        <v>9</v>
      </c>
      <c r="BL56" s="14">
        <v>7</v>
      </c>
      <c r="BM56" s="13">
        <v>-0.06</v>
      </c>
      <c r="BN56" s="10">
        <v>13.44898255</v>
      </c>
      <c r="BO56">
        <v>50</v>
      </c>
      <c r="BP56">
        <v>5.1538500000000003</v>
      </c>
      <c r="BQ56" s="134" t="s">
        <v>377</v>
      </c>
      <c r="BR56" s="13">
        <v>0.625</v>
      </c>
      <c r="BS56" s="10">
        <v>0.5</v>
      </c>
      <c r="BT56" s="10">
        <v>0.4</v>
      </c>
      <c r="BU56" s="10">
        <v>0</v>
      </c>
      <c r="BV56" s="14">
        <v>0.33333000000000002</v>
      </c>
      <c r="BW56"/>
      <c r="BX56"/>
      <c r="BY56" s="13">
        <v>20</v>
      </c>
      <c r="BZ56" s="63">
        <v>18.670000000000002</v>
      </c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</row>
    <row r="57" spans="1:180" s="10" customFormat="1" ht="16.350000000000001" customHeight="1">
      <c r="A57" s="133" t="s">
        <v>379</v>
      </c>
      <c r="B57" s="224" t="s">
        <v>380</v>
      </c>
      <c r="C57" s="11"/>
      <c r="D57" s="12" t="s">
        <v>22</v>
      </c>
      <c r="E57" s="10" t="s">
        <v>284</v>
      </c>
      <c r="F57" s="11">
        <v>42411</v>
      </c>
      <c r="G57" s="164">
        <v>0.51111111111111118</v>
      </c>
      <c r="H57" s="63">
        <v>17.690000000000001</v>
      </c>
      <c r="I57" s="64">
        <f>H62-H57</f>
        <v>0.89874999999999616</v>
      </c>
      <c r="J57" s="63">
        <v>21.5</v>
      </c>
      <c r="K57" s="14">
        <f t="shared" si="131"/>
        <v>3.8099999999999987</v>
      </c>
      <c r="L57" s="13">
        <v>89.259999999999891</v>
      </c>
      <c r="M57" s="86">
        <v>325.74588662345565</v>
      </c>
      <c r="N57" s="15">
        <v>9</v>
      </c>
      <c r="O57" s="13">
        <v>14.532999999999999</v>
      </c>
      <c r="P57" s="14">
        <v>17.097999999999999</v>
      </c>
      <c r="Q57" s="15">
        <v>91.08</v>
      </c>
      <c r="R57" s="15">
        <v>12.52</v>
      </c>
      <c r="S57" s="15">
        <v>44.81</v>
      </c>
      <c r="T57" s="15">
        <v>35.799999999999997</v>
      </c>
      <c r="U57" s="15">
        <v>1750.9954806558901</v>
      </c>
      <c r="V57" s="15"/>
      <c r="W57" s="13">
        <v>1.3</v>
      </c>
      <c r="X57" s="14">
        <f t="shared" si="132"/>
        <v>6.0465116279069765E-3</v>
      </c>
      <c r="Y57" s="13">
        <v>1.1652</v>
      </c>
      <c r="Z57" s="14">
        <f t="shared" si="133"/>
        <v>5.4195348837209307</v>
      </c>
      <c r="AA57" s="13">
        <v>0.1439</v>
      </c>
      <c r="AB57" s="14">
        <f t="shared" si="134"/>
        <v>0.66930232558139535</v>
      </c>
      <c r="AC57" s="13">
        <v>2.1</v>
      </c>
      <c r="AD57" s="14">
        <f t="shared" si="135"/>
        <v>9.7674418604651175E-3</v>
      </c>
      <c r="AE57" s="13">
        <v>4.0099999999999997E-2</v>
      </c>
      <c r="AF57" s="14">
        <f t="shared" si="136"/>
        <v>0.18651162790697673</v>
      </c>
      <c r="AG57" s="13">
        <v>7.5600000000000001E-2</v>
      </c>
      <c r="AH57" s="14">
        <f t="shared" si="137"/>
        <v>0.35162790697674423</v>
      </c>
      <c r="AI57" s="13"/>
      <c r="AJ57" s="13">
        <v>9.9299999999999999E-2</v>
      </c>
      <c r="AK57" s="10">
        <f t="shared" si="138"/>
        <v>0.4618604651162791</v>
      </c>
      <c r="AL57" s="14">
        <f t="shared" si="139"/>
        <v>0.30483884548566947</v>
      </c>
      <c r="AM57" s="13">
        <v>0.1318</v>
      </c>
      <c r="AN57" s="10">
        <f t="shared" si="140"/>
        <v>0.61302325581395356</v>
      </c>
      <c r="AO57" s="14">
        <f t="shared" si="141"/>
        <v>0.40460986742206684</v>
      </c>
      <c r="AP57" s="13">
        <v>2.12E-2</v>
      </c>
      <c r="AQ57" s="10">
        <f t="shared" si="142"/>
        <v>9.8604651162790699E-2</v>
      </c>
      <c r="AR57" s="14">
        <f t="shared" si="143"/>
        <v>6.5081405078511512E-2</v>
      </c>
      <c r="AS57" s="13"/>
      <c r="AT57" s="13">
        <f t="shared" si="144"/>
        <v>0.25230000000000002</v>
      </c>
      <c r="AU57" s="10">
        <f t="shared" si="145"/>
        <v>1.1734883720930234</v>
      </c>
      <c r="AV57" s="14">
        <f t="shared" si="146"/>
        <v>0.77453011798624782</v>
      </c>
      <c r="AW57" s="13">
        <v>0.1027</v>
      </c>
      <c r="AX57" s="10">
        <f t="shared" si="147"/>
        <v>0.47767441860465121</v>
      </c>
      <c r="AY57" s="14">
        <f t="shared" si="148"/>
        <v>0.31527642931901567</v>
      </c>
      <c r="AZ57" s="123"/>
      <c r="BA57" s="13"/>
      <c r="BC57" s="14"/>
      <c r="BD57" s="13"/>
      <c r="BF57" s="14"/>
      <c r="BG57"/>
      <c r="BH57" s="13">
        <v>24</v>
      </c>
      <c r="BI57" s="10">
        <v>16.66667</v>
      </c>
      <c r="BJ57" s="10">
        <v>12</v>
      </c>
      <c r="BK57" s="10">
        <v>16</v>
      </c>
      <c r="BL57" s="14">
        <v>7.3333300000000001</v>
      </c>
      <c r="BM57" s="13">
        <v>0.44</v>
      </c>
      <c r="BN57" s="10">
        <v>16.955091289999999</v>
      </c>
      <c r="BO57">
        <v>36</v>
      </c>
      <c r="BP57">
        <v>3.1666699999999999</v>
      </c>
      <c r="BQ57" s="134" t="s">
        <v>379</v>
      </c>
      <c r="BR57" s="13">
        <v>0.85714299999999999</v>
      </c>
      <c r="BS57" s="10">
        <v>0.66666700000000001</v>
      </c>
      <c r="BT57" s="10">
        <v>0.5</v>
      </c>
      <c r="BU57" s="10">
        <v>0</v>
      </c>
      <c r="BV57" s="14">
        <v>0.66666999999999998</v>
      </c>
      <c r="BW57"/>
      <c r="BX57"/>
      <c r="BY57" s="63">
        <v>20.27</v>
      </c>
      <c r="BZ57" s="63">
        <v>18.920000000000002</v>
      </c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</row>
    <row r="58" spans="1:180" s="10" customFormat="1" ht="16.350000000000001" customHeight="1">
      <c r="A58" s="256" t="s">
        <v>381</v>
      </c>
      <c r="B58" s="62" t="s">
        <v>382</v>
      </c>
      <c r="C58" s="11" t="s">
        <v>308</v>
      </c>
      <c r="D58" s="12" t="s">
        <v>22</v>
      </c>
      <c r="E58" s="10" t="s">
        <v>284</v>
      </c>
      <c r="F58" s="11" t="s">
        <v>309</v>
      </c>
      <c r="G58" s="164">
        <v>0.58611111111111114</v>
      </c>
      <c r="H58" s="63">
        <v>18.61</v>
      </c>
      <c r="I58" s="64">
        <f>H62-H58</f>
        <v>-2.125000000000199E-2</v>
      </c>
      <c r="J58" s="63">
        <v>22.22</v>
      </c>
      <c r="K58" s="14">
        <f t="shared" si="131"/>
        <v>3.6099999999999994</v>
      </c>
      <c r="L58" s="13">
        <v>89.99</v>
      </c>
      <c r="M58" s="86">
        <v>328.32</v>
      </c>
      <c r="N58" s="15">
        <v>8.8000000000000007</v>
      </c>
      <c r="O58" s="13">
        <v>14.49</v>
      </c>
      <c r="P58" s="14">
        <v>17.225000000000001</v>
      </c>
      <c r="Q58" s="15">
        <v>99.06</v>
      </c>
      <c r="R58" s="15">
        <v>16.850000000000001</v>
      </c>
      <c r="S58" s="15">
        <v>47.88</v>
      </c>
      <c r="T58" s="15">
        <v>34.409999999999997</v>
      </c>
      <c r="U58" s="15">
        <v>1563.0200413090902</v>
      </c>
      <c r="V58" s="15"/>
      <c r="W58" s="13">
        <v>1.1000000000000001</v>
      </c>
      <c r="X58" s="14">
        <f t="shared" si="132"/>
        <v>4.9504950495049506E-3</v>
      </c>
      <c r="Y58" s="13">
        <v>1.1085</v>
      </c>
      <c r="Z58" s="14">
        <f t="shared" si="133"/>
        <v>4.9887488748874889</v>
      </c>
      <c r="AA58" s="13">
        <v>0.15</v>
      </c>
      <c r="AB58" s="14">
        <f t="shared" si="134"/>
        <v>0.67506750675067506</v>
      </c>
      <c r="AC58" s="13">
        <v>3</v>
      </c>
      <c r="AD58" s="14">
        <f t="shared" si="135"/>
        <v>1.3501350135013501E-2</v>
      </c>
      <c r="AE58" s="13">
        <v>7.2700000000000001E-2</v>
      </c>
      <c r="AF58" s="14">
        <f t="shared" si="136"/>
        <v>0.32718271827182716</v>
      </c>
      <c r="AG58" s="13">
        <v>8.0299999999999996E-2</v>
      </c>
      <c r="AH58" s="14">
        <f t="shared" si="137"/>
        <v>0.36138613861386137</v>
      </c>
      <c r="AI58" s="13"/>
      <c r="AJ58" s="13">
        <v>0.10589999999999999</v>
      </c>
      <c r="AK58" s="10">
        <f t="shared" si="138"/>
        <v>0.47659765976597657</v>
      </c>
      <c r="AL58" s="14">
        <f t="shared" si="139"/>
        <v>0.32255116959064328</v>
      </c>
      <c r="AM58" s="13">
        <v>0.11849999999999999</v>
      </c>
      <c r="AN58" s="10">
        <f t="shared" si="140"/>
        <v>0.53330333033303323</v>
      </c>
      <c r="AO58" s="14">
        <f t="shared" si="141"/>
        <v>0.3609283625730994</v>
      </c>
      <c r="AP58" s="13">
        <v>2.41E-2</v>
      </c>
      <c r="AQ58" s="10">
        <f t="shared" si="142"/>
        <v>0.10846084608460846</v>
      </c>
      <c r="AR58" s="14">
        <f t="shared" si="143"/>
        <v>7.3403996101364527E-2</v>
      </c>
      <c r="AS58" s="13"/>
      <c r="AT58" s="13">
        <f t="shared" si="144"/>
        <v>0.2485</v>
      </c>
      <c r="AU58" s="10">
        <f t="shared" si="145"/>
        <v>1.1183618361836183</v>
      </c>
      <c r="AV58" s="14">
        <f t="shared" si="146"/>
        <v>0.75688352826510719</v>
      </c>
      <c r="AW58" s="13">
        <v>9.2499999999999999E-2</v>
      </c>
      <c r="AX58" s="10">
        <f t="shared" si="147"/>
        <v>0.41629162916291629</v>
      </c>
      <c r="AY58" s="14">
        <f t="shared" si="148"/>
        <v>0.28173732943469787</v>
      </c>
      <c r="AZ58" s="123"/>
      <c r="BA58" s="13"/>
      <c r="BC58" s="14"/>
      <c r="BD58" s="13"/>
      <c r="BF58" s="14"/>
      <c r="BG58"/>
      <c r="BH58" s="13">
        <v>28</v>
      </c>
      <c r="BI58" s="10">
        <v>21.5</v>
      </c>
      <c r="BJ58" s="10">
        <v>8.6</v>
      </c>
      <c r="BK58" s="10">
        <v>21.33333</v>
      </c>
      <c r="BL58" s="14">
        <v>10.33333</v>
      </c>
      <c r="BM58" s="13">
        <v>7.0000000000000007E-2</v>
      </c>
      <c r="BN58" s="10">
        <v>12.13285027</v>
      </c>
      <c r="BO58">
        <v>29</v>
      </c>
      <c r="BP58">
        <v>7.2</v>
      </c>
      <c r="BQ58" s="123" t="s">
        <v>381</v>
      </c>
      <c r="BR58" s="13">
        <v>0.625</v>
      </c>
      <c r="BS58" s="10">
        <v>0.5</v>
      </c>
      <c r="BT58" s="10">
        <v>0.2</v>
      </c>
      <c r="BU58" s="266">
        <v>0.66666700000000001</v>
      </c>
      <c r="BV58" s="14">
        <v>0</v>
      </c>
      <c r="BW58"/>
      <c r="BX58"/>
      <c r="BY58" s="62">
        <v>20.3</v>
      </c>
      <c r="BZ58" s="13">
        <v>19.43</v>
      </c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</row>
    <row r="59" spans="1:180" s="10" customFormat="1" ht="16.350000000000001" customHeight="1">
      <c r="A59" s="123" t="s">
        <v>383</v>
      </c>
      <c r="B59" s="62" t="s">
        <v>384</v>
      </c>
      <c r="C59" s="11">
        <v>43165</v>
      </c>
      <c r="D59" s="12" t="s">
        <v>22</v>
      </c>
      <c r="E59" s="10" t="s">
        <v>284</v>
      </c>
      <c r="F59" s="11">
        <v>43203</v>
      </c>
      <c r="G59" s="164">
        <v>0.57291666666666663</v>
      </c>
      <c r="H59" s="63">
        <v>20.57</v>
      </c>
      <c r="I59" s="64">
        <f>H62-H59</f>
        <v>-1.9812500000000028</v>
      </c>
      <c r="J59" s="63">
        <v>23.64</v>
      </c>
      <c r="K59" s="14">
        <f t="shared" si="131"/>
        <v>3.0700000000000003</v>
      </c>
      <c r="L59" s="13">
        <v>84.390000000000228</v>
      </c>
      <c r="M59" s="86">
        <v>308.21945317310235</v>
      </c>
      <c r="N59" s="15">
        <v>9.1999999999999993</v>
      </c>
      <c r="O59" s="13">
        <v>14.573</v>
      </c>
      <c r="P59" s="232"/>
      <c r="Q59" s="15"/>
      <c r="R59" s="15"/>
      <c r="S59" s="15"/>
      <c r="T59" s="15"/>
      <c r="U59" s="15">
        <v>2448.5809767969499</v>
      </c>
      <c r="V59" s="15"/>
      <c r="W59" s="13">
        <v>1.2</v>
      </c>
      <c r="X59" s="14">
        <f t="shared" si="132"/>
        <v>5.076142131979695E-3</v>
      </c>
      <c r="Y59" s="13">
        <v>1.1792</v>
      </c>
      <c r="Z59" s="14">
        <f t="shared" si="133"/>
        <v>4.988155668358714</v>
      </c>
      <c r="AA59" s="13">
        <v>0.159</v>
      </c>
      <c r="AB59" s="14">
        <f t="shared" si="134"/>
        <v>0.67258883248730972</v>
      </c>
      <c r="AC59" s="13">
        <v>2.7</v>
      </c>
      <c r="AD59" s="14">
        <f t="shared" si="135"/>
        <v>1.1421319796954316E-2</v>
      </c>
      <c r="AE59" s="13">
        <v>8.0500000000000002E-2</v>
      </c>
      <c r="AF59" s="14">
        <f t="shared" si="136"/>
        <v>0.34052453468697125</v>
      </c>
      <c r="AG59" s="13">
        <v>7.6700000000000004E-2</v>
      </c>
      <c r="AH59" s="14">
        <f t="shared" si="137"/>
        <v>0.3244500846023689</v>
      </c>
      <c r="AI59" s="13"/>
      <c r="AJ59" s="13">
        <v>8.3000000000000004E-2</v>
      </c>
      <c r="AK59" s="10">
        <f t="shared" si="138"/>
        <v>0.3510998307952623</v>
      </c>
      <c r="AL59" s="14">
        <f t="shared" si="139"/>
        <v>0.26928864854414464</v>
      </c>
      <c r="AM59" s="13">
        <v>0.13300000000000001</v>
      </c>
      <c r="AN59" s="10">
        <f t="shared" si="140"/>
        <v>0.56260575296108295</v>
      </c>
      <c r="AO59" s="14">
        <f t="shared" si="141"/>
        <v>0.43151072598037632</v>
      </c>
      <c r="AP59" s="13">
        <v>3.3599999999999998E-2</v>
      </c>
      <c r="AQ59" s="10">
        <f t="shared" si="142"/>
        <v>0.14213197969543145</v>
      </c>
      <c r="AR59" s="14">
        <f t="shared" si="143"/>
        <v>0.1090132360371477</v>
      </c>
      <c r="AS59" s="13"/>
      <c r="AT59" s="13">
        <f t="shared" si="144"/>
        <v>0.24960000000000002</v>
      </c>
      <c r="AU59" s="10">
        <f t="shared" si="145"/>
        <v>1.0558375634517767</v>
      </c>
      <c r="AV59" s="14">
        <f t="shared" si="146"/>
        <v>0.80981261056166876</v>
      </c>
      <c r="AW59" s="13">
        <v>0.1114</v>
      </c>
      <c r="AX59" s="10">
        <f t="shared" si="147"/>
        <v>0.47123519458544838</v>
      </c>
      <c r="AY59" s="14">
        <f t="shared" si="148"/>
        <v>0.36143078852792426</v>
      </c>
      <c r="AZ59" s="123"/>
      <c r="BA59" s="13"/>
      <c r="BC59" s="14"/>
      <c r="BD59" s="13"/>
      <c r="BF59" s="14"/>
      <c r="BG59"/>
      <c r="BH59" s="13">
        <v>32.571428571428569</v>
      </c>
      <c r="BI59" s="10">
        <v>16</v>
      </c>
      <c r="BL59" s="14"/>
      <c r="BM59" s="13">
        <v>0.21319467013324664</v>
      </c>
      <c r="BN59" s="10">
        <v>9.9816000000000003</v>
      </c>
      <c r="BP59" s="14"/>
      <c r="BQ59" s="123"/>
      <c r="BR59" s="13"/>
      <c r="BV59" s="14"/>
      <c r="BW59"/>
      <c r="BX59"/>
      <c r="BY59" s="10">
        <v>20.61</v>
      </c>
      <c r="BZ59" s="63">
        <v>19.45</v>
      </c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</row>
    <row r="60" spans="1:180" s="10" customFormat="1" ht="16.350000000000001" customHeight="1">
      <c r="A60" s="123" t="s">
        <v>385</v>
      </c>
      <c r="B60" s="62" t="s">
        <v>386</v>
      </c>
      <c r="C60" s="11">
        <v>43253</v>
      </c>
      <c r="D60" s="12" t="s">
        <v>22</v>
      </c>
      <c r="E60" s="10" t="s">
        <v>284</v>
      </c>
      <c r="F60" s="11">
        <v>43308</v>
      </c>
      <c r="G60" s="164">
        <v>0.51736111111111105</v>
      </c>
      <c r="H60" s="63">
        <v>16.920000000000002</v>
      </c>
      <c r="I60" s="64">
        <f>H62-H60</f>
        <v>1.6687499999999957</v>
      </c>
      <c r="J60" s="63">
        <v>23.64</v>
      </c>
      <c r="K60" s="14">
        <f t="shared" si="131"/>
        <v>6.7199999999999989</v>
      </c>
      <c r="L60" s="13">
        <v>75.559999999999931</v>
      </c>
      <c r="M60" s="86">
        <v>275.76436370891093</v>
      </c>
      <c r="N60" s="15">
        <v>8</v>
      </c>
      <c r="O60" s="13">
        <v>14.194000000000001</v>
      </c>
      <c r="P60" s="14">
        <v>16.443000000000001</v>
      </c>
      <c r="Q60" s="15">
        <v>88.07</v>
      </c>
      <c r="R60" s="15">
        <v>8.57</v>
      </c>
      <c r="S60" s="15">
        <v>46.13</v>
      </c>
      <c r="T60" s="15">
        <v>33.76</v>
      </c>
      <c r="U60" s="386"/>
      <c r="V60" s="15"/>
      <c r="W60" s="13">
        <v>1</v>
      </c>
      <c r="X60" s="14">
        <f t="shared" si="132"/>
        <v>4.2301184433164128E-3</v>
      </c>
      <c r="Y60" s="13">
        <v>1.0470999999999999</v>
      </c>
      <c r="Z60" s="14">
        <f t="shared" si="133"/>
        <v>4.4293570219966156</v>
      </c>
      <c r="AA60" s="13">
        <v>0.1283</v>
      </c>
      <c r="AB60" s="14">
        <f t="shared" si="134"/>
        <v>0.5427241962774958</v>
      </c>
      <c r="AC60" s="13">
        <v>2</v>
      </c>
      <c r="AD60" s="14">
        <f t="shared" si="135"/>
        <v>8.4602368866328256E-3</v>
      </c>
      <c r="AE60" s="13">
        <v>5.5800000000000002E-2</v>
      </c>
      <c r="AF60" s="14">
        <f t="shared" si="136"/>
        <v>0.23604060913705585</v>
      </c>
      <c r="AG60" s="13">
        <v>6.2799999999999995E-2</v>
      </c>
      <c r="AH60" s="14">
        <f t="shared" si="137"/>
        <v>0.26565143824027071</v>
      </c>
      <c r="AI60" s="13"/>
      <c r="AJ60" s="13">
        <v>6.5199999999999994E-2</v>
      </c>
      <c r="AK60" s="10">
        <f t="shared" si="138"/>
        <v>0.27580372250423008</v>
      </c>
      <c r="AL60" s="14">
        <f t="shared" si="139"/>
        <v>0.23643374046990084</v>
      </c>
      <c r="AM60" s="13">
        <v>6.5299999999999997E-2</v>
      </c>
      <c r="AN60" s="10">
        <f t="shared" si="140"/>
        <v>0.27622673434856176</v>
      </c>
      <c r="AO60" s="14">
        <f t="shared" si="141"/>
        <v>0.2367963689062044</v>
      </c>
      <c r="AP60" s="13">
        <v>1.67E-2</v>
      </c>
      <c r="AQ60" s="10">
        <f t="shared" si="142"/>
        <v>7.0642978003384094E-2</v>
      </c>
      <c r="AR60" s="14">
        <f t="shared" si="143"/>
        <v>6.0558948862689331E-2</v>
      </c>
      <c r="AS60" s="13"/>
      <c r="AT60" s="13">
        <f t="shared" si="144"/>
        <v>0.1472</v>
      </c>
      <c r="AU60" s="10">
        <f t="shared" si="145"/>
        <v>0.62267343485617599</v>
      </c>
      <c r="AV60" s="14">
        <f t="shared" si="146"/>
        <v>0.53378905823879452</v>
      </c>
      <c r="AW60" s="13">
        <v>7.1599999999999997E-2</v>
      </c>
      <c r="AX60" s="10">
        <f t="shared" si="147"/>
        <v>0.30287648054145516</v>
      </c>
      <c r="AY60" s="14">
        <f t="shared" si="148"/>
        <v>0.25964196039332671</v>
      </c>
      <c r="AZ60" s="123"/>
      <c r="BA60" s="13"/>
      <c r="BC60" s="14"/>
      <c r="BD60" s="13"/>
      <c r="BF60" s="14"/>
      <c r="BG60"/>
      <c r="BH60" s="13">
        <v>17.857142857142858</v>
      </c>
      <c r="BI60" s="10">
        <v>11.333333333333334</v>
      </c>
      <c r="BL60" s="14"/>
      <c r="BM60" s="13">
        <v>6.4494229463679623E-2</v>
      </c>
      <c r="BN60" s="10">
        <v>14.0707</v>
      </c>
      <c r="BP60" s="14"/>
      <c r="BQ60" s="123"/>
      <c r="BR60" s="13"/>
      <c r="BV60" s="14"/>
      <c r="BW60"/>
      <c r="BX60"/>
      <c r="BY60" s="62">
        <v>20.69</v>
      </c>
      <c r="BZ60" s="63">
        <v>19.850000000000001</v>
      </c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</row>
    <row r="61" spans="1:180" s="10" customFormat="1" ht="16.350000000000001" customHeight="1">
      <c r="A61" s="9" t="s">
        <v>387</v>
      </c>
      <c r="B61" s="63" t="s">
        <v>388</v>
      </c>
      <c r="C61" s="142">
        <v>43703</v>
      </c>
      <c r="D61" s="12" t="s">
        <v>22</v>
      </c>
      <c r="E61" s="10" t="s">
        <v>284</v>
      </c>
      <c r="F61" s="11">
        <v>43742</v>
      </c>
      <c r="G61" s="164">
        <v>0.6875</v>
      </c>
      <c r="H61" s="63">
        <v>19.190000000000001</v>
      </c>
      <c r="I61" s="64">
        <f>H62-H61</f>
        <v>-0.60125000000000384</v>
      </c>
      <c r="J61" s="63">
        <v>24.81</v>
      </c>
      <c r="K61" s="14">
        <f t="shared" si="131"/>
        <v>5.6199999999999974</v>
      </c>
      <c r="L61" s="13">
        <v>95.909999999999897</v>
      </c>
      <c r="M61" s="86">
        <v>349.58359444994528</v>
      </c>
      <c r="N61" s="15">
        <v>8.4</v>
      </c>
      <c r="O61" s="13">
        <v>13.717000000000001</v>
      </c>
      <c r="P61" s="14">
        <v>16.614000000000001</v>
      </c>
      <c r="Q61" s="15"/>
      <c r="R61" s="15"/>
      <c r="S61" s="15"/>
      <c r="T61" s="15"/>
      <c r="U61" s="13">
        <v>3145.06749849691</v>
      </c>
      <c r="V61" s="13"/>
      <c r="W61" s="13">
        <v>1.3</v>
      </c>
      <c r="X61" s="14">
        <f t="shared" si="132"/>
        <v>5.2398226521563887E-3</v>
      </c>
      <c r="Y61" s="13">
        <v>1.1617</v>
      </c>
      <c r="Z61" s="10">
        <f t="shared" si="133"/>
        <v>4.6823861346231359</v>
      </c>
      <c r="AA61" s="13">
        <v>0.14799999999999999</v>
      </c>
      <c r="AB61" s="14">
        <f t="shared" si="134"/>
        <v>0.59653365578395812</v>
      </c>
      <c r="AC61" s="13">
        <v>2.1</v>
      </c>
      <c r="AD61" s="14">
        <f t="shared" si="135"/>
        <v>8.464328899637245E-3</v>
      </c>
      <c r="AE61" s="13">
        <v>7.3599999999999999E-2</v>
      </c>
      <c r="AF61" s="14">
        <f t="shared" ref="AF61" si="149">(1000/J61)*AE61</f>
        <v>2.9665457476823867</v>
      </c>
      <c r="AG61" s="13">
        <v>9.0700000000000003E-2</v>
      </c>
      <c r="AH61" s="14">
        <f t="shared" si="137"/>
        <v>0.36557839580814194</v>
      </c>
      <c r="AI61" s="13"/>
      <c r="AJ61" s="13">
        <v>7.1499999999999994E-2</v>
      </c>
      <c r="AK61" s="10">
        <f t="shared" si="138"/>
        <v>0.28819024586860137</v>
      </c>
      <c r="AL61" s="14">
        <f t="shared" si="139"/>
        <v>0.204529048660027</v>
      </c>
      <c r="AM61" s="13">
        <v>0.11940000000000001</v>
      </c>
      <c r="AN61" s="10">
        <f t="shared" si="140"/>
        <v>0.4812575574365176</v>
      </c>
      <c r="AO61" s="14">
        <f t="shared" si="141"/>
        <v>0.34154920853156956</v>
      </c>
      <c r="AP61" s="13">
        <v>2.1399999999999999E-2</v>
      </c>
      <c r="AQ61" s="10">
        <f t="shared" si="142"/>
        <v>8.6255542120112869E-2</v>
      </c>
      <c r="AR61" s="14">
        <f t="shared" si="143"/>
        <v>6.1215687291252832E-2</v>
      </c>
      <c r="AS61" s="13"/>
      <c r="AT61" s="13">
        <f t="shared" si="144"/>
        <v>0.21230000000000002</v>
      </c>
      <c r="AU61" s="10">
        <f t="shared" si="145"/>
        <v>0.85570334542523196</v>
      </c>
      <c r="AV61" s="14">
        <f t="shared" si="146"/>
        <v>0.60729394448284946</v>
      </c>
      <c r="AW61" s="13">
        <v>0.107</v>
      </c>
      <c r="AX61" s="10">
        <f t="shared" si="147"/>
        <v>0.43127771060056436</v>
      </c>
      <c r="AY61" s="14">
        <f t="shared" si="148"/>
        <v>0.30607843645626415</v>
      </c>
      <c r="AZ61" s="123"/>
      <c r="BA61" s="13"/>
      <c r="BC61" s="14"/>
      <c r="BD61" s="13"/>
      <c r="BF61" s="14"/>
      <c r="BG61"/>
      <c r="BH61" s="13">
        <v>34.125</v>
      </c>
      <c r="BI61" s="10">
        <v>21.75</v>
      </c>
      <c r="BL61" s="14"/>
      <c r="BM61" s="13">
        <v>0.47278911564625853</v>
      </c>
      <c r="BP61" s="14"/>
      <c r="BQ61" s="123"/>
      <c r="BR61" s="13"/>
      <c r="BV61" s="14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</row>
    <row r="62" spans="1:180" s="10" customFormat="1" ht="16.350000000000001" customHeight="1">
      <c r="A62" s="123"/>
      <c r="B62" s="11"/>
      <c r="C62" s="3"/>
      <c r="D62" s="12"/>
      <c r="E62" s="12"/>
      <c r="F62" s="3" t="s">
        <v>281</v>
      </c>
      <c r="G62" s="333">
        <f t="shared" ref="G62:AH62" si="150">AVERAGE(G54:G61)</f>
        <v>0.59331597222222221</v>
      </c>
      <c r="H62" s="18">
        <f t="shared" si="150"/>
        <v>18.588749999999997</v>
      </c>
      <c r="I62" s="3">
        <f t="shared" si="150"/>
        <v>-3.1086244689504383E-15</v>
      </c>
      <c r="J62" s="18">
        <f t="shared" si="150"/>
        <v>22.516249999999999</v>
      </c>
      <c r="K62" s="3">
        <f t="shared" si="150"/>
        <v>3.9274999999999989</v>
      </c>
      <c r="L62" s="18">
        <f t="shared" si="150"/>
        <v>91.199999999999989</v>
      </c>
      <c r="M62" s="3">
        <f t="shared" si="150"/>
        <v>332.99882323979801</v>
      </c>
      <c r="N62" s="58">
        <f t="shared" si="150"/>
        <v>8.7750000000000004</v>
      </c>
      <c r="O62" s="18">
        <f t="shared" si="150"/>
        <v>14.344249999999999</v>
      </c>
      <c r="P62" s="3">
        <f t="shared" si="150"/>
        <v>16.856571428571428</v>
      </c>
      <c r="Q62" s="58">
        <f t="shared" si="150"/>
        <v>88.046666666666667</v>
      </c>
      <c r="R62" s="58">
        <f t="shared" si="150"/>
        <v>11.875</v>
      </c>
      <c r="S62" s="58">
        <f t="shared" si="150"/>
        <v>46.538333333333334</v>
      </c>
      <c r="T62" s="58">
        <f t="shared" si="150"/>
        <v>31.034999999999997</v>
      </c>
      <c r="U62" s="58">
        <f t="shared" si="150"/>
        <v>1865.5093710154129</v>
      </c>
      <c r="V62" s="58" t="e">
        <f t="shared" si="150"/>
        <v>#DIV/0!</v>
      </c>
      <c r="W62" s="18">
        <f t="shared" si="150"/>
        <v>1.2375000000000003</v>
      </c>
      <c r="X62" s="3">
        <f t="shared" si="150"/>
        <v>5.5172361432677518E-3</v>
      </c>
      <c r="Y62" s="18">
        <f t="shared" si="150"/>
        <v>1.0817874999999999</v>
      </c>
      <c r="Z62" s="3">
        <f t="shared" si="150"/>
        <v>4.8068003545734976</v>
      </c>
      <c r="AA62" s="18">
        <f t="shared" si="150"/>
        <v>0.14473749999999999</v>
      </c>
      <c r="AB62" s="3">
        <f t="shared" si="150"/>
        <v>0.64440205583694543</v>
      </c>
      <c r="AC62" s="18">
        <f t="shared" si="150"/>
        <v>2.6875</v>
      </c>
      <c r="AD62" s="3">
        <f t="shared" si="150"/>
        <v>1.2038960922547332E-2</v>
      </c>
      <c r="AE62" s="18">
        <f t="shared" si="150"/>
        <v>6.2062500000000007E-2</v>
      </c>
      <c r="AF62" s="3">
        <f t="shared" si="150"/>
        <v>0.60805382171708722</v>
      </c>
      <c r="AG62" s="18">
        <f t="shared" si="150"/>
        <v>7.9049999999999995E-2</v>
      </c>
      <c r="AH62" s="3">
        <f t="shared" si="150"/>
        <v>0.35230145022077952</v>
      </c>
      <c r="AI62" s="59" t="e">
        <f t="shared" ref="AI62:AS62" si="151">AVERAGE(AI54:AI60)</f>
        <v>#DIV/0!</v>
      </c>
      <c r="AJ62" s="18">
        <f t="shared" ref="AJ62:AR62" si="152">AVERAGE(AJ54:AJ61)</f>
        <v>7.7862500000000001E-2</v>
      </c>
      <c r="AK62" s="3">
        <f t="shared" si="152"/>
        <v>0.34642431966155535</v>
      </c>
      <c r="AL62" s="3">
        <f t="shared" si="152"/>
        <v>0.2358213527946976</v>
      </c>
      <c r="AM62" s="18">
        <f t="shared" si="152"/>
        <v>0.1051125</v>
      </c>
      <c r="AN62" s="3">
        <f t="shared" si="152"/>
        <v>0.4667731379133721</v>
      </c>
      <c r="AO62" s="3">
        <f t="shared" si="152"/>
        <v>0.31667592030098635</v>
      </c>
      <c r="AP62" s="18">
        <f t="shared" si="152"/>
        <v>1.9449999999999999E-2</v>
      </c>
      <c r="AQ62" s="3">
        <f t="shared" si="152"/>
        <v>8.5534295884762704E-2</v>
      </c>
      <c r="AR62" s="3">
        <f t="shared" si="152"/>
        <v>5.9510293329676417E-2</v>
      </c>
      <c r="AS62" s="59" t="e">
        <f t="shared" si="151"/>
        <v>#DIV/0!</v>
      </c>
      <c r="AT62" s="18">
        <f t="shared" ref="AT62:AY62" si="153">AVERAGE(AT54:AT61)</f>
        <v>0.20242499999999999</v>
      </c>
      <c r="AU62" s="3">
        <f t="shared" si="153"/>
        <v>0.89873175345969003</v>
      </c>
      <c r="AV62" s="3">
        <f t="shared" si="153"/>
        <v>0.61200756642536047</v>
      </c>
      <c r="AW62" s="18">
        <f t="shared" si="153"/>
        <v>9.5887500000000001E-2</v>
      </c>
      <c r="AX62" s="3">
        <f t="shared" si="153"/>
        <v>0.42629870966087891</v>
      </c>
      <c r="AY62" s="3">
        <f t="shared" si="153"/>
        <v>0.28836305020947145</v>
      </c>
      <c r="AZ62" s="123"/>
      <c r="BA62" s="18" t="e">
        <f t="shared" ref="BA62:BF62" si="154">AVERAGE(BA54:BA61)</f>
        <v>#DIV/0!</v>
      </c>
      <c r="BB62" s="3" t="e">
        <f t="shared" si="154"/>
        <v>#DIV/0!</v>
      </c>
      <c r="BC62" s="3" t="e">
        <f t="shared" si="154"/>
        <v>#DIV/0!</v>
      </c>
      <c r="BD62" s="18" t="e">
        <f t="shared" si="154"/>
        <v>#DIV/0!</v>
      </c>
      <c r="BE62" s="3" t="e">
        <f t="shared" si="154"/>
        <v>#DIV/0!</v>
      </c>
      <c r="BF62" s="3" t="e">
        <f t="shared" si="154"/>
        <v>#DIV/0!</v>
      </c>
      <c r="BG62" s="324"/>
      <c r="BH62" s="18">
        <f>AVERAGE(BH54:BH61)</f>
        <v>22.649552678571428</v>
      </c>
      <c r="BI62" s="3">
        <f>AVERAGE(BI54:BI61)</f>
        <v>15.583334166666665</v>
      </c>
      <c r="BJ62" s="3">
        <f>AVERAGE(BJ54:BJ61)</f>
        <v>7.5200000000000005</v>
      </c>
      <c r="BK62" s="3">
        <f t="shared" ref="BK62:BL62" si="155">AVERAGE(BK54:BK61)</f>
        <v>13.4</v>
      </c>
      <c r="BL62" s="3">
        <f t="shared" si="155"/>
        <v>6.1333320000000002</v>
      </c>
      <c r="BM62" s="18">
        <f>AVERAGE(BM54:BM61)</f>
        <v>0.19130975190539809</v>
      </c>
      <c r="BN62" s="3">
        <f>AVERAGE(BN54:BN61)</f>
        <v>13.67352076857143</v>
      </c>
      <c r="BO62" s="3">
        <f>AVERAGE(BO54:BO61)</f>
        <v>39.200000000000003</v>
      </c>
      <c r="BP62" s="3">
        <f t="shared" ref="BP62" si="156">AVERAGE(BP54:BP61)</f>
        <v>6.226604</v>
      </c>
      <c r="BQ62" s="123"/>
      <c r="BR62" s="18">
        <f>AVERAGE(BR54:BR61)</f>
        <v>0.59285719999999997</v>
      </c>
      <c r="BS62" s="3">
        <f>AVERAGE(BS54:BS61)</f>
        <v>0.65</v>
      </c>
      <c r="BT62" s="3">
        <f>AVERAGE(BT54:BT61)</f>
        <v>0.26</v>
      </c>
      <c r="BU62" s="3">
        <f t="shared" ref="BU62" si="157">AVERAGE(BU54:BU61)</f>
        <v>0.13333339999999999</v>
      </c>
      <c r="BV62" s="3">
        <f t="shared" ref="BV62" si="158">AVERAGE(BV54:BV61)</f>
        <v>0.2</v>
      </c>
      <c r="BW62" s="397"/>
      <c r="BX62"/>
      <c r="BY62" s="62">
        <v>20.99</v>
      </c>
      <c r="BZ62" s="63">
        <v>20.309999999999999</v>
      </c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</row>
    <row r="63" spans="1:180" s="10" customFormat="1" ht="16.350000000000001" customHeight="1">
      <c r="A63" s="123"/>
      <c r="B63" s="31"/>
      <c r="C63" s="3"/>
      <c r="D63" s="12"/>
      <c r="E63" s="12"/>
      <c r="F63" s="3" t="s">
        <v>45</v>
      </c>
      <c r="G63" s="88">
        <f>(STDEV(G54:G61)/(SQRT(COUNT(G54:G61))))</f>
        <v>2.4484157257520747E-2</v>
      </c>
      <c r="H63" s="18">
        <f t="shared" ref="H63:P63" si="159">STDEV(H54:H61)/SQRT(COUNT(H54:H61))</f>
        <v>0.51747131563015136</v>
      </c>
      <c r="I63" s="3">
        <f t="shared" si="159"/>
        <v>0.51747131563015136</v>
      </c>
      <c r="J63" s="18">
        <f t="shared" si="159"/>
        <v>0.52246988122351545</v>
      </c>
      <c r="K63" s="3">
        <f t="shared" si="159"/>
        <v>0.54036611266278134</v>
      </c>
      <c r="L63" s="18">
        <f t="shared" si="159"/>
        <v>2.9650716686110599</v>
      </c>
      <c r="M63" s="3">
        <f t="shared" si="159"/>
        <v>10.885585249169619</v>
      </c>
      <c r="N63" s="20">
        <f t="shared" si="159"/>
        <v>0.14236522448567668</v>
      </c>
      <c r="O63" s="18">
        <f t="shared" si="159"/>
        <v>0.11429578638652553</v>
      </c>
      <c r="P63" s="3">
        <f t="shared" si="159"/>
        <v>0.13285919097243637</v>
      </c>
      <c r="Q63" s="58">
        <f t="shared" ref="Q63:V63" si="160">(STDEV(Q54:Q61)/(SQRT(COUNT(Q54:Q61))))</f>
        <v>3.2424452364089538</v>
      </c>
      <c r="R63" s="58">
        <f t="shared" si="160"/>
        <v>1.583392455036549</v>
      </c>
      <c r="S63" s="58">
        <f t="shared" si="160"/>
        <v>1.555877922946113</v>
      </c>
      <c r="T63" s="58">
        <f t="shared" si="160"/>
        <v>2.1348329364769176</v>
      </c>
      <c r="U63" s="58">
        <f t="shared" si="160"/>
        <v>265.84139540052269</v>
      </c>
      <c r="V63" s="58" t="e">
        <f t="shared" si="160"/>
        <v>#DIV/0!</v>
      </c>
      <c r="W63" s="18">
        <f t="shared" ref="W63:AH63" si="161">STDEV(W54:W61)/SQRT(COUNT(W54:W61))</f>
        <v>8.0039052967909877E-2</v>
      </c>
      <c r="X63" s="3">
        <f t="shared" si="161"/>
        <v>3.7860316097328053E-4</v>
      </c>
      <c r="Y63" s="18">
        <f t="shared" si="161"/>
        <v>3.2462073681121653E-2</v>
      </c>
      <c r="Z63" s="3">
        <f t="shared" si="161"/>
        <v>0.11308043362880507</v>
      </c>
      <c r="AA63" s="18">
        <f t="shared" si="161"/>
        <v>3.9320540569965272E-3</v>
      </c>
      <c r="AB63" s="3">
        <f t="shared" si="161"/>
        <v>1.9204398802261158E-2</v>
      </c>
      <c r="AC63" s="18">
        <f t="shared" si="161"/>
        <v>0.25031230493126005</v>
      </c>
      <c r="AD63" s="3">
        <f t="shared" si="161"/>
        <v>1.2302856507589448E-3</v>
      </c>
      <c r="AE63" s="18">
        <f t="shared" si="161"/>
        <v>4.8887968684972437E-3</v>
      </c>
      <c r="AF63" s="3">
        <f t="shared" si="161"/>
        <v>0.33740609806923944</v>
      </c>
      <c r="AG63" s="18">
        <f t="shared" si="161"/>
        <v>2.8919839952135681E-3</v>
      </c>
      <c r="AH63" s="3">
        <f t="shared" si="161"/>
        <v>1.4439977525447593E-2</v>
      </c>
      <c r="AI63" s="59" t="e">
        <f t="shared" ref="AI63:AS63" si="162">(STDEV(AI54:AI60)/(SQRT(COUNT(AI54:AI60))))</f>
        <v>#DIV/0!</v>
      </c>
      <c r="AJ63" s="18">
        <f t="shared" ref="AJ63:AR63" si="163">STDEV(AJ54:AJ61)/SQRT(COUNT(AJ54:AJ61))</f>
        <v>6.750421613816838E-3</v>
      </c>
      <c r="AK63" s="3">
        <f t="shared" si="163"/>
        <v>3.1236539948956876E-2</v>
      </c>
      <c r="AL63" s="3">
        <f t="shared" si="163"/>
        <v>2.1916721849327137E-2</v>
      </c>
      <c r="AM63" s="18">
        <f t="shared" si="163"/>
        <v>9.0100823981486694E-3</v>
      </c>
      <c r="AN63" s="3">
        <f t="shared" si="163"/>
        <v>3.8485314771684223E-2</v>
      </c>
      <c r="AO63" s="3">
        <f t="shared" si="163"/>
        <v>2.8204339283668299E-2</v>
      </c>
      <c r="AP63" s="18">
        <f t="shared" si="163"/>
        <v>2.7008596515078025E-3</v>
      </c>
      <c r="AQ63" s="3">
        <f t="shared" si="163"/>
        <v>1.1030277825782321E-2</v>
      </c>
      <c r="AR63" s="3">
        <f t="shared" si="163"/>
        <v>9.1166131519763993E-3</v>
      </c>
      <c r="AS63" s="59" t="e">
        <f t="shared" si="162"/>
        <v>#DIV/0!</v>
      </c>
      <c r="AT63" s="18">
        <f t="shared" ref="AT63:AY63" si="164">STDEV(AT54:AT61)/SQRT(COUNT(AT54:AT61))</f>
        <v>1.6807797403926218E-2</v>
      </c>
      <c r="AU63" s="3">
        <f t="shared" si="164"/>
        <v>7.3156400566944557E-2</v>
      </c>
      <c r="AV63" s="3">
        <f t="shared" si="164"/>
        <v>5.4567872661636894E-2</v>
      </c>
      <c r="AW63" s="18">
        <f t="shared" si="164"/>
        <v>8.2966739785978565E-3</v>
      </c>
      <c r="AX63" s="3">
        <f t="shared" si="164"/>
        <v>3.7670169602731243E-2</v>
      </c>
      <c r="AY63" s="3">
        <f t="shared" si="164"/>
        <v>2.3203998266625128E-2</v>
      </c>
      <c r="AZ63" s="123"/>
      <c r="BA63" s="18" t="e">
        <f t="shared" ref="BA63:BF63" si="165">STDEV(BA54:BA61)/SQRT(COUNT(BA54:BA61))</f>
        <v>#DIV/0!</v>
      </c>
      <c r="BB63" s="3" t="e">
        <f t="shared" si="165"/>
        <v>#DIV/0!</v>
      </c>
      <c r="BC63" s="3" t="e">
        <f t="shared" si="165"/>
        <v>#DIV/0!</v>
      </c>
      <c r="BD63" s="18" t="e">
        <f t="shared" si="165"/>
        <v>#DIV/0!</v>
      </c>
      <c r="BE63" s="3" t="e">
        <f t="shared" si="165"/>
        <v>#DIV/0!</v>
      </c>
      <c r="BF63" s="3" t="e">
        <f t="shared" si="165"/>
        <v>#DIV/0!</v>
      </c>
      <c r="BG63" s="324"/>
      <c r="BH63" s="18">
        <f>STDEV(BH54:BH61)/SQRT(COUNT(BH54:BH61))</f>
        <v>2.9551820166105944</v>
      </c>
      <c r="BI63" s="3">
        <f>STDEV(BI54:BI61)/SQRT(COUNT(BI54:BI61))</f>
        <v>1.7281086493529725</v>
      </c>
      <c r="BJ63" s="3">
        <f>STDEV(BJ54:BJ61)/SQRT(COUNT(BJ54:BJ61))</f>
        <v>1.4374978260853111</v>
      </c>
      <c r="BK63" s="3">
        <f t="shared" ref="BK63:BL63" si="166">STDEV(BK54:BK61)/SQRT(COUNT(BK54:BK61))</f>
        <v>2.3247453385026944</v>
      </c>
      <c r="BL63" s="3">
        <f t="shared" si="166"/>
        <v>1.5405620835701495</v>
      </c>
      <c r="BM63" s="18">
        <f>STDEV(BM54:BM61)/SQRT(COUNT(BM54:BM61))</f>
        <v>7.1332427444634819E-2</v>
      </c>
      <c r="BN63" s="3">
        <f>STDEV(BN54:BN61)/SQRT(COUNT(BN54:BN61))</f>
        <v>0.94605950776700343</v>
      </c>
      <c r="BO63" s="3">
        <f>STDEV(BO54:BO61)/SQRT(COUNT(BO54:BO61))</f>
        <v>5.9782940710540498</v>
      </c>
      <c r="BP63" s="3">
        <f t="shared" ref="BP63" si="167">STDEV(BP54:BP61)/SQRT(COUNT(BP54:BP61))</f>
        <v>1.8210867373263693</v>
      </c>
      <c r="BQ63" s="123"/>
      <c r="BR63" s="18">
        <f>STDEV(BR54:BR61)/SQRT(COUNT(BR54:BR61))</f>
        <v>9.1298799643478312E-2</v>
      </c>
      <c r="BS63" s="3">
        <f>STDEV(BS54:BS61)/SQRT(COUNT(BS54:BS61))</f>
        <v>0.18333327272729302</v>
      </c>
      <c r="BT63" s="3">
        <f>STDEV(BT54:BT61)/SQRT(COUNT(BT54:BT61))</f>
        <v>8.7177978870813494E-2</v>
      </c>
      <c r="BU63" s="3">
        <f t="shared" ref="BU63:BV63" si="168">STDEV(BU54:BU61)/SQRT(COUNT(BU54:BU61))</f>
        <v>0.13333339999999999</v>
      </c>
      <c r="BV63" s="3">
        <f t="shared" si="168"/>
        <v>0.13333375000351561</v>
      </c>
      <c r="BW63" s="397"/>
      <c r="BX63"/>
      <c r="BY63" s="51">
        <v>21.13</v>
      </c>
      <c r="BZ63" s="13">
        <v>20.56</v>
      </c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</row>
    <row r="64" spans="1:180" s="10" customFormat="1" ht="16.350000000000001" customHeight="1">
      <c r="A64" s="123"/>
      <c r="B64" s="31"/>
      <c r="C64" s="3"/>
      <c r="D64" s="12"/>
      <c r="E64" s="12"/>
      <c r="F64" s="62" t="s">
        <v>300</v>
      </c>
      <c r="G64" s="62">
        <f t="shared" ref="G64" si="169">(100/G51)*G62</f>
        <v>92.431482149296812</v>
      </c>
      <c r="H64" s="63">
        <f>(100/H51)*H62</f>
        <v>101.07464354760752</v>
      </c>
      <c r="I64" s="62"/>
      <c r="J64" s="63">
        <f t="shared" ref="J64:P64" si="170">(100/J51)*J62</f>
        <v>103.92648340940562</v>
      </c>
      <c r="K64" s="62">
        <f t="shared" si="170"/>
        <v>119.94401085850012</v>
      </c>
      <c r="L64" s="63">
        <f t="shared" si="170"/>
        <v>97.136094674556205</v>
      </c>
      <c r="M64" s="62">
        <f t="shared" si="170"/>
        <v>96.838473789225517</v>
      </c>
      <c r="N64" s="63">
        <f>(100/N51)*N62</f>
        <v>100.09505703422053</v>
      </c>
      <c r="O64" s="63">
        <f t="shared" si="170"/>
        <v>99.226201913838821</v>
      </c>
      <c r="P64" s="62">
        <f t="shared" si="170"/>
        <v>99.496411168335456</v>
      </c>
      <c r="Q64" s="63">
        <f>(100/Q51)*Q62</f>
        <v>105.16383326034158</v>
      </c>
      <c r="R64" s="63">
        <f t="shared" ref="R64:AE64" si="171">(100/R51)*R62</f>
        <v>104.09564624525179</v>
      </c>
      <c r="S64" s="63">
        <f t="shared" si="171"/>
        <v>105.61691504652394</v>
      </c>
      <c r="T64" s="63">
        <f t="shared" si="171"/>
        <v>109.13299992185665</v>
      </c>
      <c r="U64" s="63">
        <f t="shared" si="171"/>
        <v>85.351104494222056</v>
      </c>
      <c r="V64" s="63" t="e">
        <f t="shared" si="171"/>
        <v>#DIV/0!</v>
      </c>
      <c r="W64" s="63">
        <f t="shared" si="171"/>
        <v>98.561946902654896</v>
      </c>
      <c r="X64" s="62">
        <f t="shared" si="171"/>
        <v>95.287544174574933</v>
      </c>
      <c r="Y64" s="63">
        <f t="shared" si="171"/>
        <v>105.69262459697993</v>
      </c>
      <c r="Z64" s="62">
        <f t="shared" si="171"/>
        <v>101.9656643318573</v>
      </c>
      <c r="AA64" s="63">
        <f t="shared" si="171"/>
        <v>95.958563535911594</v>
      </c>
      <c r="AB64" s="62">
        <f t="shared" si="171"/>
        <v>92.387154485962242</v>
      </c>
      <c r="AC64" s="63">
        <f t="shared" si="171"/>
        <v>99.537037037037038</v>
      </c>
      <c r="AD64" s="62">
        <f t="shared" si="171"/>
        <v>95.605012540749286</v>
      </c>
      <c r="AE64" s="63">
        <f t="shared" si="171"/>
        <v>99.618780096308214</v>
      </c>
      <c r="AF64" s="62">
        <f>(100/AF51)*AF62</f>
        <v>102.11409632337433</v>
      </c>
      <c r="AG64" s="63">
        <f>(100/AG51)*AG62</f>
        <v>102.02925570055926</v>
      </c>
      <c r="AH64" s="64">
        <f>(100/AH51)*AH62</f>
        <v>97.936231813771983</v>
      </c>
      <c r="AI64" s="63" t="e">
        <f>(100/#REF!)*AI62</f>
        <v>#REF!</v>
      </c>
      <c r="AJ64" s="63">
        <f t="shared" ref="AJ64:AR64" si="172">(100/AJ51)*AJ62</f>
        <v>95.328866820840673</v>
      </c>
      <c r="AK64" s="62">
        <f t="shared" si="172"/>
        <v>91.415585927144861</v>
      </c>
      <c r="AL64" s="62">
        <f t="shared" si="172"/>
        <v>99.223038129825852</v>
      </c>
      <c r="AM64" s="63">
        <f t="shared" si="172"/>
        <v>102.06198079620239</v>
      </c>
      <c r="AN64" s="62">
        <f t="shared" si="172"/>
        <v>98.174105767724569</v>
      </c>
      <c r="AO64" s="62">
        <f t="shared" si="172"/>
        <v>106.08273282422894</v>
      </c>
      <c r="AP64" s="63">
        <f t="shared" si="172"/>
        <v>103.33530106257381</v>
      </c>
      <c r="AQ64" s="62">
        <f t="shared" si="172"/>
        <v>98.032056498263955</v>
      </c>
      <c r="AR64" s="62">
        <f t="shared" si="172"/>
        <v>108.81141691776982</v>
      </c>
      <c r="AS64" s="63" t="e">
        <f>(100/#REF!)*AS62</f>
        <v>#REF!</v>
      </c>
      <c r="AT64" s="63">
        <f t="shared" ref="AT64:AY64" si="173">(100/AT51)*AT62</f>
        <v>99.477175930981772</v>
      </c>
      <c r="AU64" s="62">
        <f t="shared" si="173"/>
        <v>95.441093397782893</v>
      </c>
      <c r="AV64" s="62">
        <f t="shared" si="173"/>
        <v>103.57612932498154</v>
      </c>
      <c r="AW64" s="63">
        <f t="shared" si="173"/>
        <v>103.16646742378961</v>
      </c>
      <c r="AX64" s="62">
        <f t="shared" si="173"/>
        <v>99.004676733518266</v>
      </c>
      <c r="AY64" s="64">
        <f t="shared" si="173"/>
        <v>105.95803330478128</v>
      </c>
      <c r="AZ64" s="123"/>
      <c r="BA64" s="63" t="e">
        <f>(100/#REF!)*BA62</f>
        <v>#REF!</v>
      </c>
      <c r="BB64" s="62" t="e">
        <f>(100/#REF!)*BB62</f>
        <v>#REF!</v>
      </c>
      <c r="BC64" s="64" t="e">
        <f>(100/#REF!)*BC62</f>
        <v>#REF!</v>
      </c>
      <c r="BD64" s="63" t="e">
        <f>(100/#REF!)*BD62</f>
        <v>#REF!</v>
      </c>
      <c r="BE64" s="62" t="e">
        <f>(100/#REF!)*BE62</f>
        <v>#REF!</v>
      </c>
      <c r="BF64" s="64" t="e">
        <f>(100/#REF!)*BF62</f>
        <v>#REF!</v>
      </c>
      <c r="BG64"/>
      <c r="BH64" s="63">
        <f>(100/BH51)*BH62</f>
        <v>133.18020489509706</v>
      </c>
      <c r="BI64" s="62">
        <f t="shared" ref="BI64:BP64" si="174">(100/BI51)*BI62</f>
        <v>113.53977534911959</v>
      </c>
      <c r="BJ64" s="62">
        <f t="shared" si="174"/>
        <v>103.21568627450982</v>
      </c>
      <c r="BK64" s="62">
        <f t="shared" si="174"/>
        <v>147.32983521833324</v>
      </c>
      <c r="BL64" s="62">
        <f t="shared" si="174"/>
        <v>127.52475000490098</v>
      </c>
      <c r="BM64" s="63">
        <f>(100/BM51)*BM62</f>
        <v>116.3734923643118</v>
      </c>
      <c r="BN64" s="62">
        <f t="shared" si="174"/>
        <v>104.91939603718444</v>
      </c>
      <c r="BO64" s="62">
        <f t="shared" si="174"/>
        <v>113.62318840579711</v>
      </c>
      <c r="BP64" s="64">
        <f t="shared" si="174"/>
        <v>198.18632226884458</v>
      </c>
      <c r="BQ64" s="123"/>
      <c r="BR64" s="63">
        <f>(100/BR51)*BR62</f>
        <v>106.11871230708451</v>
      </c>
      <c r="BS64" s="62">
        <f t="shared" ref="BS64:BV64" si="175">(100/BS51)*BS62</f>
        <v>143.53312302839117</v>
      </c>
      <c r="BT64" s="62">
        <f t="shared" si="175"/>
        <v>88.780487804878064</v>
      </c>
      <c r="BU64" s="62">
        <f t="shared" si="175"/>
        <v>93.333753335013341</v>
      </c>
      <c r="BV64" s="62">
        <f t="shared" si="175"/>
        <v>83.999832000336013</v>
      </c>
      <c r="BW64" s="397"/>
      <c r="BX64"/>
      <c r="BY64" s="63">
        <v>21.48</v>
      </c>
      <c r="BZ64" s="63">
        <v>20.57</v>
      </c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</row>
    <row r="65" spans="1:180" s="22" customFormat="1" ht="16.350000000000001" customHeight="1">
      <c r="A65" s="124"/>
      <c r="B65" s="65"/>
      <c r="C65" s="65"/>
      <c r="D65" s="24"/>
      <c r="E65" s="65"/>
      <c r="F65" s="65"/>
      <c r="G65" s="65"/>
      <c r="H65" s="67"/>
      <c r="I65" s="65"/>
      <c r="J65" s="67"/>
      <c r="K65" s="28"/>
      <c r="L65" s="26"/>
      <c r="M65" s="28"/>
      <c r="N65" s="32"/>
      <c r="O65" s="30"/>
      <c r="P65" s="28"/>
      <c r="Q65" s="32"/>
      <c r="R65" s="32"/>
      <c r="S65" s="32"/>
      <c r="T65" s="32"/>
      <c r="U65" s="32"/>
      <c r="V65" s="32"/>
      <c r="W65" s="30"/>
      <c r="X65" s="28"/>
      <c r="Y65" s="30"/>
      <c r="AA65" s="30"/>
      <c r="AB65" s="28"/>
      <c r="AC65" s="30"/>
      <c r="AD65" s="28"/>
      <c r="AE65" s="30"/>
      <c r="AF65" s="28"/>
      <c r="AG65" s="30"/>
      <c r="AH65" s="28"/>
      <c r="AI65" s="30"/>
      <c r="AJ65" s="30"/>
      <c r="AL65" s="28"/>
      <c r="AM65" s="30"/>
      <c r="AO65" s="28"/>
      <c r="AP65" s="30"/>
      <c r="AR65" s="28"/>
      <c r="AS65" s="30"/>
      <c r="AT65" s="30"/>
      <c r="AV65" s="28"/>
      <c r="AW65" s="30"/>
      <c r="AY65" s="28"/>
      <c r="AZ65" s="124"/>
      <c r="BA65" s="30"/>
      <c r="BC65" s="28"/>
      <c r="BD65" s="30"/>
      <c r="BF65" s="28"/>
      <c r="BG65"/>
      <c r="BH65" s="30"/>
      <c r="BL65" s="28"/>
      <c r="BM65" s="30"/>
      <c r="BP65" s="28"/>
      <c r="BQ65" s="124"/>
      <c r="BR65" s="30"/>
      <c r="BV65" s="28"/>
      <c r="BW65"/>
      <c r="BX65"/>
      <c r="BY65" s="13">
        <v>23.13</v>
      </c>
      <c r="BZ65" s="63">
        <v>20.72</v>
      </c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</row>
    <row r="66" spans="1:180" s="10" customFormat="1" ht="16.350000000000001" customHeight="1">
      <c r="A66" s="121" t="s">
        <v>389</v>
      </c>
      <c r="B66" s="10" t="s">
        <v>390</v>
      </c>
      <c r="C66" s="89">
        <v>42548</v>
      </c>
      <c r="D66" s="10" t="s">
        <v>22</v>
      </c>
      <c r="E66" s="10" t="s">
        <v>303</v>
      </c>
      <c r="F66" s="89">
        <v>43258</v>
      </c>
      <c r="G66" s="164">
        <v>0.59097222222222223</v>
      </c>
      <c r="H66" s="63">
        <v>19.850000000000001</v>
      </c>
      <c r="I66" s="64">
        <f>H75-H66</f>
        <v>-1.2055555555555557</v>
      </c>
      <c r="J66" s="63">
        <v>22.14</v>
      </c>
      <c r="K66" s="14">
        <f>J66-H66</f>
        <v>2.2899999999999991</v>
      </c>
      <c r="L66" s="13">
        <v>81.41</v>
      </c>
      <c r="M66" s="186">
        <v>298.51451589999999</v>
      </c>
      <c r="N66" s="15">
        <v>9</v>
      </c>
      <c r="O66" s="13">
        <v>14.281000000000001</v>
      </c>
      <c r="P66" s="14">
        <v>17.074999999999999</v>
      </c>
      <c r="Q66" s="15">
        <v>94.37</v>
      </c>
      <c r="R66" s="15">
        <v>14.42</v>
      </c>
      <c r="S66" s="15">
        <v>50.8</v>
      </c>
      <c r="T66" s="15">
        <v>27.58</v>
      </c>
      <c r="U66" s="15">
        <v>2467.5350787452699</v>
      </c>
      <c r="V66" s="15"/>
      <c r="W66" s="13">
        <v>1.2</v>
      </c>
      <c r="X66" s="14">
        <f>(100/J66)*(W66/1000)</f>
        <v>5.4200542005420045E-3</v>
      </c>
      <c r="Y66" s="13">
        <v>1.2057</v>
      </c>
      <c r="Z66" s="14">
        <f t="shared" ref="Z66:Z74" si="176">(100/J66)*Y66</f>
        <v>5.4457994579945801</v>
      </c>
      <c r="AA66" s="13">
        <v>0.14960000000000001</v>
      </c>
      <c r="AB66" s="14">
        <f t="shared" ref="AB66:AB74" si="177">(100/J66)*AA66</f>
        <v>0.67570009033423672</v>
      </c>
      <c r="AC66" s="13">
        <v>3.4</v>
      </c>
      <c r="AD66" s="14">
        <f>(100/J66)*(AC66/1000)</f>
        <v>1.5356820234869015E-2</v>
      </c>
      <c r="AE66" s="13">
        <v>6.5799999999999997E-2</v>
      </c>
      <c r="AF66" s="14">
        <f>(100/J66)*AE66</f>
        <v>0.29719963866305327</v>
      </c>
      <c r="AG66" s="13">
        <v>7.8299999999999995E-2</v>
      </c>
      <c r="AH66" s="14">
        <f t="shared" ref="AH66:AH74" si="178">(100/J66)*AG66</f>
        <v>0.35365853658536583</v>
      </c>
      <c r="AI66" s="13"/>
      <c r="AJ66" s="13">
        <v>7.3499999999999996E-2</v>
      </c>
      <c r="AK66" s="10">
        <f>(100/J66)*AJ66</f>
        <v>0.33197831978319781</v>
      </c>
      <c r="AL66" s="14">
        <f>(AJ66*1000)/M66</f>
        <v>0.24621918226791328</v>
      </c>
      <c r="AM66" s="13">
        <v>8.2500000000000004E-2</v>
      </c>
      <c r="AN66" s="10">
        <f>(100/J66)*AM66</f>
        <v>0.3726287262872629</v>
      </c>
      <c r="AO66" s="14">
        <f>(AM66*1000)/M66</f>
        <v>0.27636846989255576</v>
      </c>
      <c r="AP66" s="13">
        <v>1.6400000000000001E-2</v>
      </c>
      <c r="AQ66" s="10">
        <f>(100/J66)*AP66</f>
        <v>7.4074074074074084E-2</v>
      </c>
      <c r="AR66" s="14">
        <f>(AP66*1000)/M66</f>
        <v>5.4938701893792907E-2</v>
      </c>
      <c r="AS66" s="13"/>
      <c r="AT66" s="13">
        <f>AJ66+AM66+AP66</f>
        <v>0.1724</v>
      </c>
      <c r="AU66" s="10">
        <f>(100/J66)*AT66</f>
        <v>0.77868112014453472</v>
      </c>
      <c r="AV66" s="14">
        <f>(AT66*1000)/M66</f>
        <v>0.577526354054262</v>
      </c>
      <c r="AW66" s="13">
        <v>8.9599999999999999E-2</v>
      </c>
      <c r="AX66" s="10">
        <f>(100/J66)*AW66</f>
        <v>0.40469738030713642</v>
      </c>
      <c r="AY66" s="14">
        <f>(AW66*1000)/M66</f>
        <v>0.30015290790755145</v>
      </c>
      <c r="AZ66" s="123"/>
      <c r="BA66" s="13"/>
      <c r="BC66" s="14"/>
      <c r="BD66" s="13"/>
      <c r="BF66" s="14"/>
      <c r="BG66"/>
      <c r="BH66" s="13">
        <v>21</v>
      </c>
      <c r="BI66" s="10">
        <v>17</v>
      </c>
      <c r="BJ66" s="10">
        <v>8.4</v>
      </c>
      <c r="BK66" s="10">
        <v>12</v>
      </c>
      <c r="BL66" s="14">
        <v>6.5</v>
      </c>
      <c r="BM66" s="13">
        <v>0.26</v>
      </c>
      <c r="BN66" s="10">
        <v>10.86182629</v>
      </c>
      <c r="BO66">
        <v>26</v>
      </c>
      <c r="BP66">
        <v>2.1739130000000002</v>
      </c>
      <c r="BQ66" s="121" t="s">
        <v>389</v>
      </c>
      <c r="BR66" s="13">
        <v>0.28571400000000002</v>
      </c>
      <c r="BS66" s="10">
        <v>0.25</v>
      </c>
      <c r="BT66" s="10">
        <v>0.2</v>
      </c>
      <c r="BU66" s="10">
        <v>0</v>
      </c>
      <c r="BV66" s="14">
        <v>0</v>
      </c>
      <c r="BW66"/>
      <c r="BX66"/>
      <c r="BY66" s="13"/>
      <c r="BZ66" s="63">
        <v>20.97</v>
      </c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</row>
    <row r="67" spans="1:180" s="10" customFormat="1" ht="16.350000000000001" customHeight="1">
      <c r="A67" s="121" t="s">
        <v>391</v>
      </c>
      <c r="B67" s="182" t="s">
        <v>392</v>
      </c>
      <c r="C67" s="89">
        <v>42548</v>
      </c>
      <c r="D67" s="10" t="s">
        <v>22</v>
      </c>
      <c r="E67" s="10" t="s">
        <v>303</v>
      </c>
      <c r="F67" s="89">
        <v>43258</v>
      </c>
      <c r="G67" s="164">
        <v>0.6479166666666667</v>
      </c>
      <c r="H67" s="63">
        <v>17.84</v>
      </c>
      <c r="I67" s="64">
        <f>H75-H67</f>
        <v>0.80444444444444585</v>
      </c>
      <c r="J67" s="63">
        <v>19.54</v>
      </c>
      <c r="K67" s="14">
        <f>J67-H67</f>
        <v>1.6999999999999993</v>
      </c>
      <c r="L67" s="13">
        <v>71.650000000000006</v>
      </c>
      <c r="M67" s="186">
        <v>265.11006450000002</v>
      </c>
      <c r="N67" s="15">
        <v>8.5</v>
      </c>
      <c r="O67" s="13">
        <v>13.972</v>
      </c>
      <c r="P67" s="14">
        <v>16.530999999999999</v>
      </c>
      <c r="Q67" s="15">
        <v>97.32</v>
      </c>
      <c r="R67" s="15">
        <v>10.32</v>
      </c>
      <c r="S67" s="15">
        <v>46.59</v>
      </c>
      <c r="T67" s="15">
        <v>42.88</v>
      </c>
      <c r="U67" s="15">
        <v>1734.8229046018801</v>
      </c>
      <c r="V67" s="15"/>
      <c r="W67" s="13">
        <v>1</v>
      </c>
      <c r="X67" s="14">
        <f>(100/J67)*(W67/1000)</f>
        <v>5.1177072671443197E-3</v>
      </c>
      <c r="Y67" s="13">
        <v>0.91290000000000004</v>
      </c>
      <c r="Z67" s="14">
        <f t="shared" si="176"/>
        <v>4.6719549641760496</v>
      </c>
      <c r="AA67" s="13">
        <v>0.18609999999999999</v>
      </c>
      <c r="AB67" s="14">
        <f t="shared" si="177"/>
        <v>0.95240532241555775</v>
      </c>
      <c r="AC67" s="13">
        <v>2.8</v>
      </c>
      <c r="AD67" s="14">
        <f>(100/J67)*(AC67/1000)</f>
        <v>1.4329580348004094E-2</v>
      </c>
      <c r="AE67" s="13">
        <v>4.2900000000000001E-2</v>
      </c>
      <c r="AF67" s="14">
        <f t="shared" ref="AF67:AF72" si="179">(100/J67)*AE67</f>
        <v>0.2195496417604913</v>
      </c>
      <c r="AG67" s="13">
        <v>7.7899999999999997E-2</v>
      </c>
      <c r="AH67" s="14">
        <f t="shared" si="178"/>
        <v>0.39866939611054247</v>
      </c>
      <c r="AI67" s="13"/>
      <c r="AJ67" s="13">
        <v>8.3900000000000002E-2</v>
      </c>
      <c r="AK67" s="10">
        <f t="shared" ref="AK67:AK74" si="180">(100/J67)*AJ67</f>
        <v>0.42937563971340842</v>
      </c>
      <c r="AL67" s="14">
        <f t="shared" ref="AL67:AL74" si="181">(AJ67*1000)/M67</f>
        <v>0.31647233068362063</v>
      </c>
      <c r="AM67" s="13">
        <v>7.5499999999999998E-2</v>
      </c>
      <c r="AN67" s="10">
        <f t="shared" ref="AN67:AN74" si="182">(100/J67)*AM67</f>
        <v>0.38638689866939607</v>
      </c>
      <c r="AO67" s="14">
        <f t="shared" ref="AO67:AO74" si="183">(AM67*1000)/M67</f>
        <v>0.28478737743281712</v>
      </c>
      <c r="AP67" s="13">
        <v>1.2200000000000001E-2</v>
      </c>
      <c r="AQ67" s="10">
        <f t="shared" ref="AQ67:AQ74" si="184">(100/J67)*AP67</f>
        <v>6.2436028659160703E-2</v>
      </c>
      <c r="AR67" s="14">
        <f t="shared" ref="AR67:AR74" si="185">(AP67*1000)/M67</f>
        <v>4.6018622578547941E-2</v>
      </c>
      <c r="AS67" s="13"/>
      <c r="AT67" s="13">
        <f t="shared" ref="AT67:AT74" si="186">AJ67+AM67+AP67</f>
        <v>0.17159999999999997</v>
      </c>
      <c r="AU67" s="10">
        <f t="shared" ref="AU67:AU74" si="187">(100/J67)*AT67</f>
        <v>0.87819856704196508</v>
      </c>
      <c r="AV67" s="14">
        <f t="shared" ref="AV67:AV74" si="188">(AT67*1000)/M67</f>
        <v>0.64727833069498553</v>
      </c>
      <c r="AW67" s="13">
        <v>9.1999999999999998E-2</v>
      </c>
      <c r="AX67" s="10">
        <f t="shared" ref="AX67:AX74" si="189">(100/J67)*AW67</f>
        <v>0.47082906857727735</v>
      </c>
      <c r="AY67" s="14">
        <f t="shared" ref="AY67:AY74" si="190">(AW67*1000)/M67</f>
        <v>0.34702567846118115</v>
      </c>
      <c r="AZ67" s="123"/>
      <c r="BA67" s="13"/>
      <c r="BC67" s="14"/>
      <c r="BD67" s="13"/>
      <c r="BF67" s="14"/>
      <c r="BG67"/>
      <c r="BH67" s="13">
        <v>12.57</v>
      </c>
      <c r="BI67" s="10">
        <v>9.67</v>
      </c>
      <c r="BJ67" s="10">
        <v>3</v>
      </c>
      <c r="BK67" s="10">
        <v>9</v>
      </c>
      <c r="BL67" s="14">
        <v>6.67</v>
      </c>
      <c r="BM67" s="13">
        <v>0.14000000000000001</v>
      </c>
      <c r="BN67" s="10">
        <v>12.914079060000001</v>
      </c>
      <c r="BO67">
        <v>29</v>
      </c>
      <c r="BP67">
        <v>12.33333</v>
      </c>
      <c r="BQ67" s="121" t="s">
        <v>391</v>
      </c>
      <c r="BR67" s="13">
        <v>0.28571400000000002</v>
      </c>
      <c r="BS67" s="10">
        <v>0</v>
      </c>
      <c r="BT67" s="10">
        <v>0</v>
      </c>
      <c r="BU67" s="10">
        <v>0.33</v>
      </c>
      <c r="BV67" s="14">
        <v>0.33</v>
      </c>
      <c r="BW67"/>
      <c r="BX67" t="s">
        <v>41</v>
      </c>
      <c r="BY67" s="18">
        <f>AVERAGE(BY44:BY66)</f>
        <v>19.301500000000001</v>
      </c>
      <c r="BZ67" s="18">
        <f>AVERAGE(BZ44:BZ66)</f>
        <v>18.621428571428574</v>
      </c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</row>
    <row r="68" spans="1:180" s="10" customFormat="1" ht="16.350000000000001" customHeight="1">
      <c r="A68" s="9" t="s">
        <v>393</v>
      </c>
      <c r="B68" s="231" t="s">
        <v>394</v>
      </c>
      <c r="C68" s="60"/>
      <c r="D68" s="12" t="s">
        <v>22</v>
      </c>
      <c r="E68" s="10" t="s">
        <v>303</v>
      </c>
      <c r="F68" s="11">
        <v>42411</v>
      </c>
      <c r="G68" s="164">
        <v>0.75347222222222221</v>
      </c>
      <c r="H68" s="63">
        <v>17.45</v>
      </c>
      <c r="I68" s="64">
        <f>H75-H68</f>
        <v>1.1944444444444464</v>
      </c>
      <c r="J68" s="63">
        <v>22.04</v>
      </c>
      <c r="K68" s="14">
        <f>J68-H68</f>
        <v>4.59</v>
      </c>
      <c r="L68" s="13">
        <v>78.799999999999983</v>
      </c>
      <c r="M68" s="86">
        <v>287.56584477073682</v>
      </c>
      <c r="N68" s="15">
        <v>8.8000000000000007</v>
      </c>
      <c r="O68" s="13">
        <v>14.212</v>
      </c>
      <c r="P68" s="14">
        <v>16.876999999999999</v>
      </c>
      <c r="Q68" s="15">
        <v>87.27</v>
      </c>
      <c r="R68" s="15">
        <v>10.92</v>
      </c>
      <c r="S68" s="15">
        <v>43.93</v>
      </c>
      <c r="T68" s="15">
        <v>30.01</v>
      </c>
      <c r="U68" s="15">
        <v>1433.1760087784501</v>
      </c>
      <c r="V68" s="15"/>
      <c r="W68" s="163"/>
      <c r="X68" s="232"/>
      <c r="Y68" s="13">
        <v>1.0443</v>
      </c>
      <c r="Z68" s="14">
        <f t="shared" si="176"/>
        <v>4.738203266787659</v>
      </c>
      <c r="AA68" s="13">
        <v>0.1227</v>
      </c>
      <c r="AB68" s="14">
        <f t="shared" si="177"/>
        <v>0.55671506352087119</v>
      </c>
      <c r="AC68" s="13">
        <v>2</v>
      </c>
      <c r="AD68" s="14">
        <f>(100/J68)*(AC68/1000)</f>
        <v>9.0744101633393835E-3</v>
      </c>
      <c r="AE68" s="13">
        <v>4.58E-2</v>
      </c>
      <c r="AF68" s="14">
        <f t="shared" si="179"/>
        <v>0.20780399274047187</v>
      </c>
      <c r="AG68" s="13">
        <v>7.9799999999999996E-2</v>
      </c>
      <c r="AH68" s="14">
        <f t="shared" si="178"/>
        <v>0.36206896551724138</v>
      </c>
      <c r="AI68" s="13"/>
      <c r="AJ68" s="13">
        <v>9.4100000000000003E-2</v>
      </c>
      <c r="AK68" s="10">
        <f t="shared" si="180"/>
        <v>0.426950998185118</v>
      </c>
      <c r="AL68" s="14">
        <f t="shared" si="181"/>
        <v>0.32722940401709272</v>
      </c>
      <c r="AM68" s="13">
        <v>9.3399999999999997E-2</v>
      </c>
      <c r="AN68" s="10">
        <f t="shared" si="182"/>
        <v>0.42377495462794917</v>
      </c>
      <c r="AO68" s="14">
        <f t="shared" si="183"/>
        <v>0.32479517890750748</v>
      </c>
      <c r="AP68" s="13">
        <v>1.41E-2</v>
      </c>
      <c r="AQ68" s="10">
        <f t="shared" si="184"/>
        <v>6.397459165154265E-2</v>
      </c>
      <c r="AR68" s="14">
        <f t="shared" si="185"/>
        <v>4.9032248635929934E-2</v>
      </c>
      <c r="AS68" s="13"/>
      <c r="AT68" s="13">
        <f t="shared" si="186"/>
        <v>0.2016</v>
      </c>
      <c r="AU68" s="10">
        <f t="shared" si="187"/>
        <v>0.9147005444646098</v>
      </c>
      <c r="AV68" s="14">
        <f t="shared" si="188"/>
        <v>0.70105683156053011</v>
      </c>
      <c r="AW68" s="13">
        <v>6.8099999999999994E-2</v>
      </c>
      <c r="AX68" s="10">
        <f t="shared" si="189"/>
        <v>0.30898366606170596</v>
      </c>
      <c r="AY68" s="14">
        <f t="shared" si="190"/>
        <v>0.23681532851821477</v>
      </c>
      <c r="AZ68" s="123"/>
      <c r="BA68" s="13"/>
      <c r="BC68" s="14"/>
      <c r="BD68" s="13"/>
      <c r="BF68" s="14"/>
      <c r="BG68"/>
      <c r="BH68" s="13">
        <v>20.25</v>
      </c>
      <c r="BI68" s="10">
        <v>20.25</v>
      </c>
      <c r="BJ68" s="10">
        <v>8.8000000000000007</v>
      </c>
      <c r="BK68" s="10">
        <v>7</v>
      </c>
      <c r="BL68" s="14">
        <v>5.33</v>
      </c>
      <c r="BM68" s="13">
        <v>-0.03</v>
      </c>
      <c r="BN68" s="10">
        <v>9.2908408920000003</v>
      </c>
      <c r="BO68">
        <v>27</v>
      </c>
      <c r="BP68">
        <v>7</v>
      </c>
      <c r="BQ68" s="123" t="s">
        <v>393</v>
      </c>
      <c r="BR68" s="13">
        <v>0.25</v>
      </c>
      <c r="BS68" s="10">
        <v>0.25</v>
      </c>
      <c r="BT68" s="10">
        <v>0.2</v>
      </c>
      <c r="BU68" s="10">
        <v>0</v>
      </c>
      <c r="BV68" s="14">
        <v>0</v>
      </c>
      <c r="BW68"/>
      <c r="BX68" t="s">
        <v>45</v>
      </c>
      <c r="BY68" s="18">
        <f>STDEV(BY44:BY66)/SQRT(COUNT(BY44:BY66))</f>
        <v>0.48489297516918201</v>
      </c>
      <c r="BZ68" s="18">
        <f>STDEV(BZ44:BZ66)/SQRT(COUNT(BZ44:BZ66))</f>
        <v>0.32574989362589035</v>
      </c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</row>
    <row r="69" spans="1:180" s="10" customFormat="1" ht="16.350000000000001" customHeight="1">
      <c r="A69" s="256" t="s">
        <v>409</v>
      </c>
      <c r="B69" s="62" t="s">
        <v>410</v>
      </c>
      <c r="C69" s="11" t="s">
        <v>308</v>
      </c>
      <c r="D69" s="12" t="s">
        <v>22</v>
      </c>
      <c r="E69" s="10" t="s">
        <v>303</v>
      </c>
      <c r="F69" s="11" t="s">
        <v>309</v>
      </c>
      <c r="G69" s="164">
        <v>0.49444444444444446</v>
      </c>
      <c r="H69" s="63">
        <v>20.97</v>
      </c>
      <c r="I69" s="64">
        <f>H75-H69</f>
        <v>-2.3255555555555532</v>
      </c>
      <c r="J69" s="63">
        <v>20.77</v>
      </c>
      <c r="K69" s="14">
        <f t="shared" ref="K69:K74" si="191">J69-H69</f>
        <v>-0.19999999999999929</v>
      </c>
      <c r="L69" s="13">
        <v>77.98</v>
      </c>
      <c r="M69" s="86">
        <v>285.19</v>
      </c>
      <c r="N69" s="15">
        <v>8.6999999999999993</v>
      </c>
      <c r="O69" s="13">
        <v>14.061</v>
      </c>
      <c r="P69" s="14">
        <v>16.809000000000001</v>
      </c>
      <c r="Q69" s="15">
        <v>74.239999999999995</v>
      </c>
      <c r="R69" s="15">
        <v>8.1</v>
      </c>
      <c r="S69" s="15">
        <v>39.44</v>
      </c>
      <c r="T69" s="15">
        <v>26.06</v>
      </c>
      <c r="U69" s="15">
        <v>1749.3719337807202</v>
      </c>
      <c r="V69" s="15"/>
      <c r="W69" s="13">
        <v>1</v>
      </c>
      <c r="X69" s="14">
        <f>(100/J69)*(W69/1000)</f>
        <v>4.8146364949446319E-3</v>
      </c>
      <c r="Y69" s="13">
        <v>1.2330000000000001</v>
      </c>
      <c r="Z69" s="14">
        <f t="shared" si="176"/>
        <v>5.9364467982667319</v>
      </c>
      <c r="AA69" s="13">
        <v>0.1321</v>
      </c>
      <c r="AB69" s="14">
        <f t="shared" si="177"/>
        <v>0.63601348098218591</v>
      </c>
      <c r="AC69" s="13">
        <v>2</v>
      </c>
      <c r="AD69" s="14">
        <f t="shared" ref="AD69:AD74" si="192">(100/J69)*(AC69/1000)</f>
        <v>9.6292729898892638E-3</v>
      </c>
      <c r="AE69" s="13">
        <v>5.3100000000000001E-2</v>
      </c>
      <c r="AF69" s="14">
        <f t="shared" si="179"/>
        <v>0.25565719788155999</v>
      </c>
      <c r="AG69" s="13">
        <v>7.5999999999999998E-2</v>
      </c>
      <c r="AH69" s="14">
        <f t="shared" si="178"/>
        <v>0.36591237361579204</v>
      </c>
      <c r="AI69" s="13"/>
      <c r="AJ69" s="13">
        <v>0.1056</v>
      </c>
      <c r="AK69" s="10">
        <f t="shared" si="180"/>
        <v>0.50842561386615315</v>
      </c>
      <c r="AL69" s="14">
        <f t="shared" si="181"/>
        <v>0.37027946281426416</v>
      </c>
      <c r="AM69" s="13">
        <v>7.6100000000000001E-2</v>
      </c>
      <c r="AN69" s="10">
        <f t="shared" si="182"/>
        <v>0.36639383726528651</v>
      </c>
      <c r="AO69" s="14">
        <f t="shared" si="183"/>
        <v>0.26683965075914301</v>
      </c>
      <c r="AP69" s="13">
        <v>1.5299999999999999E-2</v>
      </c>
      <c r="AQ69" s="10">
        <f t="shared" si="184"/>
        <v>7.3663938372652865E-2</v>
      </c>
      <c r="AR69" s="14">
        <f t="shared" si="185"/>
        <v>5.3648444896384866E-2</v>
      </c>
      <c r="AS69" s="13"/>
      <c r="AT69" s="13">
        <f t="shared" si="186"/>
        <v>0.19700000000000001</v>
      </c>
      <c r="AU69" s="10">
        <f t="shared" si="187"/>
        <v>0.94848338950409261</v>
      </c>
      <c r="AV69" s="14">
        <f t="shared" si="188"/>
        <v>0.6907675584697921</v>
      </c>
      <c r="AW69" s="13">
        <v>8.8800000000000004E-2</v>
      </c>
      <c r="AX69" s="10">
        <f t="shared" si="189"/>
        <v>0.42753972075108337</v>
      </c>
      <c r="AY69" s="14">
        <f t="shared" si="190"/>
        <v>0.31137136645744939</v>
      </c>
      <c r="AZ69" s="123"/>
      <c r="BA69" s="13"/>
      <c r="BC69" s="14"/>
      <c r="BD69" s="13"/>
      <c r="BF69" s="14"/>
      <c r="BG69"/>
      <c r="BH69" s="13">
        <v>25</v>
      </c>
      <c r="BI69" s="10">
        <v>21.5</v>
      </c>
      <c r="BJ69" s="10">
        <v>10.4</v>
      </c>
      <c r="BK69" s="10">
        <v>13.5</v>
      </c>
      <c r="BL69" s="14">
        <v>5</v>
      </c>
      <c r="BM69" s="13">
        <v>0.06</v>
      </c>
      <c r="BN69" s="10">
        <v>10.923258560000001</v>
      </c>
      <c r="BO69">
        <v>31</v>
      </c>
      <c r="BP69">
        <v>5.5714290000000002</v>
      </c>
      <c r="BQ69" s="123" t="s">
        <v>409</v>
      </c>
      <c r="BR69" s="13">
        <v>1.285714</v>
      </c>
      <c r="BS69" s="10">
        <v>0</v>
      </c>
      <c r="BT69" s="266">
        <v>1.6</v>
      </c>
      <c r="BU69" s="10">
        <v>0.5</v>
      </c>
      <c r="BV69" s="14">
        <v>0</v>
      </c>
      <c r="BW69"/>
      <c r="BX69" t="s">
        <v>316</v>
      </c>
      <c r="BY69">
        <f>COUNT(BY44:BY66)</f>
        <v>20</v>
      </c>
      <c r="BZ69">
        <f>COUNT(BZ44:BZ66)</f>
        <v>21</v>
      </c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</row>
    <row r="70" spans="1:180" s="10" customFormat="1" ht="16.350000000000001" customHeight="1">
      <c r="A70" s="256" t="s">
        <v>395</v>
      </c>
      <c r="B70" s="62" t="s">
        <v>396</v>
      </c>
      <c r="C70" s="11" t="s">
        <v>397</v>
      </c>
      <c r="D70" s="12" t="s">
        <v>22</v>
      </c>
      <c r="E70" s="10" t="s">
        <v>303</v>
      </c>
      <c r="F70" s="11" t="s">
        <v>309</v>
      </c>
      <c r="G70" s="164">
        <v>0.62152777777777779</v>
      </c>
      <c r="H70" s="63">
        <v>18.670000000000002</v>
      </c>
      <c r="I70" s="64">
        <f>H75-H70</f>
        <v>-2.5555555555555998E-2</v>
      </c>
      <c r="J70" s="63">
        <v>21.37</v>
      </c>
      <c r="K70" s="14">
        <f t="shared" si="191"/>
        <v>2.6999999999999993</v>
      </c>
      <c r="L70" s="13">
        <v>80.22</v>
      </c>
      <c r="M70" s="86">
        <v>293.27</v>
      </c>
      <c r="N70" s="15">
        <v>8.6999999999999993</v>
      </c>
      <c r="O70" s="13">
        <v>14.101000000000001</v>
      </c>
      <c r="P70" s="14">
        <v>17.082000000000001</v>
      </c>
      <c r="Q70" s="15">
        <v>93.17</v>
      </c>
      <c r="R70" s="15">
        <v>7.53</v>
      </c>
      <c r="S70" s="15">
        <v>46.47</v>
      </c>
      <c r="T70" s="15">
        <v>40.26</v>
      </c>
      <c r="U70" s="15">
        <v>1266.6440901123999</v>
      </c>
      <c r="V70" s="15"/>
      <c r="W70" s="13">
        <v>0.9</v>
      </c>
      <c r="X70" s="14">
        <f>(100/J70)*(W70/1000)</f>
        <v>4.2115114646700978E-3</v>
      </c>
      <c r="Y70" s="13">
        <v>0.89900000000000002</v>
      </c>
      <c r="Z70" s="14">
        <f t="shared" si="176"/>
        <v>4.2068320074871313</v>
      </c>
      <c r="AA70" s="13">
        <v>0.16880000000000001</v>
      </c>
      <c r="AB70" s="14">
        <f t="shared" si="177"/>
        <v>0.78989237248479172</v>
      </c>
      <c r="AC70" s="13">
        <v>3.1</v>
      </c>
      <c r="AD70" s="14">
        <f t="shared" si="192"/>
        <v>1.4506317267197004E-2</v>
      </c>
      <c r="AE70" s="13">
        <v>3.7199999999999997E-2</v>
      </c>
      <c r="AF70" s="14">
        <f t="shared" si="179"/>
        <v>0.17407580720636404</v>
      </c>
      <c r="AG70" s="13">
        <v>6.2700000000000006E-2</v>
      </c>
      <c r="AH70" s="14">
        <f t="shared" si="178"/>
        <v>0.29340196537201685</v>
      </c>
      <c r="AI70" s="13"/>
      <c r="AJ70" s="13">
        <v>0.1203</v>
      </c>
      <c r="AK70" s="10">
        <f t="shared" si="180"/>
        <v>0.56293869911090311</v>
      </c>
      <c r="AL70" s="14">
        <f t="shared" si="181"/>
        <v>0.4102022027483207</v>
      </c>
      <c r="AM70" s="13">
        <v>8.8499999999999995E-2</v>
      </c>
      <c r="AN70" s="10">
        <f t="shared" si="182"/>
        <v>0.41413196069255959</v>
      </c>
      <c r="AO70" s="14">
        <f t="shared" si="183"/>
        <v>0.30176970027619604</v>
      </c>
      <c r="AP70" s="13">
        <v>2.1999999999999999E-2</v>
      </c>
      <c r="AQ70" s="10">
        <f t="shared" si="184"/>
        <v>0.10294805802526905</v>
      </c>
      <c r="AR70" s="14">
        <f t="shared" si="185"/>
        <v>7.501619667882839E-2</v>
      </c>
      <c r="AS70" s="13"/>
      <c r="AT70" s="13">
        <f t="shared" si="186"/>
        <v>0.23079999999999998</v>
      </c>
      <c r="AU70" s="10">
        <f t="shared" si="187"/>
        <v>1.0800187178287317</v>
      </c>
      <c r="AV70" s="14">
        <f t="shared" si="188"/>
        <v>0.78698809970334505</v>
      </c>
      <c r="AW70" s="13">
        <v>0.1076</v>
      </c>
      <c r="AX70" s="10">
        <f t="shared" si="189"/>
        <v>0.50350959288722508</v>
      </c>
      <c r="AY70" s="14">
        <f t="shared" si="190"/>
        <v>0.3668973983019061</v>
      </c>
      <c r="AZ70" s="123"/>
      <c r="BA70" s="13"/>
      <c r="BC70" s="14"/>
      <c r="BD70" s="13"/>
      <c r="BF70" s="14"/>
      <c r="BG70"/>
      <c r="BH70" s="13">
        <v>21.71</v>
      </c>
      <c r="BI70" s="10">
        <v>20.67</v>
      </c>
      <c r="BJ70" s="10">
        <v>11.75</v>
      </c>
      <c r="BK70" s="10">
        <v>13</v>
      </c>
      <c r="BL70" s="14">
        <v>1.33</v>
      </c>
      <c r="BM70" s="13">
        <v>-0.14000000000000001</v>
      </c>
      <c r="BN70" s="10">
        <v>7.7967569960000001</v>
      </c>
      <c r="BO70">
        <v>25</v>
      </c>
      <c r="BP70">
        <v>7.75</v>
      </c>
      <c r="BQ70" s="123" t="s">
        <v>395</v>
      </c>
      <c r="BR70" s="13">
        <v>0.42857099999999998</v>
      </c>
      <c r="BS70" s="10">
        <v>0</v>
      </c>
      <c r="BT70" s="10">
        <v>0</v>
      </c>
      <c r="BU70" s="10">
        <v>1</v>
      </c>
      <c r="BV70" s="14">
        <v>0</v>
      </c>
      <c r="BW70"/>
      <c r="BX70" t="s">
        <v>738</v>
      </c>
      <c r="BY70"/>
      <c r="BZ70">
        <f>TTEST(BY44:BY66,BZ44:BZ66,1,2)</f>
        <v>0.12362926331695019</v>
      </c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</row>
    <row r="71" spans="1:180" s="10" customFormat="1" ht="16.350000000000001" customHeight="1">
      <c r="A71" s="123" t="s">
        <v>398</v>
      </c>
      <c r="B71" s="12" t="s">
        <v>399</v>
      </c>
      <c r="C71" s="305">
        <v>42989</v>
      </c>
      <c r="D71" s="12" t="s">
        <v>22</v>
      </c>
      <c r="E71" s="10" t="s">
        <v>303</v>
      </c>
      <c r="F71" s="11" t="s">
        <v>291</v>
      </c>
      <c r="G71" s="164">
        <v>0.54791666666666672</v>
      </c>
      <c r="H71" s="63">
        <v>19.45</v>
      </c>
      <c r="I71" s="64">
        <f>H75-H71</f>
        <v>-0.80555555555555358</v>
      </c>
      <c r="J71" s="63">
        <v>22.01</v>
      </c>
      <c r="K71" s="14">
        <f t="shared" si="191"/>
        <v>2.5600000000000023</v>
      </c>
      <c r="L71" s="13">
        <v>93.099999999999909</v>
      </c>
      <c r="M71" s="86">
        <v>338.44116023175718</v>
      </c>
      <c r="N71" s="15">
        <v>8.9</v>
      </c>
      <c r="O71" s="13">
        <v>14.535</v>
      </c>
      <c r="P71" s="14">
        <v>17.138999999999999</v>
      </c>
      <c r="Q71" s="15">
        <v>77.38</v>
      </c>
      <c r="R71" s="15">
        <v>12.94</v>
      </c>
      <c r="S71" s="15">
        <v>36.82</v>
      </c>
      <c r="T71" s="15">
        <v>29.85</v>
      </c>
      <c r="U71" s="387"/>
      <c r="V71" s="15"/>
      <c r="W71" s="13">
        <v>1.1000000000000001</v>
      </c>
      <c r="X71" s="14">
        <f>(100/J71)*(W71/1000)</f>
        <v>4.9977283053157648E-3</v>
      </c>
      <c r="Y71" s="13">
        <v>1.2343999999999999</v>
      </c>
      <c r="Z71" s="14">
        <f t="shared" si="176"/>
        <v>5.6083598364379812</v>
      </c>
      <c r="AA71" s="13">
        <v>0.14899999999999999</v>
      </c>
      <c r="AB71" s="14">
        <f t="shared" si="177"/>
        <v>0.67696501590186264</v>
      </c>
      <c r="AC71" s="13">
        <v>2.1</v>
      </c>
      <c r="AD71" s="14">
        <f t="shared" si="192"/>
        <v>9.5411176737846427E-3</v>
      </c>
      <c r="AE71" s="13">
        <v>7.0400000000000004E-2</v>
      </c>
      <c r="AF71" s="14">
        <f t="shared" si="179"/>
        <v>0.31985461154020894</v>
      </c>
      <c r="AG71" s="13">
        <v>7.8399999999999997E-2</v>
      </c>
      <c r="AH71" s="14">
        <f t="shared" si="178"/>
        <v>0.35620172648795995</v>
      </c>
      <c r="AI71" s="13"/>
      <c r="AJ71" s="13">
        <v>0.1183</v>
      </c>
      <c r="AK71" s="10">
        <f t="shared" si="180"/>
        <v>0.53748296228986814</v>
      </c>
      <c r="AL71" s="14">
        <f t="shared" si="181"/>
        <v>0.34954377274617165</v>
      </c>
      <c r="AM71" s="13">
        <v>0.121</v>
      </c>
      <c r="AN71" s="10">
        <f t="shared" si="182"/>
        <v>0.54975011358473413</v>
      </c>
      <c r="AO71" s="14">
        <f t="shared" si="183"/>
        <v>0.35752152580124064</v>
      </c>
      <c r="AP71" s="13">
        <v>0.04</v>
      </c>
      <c r="AQ71" s="383">
        <f t="shared" si="184"/>
        <v>0.1817355747387551</v>
      </c>
      <c r="AR71" s="14">
        <f t="shared" si="185"/>
        <v>0.11818893414917046</v>
      </c>
      <c r="AS71" s="13"/>
      <c r="AT71" s="13">
        <f t="shared" si="186"/>
        <v>0.27929999999999999</v>
      </c>
      <c r="AU71" s="10">
        <f t="shared" si="187"/>
        <v>1.2689686506133573</v>
      </c>
      <c r="AV71" s="14">
        <f t="shared" si="188"/>
        <v>0.82525423269658282</v>
      </c>
      <c r="AW71" s="13">
        <v>9.6000000000000002E-2</v>
      </c>
      <c r="AX71" s="10">
        <f t="shared" si="189"/>
        <v>0.4361653793730122</v>
      </c>
      <c r="AY71" s="14">
        <f t="shared" si="190"/>
        <v>0.28365344195800912</v>
      </c>
      <c r="AZ71" s="123"/>
      <c r="BA71" s="13"/>
      <c r="BC71" s="14"/>
      <c r="BD71" s="13"/>
      <c r="BF71" s="14"/>
      <c r="BG71"/>
      <c r="BH71" s="13">
        <v>43</v>
      </c>
      <c r="BI71" s="10">
        <v>26.666666666666668</v>
      </c>
      <c r="BL71" s="14"/>
      <c r="BM71" s="13">
        <v>0.50505050505050508</v>
      </c>
      <c r="BP71" s="14"/>
      <c r="BQ71" s="123"/>
      <c r="BR71" s="13"/>
      <c r="BV71" s="14"/>
      <c r="BW71" s="10" t="s">
        <v>725</v>
      </c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</row>
    <row r="72" spans="1:180" s="10" customFormat="1" ht="16.350000000000001" customHeight="1">
      <c r="A72" s="123" t="s">
        <v>400</v>
      </c>
      <c r="B72" s="62" t="s">
        <v>401</v>
      </c>
      <c r="C72" s="11">
        <v>43165</v>
      </c>
      <c r="D72" s="12" t="s">
        <v>22</v>
      </c>
      <c r="E72" s="10" t="s">
        <v>303</v>
      </c>
      <c r="F72" s="11">
        <v>43203</v>
      </c>
      <c r="G72" s="164">
        <v>0.51736111111111105</v>
      </c>
      <c r="H72" s="63">
        <v>18.920000000000002</v>
      </c>
      <c r="I72" s="64">
        <f>H75-H72</f>
        <v>-0.275555555555556</v>
      </c>
      <c r="J72" s="63">
        <v>23.3</v>
      </c>
      <c r="K72" s="14">
        <f t="shared" si="191"/>
        <v>4.379999999999999</v>
      </c>
      <c r="L72" s="13">
        <v>74.900000000000077</v>
      </c>
      <c r="M72" s="86">
        <v>273.80935548755389</v>
      </c>
      <c r="N72" s="15">
        <v>8.8000000000000007</v>
      </c>
      <c r="O72" s="13">
        <v>14.901999999999999</v>
      </c>
      <c r="P72" s="14">
        <v>17.425999999999998</v>
      </c>
      <c r="Q72" s="15">
        <v>93.33</v>
      </c>
      <c r="R72" s="15">
        <v>9.2200000000000006</v>
      </c>
      <c r="S72" s="15">
        <v>45.21</v>
      </c>
      <c r="T72" s="15">
        <v>39.28</v>
      </c>
      <c r="U72" s="15">
        <v>3638.3370687943998</v>
      </c>
      <c r="V72" s="15"/>
      <c r="W72" s="13">
        <v>1.2</v>
      </c>
      <c r="X72" s="14">
        <f>(100/J72)*(W72/1000)</f>
        <v>5.1502145922746774E-3</v>
      </c>
      <c r="Y72" s="13">
        <v>1.3005</v>
      </c>
      <c r="Z72" s="14">
        <f t="shared" si="176"/>
        <v>5.5815450643776821</v>
      </c>
      <c r="AA72" s="13">
        <v>0.14460000000000001</v>
      </c>
      <c r="AB72" s="14">
        <f t="shared" si="177"/>
        <v>0.62060085836909873</v>
      </c>
      <c r="AC72" s="13">
        <v>2.9</v>
      </c>
      <c r="AD72" s="14">
        <f t="shared" si="192"/>
        <v>1.2446351931330471E-2</v>
      </c>
      <c r="AE72" s="13">
        <v>7.1900000000000006E-2</v>
      </c>
      <c r="AF72" s="14">
        <f t="shared" si="179"/>
        <v>0.30858369098712446</v>
      </c>
      <c r="AG72" s="13">
        <v>7.51E-2</v>
      </c>
      <c r="AH72" s="14">
        <f t="shared" si="178"/>
        <v>0.32231759656652359</v>
      </c>
      <c r="AI72" s="13"/>
      <c r="AJ72" s="13">
        <v>9.5799999999999996E-2</v>
      </c>
      <c r="AK72" s="10">
        <f t="shared" si="180"/>
        <v>0.41115879828326174</v>
      </c>
      <c r="AL72" s="14">
        <f t="shared" si="181"/>
        <v>0.34987847595424704</v>
      </c>
      <c r="AM72" s="13">
        <v>0.1129</v>
      </c>
      <c r="AN72" s="10">
        <f t="shared" si="182"/>
        <v>0.48454935622317591</v>
      </c>
      <c r="AO72" s="14">
        <f t="shared" si="183"/>
        <v>0.41233068825923269</v>
      </c>
      <c r="AP72" s="13">
        <v>1.9599999999999999E-2</v>
      </c>
      <c r="AQ72" s="10">
        <f t="shared" si="184"/>
        <v>8.412017167381973E-2</v>
      </c>
      <c r="AR72" s="14">
        <f t="shared" si="185"/>
        <v>7.1582652700451374E-2</v>
      </c>
      <c r="AS72" s="13"/>
      <c r="AT72" s="13">
        <f t="shared" si="186"/>
        <v>0.2283</v>
      </c>
      <c r="AU72" s="10">
        <f t="shared" si="187"/>
        <v>0.9798283261802575</v>
      </c>
      <c r="AV72" s="14">
        <f t="shared" si="188"/>
        <v>0.83379181691393112</v>
      </c>
      <c r="AW72" s="13">
        <v>0.1087</v>
      </c>
      <c r="AX72" s="10">
        <f t="shared" si="189"/>
        <v>0.46652360515021457</v>
      </c>
      <c r="AY72" s="14">
        <f t="shared" si="190"/>
        <v>0.39699154839485024</v>
      </c>
      <c r="AZ72" s="123"/>
      <c r="BA72" s="13"/>
      <c r="BC72" s="14"/>
      <c r="BD72" s="13"/>
      <c r="BF72" s="14"/>
      <c r="BG72"/>
      <c r="BH72" s="13">
        <v>31.25</v>
      </c>
      <c r="BI72" s="10">
        <v>20.5</v>
      </c>
      <c r="BL72" s="14"/>
      <c r="BM72" s="13">
        <v>0.44686732186732181</v>
      </c>
      <c r="BN72" s="10">
        <v>8.1264000000000003</v>
      </c>
      <c r="BP72" s="14"/>
      <c r="BQ72" s="123"/>
      <c r="BR72" s="13"/>
      <c r="BV72" s="14"/>
      <c r="BW72" s="10" t="s">
        <v>725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</row>
    <row r="73" spans="1:180" s="10" customFormat="1" ht="16.350000000000001" customHeight="1">
      <c r="A73" s="9" t="s">
        <v>402</v>
      </c>
      <c r="B73" s="63" t="s">
        <v>403</v>
      </c>
      <c r="C73" s="142">
        <v>43705</v>
      </c>
      <c r="D73" s="12" t="s">
        <v>22</v>
      </c>
      <c r="E73" s="10" t="s">
        <v>303</v>
      </c>
      <c r="F73" s="11">
        <v>43742</v>
      </c>
      <c r="G73" s="164">
        <v>0.58333333333333337</v>
      </c>
      <c r="H73" s="63">
        <v>17.739999999999998</v>
      </c>
      <c r="I73" s="64">
        <f>H75-H73</f>
        <v>0.90444444444444727</v>
      </c>
      <c r="J73" s="63">
        <v>23.34</v>
      </c>
      <c r="K73" s="14">
        <f t="shared" si="191"/>
        <v>5.6000000000000014</v>
      </c>
      <c r="L73" s="13">
        <v>82.950000000000159</v>
      </c>
      <c r="M73" s="86">
        <v>303.32747115148464</v>
      </c>
      <c r="N73" s="13">
        <v>8.5</v>
      </c>
      <c r="O73" s="13">
        <v>14.16</v>
      </c>
      <c r="P73" s="14">
        <v>17.026</v>
      </c>
      <c r="Q73" s="15"/>
      <c r="R73" s="15"/>
      <c r="S73" s="15"/>
      <c r="T73" s="15"/>
      <c r="U73" s="13">
        <v>1976.3803577767101</v>
      </c>
      <c r="V73" s="13"/>
      <c r="W73" s="13">
        <v>0.9</v>
      </c>
      <c r="X73" s="14">
        <f t="shared" ref="X73:X74" si="193">(100/J73)*(W73/1000)</f>
        <v>3.8560411311053984E-3</v>
      </c>
      <c r="Y73" s="13">
        <v>1.1986000000000001</v>
      </c>
      <c r="Z73" s="10">
        <f t="shared" si="176"/>
        <v>5.1353898886032567</v>
      </c>
      <c r="AA73" s="13">
        <v>0.13170000000000001</v>
      </c>
      <c r="AB73" s="14">
        <f t="shared" si="177"/>
        <v>0.56426735218509005</v>
      </c>
      <c r="AC73" s="13">
        <v>2.2000000000000002</v>
      </c>
      <c r="AD73" s="14">
        <f t="shared" si="192"/>
        <v>9.4258783204798635E-3</v>
      </c>
      <c r="AE73" s="13">
        <v>5.0799999999999998E-2</v>
      </c>
      <c r="AF73" s="14">
        <f t="shared" ref="AF73:AF74" si="194">(1000/J73)*AE73</f>
        <v>2.1765209940017138</v>
      </c>
      <c r="AG73" s="13">
        <v>7.1099999999999997E-2</v>
      </c>
      <c r="AH73" s="14">
        <f t="shared" si="178"/>
        <v>0.30462724935732649</v>
      </c>
      <c r="AI73" s="13"/>
      <c r="AJ73" s="13">
        <v>8.48E-2</v>
      </c>
      <c r="AK73" s="10">
        <f t="shared" si="180"/>
        <v>0.36332476435304201</v>
      </c>
      <c r="AL73" s="14">
        <f t="shared" si="181"/>
        <v>0.27956584241474808</v>
      </c>
      <c r="AM73" s="13">
        <v>9.5699999999999993E-2</v>
      </c>
      <c r="AN73" s="10">
        <f t="shared" si="182"/>
        <v>0.41002570694087404</v>
      </c>
      <c r="AO73" s="14">
        <f t="shared" si="183"/>
        <v>0.3155006028194739</v>
      </c>
      <c r="AP73" s="13">
        <v>2.01E-2</v>
      </c>
      <c r="AQ73" s="10">
        <f t="shared" si="184"/>
        <v>8.611825192802057E-2</v>
      </c>
      <c r="AR73" s="14">
        <f t="shared" si="185"/>
        <v>6.6265016893118353E-2</v>
      </c>
      <c r="AS73" s="13"/>
      <c r="AT73" s="13">
        <f t="shared" si="186"/>
        <v>0.2006</v>
      </c>
      <c r="AU73" s="10">
        <f t="shared" si="187"/>
        <v>0.85946872322193657</v>
      </c>
      <c r="AV73" s="14">
        <f t="shared" si="188"/>
        <v>0.6613314621273404</v>
      </c>
      <c r="AW73" s="13">
        <v>0.1009</v>
      </c>
      <c r="AX73" s="10">
        <f t="shared" si="189"/>
        <v>0.43230505569837191</v>
      </c>
      <c r="AY73" s="14">
        <f t="shared" si="190"/>
        <v>0.33264379126943494</v>
      </c>
      <c r="AZ73" s="123"/>
      <c r="BA73" s="13"/>
      <c r="BC73" s="14"/>
      <c r="BD73" s="13"/>
      <c r="BF73" s="14"/>
      <c r="BG73"/>
      <c r="BH73" s="13">
        <v>25.666666666666668</v>
      </c>
      <c r="BI73" s="10">
        <v>17.25</v>
      </c>
      <c r="BL73" s="14"/>
      <c r="BM73" s="13">
        <v>0.47197452229299364</v>
      </c>
      <c r="BP73" s="14"/>
      <c r="BQ73" s="123"/>
      <c r="BR73" s="13"/>
      <c r="BV73" s="14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</row>
    <row r="74" spans="1:180" s="10" customFormat="1" ht="16.350000000000001" customHeight="1">
      <c r="A74" s="9" t="s">
        <v>404</v>
      </c>
      <c r="B74" s="63" t="s">
        <v>405</v>
      </c>
      <c r="C74" s="142">
        <v>43705</v>
      </c>
      <c r="D74" s="12" t="s">
        <v>22</v>
      </c>
      <c r="E74" s="10" t="s">
        <v>303</v>
      </c>
      <c r="F74" s="11">
        <v>43742</v>
      </c>
      <c r="G74" s="164">
        <v>0.74652777777777779</v>
      </c>
      <c r="H74" s="63">
        <v>16.91</v>
      </c>
      <c r="I74" s="64">
        <f>H75-H74</f>
        <v>1.7344444444444456</v>
      </c>
      <c r="J74" s="63">
        <v>21.9</v>
      </c>
      <c r="K74" s="14">
        <f t="shared" si="191"/>
        <v>4.9899999999999984</v>
      </c>
      <c r="L74" s="13">
        <v>76.88</v>
      </c>
      <c r="M74" s="86">
        <v>279.45740901688168</v>
      </c>
      <c r="N74" s="13">
        <v>8.8000000000000007</v>
      </c>
      <c r="O74" s="13">
        <v>14.298</v>
      </c>
      <c r="P74" s="14">
        <v>16.846</v>
      </c>
      <c r="Q74" s="15">
        <v>82.41</v>
      </c>
      <c r="R74" s="15">
        <v>9.8000000000000007</v>
      </c>
      <c r="S74" s="15">
        <v>43.78</v>
      </c>
      <c r="T74" s="15">
        <v>29.38</v>
      </c>
      <c r="U74" s="13">
        <v>1384.97004664919</v>
      </c>
      <c r="V74" s="13"/>
      <c r="W74" s="13">
        <v>1.2</v>
      </c>
      <c r="X74" s="14">
        <f t="shared" si="193"/>
        <v>5.4794520547945206E-3</v>
      </c>
      <c r="Y74" s="13">
        <v>0.7923</v>
      </c>
      <c r="Z74" s="10">
        <f t="shared" si="176"/>
        <v>3.6178082191780825</v>
      </c>
      <c r="AA74" s="13">
        <v>0.13400000000000001</v>
      </c>
      <c r="AB74" s="14">
        <f t="shared" si="177"/>
        <v>0.61187214611872154</v>
      </c>
      <c r="AC74" s="13">
        <v>3.1</v>
      </c>
      <c r="AD74" s="14">
        <f t="shared" si="192"/>
        <v>1.4155251141552512E-2</v>
      </c>
      <c r="AE74" s="13">
        <v>4.2099999999999999E-2</v>
      </c>
      <c r="AF74" s="14">
        <f t="shared" si="194"/>
        <v>1.9223744292237441</v>
      </c>
      <c r="AG74" s="13">
        <v>6.3600000000000004E-2</v>
      </c>
      <c r="AH74" s="14">
        <f t="shared" si="178"/>
        <v>0.29041095890410962</v>
      </c>
      <c r="AI74" s="13"/>
      <c r="AJ74" s="13">
        <v>6.8199999999999997E-2</v>
      </c>
      <c r="AK74" s="10">
        <f t="shared" si="180"/>
        <v>0.31141552511415527</v>
      </c>
      <c r="AL74" s="14">
        <f t="shared" si="181"/>
        <v>0.24404434378721418</v>
      </c>
      <c r="AM74" s="13">
        <v>9.9599999999999994E-2</v>
      </c>
      <c r="AN74" s="10">
        <f t="shared" si="182"/>
        <v>0.45479452054794522</v>
      </c>
      <c r="AO74" s="14">
        <f t="shared" si="183"/>
        <v>0.35640493608807228</v>
      </c>
      <c r="AP74" s="13">
        <v>2.8000000000000001E-2</v>
      </c>
      <c r="AQ74" s="10">
        <f t="shared" si="184"/>
        <v>0.12785388127853883</v>
      </c>
      <c r="AR74" s="14">
        <f t="shared" si="185"/>
        <v>0.10019415873961872</v>
      </c>
      <c r="AS74" s="13"/>
      <c r="AT74" s="13">
        <f t="shared" si="186"/>
        <v>0.1958</v>
      </c>
      <c r="AU74" s="10">
        <f t="shared" si="187"/>
        <v>0.8940639269406393</v>
      </c>
      <c r="AV74" s="14">
        <f t="shared" si="188"/>
        <v>0.7006434386149053</v>
      </c>
      <c r="AW74" s="13">
        <v>8.2000000000000003E-2</v>
      </c>
      <c r="AX74" s="10">
        <f t="shared" si="189"/>
        <v>0.37442922374429227</v>
      </c>
      <c r="AY74" s="14">
        <f t="shared" si="190"/>
        <v>0.29342575059459769</v>
      </c>
      <c r="AZ74" s="123"/>
      <c r="BA74" s="13"/>
      <c r="BC74" s="14"/>
      <c r="BD74" s="13"/>
      <c r="BF74" s="14"/>
      <c r="BG74"/>
      <c r="BH74" s="13">
        <v>39.75</v>
      </c>
      <c r="BI74" s="10">
        <v>31.75</v>
      </c>
      <c r="BL74" s="14"/>
      <c r="BM74" s="13">
        <v>0.45281638624725673</v>
      </c>
      <c r="BP74" s="14"/>
      <c r="BQ74" s="123"/>
      <c r="BR74" s="13"/>
      <c r="BV74" s="1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</row>
    <row r="75" spans="1:180" s="10" customFormat="1" ht="16.350000000000001" customHeight="1">
      <c r="A75" s="121"/>
      <c r="B75" s="89"/>
      <c r="C75" s="55"/>
      <c r="F75" s="55" t="s">
        <v>281</v>
      </c>
      <c r="G75" s="333">
        <f t="shared" ref="G75:AY75" si="195">AVERAGE(G66:G74)</f>
        <v>0.61149691358024683</v>
      </c>
      <c r="H75" s="18">
        <f t="shared" si="195"/>
        <v>18.644444444444446</v>
      </c>
      <c r="I75" s="3">
        <f t="shared" si="195"/>
        <v>1.1842378929335002E-15</v>
      </c>
      <c r="J75" s="18">
        <f t="shared" si="195"/>
        <v>21.823333333333338</v>
      </c>
      <c r="K75" s="3">
        <f t="shared" si="195"/>
        <v>3.1788888888888889</v>
      </c>
      <c r="L75" s="18">
        <f t="shared" si="195"/>
        <v>79.765555555555565</v>
      </c>
      <c r="M75" s="3">
        <f t="shared" si="195"/>
        <v>291.63175789537934</v>
      </c>
      <c r="N75" s="59">
        <f t="shared" si="195"/>
        <v>8.7444444444444454</v>
      </c>
      <c r="O75" s="59">
        <f t="shared" si="195"/>
        <v>14.280222222222221</v>
      </c>
      <c r="P75" s="59">
        <f t="shared" si="195"/>
        <v>16.978999999999999</v>
      </c>
      <c r="Q75" s="59">
        <f t="shared" si="195"/>
        <v>87.436250000000001</v>
      </c>
      <c r="R75" s="59">
        <f t="shared" si="195"/>
        <v>10.40625</v>
      </c>
      <c r="S75" s="59">
        <f t="shared" si="195"/>
        <v>44.129999999999995</v>
      </c>
      <c r="T75" s="59">
        <f t="shared" si="195"/>
        <v>33.162500000000001</v>
      </c>
      <c r="U75" s="59">
        <f t="shared" si="195"/>
        <v>1956.4046861548775</v>
      </c>
      <c r="V75" s="59" t="e">
        <f t="shared" si="195"/>
        <v>#DIV/0!</v>
      </c>
      <c r="W75" s="18">
        <f t="shared" si="195"/>
        <v>1.0625000000000002</v>
      </c>
      <c r="X75" s="3">
        <f t="shared" si="195"/>
        <v>4.8809181888489267E-3</v>
      </c>
      <c r="Y75" s="18">
        <f t="shared" si="195"/>
        <v>1.0911888888888888</v>
      </c>
      <c r="Z75" s="3">
        <f t="shared" si="195"/>
        <v>4.9935932781454611</v>
      </c>
      <c r="AA75" s="18">
        <f t="shared" si="195"/>
        <v>0.14651111111111112</v>
      </c>
      <c r="AB75" s="3">
        <f t="shared" si="195"/>
        <v>0.67604796692360181</v>
      </c>
      <c r="AC75" s="18">
        <f t="shared" si="195"/>
        <v>2.6222222222222218</v>
      </c>
      <c r="AD75" s="3">
        <f t="shared" si="195"/>
        <v>1.2051666674494026E-2</v>
      </c>
      <c r="AE75" s="18">
        <f t="shared" si="195"/>
        <v>5.3333333333333344E-2</v>
      </c>
      <c r="AF75" s="3">
        <f t="shared" si="195"/>
        <v>0.65351333377830345</v>
      </c>
      <c r="AG75" s="18">
        <f t="shared" si="195"/>
        <v>7.3655555555555544E-2</v>
      </c>
      <c r="AH75" s="3">
        <f t="shared" si="195"/>
        <v>0.33858541872409753</v>
      </c>
      <c r="AI75" s="59" t="e">
        <f t="shared" si="195"/>
        <v>#DIV/0!</v>
      </c>
      <c r="AJ75" s="18">
        <f t="shared" si="195"/>
        <v>9.3833333333333338E-2</v>
      </c>
      <c r="AK75" s="3">
        <f t="shared" si="195"/>
        <v>0.43145014674434523</v>
      </c>
      <c r="AL75" s="3">
        <f t="shared" si="195"/>
        <v>0.32149277971484364</v>
      </c>
      <c r="AM75" s="18">
        <f t="shared" si="195"/>
        <v>9.3911111111111112E-2</v>
      </c>
      <c r="AN75" s="3">
        <f t="shared" si="195"/>
        <v>0.42915956387102033</v>
      </c>
      <c r="AO75" s="3">
        <f t="shared" si="195"/>
        <v>0.32181312558180436</v>
      </c>
      <c r="AP75" s="18">
        <f t="shared" si="195"/>
        <v>2.0855555555555558E-2</v>
      </c>
      <c r="AQ75" s="3">
        <f t="shared" si="195"/>
        <v>9.5213841155759288E-2</v>
      </c>
      <c r="AR75" s="3">
        <f t="shared" si="195"/>
        <v>7.0542775240649211E-2</v>
      </c>
      <c r="AS75" s="59" t="e">
        <f t="shared" si="195"/>
        <v>#DIV/0!</v>
      </c>
      <c r="AT75" s="18">
        <f t="shared" si="195"/>
        <v>0.20860000000000001</v>
      </c>
      <c r="AU75" s="3">
        <f t="shared" si="195"/>
        <v>0.95582355177112488</v>
      </c>
      <c r="AV75" s="3">
        <f t="shared" si="195"/>
        <v>0.71384868053729722</v>
      </c>
      <c r="AW75" s="18">
        <f t="shared" si="195"/>
        <v>9.2633333333333318E-2</v>
      </c>
      <c r="AX75" s="3">
        <f t="shared" si="195"/>
        <v>0.42499807695003544</v>
      </c>
      <c r="AY75" s="3">
        <f t="shared" si="195"/>
        <v>0.31877524576257721</v>
      </c>
      <c r="AZ75" s="121"/>
      <c r="BA75" s="18" t="e">
        <f t="shared" ref="BA75:BF75" si="196">AVERAGE(BA66:BA74)</f>
        <v>#DIV/0!</v>
      </c>
      <c r="BB75" s="3" t="e">
        <f t="shared" si="196"/>
        <v>#DIV/0!</v>
      </c>
      <c r="BC75" s="3" t="e">
        <f t="shared" si="196"/>
        <v>#DIV/0!</v>
      </c>
      <c r="BD75" s="18" t="e">
        <f t="shared" si="196"/>
        <v>#DIV/0!</v>
      </c>
      <c r="BE75" s="3" t="e">
        <f t="shared" si="196"/>
        <v>#DIV/0!</v>
      </c>
      <c r="BF75" s="3" t="e">
        <f t="shared" si="196"/>
        <v>#DIV/0!</v>
      </c>
      <c r="BG75" s="324"/>
      <c r="BH75" s="18">
        <f t="shared" ref="BH75:BP75" si="197">AVERAGE(BH66:BH74)</f>
        <v>26.688518518518517</v>
      </c>
      <c r="BI75" s="3">
        <f t="shared" si="197"/>
        <v>20.584074074074074</v>
      </c>
      <c r="BJ75" s="3">
        <f t="shared" si="197"/>
        <v>8.4700000000000006</v>
      </c>
      <c r="BK75" s="3">
        <f t="shared" si="197"/>
        <v>10.9</v>
      </c>
      <c r="BL75" s="3">
        <f t="shared" si="197"/>
        <v>4.9659999999999993</v>
      </c>
      <c r="BM75" s="18">
        <f t="shared" si="197"/>
        <v>0.2407454150508975</v>
      </c>
      <c r="BN75" s="3">
        <f t="shared" si="197"/>
        <v>9.9855269663333335</v>
      </c>
      <c r="BO75" s="3">
        <f t="shared" si="197"/>
        <v>27.6</v>
      </c>
      <c r="BP75" s="3">
        <f t="shared" si="197"/>
        <v>6.9657344000000005</v>
      </c>
      <c r="BQ75" s="121"/>
      <c r="BR75" s="18">
        <f>AVERAGE(BR66:BR74)</f>
        <v>0.5071426</v>
      </c>
      <c r="BS75" s="3">
        <f>AVERAGE(BS66:BS74)</f>
        <v>0.1</v>
      </c>
      <c r="BT75" s="3">
        <f>AVERAGE(BT66:BT74)</f>
        <v>0.4</v>
      </c>
      <c r="BU75" s="3">
        <f>AVERAGE(BU66:BU74)</f>
        <v>0.36599999999999999</v>
      </c>
      <c r="BV75" s="3">
        <f>AVERAGE(BV66:BV74)</f>
        <v>6.6000000000000003E-2</v>
      </c>
      <c r="BW75" s="397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</row>
    <row r="76" spans="1:180" s="10" customFormat="1" ht="16.350000000000001" customHeight="1">
      <c r="A76" s="121"/>
      <c r="B76" s="122"/>
      <c r="C76" s="55"/>
      <c r="F76" s="55" t="s">
        <v>45</v>
      </c>
      <c r="G76" s="88">
        <f>(STDEV(G66:G74)/(SQRT(COUNT(G66:G74))))</f>
        <v>3.064969345593865E-2</v>
      </c>
      <c r="H76" s="18">
        <f t="shared" ref="H76:M76" si="198">STDEV(H66:H74)/SQRT(COUNT(H66:H74))</f>
        <v>0.43280772967242348</v>
      </c>
      <c r="I76" s="3">
        <f t="shared" si="198"/>
        <v>0.43280772967242348</v>
      </c>
      <c r="J76" s="18">
        <f t="shared" si="198"/>
        <v>0.39435953702737364</v>
      </c>
      <c r="K76" s="3">
        <f t="shared" si="198"/>
        <v>0.61894050253559274</v>
      </c>
      <c r="L76" s="18">
        <f t="shared" si="198"/>
        <v>2.0167411219803073</v>
      </c>
      <c r="M76" s="3">
        <f t="shared" si="198"/>
        <v>7.0762189406192126</v>
      </c>
      <c r="N76" s="59">
        <f t="shared" ref="N76:V76" si="199">(STDEV(N66:N74)/(SQRT(COUNT(N66:N74))))</f>
        <v>5.5555555555555615E-2</v>
      </c>
      <c r="O76" s="59">
        <f t="shared" si="199"/>
        <v>9.473087285359999E-2</v>
      </c>
      <c r="P76" s="59">
        <f t="shared" si="199"/>
        <v>8.3760571472103293E-2</v>
      </c>
      <c r="Q76" s="59">
        <f t="shared" si="199"/>
        <v>3.0294317816453398</v>
      </c>
      <c r="R76" s="59">
        <f t="shared" si="199"/>
        <v>0.82557109562324915</v>
      </c>
      <c r="S76" s="59">
        <f t="shared" si="199"/>
        <v>1.5398121406754228</v>
      </c>
      <c r="T76" s="59">
        <f t="shared" si="199"/>
        <v>2.3109064007131739</v>
      </c>
      <c r="U76" s="59">
        <f t="shared" si="199"/>
        <v>275.76472787500342</v>
      </c>
      <c r="V76" s="59" t="e">
        <f t="shared" si="199"/>
        <v>#DIV/0!</v>
      </c>
      <c r="W76" s="18">
        <f t="shared" ref="W76:AH76" si="200">STDEV(W66:W74)/SQRT(COUNT(W66:W74))</f>
        <v>4.6049274850812331E-2</v>
      </c>
      <c r="X76" s="3">
        <f t="shared" si="200"/>
        <v>2.0239707527208226E-4</v>
      </c>
      <c r="Y76" s="18">
        <f t="shared" si="200"/>
        <v>6.1162071681277658E-2</v>
      </c>
      <c r="Z76" s="3">
        <f t="shared" si="200"/>
        <v>0.25048973644877953</v>
      </c>
      <c r="AA76" s="18">
        <f t="shared" si="200"/>
        <v>6.7019989647460546E-3</v>
      </c>
      <c r="AB76" s="3">
        <f t="shared" si="200"/>
        <v>4.1644298022810493E-2</v>
      </c>
      <c r="AC76" s="18">
        <f t="shared" si="200"/>
        <v>0.18240505732646717</v>
      </c>
      <c r="AD76" s="3">
        <f t="shared" si="200"/>
        <v>8.7121205972993845E-4</v>
      </c>
      <c r="AE76" s="18">
        <f t="shared" si="200"/>
        <v>4.3300628684170752E-3</v>
      </c>
      <c r="AF76" s="3">
        <f t="shared" si="200"/>
        <v>0.26515079600517205</v>
      </c>
      <c r="AG76" s="18">
        <f t="shared" si="200"/>
        <v>2.1573589249042897E-3</v>
      </c>
      <c r="AH76" s="3">
        <f t="shared" si="200"/>
        <v>1.2486648032200648E-2</v>
      </c>
      <c r="AI76" s="59" t="e">
        <f>(STDEV(AI66:AI74)/(SQRT(COUNT(AI66:AI74))))</f>
        <v>#DIV/0!</v>
      </c>
      <c r="AJ76" s="18">
        <f t="shared" ref="AJ76:AR76" si="201">STDEV(AJ66:AJ74)/SQRT(COUNT(AJ66:AJ74))</f>
        <v>6.1149634322518612E-3</v>
      </c>
      <c r="AK76" s="3">
        <f t="shared" si="201"/>
        <v>2.977641850548331E-2</v>
      </c>
      <c r="AL76" s="3">
        <f t="shared" si="201"/>
        <v>1.875369025991945E-2</v>
      </c>
      <c r="AM76" s="18">
        <f t="shared" si="201"/>
        <v>5.1987029483976889E-3</v>
      </c>
      <c r="AN76" s="3">
        <f t="shared" si="201"/>
        <v>1.9668418374893356E-2</v>
      </c>
      <c r="AO76" s="3">
        <f t="shared" si="201"/>
        <v>1.5623076560644716E-2</v>
      </c>
      <c r="AP76" s="18">
        <f t="shared" si="201"/>
        <v>2.8681251673015663E-3</v>
      </c>
      <c r="AQ76" s="3">
        <f t="shared" si="201"/>
        <v>1.2790276103494355E-2</v>
      </c>
      <c r="AR76" s="3">
        <f t="shared" si="201"/>
        <v>8.1494677608379331E-3</v>
      </c>
      <c r="AS76" s="59" t="e">
        <f>(STDEV(AS66:AS74)/(SQRT(COUNT(AS66:AS74))))</f>
        <v>#DIV/0!</v>
      </c>
      <c r="AT76" s="18">
        <f t="shared" ref="AT76:AY76" si="202">STDEV(AT66:AT74)/SQRT(COUNT(AT66:AT74))</f>
        <v>1.1161852195959403E-2</v>
      </c>
      <c r="AU76" s="3">
        <f t="shared" si="202"/>
        <v>4.8060882206292198E-2</v>
      </c>
      <c r="AV76" s="3">
        <f t="shared" si="202"/>
        <v>2.8575222869619818E-2</v>
      </c>
      <c r="AW76" s="18">
        <f t="shared" si="202"/>
        <v>4.2509149341968802E-3</v>
      </c>
      <c r="AX76" s="3">
        <f t="shared" si="202"/>
        <v>1.9221710341340102E-2</v>
      </c>
      <c r="AY76" s="3">
        <f t="shared" si="202"/>
        <v>1.5994413088389999E-2</v>
      </c>
      <c r="AZ76" s="121"/>
      <c r="BA76" s="18" t="e">
        <f t="shared" ref="BA76:BF76" si="203">STDEV(BA66:BA74)/SQRT(COUNT(BA66:BA74))</f>
        <v>#DIV/0!</v>
      </c>
      <c r="BB76" s="3" t="e">
        <f t="shared" si="203"/>
        <v>#DIV/0!</v>
      </c>
      <c r="BC76" s="3" t="e">
        <f t="shared" si="203"/>
        <v>#DIV/0!</v>
      </c>
      <c r="BD76" s="18" t="e">
        <f t="shared" si="203"/>
        <v>#DIV/0!</v>
      </c>
      <c r="BE76" s="3" t="e">
        <f t="shared" si="203"/>
        <v>#DIV/0!</v>
      </c>
      <c r="BF76" s="3" t="e">
        <f t="shared" si="203"/>
        <v>#DIV/0!</v>
      </c>
      <c r="BG76" s="324"/>
      <c r="BH76" s="18">
        <f t="shared" ref="BH76:BP76" si="204">STDEV(BH66:BH74)/SQRT(COUNT(BH66:BH74))</f>
        <v>3.2474372189595386</v>
      </c>
      <c r="BI76" s="3">
        <f t="shared" si="204"/>
        <v>2.0606075888234039</v>
      </c>
      <c r="BJ76" s="3">
        <f t="shared" si="204"/>
        <v>1.4919450392021822</v>
      </c>
      <c r="BK76" s="3">
        <f t="shared" si="204"/>
        <v>1.2489995996796805</v>
      </c>
      <c r="BL76" s="3">
        <f t="shared" si="204"/>
        <v>0.96464812237416486</v>
      </c>
      <c r="BM76" s="18">
        <f t="shared" si="204"/>
        <v>8.0987297661432617E-2</v>
      </c>
      <c r="BN76" s="3">
        <f t="shared" si="204"/>
        <v>0.79484409820610069</v>
      </c>
      <c r="BO76" s="3">
        <f t="shared" si="204"/>
        <v>1.0770329614269007</v>
      </c>
      <c r="BP76" s="3">
        <f t="shared" si="204"/>
        <v>1.6482258502067169</v>
      </c>
      <c r="BQ76" s="121"/>
      <c r="BR76" s="18">
        <f>STDEV(BR66:BR74)/SQRT(COUNT(BR66:BR74))</f>
        <v>0.19704447312157727</v>
      </c>
      <c r="BS76" s="3">
        <f>STDEV(BS66:BS74)/SQRT(COUNT(BS66:BS74))</f>
        <v>6.1237243569579443E-2</v>
      </c>
      <c r="BT76" s="3">
        <f>STDEV(BT66:BT74)/SQRT(COUNT(BT66:BT74))</f>
        <v>0.30331501776206204</v>
      </c>
      <c r="BU76" s="3">
        <f>STDEV(BU66:BU74)/SQRT(COUNT(BU66:BU74))</f>
        <v>0.1856232744027537</v>
      </c>
      <c r="BV76" s="3">
        <f>STDEV(BV66:BV74)/SQRT(COUNT(BV66:BV74))</f>
        <v>6.6000000000000003E-2</v>
      </c>
      <c r="BW76" s="397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</row>
    <row r="77" spans="1:180" s="10" customFormat="1" ht="16.350000000000001" customHeight="1">
      <c r="A77" s="37"/>
      <c r="B77" s="34"/>
      <c r="C77" s="34"/>
      <c r="D77" s="34"/>
      <c r="E77" s="34"/>
      <c r="F77" s="34" t="s">
        <v>300</v>
      </c>
      <c r="G77" s="69">
        <f>(100/G51)*G75</f>
        <v>95.263853828585169</v>
      </c>
      <c r="H77" s="68">
        <f>(100/H51)*H75</f>
        <v>101.37747704204931</v>
      </c>
      <c r="I77" s="69"/>
      <c r="J77" s="68">
        <f t="shared" ref="J77:AH77" si="205">(100/J51)*J75</f>
        <v>100.72824247397305</v>
      </c>
      <c r="K77" s="69">
        <f t="shared" si="205"/>
        <v>97.081778079402767</v>
      </c>
      <c r="L77" s="68">
        <f t="shared" si="205"/>
        <v>84.957396449704163</v>
      </c>
      <c r="M77" s="69">
        <f t="shared" si="205"/>
        <v>84.808631058496289</v>
      </c>
      <c r="N77" s="68">
        <f t="shared" si="205"/>
        <v>99.746514575411908</v>
      </c>
      <c r="O77" s="68">
        <f t="shared" si="205"/>
        <v>98.783290419276739</v>
      </c>
      <c r="P77" s="69">
        <f t="shared" si="205"/>
        <v>100.21904943040589</v>
      </c>
      <c r="Q77" s="68">
        <f t="shared" si="205"/>
        <v>104.43474539156745</v>
      </c>
      <c r="R77" s="68">
        <f t="shared" si="205"/>
        <v>91.220658420181167</v>
      </c>
      <c r="S77" s="68">
        <f t="shared" si="205"/>
        <v>100.15129737499053</v>
      </c>
      <c r="T77" s="68">
        <f t="shared" si="205"/>
        <v>116.61424552629521</v>
      </c>
      <c r="U77" s="68">
        <f t="shared" si="205"/>
        <v>89.509762532096687</v>
      </c>
      <c r="V77" s="68" t="e">
        <f t="shared" si="205"/>
        <v>#DIV/0!</v>
      </c>
      <c r="W77" s="68">
        <f t="shared" si="205"/>
        <v>84.623893805309763</v>
      </c>
      <c r="X77" s="69">
        <f t="shared" si="205"/>
        <v>84.297770741595301</v>
      </c>
      <c r="Y77" s="68">
        <f t="shared" si="205"/>
        <v>106.61115754963795</v>
      </c>
      <c r="Z77" s="69">
        <f t="shared" si="205"/>
        <v>105.92806408627669</v>
      </c>
      <c r="AA77" s="68">
        <f t="shared" si="205"/>
        <v>97.134438305709025</v>
      </c>
      <c r="AB77" s="69">
        <f t="shared" si="205"/>
        <v>96.924191030041371</v>
      </c>
      <c r="AC77" s="68">
        <f t="shared" si="205"/>
        <v>97.119341563785994</v>
      </c>
      <c r="AD77" s="69">
        <f t="shared" si="205"/>
        <v>95.70591274152396</v>
      </c>
      <c r="AE77" s="68">
        <f t="shared" si="205"/>
        <v>85.6072766185126</v>
      </c>
      <c r="AF77" s="69">
        <f t="shared" si="205"/>
        <v>109.74838267704594</v>
      </c>
      <c r="AG77" s="68">
        <f t="shared" si="205"/>
        <v>95.066685788039536</v>
      </c>
      <c r="AH77" s="70">
        <f t="shared" si="205"/>
        <v>94.123314099745457</v>
      </c>
      <c r="AI77" s="68" t="e">
        <f>(100/#REF!)*AI75</f>
        <v>#REF!</v>
      </c>
      <c r="AJ77" s="68">
        <f t="shared" ref="AJ77:AR77" si="206">(100/AJ51)*AJ75</f>
        <v>114.88232893483877</v>
      </c>
      <c r="AK77" s="69">
        <f t="shared" si="206"/>
        <v>113.85248010740042</v>
      </c>
      <c r="AL77" s="69">
        <f t="shared" si="206"/>
        <v>135.26972838579564</v>
      </c>
      <c r="AM77" s="68">
        <f t="shared" si="206"/>
        <v>91.185672672348687</v>
      </c>
      <c r="AN77" s="69">
        <f t="shared" si="206"/>
        <v>90.263027137871404</v>
      </c>
      <c r="AO77" s="69">
        <f t="shared" si="206"/>
        <v>107.80363656313737</v>
      </c>
      <c r="AP77" s="68">
        <f t="shared" si="206"/>
        <v>110.80283353010628</v>
      </c>
      <c r="AQ77" s="69">
        <f t="shared" si="206"/>
        <v>109.12591913042108</v>
      </c>
      <c r="AR77" s="69">
        <f t="shared" si="206"/>
        <v>128.98372529814159</v>
      </c>
      <c r="AS77" s="68" t="e">
        <f>(100/#REF!)*AS75</f>
        <v>#REF!</v>
      </c>
      <c r="AT77" s="68">
        <f t="shared" ref="AT77:AY77" si="207">(100/AT51)*AT75</f>
        <v>102.51173965272471</v>
      </c>
      <c r="AU77" s="69">
        <f t="shared" si="207"/>
        <v>101.50397437857984</v>
      </c>
      <c r="AV77" s="69">
        <f t="shared" si="207"/>
        <v>120.81171428264663</v>
      </c>
      <c r="AW77" s="68">
        <f t="shared" si="207"/>
        <v>99.665271966527186</v>
      </c>
      <c r="AX77" s="69">
        <f t="shared" si="207"/>
        <v>98.702614545273462</v>
      </c>
      <c r="AY77" s="69">
        <f t="shared" si="207"/>
        <v>117.13289231305814</v>
      </c>
      <c r="AZ77" s="37"/>
      <c r="BA77" s="68" t="e">
        <f>(100/#REF!)*BA75</f>
        <v>#REF!</v>
      </c>
      <c r="BB77" s="69" t="e">
        <f>(100/#REF!)*BB75</f>
        <v>#REF!</v>
      </c>
      <c r="BC77" s="70" t="e">
        <f>(100/#REF!)*BC75</f>
        <v>#REF!</v>
      </c>
      <c r="BD77" s="68" t="e">
        <f>(100/#REF!)*BD75</f>
        <v>#REF!</v>
      </c>
      <c r="BE77" s="69" t="e">
        <f>(100/#REF!)*BE75</f>
        <v>#REF!</v>
      </c>
      <c r="BF77" s="70" t="e">
        <f>(100/#REF!)*BF75</f>
        <v>#REF!</v>
      </c>
      <c r="BG77"/>
      <c r="BH77" s="68">
        <f t="shared" ref="BH77:BP77" si="208">(100/BH51)*BH75</f>
        <v>156.92947296065864</v>
      </c>
      <c r="BI77" s="69">
        <f t="shared" si="208"/>
        <v>149.97503879106793</v>
      </c>
      <c r="BJ77" s="69">
        <f t="shared" si="208"/>
        <v>116.25490196078434</v>
      </c>
      <c r="BK77" s="69">
        <f t="shared" si="208"/>
        <v>119.84292566267406</v>
      </c>
      <c r="BL77" s="69">
        <f t="shared" si="208"/>
        <v>103.25348579276944</v>
      </c>
      <c r="BM77" s="68">
        <f t="shared" si="208"/>
        <v>146.44514689466894</v>
      </c>
      <c r="BN77" s="69">
        <f t="shared" si="208"/>
        <v>76.620753071059255</v>
      </c>
      <c r="BO77" s="69">
        <f t="shared" si="208"/>
        <v>80</v>
      </c>
      <c r="BP77" s="70">
        <f t="shared" si="208"/>
        <v>221.7120733288285</v>
      </c>
      <c r="BQ77" s="37"/>
      <c r="BR77" s="68">
        <f>(100/BR51)*BR75</f>
        <v>90.776193100238714</v>
      </c>
      <c r="BS77" s="69">
        <f>(100/BS51)*BS75</f>
        <v>22.082018927444796</v>
      </c>
      <c r="BT77" s="69">
        <f>(100/BT51)*BT75</f>
        <v>136.58536585365854</v>
      </c>
      <c r="BU77" s="69">
        <f>(100/BU51)*BU75</f>
        <v>256.20102480409923</v>
      </c>
      <c r="BV77" s="69">
        <f>(100/BV51)*BV75</f>
        <v>27.719944560110882</v>
      </c>
      <c r="BW77" s="39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</row>
    <row r="78" spans="1:180" s="10" customFormat="1" ht="16.350000000000001" customHeight="1">
      <c r="H78" s="62"/>
      <c r="I78" s="62"/>
      <c r="J78" s="62"/>
      <c r="K78" s="62"/>
      <c r="L78" s="62"/>
      <c r="M78" s="62"/>
      <c r="N78" s="62"/>
      <c r="O78" s="233" t="s">
        <v>734</v>
      </c>
      <c r="P78" s="233">
        <v>17.670000000000002</v>
      </c>
      <c r="Q78" s="62"/>
      <c r="R78" s="62"/>
      <c r="S78" s="62"/>
      <c r="T78" s="62"/>
      <c r="U78" s="62"/>
      <c r="V78" s="62"/>
      <c r="W78" s="233" t="s">
        <v>735</v>
      </c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BA78" s="62"/>
      <c r="BB78" s="62"/>
      <c r="BC78" s="62"/>
      <c r="BD78" s="62"/>
      <c r="BE78" s="62"/>
      <c r="BF78" s="62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</row>
    <row r="79" spans="1:180" s="10" customFormat="1" ht="12" customHeight="1">
      <c r="F79" s="114"/>
      <c r="H79" s="62"/>
      <c r="I79" s="62"/>
      <c r="J79" s="62"/>
      <c r="L79" s="62"/>
      <c r="N79" s="62"/>
      <c r="O79" s="62"/>
      <c r="P79" s="62"/>
      <c r="Q79" s="62"/>
      <c r="R79" s="62"/>
      <c r="U79" s="62"/>
      <c r="V79" s="62"/>
      <c r="W79" s="62"/>
      <c r="X79" s="62"/>
      <c r="AI79" s="114"/>
      <c r="AK79" s="62"/>
      <c r="AS79" s="62"/>
      <c r="BA79" s="62"/>
      <c r="BB79" s="62"/>
      <c r="BC79" s="62"/>
      <c r="BD79" s="62"/>
      <c r="BE79" s="62"/>
      <c r="BF79" s="62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</row>
    <row r="80" spans="1:180" s="10" customFormat="1" ht="12" customHeight="1">
      <c r="B80" s="10" t="s">
        <v>739</v>
      </c>
      <c r="D80" s="10" t="s">
        <v>740</v>
      </c>
      <c r="E80" s="10" t="s">
        <v>264</v>
      </c>
      <c r="F80" s="114" t="s">
        <v>727</v>
      </c>
      <c r="H80" s="62"/>
      <c r="I80" s="62"/>
      <c r="J80" s="62" t="s">
        <v>324</v>
      </c>
      <c r="K80" s="10" t="s">
        <v>324</v>
      </c>
      <c r="L80" s="62" t="s">
        <v>324</v>
      </c>
      <c r="M80" s="10" t="s">
        <v>324</v>
      </c>
      <c r="N80" s="62" t="s">
        <v>324</v>
      </c>
      <c r="O80" s="62" t="s">
        <v>324</v>
      </c>
      <c r="P80" s="62" t="s">
        <v>324</v>
      </c>
      <c r="Q80" s="62" t="s">
        <v>324</v>
      </c>
      <c r="R80" s="62" t="s">
        <v>324</v>
      </c>
      <c r="S80" s="10" t="s">
        <v>324</v>
      </c>
      <c r="T80" s="10" t="s">
        <v>324</v>
      </c>
      <c r="U80" s="62" t="s">
        <v>324</v>
      </c>
      <c r="V80" s="62"/>
      <c r="W80" s="62" t="s">
        <v>324</v>
      </c>
      <c r="X80" s="62"/>
      <c r="Z80" s="10" t="s">
        <v>324</v>
      </c>
      <c r="AB80" s="10" t="s">
        <v>324</v>
      </c>
      <c r="AC80" s="10" t="s">
        <v>324</v>
      </c>
      <c r="AI80" s="114"/>
      <c r="AK80" s="418">
        <v>3.27E-2</v>
      </c>
      <c r="AN80" s="415">
        <v>0.38850000000000001</v>
      </c>
      <c r="AP80" s="415"/>
      <c r="AQ80" s="417"/>
      <c r="AR80" s="384">
        <v>3.5400000000000001E-2</v>
      </c>
      <c r="AS80" s="62"/>
      <c r="AU80" s="384">
        <v>3.3700000000000001E-2</v>
      </c>
      <c r="AX80" s="416"/>
      <c r="BA80" s="62"/>
      <c r="BB80" s="62"/>
      <c r="BC80" s="62"/>
      <c r="BD80" s="62"/>
      <c r="BE80" s="62"/>
      <c r="BF80" s="62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</row>
    <row r="81" spans="1:185" s="10" customFormat="1" ht="12" customHeight="1">
      <c r="B81" s="10" t="s">
        <v>741</v>
      </c>
      <c r="F81" s="114" t="s">
        <v>728</v>
      </c>
      <c r="H81" s="62"/>
      <c r="I81" s="62"/>
      <c r="J81" s="62" t="s">
        <v>324</v>
      </c>
      <c r="K81" s="10" t="s">
        <v>324</v>
      </c>
      <c r="L81" s="62">
        <v>0.13059999999999999</v>
      </c>
      <c r="M81" s="383">
        <v>8.3400000000000002E-2</v>
      </c>
      <c r="N81" s="62">
        <v>0.4758</v>
      </c>
      <c r="O81" s="62">
        <v>0.14099999999999999</v>
      </c>
      <c r="P81" s="62" t="s">
        <v>324</v>
      </c>
      <c r="Q81" s="381">
        <v>1.66E-2</v>
      </c>
      <c r="R81" s="62" t="s">
        <v>324</v>
      </c>
      <c r="S81" s="10">
        <v>0.1051</v>
      </c>
      <c r="T81" s="10">
        <v>0.21249999999999999</v>
      </c>
      <c r="U81" s="62" t="s">
        <v>324</v>
      </c>
      <c r="V81" s="62"/>
      <c r="W81" s="62">
        <v>0.35420000000000001</v>
      </c>
      <c r="X81" s="62"/>
      <c r="Z81" s="10" t="s">
        <v>324</v>
      </c>
      <c r="AB81" s="10" t="s">
        <v>324</v>
      </c>
      <c r="AC81" s="10" t="s">
        <v>324</v>
      </c>
      <c r="AI81" s="114"/>
      <c r="AK81" s="415">
        <v>0.39879999999999999</v>
      </c>
      <c r="AN81" s="415" t="s">
        <v>324</v>
      </c>
      <c r="AP81" s="415"/>
      <c r="AQ81" s="415"/>
      <c r="AR81" s="10">
        <v>0.85219999999999996</v>
      </c>
      <c r="AS81" s="62"/>
      <c r="AU81" s="10">
        <v>0.86899999999999999</v>
      </c>
      <c r="AX81" s="415"/>
      <c r="BA81" s="62"/>
      <c r="BB81" s="62"/>
      <c r="BC81" s="62"/>
      <c r="BD81" s="62"/>
      <c r="BE81" s="62"/>
      <c r="BF81" s="62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</row>
    <row r="82" spans="1:185" s="10" customFormat="1" ht="12" customHeight="1">
      <c r="F82" s="10" t="s">
        <v>742</v>
      </c>
      <c r="H82" s="62"/>
      <c r="I82" s="62"/>
      <c r="J82" s="62">
        <v>0.79820000000000002</v>
      </c>
      <c r="K82" s="10" t="s">
        <v>324</v>
      </c>
      <c r="L82" s="62" t="s">
        <v>324</v>
      </c>
      <c r="M82" s="10" t="s">
        <v>324</v>
      </c>
      <c r="N82" s="62">
        <v>0.44769999999999999</v>
      </c>
      <c r="O82" s="62">
        <v>0.3886</v>
      </c>
      <c r="P82" s="62" t="s">
        <v>324</v>
      </c>
      <c r="Q82" s="62" t="s">
        <v>324</v>
      </c>
      <c r="R82" s="62" t="s">
        <v>324</v>
      </c>
      <c r="S82" s="10">
        <v>0.53120000000000001</v>
      </c>
      <c r="T82" s="10" t="s">
        <v>324</v>
      </c>
      <c r="U82" s="62" t="s">
        <v>324</v>
      </c>
      <c r="V82" s="62"/>
      <c r="W82" s="62" t="s">
        <v>324</v>
      </c>
      <c r="X82" s="62"/>
      <c r="Z82" s="10" t="s">
        <v>324</v>
      </c>
      <c r="AB82" s="10">
        <v>0.81210000000000004</v>
      </c>
      <c r="AC82" s="10" t="s">
        <v>324</v>
      </c>
      <c r="AI82" s="114"/>
      <c r="AK82" s="415" t="s">
        <v>324</v>
      </c>
      <c r="AN82" s="415" t="s">
        <v>324</v>
      </c>
      <c r="AP82" s="415"/>
      <c r="AQ82" s="415"/>
      <c r="AR82" s="10" t="s">
        <v>324</v>
      </c>
      <c r="AS82" s="62"/>
      <c r="AU82" s="10" t="s">
        <v>324</v>
      </c>
      <c r="AX82" s="415"/>
      <c r="BA82" s="62"/>
      <c r="BB82" s="62"/>
      <c r="BC82" s="62"/>
      <c r="BD82" s="62"/>
      <c r="BE82" s="62"/>
      <c r="BF82" s="6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</row>
    <row r="83" spans="1:185" s="10" customFormat="1" ht="12" customHeight="1">
      <c r="F83" s="114" t="s">
        <v>729</v>
      </c>
      <c r="H83" s="62"/>
      <c r="I83" s="62"/>
      <c r="J83" s="62" t="s">
        <v>324</v>
      </c>
      <c r="K83" s="10" t="s">
        <v>324</v>
      </c>
      <c r="L83" s="62">
        <v>0.2636</v>
      </c>
      <c r="M83" s="383">
        <v>9.7600000000000006E-2</v>
      </c>
      <c r="N83" s="62" t="s">
        <v>324</v>
      </c>
      <c r="O83" s="62">
        <v>0.80389999999999995</v>
      </c>
      <c r="P83" s="62" t="s">
        <v>324</v>
      </c>
      <c r="Q83" s="381">
        <v>1.6000000000000001E-3</v>
      </c>
      <c r="R83" s="62" t="s">
        <v>324</v>
      </c>
      <c r="S83" s="383">
        <v>5.8500000000000003E-2</v>
      </c>
      <c r="T83" s="10">
        <v>0.14169999999999999</v>
      </c>
      <c r="U83" s="62" t="s">
        <v>324</v>
      </c>
      <c r="V83" s="62"/>
      <c r="W83" s="62" t="s">
        <v>324</v>
      </c>
      <c r="X83" s="62"/>
      <c r="Z83" s="10" t="s">
        <v>324</v>
      </c>
      <c r="AB83" s="10" t="s">
        <v>324</v>
      </c>
      <c r="AC83" s="10" t="s">
        <v>324</v>
      </c>
      <c r="AI83" s="114"/>
      <c r="AK83" s="415" t="s">
        <v>324</v>
      </c>
      <c r="AN83" s="415" t="s">
        <v>324</v>
      </c>
      <c r="AP83" s="415"/>
      <c r="AQ83" s="415"/>
      <c r="AR83" s="10" t="s">
        <v>324</v>
      </c>
      <c r="AS83" s="62"/>
      <c r="AU83" s="10" t="s">
        <v>324</v>
      </c>
      <c r="AX83" s="415"/>
      <c r="BA83" s="62"/>
      <c r="BB83" s="62"/>
      <c r="BC83" s="62"/>
      <c r="BD83" s="62"/>
      <c r="BE83" s="62"/>
      <c r="BF83" s="62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</row>
    <row r="84" spans="1:185" s="10" customFormat="1" ht="12" customHeight="1">
      <c r="F84" s="10" t="s">
        <v>743</v>
      </c>
      <c r="H84" s="62"/>
      <c r="I84" s="62"/>
      <c r="J84" s="62" t="s">
        <v>324</v>
      </c>
      <c r="K84" s="10" t="s">
        <v>324</v>
      </c>
      <c r="L84" s="62" t="s">
        <v>324</v>
      </c>
      <c r="M84" s="10" t="s">
        <v>324</v>
      </c>
      <c r="N84" s="62" t="s">
        <v>324</v>
      </c>
      <c r="O84" s="62">
        <v>0.45479999999999998</v>
      </c>
      <c r="P84" s="62" t="s">
        <v>324</v>
      </c>
      <c r="Q84" s="62">
        <v>0.2218</v>
      </c>
      <c r="R84" s="62" t="s">
        <v>324</v>
      </c>
      <c r="S84" s="384">
        <v>3.7400000000000003E-2</v>
      </c>
      <c r="T84" s="10" t="s">
        <v>324</v>
      </c>
      <c r="U84" s="62" t="s">
        <v>324</v>
      </c>
      <c r="V84" s="62"/>
      <c r="W84" s="62" t="s">
        <v>324</v>
      </c>
      <c r="X84" s="62"/>
      <c r="Z84" s="10" t="s">
        <v>324</v>
      </c>
      <c r="AB84" s="10" t="s">
        <v>324</v>
      </c>
      <c r="AC84" s="10" t="s">
        <v>324</v>
      </c>
      <c r="AI84" s="114"/>
      <c r="AK84" s="415">
        <v>4.7399999999999998E-2</v>
      </c>
      <c r="AN84" s="415">
        <v>0.10390000000000001</v>
      </c>
      <c r="AP84" s="415"/>
      <c r="AQ84" s="417"/>
      <c r="AR84" s="384">
        <v>1.7299999999999999E-2</v>
      </c>
      <c r="AS84" s="62"/>
      <c r="AU84" s="384">
        <v>1.89E-2</v>
      </c>
      <c r="AX84" s="415"/>
      <c r="BA84" s="62"/>
      <c r="BB84" s="62"/>
      <c r="BC84" s="62"/>
      <c r="BD84" s="62"/>
      <c r="BE84" s="62"/>
      <c r="BF84" s="62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5" s="10" customFormat="1" ht="12" customHeight="1">
      <c r="F85" s="10" t="s">
        <v>744</v>
      </c>
      <c r="H85" s="62"/>
      <c r="I85" s="62"/>
      <c r="J85" s="62" t="s">
        <v>324</v>
      </c>
      <c r="K85" s="10" t="s">
        <v>324</v>
      </c>
      <c r="L85" s="62" t="s">
        <v>324</v>
      </c>
      <c r="M85" s="10" t="s">
        <v>324</v>
      </c>
      <c r="N85" s="62" t="s">
        <v>324</v>
      </c>
      <c r="O85" s="62" t="s">
        <v>324</v>
      </c>
      <c r="P85" s="62" t="s">
        <v>324</v>
      </c>
      <c r="Q85" s="62">
        <v>0.73640000000000005</v>
      </c>
      <c r="R85" s="62" t="s">
        <v>324</v>
      </c>
      <c r="S85" s="10" t="s">
        <v>324</v>
      </c>
      <c r="T85" s="10" t="s">
        <v>324</v>
      </c>
      <c r="U85" s="62">
        <v>0.36270000000000002</v>
      </c>
      <c r="V85" s="62"/>
      <c r="W85" s="62" t="s">
        <v>324</v>
      </c>
      <c r="X85" s="62"/>
      <c r="Z85" s="10" t="s">
        <v>324</v>
      </c>
      <c r="AB85" s="10" t="s">
        <v>324</v>
      </c>
      <c r="AC85" s="10" t="s">
        <v>324</v>
      </c>
      <c r="AI85" s="114"/>
      <c r="AK85" s="415" t="s">
        <v>324</v>
      </c>
      <c r="AN85" s="415">
        <v>0.31900000000000001</v>
      </c>
      <c r="AP85" s="415"/>
      <c r="AQ85" s="415"/>
      <c r="AR85" s="10" t="s">
        <v>324</v>
      </c>
      <c r="AS85" s="62"/>
      <c r="AU85" s="10" t="s">
        <v>324</v>
      </c>
      <c r="AX85" s="415"/>
      <c r="BA85" s="62"/>
      <c r="BB85" s="62"/>
      <c r="BC85" s="62"/>
      <c r="BD85" s="62"/>
      <c r="BE85" s="62"/>
      <c r="BF85" s="62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5" s="10" customFormat="1" ht="12" customHeight="1">
      <c r="E86" s="10" t="s">
        <v>319</v>
      </c>
      <c r="F86" s="114" t="s">
        <v>727</v>
      </c>
      <c r="H86" s="62"/>
      <c r="I86" s="62"/>
      <c r="J86" s="62" t="s">
        <v>324</v>
      </c>
      <c r="K86" s="10" t="s">
        <v>324</v>
      </c>
      <c r="L86" s="62" t="s">
        <v>324</v>
      </c>
      <c r="M86" s="10" t="s">
        <v>324</v>
      </c>
      <c r="N86" s="62" t="s">
        <v>324</v>
      </c>
      <c r="O86" s="62" t="s">
        <v>324</v>
      </c>
      <c r="P86" s="62" t="s">
        <v>324</v>
      </c>
      <c r="Q86" s="62" t="s">
        <v>324</v>
      </c>
      <c r="R86" s="62" t="s">
        <v>324</v>
      </c>
      <c r="S86" s="10" t="s">
        <v>324</v>
      </c>
      <c r="T86" s="10" t="s">
        <v>324</v>
      </c>
      <c r="U86" s="62" t="s">
        <v>324</v>
      </c>
      <c r="V86" s="62"/>
      <c r="W86" s="62" t="s">
        <v>324</v>
      </c>
      <c r="X86" s="62"/>
      <c r="Z86" s="10" t="s">
        <v>324</v>
      </c>
      <c r="AB86" s="10" t="s">
        <v>324</v>
      </c>
      <c r="AC86" s="10" t="s">
        <v>324</v>
      </c>
      <c r="AI86" s="114"/>
      <c r="AK86" s="415" t="s">
        <v>324</v>
      </c>
      <c r="AN86" s="415" t="s">
        <v>324</v>
      </c>
      <c r="AP86" s="415"/>
      <c r="AQ86" s="415"/>
      <c r="AR86" s="10" t="s">
        <v>324</v>
      </c>
      <c r="AS86" s="62"/>
      <c r="AU86" s="10" t="s">
        <v>324</v>
      </c>
      <c r="AX86" s="415"/>
      <c r="BA86" s="62"/>
      <c r="BB86" s="62"/>
      <c r="BC86" s="62"/>
      <c r="BD86" s="62"/>
      <c r="BE86" s="62"/>
      <c r="BF86" s="62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5" s="10" customFormat="1" ht="12" customHeight="1">
      <c r="F87" s="114" t="s">
        <v>728</v>
      </c>
      <c r="H87" s="62"/>
      <c r="I87" s="62"/>
      <c r="J87" s="62" t="s">
        <v>324</v>
      </c>
      <c r="K87" s="10" t="s">
        <v>324</v>
      </c>
      <c r="L87" s="381">
        <v>8.2000000000000007E-3</v>
      </c>
      <c r="M87" s="384">
        <v>8.3000000000000001E-3</v>
      </c>
      <c r="N87" s="62" t="s">
        <v>324</v>
      </c>
      <c r="O87" s="62" t="s">
        <v>324</v>
      </c>
      <c r="P87" s="62" t="s">
        <v>324</v>
      </c>
      <c r="Q87" s="62" t="s">
        <v>324</v>
      </c>
      <c r="R87" s="62" t="s">
        <v>324</v>
      </c>
      <c r="S87" s="10" t="s">
        <v>324</v>
      </c>
      <c r="T87" s="10">
        <v>0.67989999999999995</v>
      </c>
      <c r="U87" s="62" t="s">
        <v>324</v>
      </c>
      <c r="V87" s="62"/>
      <c r="W87" s="62">
        <v>0.82750000000000001</v>
      </c>
      <c r="X87" s="62"/>
      <c r="Z87" s="10" t="s">
        <v>324</v>
      </c>
      <c r="AB87" s="10" t="s">
        <v>324</v>
      </c>
      <c r="AC87" s="10" t="s">
        <v>324</v>
      </c>
      <c r="AI87" s="114"/>
      <c r="AK87" s="415" t="s">
        <v>324</v>
      </c>
      <c r="AN87" s="415" t="s">
        <v>324</v>
      </c>
      <c r="AP87" s="415"/>
      <c r="AQ87" s="415"/>
      <c r="AR87" s="10" t="s">
        <v>324</v>
      </c>
      <c r="AS87" s="62"/>
      <c r="AU87" s="10" t="s">
        <v>324</v>
      </c>
      <c r="AX87" s="415"/>
      <c r="BA87" s="62"/>
      <c r="BB87" s="62"/>
      <c r="BC87" s="62"/>
      <c r="BD87" s="62"/>
      <c r="BE87" s="62"/>
      <c r="BF87" s="62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5" s="10" customFormat="1" ht="12" customHeight="1">
      <c r="F88" s="114" t="s">
        <v>729</v>
      </c>
      <c r="H88" s="62"/>
      <c r="I88" s="62"/>
      <c r="J88" s="62" t="s">
        <v>324</v>
      </c>
      <c r="K88" s="10" t="s">
        <v>324</v>
      </c>
      <c r="L88" s="382">
        <v>6.9000000000000006E-2</v>
      </c>
      <c r="M88" s="383">
        <v>8.1600000000000006E-2</v>
      </c>
      <c r="N88" s="62" t="s">
        <v>324</v>
      </c>
      <c r="O88" s="62" t="s">
        <v>324</v>
      </c>
      <c r="P88" s="62" t="s">
        <v>324</v>
      </c>
      <c r="Q88" s="62" t="s">
        <v>324</v>
      </c>
      <c r="R88" s="62" t="s">
        <v>324</v>
      </c>
      <c r="S88" s="10" t="s">
        <v>324</v>
      </c>
      <c r="T88" s="10" t="s">
        <v>324</v>
      </c>
      <c r="U88" s="62" t="s">
        <v>324</v>
      </c>
      <c r="V88" s="62"/>
      <c r="W88" s="62" t="s">
        <v>324</v>
      </c>
      <c r="X88" s="62"/>
      <c r="Z88" s="10" t="s">
        <v>324</v>
      </c>
      <c r="AB88" s="10" t="s">
        <v>324</v>
      </c>
      <c r="AC88" s="10" t="s">
        <v>324</v>
      </c>
      <c r="AI88" s="114"/>
      <c r="AK88" s="415">
        <v>0.36049999999999999</v>
      </c>
      <c r="AN88" s="415" t="s">
        <v>324</v>
      </c>
      <c r="AP88" s="415"/>
      <c r="AQ88" s="415"/>
      <c r="AR88" s="10" t="s">
        <v>324</v>
      </c>
      <c r="AS88" s="62"/>
      <c r="AU88" s="10" t="s">
        <v>324</v>
      </c>
      <c r="AX88" s="415"/>
      <c r="BA88" s="62"/>
      <c r="BB88" s="62"/>
      <c r="BC88" s="62"/>
      <c r="BD88" s="62"/>
      <c r="BE88" s="62"/>
      <c r="BF88" s="62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5" s="10" customFormat="1" ht="12" customHeight="1"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T89" s="62"/>
      <c r="U89" s="62"/>
      <c r="V89" s="62"/>
      <c r="W89" s="62"/>
      <c r="X89" s="62"/>
      <c r="Y89" s="62"/>
      <c r="Z89" s="62"/>
      <c r="AA89" s="62"/>
      <c r="AB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BA89" s="62"/>
      <c r="BB89" s="62"/>
      <c r="BC89" s="62"/>
      <c r="BD89" s="62"/>
      <c r="BE89" s="62"/>
      <c r="BF89" s="62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5" s="10" customFormat="1" ht="12" customHeight="1"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BA90" s="62"/>
      <c r="BB90" s="62"/>
      <c r="BC90" s="62"/>
      <c r="BD90" s="62"/>
      <c r="BE90" s="62"/>
      <c r="BF90" s="62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</row>
    <row r="91" spans="1:185" ht="12" customHeight="1">
      <c r="A91" s="62"/>
      <c r="B91" s="62"/>
      <c r="D91" s="62"/>
      <c r="E91" s="62"/>
      <c r="F91" s="62"/>
      <c r="G91" s="136"/>
      <c r="H91" s="136"/>
      <c r="I91" s="136"/>
      <c r="J91" s="136"/>
      <c r="K91" s="136"/>
      <c r="L91" s="136"/>
      <c r="M91" s="136"/>
      <c r="N91" s="10"/>
      <c r="O91" s="10"/>
      <c r="P91" s="10"/>
      <c r="Q91" s="136"/>
      <c r="R91" s="136"/>
      <c r="S91" s="10"/>
      <c r="T91" s="136"/>
      <c r="U91" s="136"/>
      <c r="V91" s="136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36"/>
      <c r="AJ91" s="10"/>
      <c r="AK91" s="10"/>
      <c r="AL91" s="10"/>
      <c r="AM91" s="10"/>
      <c r="AN91" s="10"/>
      <c r="AO91" s="10"/>
      <c r="AP91" s="10"/>
      <c r="AQ91" s="10"/>
      <c r="AR91" s="10"/>
      <c r="AS91" s="136"/>
      <c r="AT91" s="10"/>
      <c r="AU91" s="10"/>
      <c r="AV91" s="10"/>
      <c r="AW91" s="10"/>
      <c r="AX91" s="10"/>
      <c r="AY91" s="10"/>
      <c r="AZ91" s="136"/>
      <c r="BA91" s="136"/>
      <c r="BB91" s="136"/>
      <c r="BC91" s="136"/>
      <c r="BD91" s="136"/>
      <c r="BE91" s="136"/>
      <c r="BF91" s="114" t="s">
        <v>726</v>
      </c>
      <c r="BG91" s="114" t="s">
        <v>727</v>
      </c>
      <c r="BH91" s="114">
        <v>0.99519999999999997</v>
      </c>
      <c r="BI91" s="114">
        <v>0.99219999999999997</v>
      </c>
      <c r="BJ91" s="114">
        <v>0.78879999999999995</v>
      </c>
      <c r="BK91" s="114">
        <v>0.97089999999999999</v>
      </c>
      <c r="BL91" s="114">
        <v>0.96250000000000002</v>
      </c>
      <c r="BM91" s="114"/>
      <c r="BN91" s="114">
        <v>0.98740000000000006</v>
      </c>
      <c r="BO91" s="114">
        <v>0.64300000000000002</v>
      </c>
      <c r="BP91" s="114">
        <v>0.74350000000000005</v>
      </c>
      <c r="BQ91" s="114"/>
      <c r="BR91" s="114">
        <v>0.504</v>
      </c>
      <c r="BS91" s="114">
        <v>0.71779999999999999</v>
      </c>
      <c r="BT91" s="114">
        <v>0.25740000000000002</v>
      </c>
      <c r="BU91" s="114">
        <v>0.99109999999999998</v>
      </c>
      <c r="BV91" s="114">
        <v>0.99590000000000001</v>
      </c>
      <c r="BW91" s="136"/>
      <c r="BX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</row>
    <row r="92" spans="1:185" ht="12" customHeight="1">
      <c r="A92" s="62"/>
      <c r="B92" s="62"/>
      <c r="D92" s="62"/>
      <c r="E92" s="62"/>
      <c r="F92" s="62"/>
      <c r="G92" s="136"/>
      <c r="H92" s="136"/>
      <c r="I92" s="136"/>
      <c r="J92" s="136"/>
      <c r="K92" s="136"/>
      <c r="L92" s="136"/>
      <c r="M92" s="136"/>
      <c r="N92" s="10"/>
      <c r="O92" s="10"/>
      <c r="P92" s="10"/>
      <c r="Q92" s="136"/>
      <c r="R92" s="136"/>
      <c r="S92" s="10"/>
      <c r="T92" s="136"/>
      <c r="U92" s="136"/>
      <c r="V92" s="136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36"/>
      <c r="AJ92" s="10"/>
      <c r="AK92" s="10"/>
      <c r="AL92" s="10"/>
      <c r="AM92" s="10"/>
      <c r="AN92" s="10"/>
      <c r="AO92" s="10"/>
      <c r="AP92" s="10"/>
      <c r="AQ92" s="10"/>
      <c r="AR92" s="10"/>
      <c r="AS92" s="136"/>
      <c r="AT92" s="10"/>
      <c r="AU92" s="10"/>
      <c r="AV92" s="10"/>
      <c r="AW92" s="10"/>
      <c r="AX92" s="10"/>
      <c r="AY92" s="10"/>
      <c r="AZ92" s="136"/>
      <c r="BA92" s="136"/>
      <c r="BB92" s="136"/>
      <c r="BC92" s="136"/>
      <c r="BD92" s="136"/>
      <c r="BE92" s="136"/>
      <c r="BF92" s="114"/>
      <c r="BG92" s="114" t="s">
        <v>728</v>
      </c>
      <c r="BH92" s="282">
        <v>4.3299999999999998E-2</v>
      </c>
      <c r="BI92" s="114">
        <v>9.2799999999999994E-2</v>
      </c>
      <c r="BJ92" s="114">
        <v>0.2908</v>
      </c>
      <c r="BK92" s="114">
        <v>0.1079</v>
      </c>
      <c r="BL92" s="283">
        <v>5.0500000000000003E-2</v>
      </c>
      <c r="BM92" s="114"/>
      <c r="BN92" s="283">
        <v>9.7100000000000006E-2</v>
      </c>
      <c r="BO92" s="114">
        <v>0.32090000000000002</v>
      </c>
      <c r="BP92" s="114">
        <v>0.95579999999999998</v>
      </c>
      <c r="BQ92" s="114"/>
      <c r="BR92" s="114">
        <v>0.2278</v>
      </c>
      <c r="BS92" s="114">
        <v>0.50160000000000005</v>
      </c>
      <c r="BT92" s="283">
        <v>9.5299999999999996E-2</v>
      </c>
      <c r="BU92" s="114">
        <v>0.22320000000000001</v>
      </c>
      <c r="BV92" s="114">
        <v>0.68240000000000001</v>
      </c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</row>
    <row r="93" spans="1:185" ht="12" customHeight="1">
      <c r="A93" s="62"/>
      <c r="B93" s="62"/>
      <c r="D93" s="62"/>
      <c r="E93" s="62"/>
      <c r="F93" s="62"/>
      <c r="G93" s="136"/>
      <c r="H93" s="136"/>
      <c r="I93" s="136"/>
      <c r="J93" s="136"/>
      <c r="K93" s="136"/>
      <c r="L93" s="136"/>
      <c r="M93" s="136"/>
      <c r="N93" s="10"/>
      <c r="O93" s="10"/>
      <c r="P93" s="10"/>
      <c r="Q93" s="136"/>
      <c r="R93" s="136"/>
      <c r="S93" s="136"/>
      <c r="T93" s="136"/>
      <c r="U93" s="136"/>
      <c r="V93" s="136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36"/>
      <c r="AJ93" s="10"/>
      <c r="AK93" s="10"/>
      <c r="AL93" s="10"/>
      <c r="AM93" s="10"/>
      <c r="AN93" s="10"/>
      <c r="AO93" s="10"/>
      <c r="AP93" s="10"/>
      <c r="AQ93" s="10"/>
      <c r="AR93" s="10"/>
      <c r="AS93" s="136"/>
      <c r="AT93" s="10"/>
      <c r="AU93" s="10"/>
      <c r="AV93" s="10"/>
      <c r="AW93" s="10"/>
      <c r="AX93" s="10"/>
      <c r="AY93" s="10"/>
      <c r="AZ93" s="136"/>
      <c r="BA93" s="136"/>
      <c r="BB93" s="136"/>
      <c r="BC93" s="136"/>
      <c r="BD93" s="136"/>
      <c r="BE93" s="136"/>
      <c r="BF93" s="114"/>
      <c r="BG93" s="114" t="s">
        <v>729</v>
      </c>
      <c r="BH93" s="114">
        <v>8.8900000000000007E-2</v>
      </c>
      <c r="BI93" s="114">
        <v>0.1177</v>
      </c>
      <c r="BJ93" s="114">
        <v>0.71279999999999999</v>
      </c>
      <c r="BK93" s="114">
        <v>0.1114</v>
      </c>
      <c r="BL93" s="114">
        <v>0.13400000000000001</v>
      </c>
      <c r="BM93" s="114"/>
      <c r="BN93" s="114">
        <v>0.18890000000000001</v>
      </c>
      <c r="BO93" s="114">
        <v>0.86699999999999999</v>
      </c>
      <c r="BP93" s="114">
        <v>0.63549999999999995</v>
      </c>
      <c r="BQ93" s="114"/>
      <c r="BR93" s="282">
        <v>4.8300000000000003E-2</v>
      </c>
      <c r="BS93" s="114">
        <v>0.94589999999999996</v>
      </c>
      <c r="BT93" s="282">
        <v>4.8999999999999998E-3</v>
      </c>
      <c r="BU93" s="114">
        <v>0.34889999999999999</v>
      </c>
      <c r="BV93" s="114">
        <v>0.78049999999999997</v>
      </c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</row>
    <row r="94" spans="1:185" s="77" customFormat="1" ht="15.75">
      <c r="A94" s="12"/>
      <c r="B94" s="12"/>
      <c r="C94" s="12"/>
      <c r="D94" s="12"/>
      <c r="E94" s="12"/>
      <c r="H94" s="10"/>
      <c r="L94" s="10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 s="114" t="s">
        <v>730</v>
      </c>
      <c r="BG94" s="114" t="s">
        <v>727</v>
      </c>
      <c r="BH94" s="114">
        <v>0.98909999999999998</v>
      </c>
      <c r="BI94" s="114">
        <v>0.98229999999999995</v>
      </c>
      <c r="BJ94" s="114">
        <v>0.58350000000000002</v>
      </c>
      <c r="BK94" s="114">
        <v>0.93500000000000005</v>
      </c>
      <c r="BL94" s="114">
        <v>0.91690000000000005</v>
      </c>
      <c r="BM94" s="114"/>
      <c r="BN94" s="114">
        <v>0.9718</v>
      </c>
      <c r="BO94" s="114">
        <v>0.36919999999999997</v>
      </c>
      <c r="BP94" s="114">
        <v>0.35160000000000002</v>
      </c>
      <c r="BQ94" s="114"/>
      <c r="BR94" s="114">
        <v>0.20979999999999999</v>
      </c>
      <c r="BS94" s="114">
        <v>0.4708</v>
      </c>
      <c r="BT94" s="282">
        <v>2.8899999999999999E-2</v>
      </c>
      <c r="BU94" s="114">
        <v>0.97989999999999999</v>
      </c>
      <c r="BV94" s="114">
        <v>0.99080000000000001</v>
      </c>
      <c r="BW94"/>
      <c r="BX94"/>
      <c r="BY94" s="136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</row>
    <row r="95" spans="1:185" s="10" customFormat="1" ht="16.350000000000001" customHeight="1">
      <c r="H95" s="62"/>
      <c r="I95" s="62"/>
      <c r="J95" s="62"/>
      <c r="K95" s="62"/>
      <c r="L95" s="62"/>
      <c r="M95" s="62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 s="114"/>
      <c r="BG95" s="114" t="s">
        <v>728</v>
      </c>
      <c r="BH95" s="282">
        <v>8.0000000000000004E-4</v>
      </c>
      <c r="BI95" s="282">
        <v>4.7000000000000002E-3</v>
      </c>
      <c r="BJ95" s="283">
        <v>6.1199999999999997E-2</v>
      </c>
      <c r="BK95" s="282">
        <v>6.6E-3</v>
      </c>
      <c r="BL95" s="282">
        <v>1.1999999999999999E-3</v>
      </c>
      <c r="BM95" s="114"/>
      <c r="BN95" s="282">
        <v>5.3E-3</v>
      </c>
      <c r="BO95" s="283">
        <v>7.7499999999999999E-2</v>
      </c>
      <c r="BP95" s="114">
        <v>0.85140000000000005</v>
      </c>
      <c r="BQ95" s="114"/>
      <c r="BR95" s="282">
        <v>3.4700000000000002E-2</v>
      </c>
      <c r="BS95" s="114">
        <v>0.2094</v>
      </c>
      <c r="BT95" s="282">
        <v>3.3E-3</v>
      </c>
      <c r="BU95" s="282">
        <v>3.3099999999999997E-2</v>
      </c>
      <c r="BV95" s="114">
        <v>0.42330000000000001</v>
      </c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</row>
    <row r="96" spans="1:185" customFormat="1" ht="16.350000000000001" customHeight="1">
      <c r="A96" s="12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BF96" s="114"/>
      <c r="BG96" s="114" t="s">
        <v>729</v>
      </c>
      <c r="BH96" s="282">
        <v>4.3E-3</v>
      </c>
      <c r="BI96" s="282">
        <v>8.0000000000000002E-3</v>
      </c>
      <c r="BJ96" s="114">
        <v>0.46389999999999998</v>
      </c>
      <c r="BK96" s="282">
        <v>7.1000000000000004E-3</v>
      </c>
      <c r="BL96" s="282">
        <v>1.0699999999999999E-2</v>
      </c>
      <c r="BM96" s="114"/>
      <c r="BN96" s="282">
        <v>2.3599999999999999E-2</v>
      </c>
      <c r="BO96" s="114">
        <v>0.72440000000000004</v>
      </c>
      <c r="BP96" s="114">
        <v>0.20399999999999999</v>
      </c>
      <c r="BQ96" s="114"/>
      <c r="BR96" s="282">
        <v>1E-3</v>
      </c>
      <c r="BS96" s="114">
        <v>0.88129999999999997</v>
      </c>
      <c r="BT96" s="282" t="s">
        <v>327</v>
      </c>
      <c r="BU96" s="283">
        <v>9.11E-2</v>
      </c>
      <c r="BV96" s="114">
        <v>0.57230000000000003</v>
      </c>
    </row>
    <row r="97" spans="1:188" customFormat="1" ht="16.350000000000001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AI97" s="12"/>
    </row>
    <row r="98" spans="1:188" customFormat="1" ht="16.350000000000001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1:188" customFormat="1" ht="16.350000000000001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1:188" customFormat="1" ht="16.350000000000001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FT100" s="12"/>
    </row>
    <row r="101" spans="1:188" ht="16.350000000000001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188" customFormat="1" ht="16.350000000000001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</row>
    <row r="103" spans="1:188" customFormat="1" ht="16.350000000000001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AF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</row>
    <row r="104" spans="1:188" customFormat="1" ht="16.350000000000001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</row>
    <row r="105" spans="1:188" customFormat="1" ht="16.350000000000001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AF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</row>
    <row r="106" spans="1:188" customFormat="1" ht="16.350000000000001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P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</row>
    <row r="107" spans="1:188" customFormat="1" ht="16.350000000000001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1:188" customFormat="1" ht="16.350000000000001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1:188" customFormat="1" ht="16.350000000000001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1:188" customFormat="1" ht="16.350000000000001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1:188" customFormat="1" ht="16.350000000000001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1:188" customFormat="1" ht="16.350000000000001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1:45" customFormat="1" ht="16.350000000000001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</row>
    <row r="114" spans="1:45" customFormat="1" ht="16.350000000000001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</row>
    <row r="115" spans="1:45" customFormat="1" ht="16.350000000000001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</row>
    <row r="116" spans="1:45" customFormat="1" ht="16.350000000000001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</row>
    <row r="117" spans="1:45" customFormat="1" ht="16.350000000000001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</row>
  </sheetData>
  <sortState xmlns:xlrd2="http://schemas.microsoft.com/office/spreadsheetml/2017/richdata2" ref="BZ45:BZ66">
    <sortCondition ref="BZ45:BZ66"/>
  </sortState>
  <phoneticPr fontId="10" type="noConversion"/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g
Prolonged Patterned Feeding with High Fat Diet (Male SD Rats)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2858-12AA-1445-B8EC-D4DEB79BD515}">
  <dimension ref="A1:GC103"/>
  <sheetViews>
    <sheetView topLeftCell="A10" zoomScaleNormal="100" workbookViewId="0">
      <selection activeCell="J129" sqref="J129"/>
    </sheetView>
  </sheetViews>
  <sheetFormatPr defaultColWidth="12.5" defaultRowHeight="16.350000000000001" customHeight="1"/>
  <cols>
    <col min="1" max="1" width="9.5" style="12" customWidth="1"/>
    <col min="2" max="2" width="10.125" style="12" bestFit="1" customWidth="1"/>
    <col min="3" max="45" width="9.5" style="12" customWidth="1"/>
    <col min="46" max="84" width="9.5" customWidth="1"/>
    <col min="85" max="175" width="11" customWidth="1"/>
    <col min="176" max="16384" width="12.5" style="12"/>
  </cols>
  <sheetData>
    <row r="1" spans="1:176" s="3" customFormat="1" ht="16.350000000000001" customHeight="1">
      <c r="A1" s="1" t="s">
        <v>661</v>
      </c>
      <c r="B1" s="1" t="s">
        <v>1</v>
      </c>
      <c r="C1" s="1" t="s">
        <v>2</v>
      </c>
      <c r="D1" s="1" t="s">
        <v>3</v>
      </c>
      <c r="E1" s="1"/>
      <c r="F1" s="1"/>
      <c r="O1" s="129" t="s">
        <v>416</v>
      </c>
      <c r="P1" s="77" t="s">
        <v>417</v>
      </c>
      <c r="Q1" s="77"/>
      <c r="R1" s="77" t="s">
        <v>418</v>
      </c>
      <c r="S1" s="77" t="s">
        <v>419</v>
      </c>
      <c r="T1" s="77" t="s">
        <v>420</v>
      </c>
      <c r="U1" s="77">
        <v>239.00573600000001</v>
      </c>
      <c r="V1" s="77"/>
      <c r="W1" s="77">
        <f>(15.21*U1)/1000</f>
        <v>3.6352772445600001</v>
      </c>
      <c r="X1" s="77" t="s">
        <v>421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</row>
    <row r="2" spans="1:176" s="3" customFormat="1" ht="16.350000000000001" customHeight="1">
      <c r="A2" s="1"/>
      <c r="B2" s="1"/>
      <c r="C2" s="1"/>
      <c r="D2" s="1"/>
      <c r="E2" s="1"/>
      <c r="F2" s="1"/>
      <c r="Q2" s="3" t="s">
        <v>664</v>
      </c>
      <c r="R2" s="77"/>
      <c r="S2" s="77"/>
      <c r="T2" s="77"/>
      <c r="U2" s="77"/>
      <c r="V2" s="77"/>
      <c r="W2" s="77"/>
      <c r="X2" s="77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</row>
    <row r="3" spans="1:176" s="3" customFormat="1" ht="16.350000000000001" customHeight="1">
      <c r="E3" s="3" t="s">
        <v>663</v>
      </c>
      <c r="F3"/>
      <c r="G3"/>
      <c r="H3"/>
      <c r="I3"/>
      <c r="K3" s="3" t="s">
        <v>665</v>
      </c>
      <c r="L3"/>
      <c r="M3"/>
      <c r="Q3" s="3" t="s">
        <v>745</v>
      </c>
      <c r="R3" s="3" t="s">
        <v>746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</row>
    <row r="4" spans="1:176" s="57" customFormat="1" ht="16.350000000000001" customHeight="1">
      <c r="A4" s="7" t="s">
        <v>191</v>
      </c>
      <c r="B4" s="5" t="s">
        <v>14</v>
      </c>
      <c r="C4" s="5" t="s">
        <v>192</v>
      </c>
      <c r="D4" s="5" t="s">
        <v>193</v>
      </c>
      <c r="E4" s="4" t="s">
        <v>714</v>
      </c>
      <c r="F4" s="5" t="s">
        <v>747</v>
      </c>
      <c r="G4" s="5" t="s">
        <v>715</v>
      </c>
      <c r="H4" s="5" t="s">
        <v>716</v>
      </c>
      <c r="I4" s="5" t="s">
        <v>717</v>
      </c>
      <c r="J4" s="6" t="s">
        <v>718</v>
      </c>
      <c r="K4" s="4" t="s">
        <v>714</v>
      </c>
      <c r="L4" s="5" t="s">
        <v>747</v>
      </c>
      <c r="M4" s="5" t="s">
        <v>715</v>
      </c>
      <c r="N4" s="5" t="s">
        <v>716</v>
      </c>
      <c r="O4" s="5" t="s">
        <v>717</v>
      </c>
      <c r="P4" s="6" t="s">
        <v>718</v>
      </c>
      <c r="Q4" s="7" t="s">
        <v>719</v>
      </c>
      <c r="R4" s="5" t="s">
        <v>720</v>
      </c>
      <c r="S4" s="5" t="s">
        <v>748</v>
      </c>
      <c r="T4" s="5" t="s">
        <v>749</v>
      </c>
      <c r="U4" s="5" t="s">
        <v>750</v>
      </c>
      <c r="V4" s="5" t="s">
        <v>751</v>
      </c>
      <c r="W4" s="5" t="s">
        <v>752</v>
      </c>
      <c r="X4" s="5" t="s">
        <v>753</v>
      </c>
      <c r="Y4" s="5" t="s">
        <v>754</v>
      </c>
      <c r="Z4" s="5" t="s">
        <v>755</v>
      </c>
      <c r="AA4" s="5" t="s">
        <v>756</v>
      </c>
      <c r="AB4" s="5" t="s">
        <v>757</v>
      </c>
      <c r="AC4" s="6" t="s">
        <v>758</v>
      </c>
      <c r="AD4" s="7" t="s">
        <v>191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76" s="10" customFormat="1" ht="16.350000000000001" customHeight="1">
      <c r="A5" s="185" t="s">
        <v>260</v>
      </c>
      <c r="B5" s="10" t="s">
        <v>26</v>
      </c>
      <c r="C5" s="10" t="s">
        <v>262</v>
      </c>
      <c r="D5" s="89">
        <v>42587</v>
      </c>
      <c r="E5" s="13">
        <v>18.142859999999999</v>
      </c>
      <c r="F5" s="10">
        <f>G5+H5+I5+J5</f>
        <v>36.33334</v>
      </c>
      <c r="G5" s="10">
        <v>13</v>
      </c>
      <c r="H5" s="10">
        <v>5</v>
      </c>
      <c r="I5" s="10">
        <v>13.66667</v>
      </c>
      <c r="J5" s="14">
        <v>4.6666699999999999</v>
      </c>
      <c r="K5" s="13">
        <v>1.428571</v>
      </c>
      <c r="L5" s="10">
        <f>M5+N5+O5+P5</f>
        <v>2.5</v>
      </c>
      <c r="M5" s="10">
        <v>1.75</v>
      </c>
      <c r="N5" s="10">
        <v>0.75</v>
      </c>
      <c r="O5" s="10">
        <v>0</v>
      </c>
      <c r="P5" s="14">
        <v>0</v>
      </c>
      <c r="Q5" s="324">
        <v>0.43</v>
      </c>
      <c r="R5">
        <v>17.489000000000001</v>
      </c>
      <c r="S5">
        <v>44</v>
      </c>
      <c r="T5">
        <v>87.831000000000003</v>
      </c>
      <c r="U5">
        <v>82.712000000000003</v>
      </c>
      <c r="V5">
        <v>22.170999999999999</v>
      </c>
      <c r="W5">
        <v>13.416</v>
      </c>
      <c r="X5">
        <v>25.63</v>
      </c>
      <c r="Y5">
        <v>25.077999999999999</v>
      </c>
      <c r="Z5">
        <v>7.8040000000000003</v>
      </c>
      <c r="AA5">
        <f>AB5+AC5</f>
        <v>0.39999999999999997</v>
      </c>
      <c r="AB5">
        <v>6.6699999999999995E-2</v>
      </c>
      <c r="AC5" s="314">
        <v>0.33329999999999999</v>
      </c>
      <c r="AD5" s="185" t="s">
        <v>260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76" s="10" customFormat="1" ht="16.350000000000001" customHeight="1">
      <c r="A6" s="121" t="s">
        <v>265</v>
      </c>
      <c r="B6" s="10" t="s">
        <v>26</v>
      </c>
      <c r="C6" s="10" t="s">
        <v>262</v>
      </c>
      <c r="D6" s="89">
        <v>42587</v>
      </c>
      <c r="E6" s="13">
        <v>15.1426</v>
      </c>
      <c r="F6" s="10">
        <f t="shared" ref="F6:F9" si="0">G6+H6+I6+J6</f>
        <v>30.8</v>
      </c>
      <c r="G6" s="10">
        <v>9.8000000000000007</v>
      </c>
      <c r="H6" s="10">
        <v>4</v>
      </c>
      <c r="I6" s="10">
        <v>10.33333</v>
      </c>
      <c r="J6" s="14">
        <v>6.6666699999999999</v>
      </c>
      <c r="K6" s="13">
        <v>0.42857099999999998</v>
      </c>
      <c r="L6" s="10">
        <f t="shared" ref="L6:L9" si="1">M6+N6+O6+P6</f>
        <v>0.91666700000000001</v>
      </c>
      <c r="M6" s="10">
        <v>0</v>
      </c>
      <c r="N6" s="10">
        <v>0.25</v>
      </c>
      <c r="O6" s="10">
        <v>0.66666700000000001</v>
      </c>
      <c r="P6" s="14">
        <v>0</v>
      </c>
      <c r="Q6" s="324">
        <v>0.51</v>
      </c>
      <c r="R6">
        <v>15.304</v>
      </c>
      <c r="S6">
        <v>31</v>
      </c>
      <c r="T6">
        <v>82.078000000000003</v>
      </c>
      <c r="U6">
        <v>83.063999999999993</v>
      </c>
      <c r="V6">
        <v>18.64</v>
      </c>
      <c r="W6">
        <v>13.952999999999999</v>
      </c>
      <c r="X6">
        <v>28.382000000000001</v>
      </c>
      <c r="Y6">
        <v>24.093</v>
      </c>
      <c r="Z6">
        <v>8.5060000000000002</v>
      </c>
      <c r="AA6">
        <f t="shared" ref="AA6:AA9" si="2">AB6+AC6</f>
        <v>2.1332</v>
      </c>
      <c r="AB6">
        <v>0</v>
      </c>
      <c r="AC6" s="314">
        <v>2.1332</v>
      </c>
      <c r="AD6" s="121" t="s">
        <v>265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76" s="10" customFormat="1" ht="16.350000000000001" customHeight="1">
      <c r="A7" s="121" t="s">
        <v>267</v>
      </c>
      <c r="B7" s="10" t="s">
        <v>26</v>
      </c>
      <c r="C7" s="10" t="s">
        <v>262</v>
      </c>
      <c r="D7" s="89">
        <v>42587</v>
      </c>
      <c r="E7" s="13">
        <v>21.166667</v>
      </c>
      <c r="F7" s="10">
        <f t="shared" si="0"/>
        <v>42.333330000000004</v>
      </c>
      <c r="G7" s="10">
        <v>20.3</v>
      </c>
      <c r="H7" s="10">
        <v>7.7</v>
      </c>
      <c r="I7" s="10">
        <v>11</v>
      </c>
      <c r="J7" s="14">
        <v>3.3333300000000001</v>
      </c>
      <c r="K7" s="13">
        <v>1.933333</v>
      </c>
      <c r="L7" s="10">
        <f t="shared" si="1"/>
        <v>3.6633300000000002</v>
      </c>
      <c r="M7" s="10">
        <v>1.33</v>
      </c>
      <c r="N7" s="10">
        <v>1</v>
      </c>
      <c r="O7" s="10">
        <v>1</v>
      </c>
      <c r="P7" s="14">
        <v>0.33333000000000002</v>
      </c>
      <c r="Q7" s="324"/>
      <c r="R7">
        <v>15.912000000000001</v>
      </c>
      <c r="S7">
        <v>31</v>
      </c>
      <c r="T7">
        <v>75.822999999999993</v>
      </c>
      <c r="U7">
        <v>80.111999999999995</v>
      </c>
      <c r="V7">
        <v>16.468</v>
      </c>
      <c r="W7">
        <v>11.754</v>
      </c>
      <c r="X7">
        <v>22.431000000000001</v>
      </c>
      <c r="Y7">
        <v>23.802</v>
      </c>
      <c r="Z7">
        <v>8.1329999999999991</v>
      </c>
      <c r="AA7">
        <f t="shared" si="2"/>
        <v>3.2664</v>
      </c>
      <c r="AB7">
        <v>1.1332</v>
      </c>
      <c r="AC7" s="314">
        <v>2.1332</v>
      </c>
      <c r="AD7" s="121" t="s">
        <v>267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76" s="10" customFormat="1" ht="16.350000000000001" customHeight="1">
      <c r="A8" s="133" t="s">
        <v>269</v>
      </c>
      <c r="B8" s="51" t="s">
        <v>26</v>
      </c>
      <c r="C8" s="10" t="s">
        <v>262</v>
      </c>
      <c r="D8" s="11" t="s">
        <v>271</v>
      </c>
      <c r="E8" s="13">
        <v>21.142859999999999</v>
      </c>
      <c r="F8" s="10">
        <f t="shared" si="0"/>
        <v>43.166669999999996</v>
      </c>
      <c r="G8" s="10">
        <v>9</v>
      </c>
      <c r="H8" s="10">
        <v>9.5</v>
      </c>
      <c r="I8" s="10">
        <v>16.66667</v>
      </c>
      <c r="J8" s="14">
        <v>8</v>
      </c>
      <c r="K8" s="13">
        <v>0.57142899999999996</v>
      </c>
      <c r="L8" s="10">
        <f t="shared" si="1"/>
        <v>1.0833330000000001</v>
      </c>
      <c r="M8" s="10">
        <v>0.5</v>
      </c>
      <c r="N8" s="10">
        <v>0.25</v>
      </c>
      <c r="O8" s="10">
        <v>0.33333299999999999</v>
      </c>
      <c r="P8" s="14">
        <v>0</v>
      </c>
      <c r="Q8" s="324">
        <v>0.02</v>
      </c>
      <c r="R8">
        <v>5.6159999999999997</v>
      </c>
      <c r="S8">
        <v>9</v>
      </c>
      <c r="T8">
        <v>74.805999999999997</v>
      </c>
      <c r="U8">
        <v>79.405000000000001</v>
      </c>
      <c r="V8">
        <v>15.398999999999999</v>
      </c>
      <c r="W8">
        <v>10.067</v>
      </c>
      <c r="X8">
        <v>23.45</v>
      </c>
      <c r="Y8">
        <v>19.696000000000002</v>
      </c>
      <c r="Z8">
        <v>8.0370000000000008</v>
      </c>
      <c r="AA8">
        <f t="shared" si="2"/>
        <v>1.3331999999999999</v>
      </c>
      <c r="AB8">
        <v>0</v>
      </c>
      <c r="AC8" s="314">
        <v>1.3331999999999999</v>
      </c>
      <c r="AD8" s="134" t="s">
        <v>269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76" s="10" customFormat="1" ht="16.350000000000001" customHeight="1">
      <c r="A9" s="133" t="s">
        <v>272</v>
      </c>
      <c r="B9" s="51" t="s">
        <v>26</v>
      </c>
      <c r="C9" s="10" t="s">
        <v>262</v>
      </c>
      <c r="D9" s="11">
        <v>42411</v>
      </c>
      <c r="E9" s="13">
        <v>16.625</v>
      </c>
      <c r="F9" s="10">
        <f t="shared" si="0"/>
        <v>33.033339999999995</v>
      </c>
      <c r="G9" s="10">
        <v>9.5</v>
      </c>
      <c r="H9" s="10">
        <v>12.2</v>
      </c>
      <c r="I9" s="10">
        <v>8.6666699999999999</v>
      </c>
      <c r="J9" s="14">
        <v>2.6666699999999999</v>
      </c>
      <c r="K9" s="13">
        <v>0.25</v>
      </c>
      <c r="L9" s="10">
        <f t="shared" si="1"/>
        <v>0.66666999999999998</v>
      </c>
      <c r="M9" s="10">
        <v>0</v>
      </c>
      <c r="N9" s="10">
        <v>0</v>
      </c>
      <c r="O9" s="10">
        <v>0</v>
      </c>
      <c r="P9" s="14">
        <v>0.66666999999999998</v>
      </c>
      <c r="Q9" s="324">
        <v>0.26</v>
      </c>
      <c r="R9">
        <v>10.731</v>
      </c>
      <c r="S9">
        <v>24</v>
      </c>
      <c r="T9">
        <v>82.471999999999994</v>
      </c>
      <c r="U9">
        <v>86.04</v>
      </c>
      <c r="V9">
        <v>18.843</v>
      </c>
      <c r="W9">
        <v>12.548</v>
      </c>
      <c r="X9">
        <v>25.431000000000001</v>
      </c>
      <c r="Y9">
        <v>22.556000000000001</v>
      </c>
      <c r="Z9">
        <v>8.3149999999999995</v>
      </c>
      <c r="AA9">
        <f t="shared" si="2"/>
        <v>1.3998999999999999</v>
      </c>
      <c r="AB9">
        <v>0</v>
      </c>
      <c r="AC9" s="314">
        <v>1.3998999999999999</v>
      </c>
      <c r="AD9" s="134" t="s">
        <v>272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76" s="10" customFormat="1" ht="16.350000000000001" customHeight="1">
      <c r="A10" s="133"/>
      <c r="B10" s="51"/>
      <c r="D10" s="11"/>
      <c r="E10" s="13"/>
      <c r="J10" s="14"/>
      <c r="K10" s="13"/>
      <c r="P10" s="14"/>
      <c r="Q10" s="324">
        <v>0.3</v>
      </c>
      <c r="AC10" s="14"/>
      <c r="AD10" s="134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76" s="10" customFormat="1" ht="16.350000000000001" customHeight="1">
      <c r="A11" s="133"/>
      <c r="B11" s="51"/>
      <c r="D11" s="11"/>
      <c r="E11" s="13"/>
      <c r="J11" s="14"/>
      <c r="K11" s="13"/>
      <c r="P11" s="14"/>
      <c r="Q11" s="15">
        <v>0.1</v>
      </c>
      <c r="AC11" s="14"/>
      <c r="AD11" s="134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76" s="10" customFormat="1" ht="16.350000000000001" customHeight="1">
      <c r="A12" s="9"/>
      <c r="B12" s="51"/>
      <c r="D12" s="11"/>
      <c r="E12" s="13"/>
      <c r="J12" s="14"/>
      <c r="K12" s="13"/>
      <c r="P12" s="14"/>
      <c r="Q12" s="15">
        <v>0.21</v>
      </c>
      <c r="AC12" s="14"/>
      <c r="AD12" s="123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76" s="10" customFormat="1" ht="16.350000000000001" customHeight="1">
      <c r="A13" s="9"/>
      <c r="B13" s="51"/>
      <c r="D13" s="11"/>
      <c r="E13" s="13"/>
      <c r="J13" s="14"/>
      <c r="K13" s="13"/>
      <c r="P13" s="14"/>
      <c r="Q13" s="15"/>
      <c r="AC13" s="14"/>
      <c r="AD13" s="12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76" s="10" customFormat="1" ht="16.350000000000001" customHeight="1">
      <c r="A14" s="16"/>
      <c r="B14" s="18"/>
      <c r="C14" s="3"/>
      <c r="D14" s="3" t="s">
        <v>281</v>
      </c>
      <c r="E14" s="59">
        <f t="shared" ref="E14:J14" si="3">AVERAGE(E5:E13)</f>
        <v>18.443997400000001</v>
      </c>
      <c r="F14" s="55">
        <f t="shared" ref="F14" si="4">AVERAGE(F5:F13)</f>
        <v>37.133336</v>
      </c>
      <c r="G14" s="55">
        <f t="shared" si="3"/>
        <v>12.32</v>
      </c>
      <c r="H14" s="55">
        <f t="shared" si="3"/>
        <v>7.68</v>
      </c>
      <c r="I14" s="55">
        <f t="shared" si="3"/>
        <v>12.066667999999998</v>
      </c>
      <c r="J14" s="88">
        <f t="shared" si="3"/>
        <v>5.0666679999999999</v>
      </c>
      <c r="K14" s="59">
        <f t="shared" ref="K14:P14" si="5">AVERAGE(K5:K13)</f>
        <v>0.9223808</v>
      </c>
      <c r="L14" s="55">
        <f t="shared" ref="L14" si="6">AVERAGE(L5:L13)</f>
        <v>1.766</v>
      </c>
      <c r="M14" s="55">
        <f t="shared" si="5"/>
        <v>0.71599999999999997</v>
      </c>
      <c r="N14" s="55">
        <f t="shared" si="5"/>
        <v>0.45</v>
      </c>
      <c r="O14" s="55">
        <f t="shared" si="5"/>
        <v>0.4</v>
      </c>
      <c r="P14" s="88">
        <f t="shared" si="5"/>
        <v>0.2</v>
      </c>
      <c r="Q14" s="58">
        <f t="shared" ref="Q14:AC14" si="7">AVERAGE(Q5:Q13)</f>
        <v>0.26142857142857145</v>
      </c>
      <c r="R14" s="55">
        <f t="shared" si="7"/>
        <v>13.010399999999999</v>
      </c>
      <c r="S14" s="55">
        <f t="shared" si="7"/>
        <v>27.8</v>
      </c>
      <c r="T14" s="55">
        <f t="shared" si="7"/>
        <v>80.60199999999999</v>
      </c>
      <c r="U14" s="55">
        <f t="shared" si="7"/>
        <v>82.266600000000011</v>
      </c>
      <c r="V14" s="55">
        <f t="shared" si="7"/>
        <v>18.304200000000002</v>
      </c>
      <c r="W14" s="55">
        <f t="shared" si="7"/>
        <v>12.3476</v>
      </c>
      <c r="X14" s="55">
        <f t="shared" si="7"/>
        <v>25.064799999999998</v>
      </c>
      <c r="Y14" s="55">
        <f t="shared" si="7"/>
        <v>23.044999999999998</v>
      </c>
      <c r="Z14" s="55">
        <f t="shared" si="7"/>
        <v>8.1590000000000007</v>
      </c>
      <c r="AA14" s="55">
        <f t="shared" si="7"/>
        <v>1.7065399999999999</v>
      </c>
      <c r="AB14" s="55">
        <f t="shared" si="7"/>
        <v>0.23998</v>
      </c>
      <c r="AC14" s="88">
        <f t="shared" si="7"/>
        <v>1.4665599999999999</v>
      </c>
      <c r="AD14" s="126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</row>
    <row r="15" spans="1:176" s="10" customFormat="1" ht="16.350000000000001" customHeight="1">
      <c r="A15" s="16"/>
      <c r="B15" s="18"/>
      <c r="C15" s="3"/>
      <c r="D15" s="3" t="s">
        <v>45</v>
      </c>
      <c r="E15" s="59">
        <f t="shared" ref="E15:J15" si="8">(STDEV(E5:E13)/(SQRT(COUNT(E5:E13))))</f>
        <v>1.2040649723344414</v>
      </c>
      <c r="F15" s="55">
        <f t="shared" ref="F15" si="9">(STDEV(F5:F13)/(SQRT(COUNT(F5:F13))))</f>
        <v>2.4596967541194976</v>
      </c>
      <c r="G15" s="55">
        <f t="shared" si="8"/>
        <v>2.1150413707537741</v>
      </c>
      <c r="H15" s="55">
        <f t="shared" si="8"/>
        <v>1.4911069713471268</v>
      </c>
      <c r="I15" s="55">
        <f t="shared" si="8"/>
        <v>1.403963184070014</v>
      </c>
      <c r="J15" s="88">
        <f t="shared" si="8"/>
        <v>1.0022198472510908</v>
      </c>
      <c r="K15" s="59">
        <f t="shared" ref="K15:P15" si="10">(STDEV(K5:K13)/(SQRT(COUNT(K5:K13))))</f>
        <v>0.32383360649944892</v>
      </c>
      <c r="L15" s="55">
        <f t="shared" ref="L15" si="11">(STDEV(L5:L13)/(SQRT(COUNT(L5:L13))))</f>
        <v>0.57160057538363251</v>
      </c>
      <c r="M15" s="55">
        <f t="shared" si="10"/>
        <v>0.35483235478180397</v>
      </c>
      <c r="N15" s="55">
        <f t="shared" si="10"/>
        <v>0.18371173070873836</v>
      </c>
      <c r="O15" s="55">
        <f t="shared" si="10"/>
        <v>0.19436509174463401</v>
      </c>
      <c r="P15" s="88">
        <f t="shared" si="10"/>
        <v>0.13333375000351561</v>
      </c>
      <c r="Q15" s="58">
        <f t="shared" ref="Q15:AC15" si="12">(STDEV(Q5:Q13)/(SQRT(COUNT(Q5:Q13))))</f>
        <v>6.5225928653469406E-2</v>
      </c>
      <c r="R15" s="55">
        <f t="shared" si="12"/>
        <v>2.1634527635240874</v>
      </c>
      <c r="S15" s="55">
        <f t="shared" si="12"/>
        <v>5.7043842787806653</v>
      </c>
      <c r="T15" s="55">
        <f t="shared" si="12"/>
        <v>2.3913006293646988</v>
      </c>
      <c r="U15" s="55">
        <f t="shared" si="12"/>
        <v>1.1811822721324607</v>
      </c>
      <c r="V15" s="55">
        <f t="shared" si="12"/>
        <v>1.1654833074737714</v>
      </c>
      <c r="W15" s="55">
        <f t="shared" si="12"/>
        <v>0.68236519547819685</v>
      </c>
      <c r="X15" s="55">
        <f t="shared" si="12"/>
        <v>1.0247402304974662</v>
      </c>
      <c r="Y15" s="55">
        <f t="shared" si="12"/>
        <v>0.92896081725764912</v>
      </c>
      <c r="Z15" s="55">
        <f t="shared" si="12"/>
        <v>0.11965157750736086</v>
      </c>
      <c r="AA15" s="55">
        <f t="shared" si="12"/>
        <v>0.47726615174344811</v>
      </c>
      <c r="AB15" s="55">
        <f t="shared" si="12"/>
        <v>0.22367824301885064</v>
      </c>
      <c r="AC15" s="88">
        <f t="shared" si="12"/>
        <v>0.33130985889345332</v>
      </c>
      <c r="AD15" s="126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76" s="22" customFormat="1" ht="16.350000000000001" customHeight="1">
      <c r="A16" s="21"/>
      <c r="B16" s="26"/>
      <c r="C16" s="24"/>
      <c r="D16" s="25"/>
      <c r="E16" s="30"/>
      <c r="J16" s="28"/>
      <c r="K16" s="30"/>
      <c r="P16" s="28"/>
      <c r="Q16" s="32"/>
      <c r="AC16" s="28"/>
      <c r="AD16" s="125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10" customFormat="1" ht="16.350000000000001" customHeight="1">
      <c r="A17" s="313" t="s">
        <v>282</v>
      </c>
      <c r="B17" s="13" t="s">
        <v>26</v>
      </c>
      <c r="C17" s="10" t="s">
        <v>284</v>
      </c>
      <c r="D17" s="89">
        <v>42587</v>
      </c>
      <c r="E17" s="13">
        <v>12.16667</v>
      </c>
      <c r="F17" s="10">
        <f t="shared" ref="F17:F19" si="13">G17+H17+I17+J17</f>
        <v>24.33333</v>
      </c>
      <c r="G17" s="10">
        <v>5.3333300000000001</v>
      </c>
      <c r="H17" s="10">
        <v>7</v>
      </c>
      <c r="I17" s="10">
        <v>6.3333300000000001</v>
      </c>
      <c r="J17" s="14">
        <v>5.6666699999999999</v>
      </c>
      <c r="K17" s="13">
        <v>0.3333333</v>
      </c>
      <c r="L17" s="10">
        <f t="shared" ref="L17:L19" si="14">M17+N17+O17+P17</f>
        <v>0.66666700000000001</v>
      </c>
      <c r="M17" s="10">
        <v>0.66666700000000001</v>
      </c>
      <c r="N17" s="10">
        <v>0</v>
      </c>
      <c r="O17" s="10">
        <v>0</v>
      </c>
      <c r="P17" s="14">
        <v>0</v>
      </c>
      <c r="Q17" s="324">
        <v>0.28999999999999998</v>
      </c>
      <c r="R17">
        <v>21.260999999999999</v>
      </c>
      <c r="S17">
        <v>42</v>
      </c>
      <c r="T17">
        <v>83.305000000000007</v>
      </c>
      <c r="U17">
        <v>86.998999999999995</v>
      </c>
      <c r="V17">
        <v>18.838000000000001</v>
      </c>
      <c r="W17">
        <v>15.084</v>
      </c>
      <c r="X17">
        <v>25.58</v>
      </c>
      <c r="Y17">
        <v>27.422000000000001</v>
      </c>
      <c r="Z17">
        <v>7.1379999999999999</v>
      </c>
      <c r="AA17">
        <f>AB17+AC17</f>
        <v>1.26667</v>
      </c>
      <c r="AB17">
        <v>6.6669999999999993E-2</v>
      </c>
      <c r="AC17" s="314">
        <v>1.2</v>
      </c>
      <c r="AD17" s="121" t="s">
        <v>282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10" customFormat="1" ht="16.350000000000001" customHeight="1">
      <c r="A18" s="9" t="s">
        <v>285</v>
      </c>
      <c r="B18" s="51" t="s">
        <v>26</v>
      </c>
      <c r="C18" s="10" t="s">
        <v>284</v>
      </c>
      <c r="D18" s="11" t="s">
        <v>271</v>
      </c>
      <c r="E18" s="13">
        <v>27.428570000000001</v>
      </c>
      <c r="F18" s="10">
        <f t="shared" si="13"/>
        <v>54</v>
      </c>
      <c r="G18" s="10">
        <v>16.25</v>
      </c>
      <c r="H18" s="10">
        <v>13.75</v>
      </c>
      <c r="I18" s="10">
        <v>15.33333</v>
      </c>
      <c r="J18" s="14">
        <v>8.6666699999999999</v>
      </c>
      <c r="K18" s="13">
        <v>1.142857</v>
      </c>
      <c r="L18" s="10">
        <f t="shared" si="14"/>
        <v>2.5000032999999999</v>
      </c>
      <c r="M18" s="10">
        <v>0.5</v>
      </c>
      <c r="N18" s="10">
        <v>0</v>
      </c>
      <c r="O18" s="10">
        <v>1.3333333000000001</v>
      </c>
      <c r="P18" s="14">
        <v>0.66666999999999998</v>
      </c>
      <c r="Q18" s="324">
        <v>0.42</v>
      </c>
      <c r="R18">
        <v>11.986000000000001</v>
      </c>
      <c r="S18">
        <v>24</v>
      </c>
      <c r="T18">
        <v>89.21</v>
      </c>
      <c r="U18">
        <v>91.408000000000001</v>
      </c>
      <c r="V18">
        <v>25.17</v>
      </c>
      <c r="W18">
        <v>16.434000000000001</v>
      </c>
      <c r="X18">
        <v>25.596</v>
      </c>
      <c r="Y18">
        <v>26.146000000000001</v>
      </c>
      <c r="Z18">
        <v>6.51</v>
      </c>
      <c r="AA18">
        <f t="shared" ref="AA18:AA19" si="15">AB18+AC18</f>
        <v>0.5333</v>
      </c>
      <c r="AB18">
        <v>0</v>
      </c>
      <c r="AC18" s="314">
        <v>0.5333</v>
      </c>
      <c r="AD18" s="123" t="s">
        <v>285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10" customFormat="1" ht="16.350000000000001" customHeight="1">
      <c r="A19" s="133" t="s">
        <v>287</v>
      </c>
      <c r="B19" s="51" t="s">
        <v>26</v>
      </c>
      <c r="C19" s="10" t="s">
        <v>284</v>
      </c>
      <c r="D19" s="11">
        <v>42411</v>
      </c>
      <c r="E19" s="13">
        <v>17</v>
      </c>
      <c r="F19" s="10">
        <f t="shared" si="13"/>
        <v>35.866669999999999</v>
      </c>
      <c r="G19" s="10">
        <v>14</v>
      </c>
      <c r="H19" s="10">
        <v>7.2</v>
      </c>
      <c r="I19" s="10">
        <v>12</v>
      </c>
      <c r="J19" s="14">
        <v>2.6666699999999999</v>
      </c>
      <c r="K19" s="13">
        <v>0.25</v>
      </c>
      <c r="L19" s="10">
        <f t="shared" si="14"/>
        <v>0.45</v>
      </c>
      <c r="M19" s="10">
        <v>0.25</v>
      </c>
      <c r="N19" s="10">
        <v>0.2</v>
      </c>
      <c r="O19" s="10">
        <v>0</v>
      </c>
      <c r="P19" s="14">
        <v>0</v>
      </c>
      <c r="Q19" s="324">
        <v>0</v>
      </c>
      <c r="R19">
        <v>12.779</v>
      </c>
      <c r="S19">
        <v>23</v>
      </c>
      <c r="T19">
        <v>79.248000000000005</v>
      </c>
      <c r="U19">
        <v>88.605000000000004</v>
      </c>
      <c r="V19">
        <v>14.483000000000001</v>
      </c>
      <c r="W19">
        <v>13.43</v>
      </c>
      <c r="X19">
        <v>23.655000000000001</v>
      </c>
      <c r="Y19">
        <v>25.675000000000001</v>
      </c>
      <c r="Z19">
        <v>5.7960000000000003</v>
      </c>
      <c r="AA19">
        <f t="shared" si="15"/>
        <v>1.7999999999999998</v>
      </c>
      <c r="AB19">
        <v>1.3332999999999999</v>
      </c>
      <c r="AC19" s="314">
        <v>0.4667</v>
      </c>
      <c r="AD19" s="134" t="s">
        <v>287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10" customFormat="1" ht="16.350000000000001" customHeight="1">
      <c r="A20" s="133"/>
      <c r="B20" s="51"/>
      <c r="D20" s="11"/>
      <c r="E20" s="13"/>
      <c r="J20" s="14"/>
      <c r="K20" s="13"/>
      <c r="P20" s="14"/>
      <c r="Q20" s="15">
        <v>-0.03</v>
      </c>
      <c r="R20" s="10">
        <v>24.109000000000002</v>
      </c>
      <c r="AC20" s="14"/>
      <c r="AD20" s="134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10" customFormat="1" ht="16.350000000000001" customHeight="1">
      <c r="A21" s="133"/>
      <c r="B21" s="51"/>
      <c r="D21" s="11"/>
      <c r="E21" s="13"/>
      <c r="J21" s="14"/>
      <c r="K21" s="13"/>
      <c r="P21" s="14"/>
      <c r="Q21" s="15">
        <v>0.3</v>
      </c>
      <c r="R21" s="10">
        <v>7.8970000000000002</v>
      </c>
      <c r="AC21" s="14"/>
      <c r="AD21" s="134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10" customFormat="1" ht="16.350000000000001" customHeight="1">
      <c r="A22" s="9"/>
      <c r="B22" s="51"/>
      <c r="D22" s="11"/>
      <c r="E22" s="13"/>
      <c r="J22" s="14"/>
      <c r="K22" s="13"/>
      <c r="P22" s="14"/>
      <c r="Q22" s="15">
        <v>-0.18</v>
      </c>
      <c r="R22" s="10">
        <v>11.108000000000001</v>
      </c>
      <c r="AC22" s="14"/>
      <c r="AD22" s="123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10" customFormat="1" ht="16.350000000000001" customHeight="1">
      <c r="A23" s="9"/>
      <c r="B23" s="51"/>
      <c r="D23" s="11"/>
      <c r="E23" s="13"/>
      <c r="J23" s="14"/>
      <c r="K23" s="13"/>
      <c r="P23" s="14"/>
      <c r="Q23" s="15">
        <v>0.28999999999999998</v>
      </c>
      <c r="AC23" s="14"/>
      <c r="AD23" s="1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10" customFormat="1" ht="16.350000000000001" customHeight="1">
      <c r="A24" s="9"/>
      <c r="B24" s="51"/>
      <c r="D24" s="11"/>
      <c r="E24" s="13"/>
      <c r="J24" s="14"/>
      <c r="K24" s="13"/>
      <c r="P24" s="14"/>
      <c r="Q24" s="15">
        <v>0.08</v>
      </c>
      <c r="AC24" s="14"/>
      <c r="AD24" s="123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10" customFormat="1" ht="16.350000000000001" customHeight="1">
      <c r="A25" s="9"/>
      <c r="B25" s="51"/>
      <c r="C25" s="12"/>
      <c r="D25" s="3" t="s">
        <v>281</v>
      </c>
      <c r="E25" s="59">
        <f t="shared" ref="E25:J25" si="16">AVERAGE(E17:E24)</f>
        <v>18.865080000000003</v>
      </c>
      <c r="F25" s="55">
        <f t="shared" ref="F25" si="17">AVERAGE(F17:F24)</f>
        <v>38.06666666666667</v>
      </c>
      <c r="G25" s="55">
        <f t="shared" si="16"/>
        <v>11.861110000000002</v>
      </c>
      <c r="H25" s="55">
        <f t="shared" si="16"/>
        <v>9.3166666666666664</v>
      </c>
      <c r="I25" s="55">
        <f t="shared" si="16"/>
        <v>11.22222</v>
      </c>
      <c r="J25" s="88">
        <f t="shared" si="16"/>
        <v>5.6666699999999999</v>
      </c>
      <c r="K25" s="59">
        <f t="shared" ref="K25:P25" si="18">AVERAGE(K17:K24)</f>
        <v>0.57539676666666673</v>
      </c>
      <c r="L25" s="55">
        <f t="shared" ref="L25" si="19">AVERAGE(L17:L24)</f>
        <v>1.2055567666666667</v>
      </c>
      <c r="M25" s="55">
        <f t="shared" si="18"/>
        <v>0.4722223333333333</v>
      </c>
      <c r="N25" s="55">
        <f t="shared" si="18"/>
        <v>6.6666666666666666E-2</v>
      </c>
      <c r="O25" s="55">
        <f t="shared" si="18"/>
        <v>0.44444443333333333</v>
      </c>
      <c r="P25" s="88">
        <f t="shared" si="18"/>
        <v>0.22222333333333333</v>
      </c>
      <c r="Q25" s="58">
        <f t="shared" ref="Q25:AC25" si="20">AVERAGE(Q17:Q24)</f>
        <v>0.14625000000000002</v>
      </c>
      <c r="R25" s="55">
        <f t="shared" si="20"/>
        <v>14.856666666666667</v>
      </c>
      <c r="S25" s="55">
        <f t="shared" si="20"/>
        <v>29.666666666666668</v>
      </c>
      <c r="T25" s="55">
        <f t="shared" si="20"/>
        <v>83.920999999999992</v>
      </c>
      <c r="U25" s="55">
        <f t="shared" si="20"/>
        <v>89.004000000000005</v>
      </c>
      <c r="V25" s="55">
        <f t="shared" si="20"/>
        <v>19.497</v>
      </c>
      <c r="W25" s="55">
        <f t="shared" si="20"/>
        <v>14.982666666666667</v>
      </c>
      <c r="X25" s="55">
        <f t="shared" si="20"/>
        <v>24.943666666666669</v>
      </c>
      <c r="Y25" s="55">
        <f t="shared" si="20"/>
        <v>26.414333333333332</v>
      </c>
      <c r="Z25" s="55">
        <f t="shared" si="20"/>
        <v>6.4813333333333327</v>
      </c>
      <c r="AA25" s="55">
        <f t="shared" si="20"/>
        <v>1.1999899999999999</v>
      </c>
      <c r="AB25" s="55">
        <f t="shared" si="20"/>
        <v>0.46665666666666666</v>
      </c>
      <c r="AC25" s="88">
        <f t="shared" si="20"/>
        <v>0.73333333333333328</v>
      </c>
      <c r="AD25" s="123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10" customFormat="1" ht="16.350000000000001" customHeight="1">
      <c r="A26" s="9"/>
      <c r="B26" s="51"/>
      <c r="C26" s="12"/>
      <c r="D26" s="3" t="s">
        <v>45</v>
      </c>
      <c r="E26" s="59">
        <f t="shared" ref="E26:J26" si="21">(STDEV(E17:E24)/(SQRT(COUNT(E17:E24))))</f>
        <v>4.5033428493842154</v>
      </c>
      <c r="F26" s="55">
        <f t="shared" ref="F26" si="22">(STDEV(F17:F24)/(SQRT(COUNT(F17:F24))))</f>
        <v>8.634385062493509</v>
      </c>
      <c r="G26" s="55">
        <f t="shared" si="21"/>
        <v>3.327890162264973</v>
      </c>
      <c r="H26" s="55">
        <f t="shared" si="21"/>
        <v>2.2174184188926671</v>
      </c>
      <c r="I26" s="55">
        <f t="shared" si="21"/>
        <v>2.62702025726868</v>
      </c>
      <c r="J26" s="88">
        <f t="shared" si="21"/>
        <v>1.7320508075688765</v>
      </c>
      <c r="K26" s="59">
        <f t="shared" ref="K26:P26" si="23">(STDEV(K17:K24)/(SQRT(COUNT(K17:K24))))</f>
        <v>0.28474810332014705</v>
      </c>
      <c r="L26" s="55">
        <f t="shared" ref="L26" si="24">(STDEV(L17:L24)/(SQRT(COUNT(L17:L24))))</f>
        <v>0.65023842241808083</v>
      </c>
      <c r="M26" s="55">
        <f t="shared" si="23"/>
        <v>0.12108061542671118</v>
      </c>
      <c r="N26" s="55">
        <f t="shared" si="23"/>
        <v>6.666666666666668E-2</v>
      </c>
      <c r="O26" s="55">
        <f t="shared" si="23"/>
        <v>0.44444443333333333</v>
      </c>
      <c r="P26" s="88">
        <f t="shared" si="23"/>
        <v>0.22222333333333336</v>
      </c>
      <c r="Q26" s="58">
        <f t="shared" ref="Q26:AC26" si="25">(STDEV(Q17:Q24)/(SQRT(COUNT(Q17:Q24))))</f>
        <v>7.3580313263807165E-2</v>
      </c>
      <c r="R26" s="55">
        <f t="shared" si="25"/>
        <v>2.5927337267405202</v>
      </c>
      <c r="S26" s="55">
        <f t="shared" si="25"/>
        <v>6.173419725817376</v>
      </c>
      <c r="T26" s="55">
        <f t="shared" si="25"/>
        <v>2.8922282643894679</v>
      </c>
      <c r="U26" s="55">
        <f t="shared" si="25"/>
        <v>1.2883090985215222</v>
      </c>
      <c r="V26" s="55">
        <f t="shared" si="25"/>
        <v>3.1026173359493372</v>
      </c>
      <c r="W26" s="55">
        <f t="shared" si="25"/>
        <v>0.86865899203568087</v>
      </c>
      <c r="X26" s="55">
        <f t="shared" si="25"/>
        <v>0.64434988769904888</v>
      </c>
      <c r="Y26" s="55">
        <f t="shared" si="25"/>
        <v>0.52185704726273252</v>
      </c>
      <c r="Z26" s="55">
        <f t="shared" si="25"/>
        <v>0.38766709658904214</v>
      </c>
      <c r="AA26" s="55">
        <f t="shared" si="25"/>
        <v>0.36718155786113937</v>
      </c>
      <c r="AB26" s="55">
        <f t="shared" si="25"/>
        <v>0.4337488607605916</v>
      </c>
      <c r="AC26" s="88">
        <f t="shared" si="25"/>
        <v>0.23412405780791615</v>
      </c>
      <c r="AD26" s="123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10" customFormat="1" ht="16.350000000000001" customHeight="1">
      <c r="A27" s="9"/>
      <c r="B27" s="51"/>
      <c r="C27" s="12"/>
      <c r="D27" s="62" t="s">
        <v>300</v>
      </c>
      <c r="E27" s="63">
        <f>(100/E14)*E25</f>
        <v>102.28303328648269</v>
      </c>
      <c r="F27" s="62">
        <f t="shared" ref="F27" si="26">(100/F14)*F25</f>
        <v>102.51345762919516</v>
      </c>
      <c r="G27" s="62">
        <f t="shared" ref="G27:J27" si="27">(100/G14)*G25</f>
        <v>96.27524350649351</v>
      </c>
      <c r="H27" s="62">
        <f t="shared" si="27"/>
        <v>121.31076388888889</v>
      </c>
      <c r="I27" s="62">
        <f t="shared" si="27"/>
        <v>93.001812927976488</v>
      </c>
      <c r="J27" s="62">
        <f t="shared" si="27"/>
        <v>111.84214162048904</v>
      </c>
      <c r="K27" s="63">
        <f>(100/K14)*K25</f>
        <v>62.381693836934453</v>
      </c>
      <c r="L27" s="62">
        <f t="shared" ref="L27" si="28">(100/L14)*L25</f>
        <v>68.264822574556433</v>
      </c>
      <c r="M27" s="62">
        <f t="shared" ref="M27:P27" si="29">(100/M14)*M25</f>
        <v>65.952839851024208</v>
      </c>
      <c r="N27" s="62">
        <f t="shared" si="29"/>
        <v>14.814814814814815</v>
      </c>
      <c r="O27" s="62">
        <f t="shared" si="29"/>
        <v>111.11110833333333</v>
      </c>
      <c r="P27" s="64">
        <f t="shared" si="29"/>
        <v>111.11166666666666</v>
      </c>
      <c r="Q27" s="325">
        <f t="shared" ref="Q27:AC27" si="30">(100/Q14)*Q25</f>
        <v>55.942622950819676</v>
      </c>
      <c r="R27" s="62">
        <f t="shared" si="30"/>
        <v>114.19069872307284</v>
      </c>
      <c r="S27" s="62">
        <f t="shared" si="30"/>
        <v>106.71462829736211</v>
      </c>
      <c r="T27" s="62">
        <f t="shared" si="30"/>
        <v>104.11776382720031</v>
      </c>
      <c r="U27" s="62">
        <f t="shared" si="30"/>
        <v>108.18971490252422</v>
      </c>
      <c r="V27" s="62">
        <f t="shared" si="30"/>
        <v>106.51653718818631</v>
      </c>
      <c r="W27" s="62">
        <f t="shared" si="30"/>
        <v>121.34071938406385</v>
      </c>
      <c r="X27" s="62">
        <f t="shared" si="30"/>
        <v>99.5167193301629</v>
      </c>
      <c r="Y27" s="62">
        <f t="shared" si="30"/>
        <v>114.62066970420192</v>
      </c>
      <c r="Z27" s="62">
        <f t="shared" si="30"/>
        <v>79.437839604526687</v>
      </c>
      <c r="AA27" s="62">
        <f t="shared" si="30"/>
        <v>70.317132912208322</v>
      </c>
      <c r="AB27" s="62">
        <f t="shared" si="30"/>
        <v>194.4564824846515</v>
      </c>
      <c r="AC27" s="64">
        <f t="shared" si="30"/>
        <v>50.003636628118414</v>
      </c>
      <c r="AD27" s="123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22" customFormat="1" ht="16.350000000000001" customHeight="1">
      <c r="A28" s="67"/>
      <c r="B28" s="26"/>
      <c r="C28" s="65"/>
      <c r="D28" s="65"/>
      <c r="E28" s="30"/>
      <c r="J28" s="28"/>
      <c r="K28" s="30"/>
      <c r="P28" s="28"/>
      <c r="Q28" s="32"/>
      <c r="AC28" s="28"/>
      <c r="AD28" s="124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s="10" customFormat="1" ht="16.350000000000001" customHeight="1">
      <c r="A29" s="9" t="s">
        <v>301</v>
      </c>
      <c r="B29" s="51" t="s">
        <v>26</v>
      </c>
      <c r="C29" s="10" t="s">
        <v>303</v>
      </c>
      <c r="D29" s="11" t="s">
        <v>271</v>
      </c>
      <c r="E29" s="13">
        <v>35.5</v>
      </c>
      <c r="F29" s="10">
        <f t="shared" ref="F29:F31" si="31">G29+H29+I29+J29</f>
        <v>71</v>
      </c>
      <c r="G29" s="10">
        <v>20.25</v>
      </c>
      <c r="H29" s="10">
        <v>14</v>
      </c>
      <c r="I29" s="10">
        <v>23.75</v>
      </c>
      <c r="J29" s="14">
        <v>13</v>
      </c>
      <c r="K29" s="13">
        <v>1.75</v>
      </c>
      <c r="L29" s="10">
        <f t="shared" ref="L29:L31" si="32">M29+N29+O29+P29</f>
        <v>3.5</v>
      </c>
      <c r="M29" s="10">
        <v>0.75</v>
      </c>
      <c r="N29" s="10">
        <v>0.5</v>
      </c>
      <c r="O29" s="10">
        <v>1</v>
      </c>
      <c r="P29" s="14">
        <v>1.25</v>
      </c>
      <c r="Q29" s="324">
        <v>0.26</v>
      </c>
      <c r="R29">
        <v>22.986999999999998</v>
      </c>
      <c r="S29">
        <v>44</v>
      </c>
      <c r="T29">
        <v>83.768000000000001</v>
      </c>
      <c r="U29">
        <v>87.585999999999999</v>
      </c>
      <c r="V29">
        <v>19.97</v>
      </c>
      <c r="W29">
        <v>16.036999999999999</v>
      </c>
      <c r="X29">
        <v>29.135000000000002</v>
      </c>
      <c r="Y29">
        <v>25.855</v>
      </c>
      <c r="Z29">
        <v>9.8040000000000003</v>
      </c>
      <c r="AA29">
        <f>AB29+AC29</f>
        <v>1.7331999999999999</v>
      </c>
      <c r="AB29">
        <v>0.33329999999999999</v>
      </c>
      <c r="AC29" s="314">
        <v>1.3998999999999999</v>
      </c>
      <c r="AD29" s="123" t="s">
        <v>301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</row>
    <row r="30" spans="1:143" s="10" customFormat="1" ht="16.350000000000001" customHeight="1">
      <c r="A30" s="9" t="s">
        <v>304</v>
      </c>
      <c r="B30" s="51" t="s">
        <v>26</v>
      </c>
      <c r="C30" s="10" t="s">
        <v>303</v>
      </c>
      <c r="D30" s="11">
        <v>42411</v>
      </c>
      <c r="E30" s="13">
        <v>24.63</v>
      </c>
      <c r="F30" s="10">
        <f t="shared" si="31"/>
        <v>50.05</v>
      </c>
      <c r="G30" s="10">
        <v>23.25</v>
      </c>
      <c r="H30" s="10">
        <v>11.8</v>
      </c>
      <c r="I30" s="10">
        <v>8.33</v>
      </c>
      <c r="J30" s="14">
        <v>6.67</v>
      </c>
      <c r="K30" s="13">
        <v>1</v>
      </c>
      <c r="L30" s="10">
        <f t="shared" si="32"/>
        <v>1.6</v>
      </c>
      <c r="M30" s="10">
        <v>0</v>
      </c>
      <c r="N30" s="10">
        <v>1.6</v>
      </c>
      <c r="O30" s="10">
        <v>0</v>
      </c>
      <c r="P30" s="14">
        <v>0</v>
      </c>
      <c r="Q30" s="324">
        <v>0.44</v>
      </c>
      <c r="R30">
        <v>16.821999999999999</v>
      </c>
      <c r="S30">
        <v>25</v>
      </c>
      <c r="T30">
        <v>80.588999999999999</v>
      </c>
      <c r="U30">
        <v>88.114000000000004</v>
      </c>
      <c r="V30">
        <v>16.946000000000002</v>
      </c>
      <c r="W30">
        <v>11.938000000000001</v>
      </c>
      <c r="X30">
        <v>24.773</v>
      </c>
      <c r="Y30">
        <v>23.834</v>
      </c>
      <c r="Z30">
        <v>10.289</v>
      </c>
      <c r="AA30" t="e">
        <f>#REF!+AC30</f>
        <v>#REF!</v>
      </c>
      <c r="AB30">
        <v>0.2</v>
      </c>
      <c r="AC30" s="314">
        <v>0.26669999999999999</v>
      </c>
      <c r="AD30" s="123" t="s">
        <v>304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</row>
    <row r="31" spans="1:143" s="10" customFormat="1" ht="16.350000000000001" customHeight="1">
      <c r="A31" s="133" t="s">
        <v>306</v>
      </c>
      <c r="B31" s="51" t="s">
        <v>26</v>
      </c>
      <c r="C31" s="10" t="s">
        <v>303</v>
      </c>
      <c r="D31" s="11" t="s">
        <v>309</v>
      </c>
      <c r="E31" s="13">
        <v>30.14</v>
      </c>
      <c r="F31" s="10">
        <f t="shared" si="31"/>
        <v>67.42</v>
      </c>
      <c r="G31" s="10">
        <v>18.670000000000002</v>
      </c>
      <c r="H31" s="10">
        <v>8.75</v>
      </c>
      <c r="I31" s="10">
        <v>27.33</v>
      </c>
      <c r="J31" s="14">
        <v>12.67</v>
      </c>
      <c r="K31" s="13">
        <v>1.428571</v>
      </c>
      <c r="L31" s="10">
        <f t="shared" si="32"/>
        <v>3.08</v>
      </c>
      <c r="M31" s="10">
        <v>0.33</v>
      </c>
      <c r="N31" s="10">
        <v>0.75</v>
      </c>
      <c r="O31" s="10">
        <v>2</v>
      </c>
      <c r="P31" s="14">
        <v>0</v>
      </c>
      <c r="Q31" s="324">
        <v>7.0000000000000007E-2</v>
      </c>
      <c r="R31">
        <v>20.306999999999999</v>
      </c>
      <c r="S31">
        <v>32</v>
      </c>
      <c r="T31">
        <v>68.34</v>
      </c>
      <c r="U31">
        <v>81.129000000000005</v>
      </c>
      <c r="V31">
        <v>13.567</v>
      </c>
      <c r="W31">
        <v>12.53</v>
      </c>
      <c r="X31">
        <v>18.623999999999999</v>
      </c>
      <c r="Y31">
        <v>23.603000000000002</v>
      </c>
      <c r="Z31">
        <v>12.436</v>
      </c>
      <c r="AA31">
        <f>AB30+AC31</f>
        <v>2.2000000000000002</v>
      </c>
      <c r="AB31" s="10">
        <v>0</v>
      </c>
      <c r="AC31" s="314">
        <v>2</v>
      </c>
      <c r="AD31" s="134" t="s">
        <v>306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</row>
    <row r="32" spans="1:143" s="10" customFormat="1" ht="16.350000000000001" customHeight="1">
      <c r="A32" s="9"/>
      <c r="B32" s="51"/>
      <c r="D32" s="11"/>
      <c r="E32" s="13"/>
      <c r="J32" s="14"/>
      <c r="K32" s="13"/>
      <c r="P32" s="14"/>
      <c r="Q32" s="15">
        <v>0.52</v>
      </c>
      <c r="R32" s="10">
        <v>11.523999999999999</v>
      </c>
      <c r="AC32" s="14"/>
      <c r="AD32" s="123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</row>
    <row r="33" spans="1:143" s="10" customFormat="1" ht="16.350000000000001" customHeight="1">
      <c r="A33" s="9"/>
      <c r="B33" s="51"/>
      <c r="D33" s="11"/>
      <c r="E33" s="13"/>
      <c r="J33" s="14"/>
      <c r="K33" s="13"/>
      <c r="P33" s="14"/>
      <c r="Q33" s="15">
        <v>0.4</v>
      </c>
      <c r="R33" s="10">
        <v>9.8870000000000005</v>
      </c>
      <c r="AC33" s="14"/>
      <c r="AD33" s="12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</row>
    <row r="34" spans="1:143" s="10" customFormat="1" ht="16.350000000000001" customHeight="1">
      <c r="A34" s="9"/>
      <c r="B34" s="51"/>
      <c r="D34" s="11"/>
      <c r="E34" s="13"/>
      <c r="J34" s="14"/>
      <c r="K34" s="13"/>
      <c r="P34" s="14"/>
      <c r="Q34" s="15">
        <v>0.4</v>
      </c>
      <c r="R34" s="10">
        <v>19.420000000000002</v>
      </c>
      <c r="AC34" s="14"/>
      <c r="AD34" s="123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</row>
    <row r="35" spans="1:143" s="10" customFormat="1" ht="16.350000000000001" customHeight="1">
      <c r="A35" s="9"/>
      <c r="B35" s="51"/>
      <c r="D35" s="11"/>
      <c r="E35" s="13"/>
      <c r="J35" s="14"/>
      <c r="K35" s="13"/>
      <c r="P35" s="14"/>
      <c r="Q35" s="15">
        <v>0.25</v>
      </c>
      <c r="AC35" s="14"/>
      <c r="AD35" s="123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</row>
    <row r="36" spans="1:143" s="10" customFormat="1" ht="16.350000000000001" customHeight="1">
      <c r="A36" s="123"/>
      <c r="B36" s="12"/>
      <c r="D36" s="11"/>
      <c r="E36" s="13"/>
      <c r="J36" s="14"/>
      <c r="K36" s="13"/>
      <c r="P36" s="14"/>
      <c r="Q36" s="15">
        <v>0.25</v>
      </c>
      <c r="AC36" s="14"/>
      <c r="AD36" s="123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</row>
    <row r="37" spans="1:143" s="10" customFormat="1" ht="16.350000000000001" customHeight="1">
      <c r="A37" s="121"/>
      <c r="D37" s="55" t="s">
        <v>281</v>
      </c>
      <c r="E37" s="59">
        <f t="shared" ref="E37:J37" si="33">AVERAGE(E29:E36)</f>
        <v>30.09</v>
      </c>
      <c r="F37" s="55">
        <f t="shared" ref="F37" si="34">AVERAGE(F29:F36)</f>
        <v>62.823333333333331</v>
      </c>
      <c r="G37" s="55">
        <f t="shared" si="33"/>
        <v>20.723333333333333</v>
      </c>
      <c r="H37" s="55">
        <f t="shared" si="33"/>
        <v>11.516666666666666</v>
      </c>
      <c r="I37" s="55">
        <f t="shared" si="33"/>
        <v>19.803333333333331</v>
      </c>
      <c r="J37" s="88">
        <f t="shared" si="33"/>
        <v>10.780000000000001</v>
      </c>
      <c r="K37" s="59">
        <f t="shared" ref="K37:P37" si="35">AVERAGE(K29:K36)</f>
        <v>1.392857</v>
      </c>
      <c r="L37" s="55">
        <f t="shared" ref="L37" si="36">AVERAGE(L29:L36)</f>
        <v>2.7266666666666666</v>
      </c>
      <c r="M37" s="55">
        <f t="shared" si="35"/>
        <v>0.36000000000000004</v>
      </c>
      <c r="N37" s="55">
        <f t="shared" si="35"/>
        <v>0.95000000000000007</v>
      </c>
      <c r="O37" s="55">
        <f t="shared" si="35"/>
        <v>1</v>
      </c>
      <c r="P37" s="88">
        <f t="shared" si="35"/>
        <v>0.41666666666666669</v>
      </c>
      <c r="Q37" s="58">
        <f t="shared" ref="Q37:AC37" si="37">AVERAGE(Q29:Q36)</f>
        <v>0.32374999999999998</v>
      </c>
      <c r="R37" s="55">
        <f t="shared" si="37"/>
        <v>16.8245</v>
      </c>
      <c r="S37" s="55">
        <f t="shared" si="37"/>
        <v>33.666666666666664</v>
      </c>
      <c r="T37" s="55">
        <f t="shared" si="37"/>
        <v>77.565666666666672</v>
      </c>
      <c r="U37" s="55">
        <f t="shared" si="37"/>
        <v>85.609666666666669</v>
      </c>
      <c r="V37" s="55">
        <f t="shared" si="37"/>
        <v>16.827666666666666</v>
      </c>
      <c r="W37" s="55">
        <f t="shared" si="37"/>
        <v>13.501666666666667</v>
      </c>
      <c r="X37" s="55">
        <f t="shared" si="37"/>
        <v>24.177333333333333</v>
      </c>
      <c r="Y37" s="55">
        <f t="shared" si="37"/>
        <v>24.430666666666667</v>
      </c>
      <c r="Z37" s="55">
        <f t="shared" si="37"/>
        <v>10.842999999999998</v>
      </c>
      <c r="AA37" s="55" t="e">
        <f t="shared" si="37"/>
        <v>#REF!</v>
      </c>
      <c r="AB37" s="55">
        <f t="shared" si="37"/>
        <v>0.17776666666666666</v>
      </c>
      <c r="AC37" s="88">
        <f t="shared" si="37"/>
        <v>1.2222</v>
      </c>
      <c r="AD37" s="121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</row>
    <row r="38" spans="1:143" s="10" customFormat="1" ht="16.350000000000001" customHeight="1">
      <c r="A38" s="121"/>
      <c r="D38" s="55" t="s">
        <v>45</v>
      </c>
      <c r="E38" s="59">
        <f t="shared" ref="E38:J38" si="38">(STDEV(E29:E36)/(SQRT(COUNT(E29:E36))))</f>
        <v>3.1379983004032015</v>
      </c>
      <c r="F38" s="55">
        <f t="shared" ref="F38" si="39">(STDEV(F29:F36)/(SQRT(COUNT(F29:F36))))</f>
        <v>6.469740678299587</v>
      </c>
      <c r="G38" s="55">
        <f t="shared" si="38"/>
        <v>1.3431472162218272</v>
      </c>
      <c r="H38" s="55">
        <f t="shared" si="38"/>
        <v>1.5221512554422605</v>
      </c>
      <c r="I38" s="55">
        <f t="shared" si="38"/>
        <v>5.8290117325133073</v>
      </c>
      <c r="J38" s="88">
        <f t="shared" si="38"/>
        <v>2.057206844242935</v>
      </c>
      <c r="K38" s="59">
        <f t="shared" ref="K38:P38" si="40">(STDEV(K29:K36)/(SQRT(COUNT(K29:K36))))</f>
        <v>0.21724150719648411</v>
      </c>
      <c r="L38" s="55">
        <f t="shared" ref="L38" si="41">(STDEV(L29:L36)/(SQRT(COUNT(L29:L36))))</f>
        <v>0.57623297757456138</v>
      </c>
      <c r="M38" s="55">
        <f t="shared" si="40"/>
        <v>0.21702534414210706</v>
      </c>
      <c r="N38" s="55">
        <f t="shared" si="40"/>
        <v>0.33291640592396982</v>
      </c>
      <c r="O38" s="55">
        <f t="shared" si="40"/>
        <v>0.57735026918962584</v>
      </c>
      <c r="P38" s="88">
        <f t="shared" si="40"/>
        <v>0.41666666666666669</v>
      </c>
      <c r="Q38" s="58">
        <f t="shared" ref="Q38:AC38" si="42">(STDEV(Q29:Q36)/(SQRT(COUNT(Q29:Q36))))</f>
        <v>5.0530666077993835E-2</v>
      </c>
      <c r="R38" s="55">
        <f t="shared" si="42"/>
        <v>2.1060630372015599</v>
      </c>
      <c r="S38" s="55">
        <f t="shared" si="42"/>
        <v>5.5477723256977445</v>
      </c>
      <c r="T38" s="55">
        <f t="shared" si="42"/>
        <v>4.7032330842139256</v>
      </c>
      <c r="U38" s="55">
        <f t="shared" si="42"/>
        <v>2.2455122899784894</v>
      </c>
      <c r="V38" s="55">
        <f t="shared" si="42"/>
        <v>1.8493336037010251</v>
      </c>
      <c r="W38" s="55">
        <f t="shared" si="42"/>
        <v>1.2791341255361328</v>
      </c>
      <c r="X38" s="55">
        <f t="shared" si="42"/>
        <v>3.0488464667440724</v>
      </c>
      <c r="Y38" s="55">
        <f t="shared" si="42"/>
        <v>0.71528184033366238</v>
      </c>
      <c r="Z38" s="55">
        <f t="shared" si="42"/>
        <v>0.80871152664800128</v>
      </c>
      <c r="AA38" s="55" t="e">
        <f t="shared" si="42"/>
        <v>#REF!</v>
      </c>
      <c r="AB38" s="55">
        <f t="shared" si="42"/>
        <v>9.685549947100465E-2</v>
      </c>
      <c r="AC38" s="88">
        <f t="shared" si="42"/>
        <v>0.5081880196672619</v>
      </c>
      <c r="AD38" s="121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</row>
    <row r="39" spans="1:143" s="10" customFormat="1" ht="16.350000000000001" customHeight="1">
      <c r="A39" s="37"/>
      <c r="B39" s="34"/>
      <c r="C39" s="34"/>
      <c r="D39" s="36" t="s">
        <v>300</v>
      </c>
      <c r="E39" s="68">
        <f>(100/E14)*E37</f>
        <v>163.14250835884417</v>
      </c>
      <c r="F39" s="69">
        <f t="shared" ref="F39" si="43">(100/F14)*F37</f>
        <v>169.18311172832233</v>
      </c>
      <c r="G39" s="69">
        <f t="shared" ref="G39:J39" si="44">(100/G14)*G37</f>
        <v>168.20887445887445</v>
      </c>
      <c r="H39" s="69">
        <f t="shared" si="44"/>
        <v>149.95659722222223</v>
      </c>
      <c r="I39" s="69">
        <f t="shared" si="44"/>
        <v>164.11600396508246</v>
      </c>
      <c r="J39" s="69">
        <f t="shared" si="44"/>
        <v>212.7631019044469</v>
      </c>
      <c r="K39" s="68">
        <f>(100/K14)*K37</f>
        <v>151.0067208684309</v>
      </c>
      <c r="L39" s="69">
        <f t="shared" ref="L39" si="45">(100/L14)*L37</f>
        <v>154.39788599471498</v>
      </c>
      <c r="M39" s="69">
        <f t="shared" ref="M39:P39" si="46">(100/M14)*M37</f>
        <v>50.279329608938554</v>
      </c>
      <c r="N39" s="69">
        <f t="shared" si="46"/>
        <v>211.11111111111114</v>
      </c>
      <c r="O39" s="69">
        <f t="shared" si="46"/>
        <v>250</v>
      </c>
      <c r="P39" s="70">
        <f t="shared" si="46"/>
        <v>208.33333333333334</v>
      </c>
      <c r="Q39" s="326">
        <f t="shared" ref="Q39:AC39" si="47">(100/Q14)*Q37</f>
        <v>123.83879781420762</v>
      </c>
      <c r="R39" s="69">
        <f t="shared" si="47"/>
        <v>129.31577814671343</v>
      </c>
      <c r="S39" s="69">
        <f t="shared" si="47"/>
        <v>121.10311750599519</v>
      </c>
      <c r="T39" s="69">
        <f t="shared" si="47"/>
        <v>96.232930531086922</v>
      </c>
      <c r="U39" s="62">
        <f t="shared" si="47"/>
        <v>104.0636985929486</v>
      </c>
      <c r="V39" s="69">
        <f t="shared" si="47"/>
        <v>91.933363198974362</v>
      </c>
      <c r="W39" s="62">
        <f t="shared" si="47"/>
        <v>109.34648568682714</v>
      </c>
      <c r="X39" s="69">
        <f t="shared" si="47"/>
        <v>96.459310799740422</v>
      </c>
      <c r="Y39" s="62">
        <f t="shared" si="47"/>
        <v>106.01287336370869</v>
      </c>
      <c r="Z39" s="62">
        <f t="shared" si="47"/>
        <v>132.89618825836496</v>
      </c>
      <c r="AA39" s="62" t="e">
        <f t="shared" si="47"/>
        <v>#REF!</v>
      </c>
      <c r="AB39" s="62">
        <f t="shared" si="47"/>
        <v>74.075617412562153</v>
      </c>
      <c r="AC39" s="70">
        <f t="shared" si="47"/>
        <v>83.337879118481354</v>
      </c>
      <c r="AD39" s="37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</row>
    <row r="40" spans="1:143" s="10" customFormat="1" ht="16.350000000000001" customHeight="1">
      <c r="A40" s="317"/>
      <c r="B40" s="318"/>
      <c r="C40" s="319"/>
      <c r="D40" s="319"/>
      <c r="E40" s="320"/>
      <c r="F40" s="321"/>
      <c r="G40" s="321"/>
      <c r="H40" s="321"/>
      <c r="I40" s="321"/>
      <c r="J40" s="322"/>
      <c r="K40" s="320"/>
      <c r="L40" s="321"/>
      <c r="M40" s="321"/>
      <c r="N40" s="321"/>
      <c r="O40" s="321"/>
      <c r="P40" s="322"/>
      <c r="Q40" s="327"/>
      <c r="R40" s="321"/>
      <c r="S40" s="321"/>
      <c r="T40" s="321"/>
      <c r="U40" s="321"/>
      <c r="V40" s="321"/>
      <c r="W40" s="321"/>
      <c r="X40" s="321"/>
      <c r="Y40" s="321"/>
      <c r="Z40" s="321"/>
      <c r="AA40" s="321"/>
      <c r="AB40" s="321"/>
      <c r="AC40" s="322"/>
      <c r="AD40" s="323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</row>
    <row r="41" spans="1:143" s="10" customFormat="1" ht="16.350000000000001" customHeight="1">
      <c r="A41" s="121" t="s">
        <v>355</v>
      </c>
      <c r="B41" s="10" t="s">
        <v>22</v>
      </c>
      <c r="C41" s="10" t="s">
        <v>262</v>
      </c>
      <c r="D41" s="89">
        <v>42587</v>
      </c>
      <c r="E41" s="13">
        <v>5</v>
      </c>
      <c r="F41" s="10">
        <f>G41+H41+I41+J41</f>
        <v>10.5</v>
      </c>
      <c r="G41" s="10">
        <v>2.5</v>
      </c>
      <c r="H41" s="10">
        <v>3</v>
      </c>
      <c r="I41" s="10">
        <v>4.6666699999999999</v>
      </c>
      <c r="J41" s="14">
        <v>0.33333000000000002</v>
      </c>
      <c r="K41" s="13">
        <v>0.375</v>
      </c>
      <c r="L41" s="10">
        <f t="shared" ref="L41:L47" si="48">M41+N41+O41+P41</f>
        <v>0.7</v>
      </c>
      <c r="M41" s="10">
        <v>0.5</v>
      </c>
      <c r="N41" s="10">
        <v>0.2</v>
      </c>
      <c r="O41" s="10">
        <v>0</v>
      </c>
      <c r="P41" s="14">
        <v>0</v>
      </c>
      <c r="Q41" s="15">
        <v>0.15</v>
      </c>
      <c r="R41">
        <v>13.196</v>
      </c>
      <c r="S41">
        <v>27</v>
      </c>
      <c r="T41">
        <v>78.864999999999995</v>
      </c>
      <c r="U41">
        <v>83.11</v>
      </c>
      <c r="V41">
        <v>16.457000000000001</v>
      </c>
      <c r="W41">
        <v>12.124000000000001</v>
      </c>
      <c r="X41">
        <v>21.053000000000001</v>
      </c>
      <c r="Y41">
        <v>23.19</v>
      </c>
      <c r="Z41">
        <v>6.3129999999999997</v>
      </c>
      <c r="AA41">
        <f>AB41+AC41</f>
        <v>7.9330999999999996</v>
      </c>
      <c r="AB41">
        <v>0</v>
      </c>
      <c r="AC41" s="314">
        <v>7.9330999999999996</v>
      </c>
      <c r="AD41" s="121" t="s">
        <v>355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</row>
    <row r="42" spans="1:143" s="10" customFormat="1" ht="16.350000000000001" customHeight="1">
      <c r="A42" s="121" t="s">
        <v>357</v>
      </c>
      <c r="B42" s="10" t="s">
        <v>22</v>
      </c>
      <c r="C42" s="10" t="s">
        <v>262</v>
      </c>
      <c r="D42" s="89">
        <v>42587</v>
      </c>
      <c r="E42" s="13">
        <v>13.857139999999999</v>
      </c>
      <c r="F42" s="10">
        <f t="shared" ref="F42:F47" si="49">G42+H42+I42+J42</f>
        <v>30.966670000000001</v>
      </c>
      <c r="G42" s="10">
        <v>13</v>
      </c>
      <c r="H42" s="10">
        <v>4.3</v>
      </c>
      <c r="I42" s="10">
        <v>11</v>
      </c>
      <c r="J42" s="14">
        <v>2.6666699999999999</v>
      </c>
      <c r="K42" s="13">
        <v>0.57142899999999996</v>
      </c>
      <c r="L42" s="10">
        <f t="shared" si="48"/>
        <v>1.2533300000000001</v>
      </c>
      <c r="M42" s="10">
        <v>0.67</v>
      </c>
      <c r="N42" s="10">
        <v>0.25</v>
      </c>
      <c r="O42" s="10">
        <v>0.33333000000000002</v>
      </c>
      <c r="P42" s="14">
        <v>0</v>
      </c>
      <c r="Q42" s="15">
        <v>0.1</v>
      </c>
      <c r="R42">
        <v>11.303000000000001</v>
      </c>
      <c r="S42">
        <v>13</v>
      </c>
      <c r="T42">
        <v>77.5</v>
      </c>
      <c r="U42">
        <v>82.942999999999998</v>
      </c>
      <c r="V42">
        <v>11.454000000000001</v>
      </c>
      <c r="W42">
        <v>12.241</v>
      </c>
      <c r="X42">
        <v>17.212</v>
      </c>
      <c r="Y42">
        <v>23.257000000000001</v>
      </c>
      <c r="Z42">
        <v>5.6609999999999996</v>
      </c>
      <c r="AA42">
        <f t="shared" ref="AA42:AA48" si="50">AB42+AC42</f>
        <v>3.1333000000000002</v>
      </c>
      <c r="AB42">
        <v>0.2</v>
      </c>
      <c r="AC42" s="314">
        <v>2.9333</v>
      </c>
      <c r="AD42" s="121" t="s">
        <v>357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</row>
    <row r="43" spans="1:143" s="10" customFormat="1" ht="16.350000000000001" customHeight="1">
      <c r="A43" s="313" t="s">
        <v>359</v>
      </c>
      <c r="B43" s="13" t="s">
        <v>22</v>
      </c>
      <c r="C43" s="10" t="s">
        <v>262</v>
      </c>
      <c r="D43" s="89">
        <v>42587</v>
      </c>
      <c r="E43" s="13">
        <v>10.857139999999999</v>
      </c>
      <c r="F43" s="10">
        <f t="shared" si="49"/>
        <v>24.16666</v>
      </c>
      <c r="G43" s="10">
        <v>10.7</v>
      </c>
      <c r="H43" s="10">
        <v>3.8</v>
      </c>
      <c r="I43" s="10">
        <v>7.3333300000000001</v>
      </c>
      <c r="J43" s="14">
        <v>2.3333300000000001</v>
      </c>
      <c r="K43" s="13">
        <v>0.14285700000000001</v>
      </c>
      <c r="L43" s="10">
        <f t="shared" si="48"/>
        <v>0.25</v>
      </c>
      <c r="M43" s="10">
        <v>0</v>
      </c>
      <c r="N43" s="10">
        <v>0.25</v>
      </c>
      <c r="O43" s="10">
        <v>0</v>
      </c>
      <c r="P43" s="14">
        <v>0</v>
      </c>
      <c r="Q43" s="15">
        <v>0.01</v>
      </c>
      <c r="R43">
        <v>18.248999999999999</v>
      </c>
      <c r="S43">
        <v>27</v>
      </c>
      <c r="T43">
        <v>79.647000000000006</v>
      </c>
      <c r="U43">
        <v>83.037999999999997</v>
      </c>
      <c r="V43">
        <v>13.975</v>
      </c>
      <c r="W43">
        <v>11.898999999999999</v>
      </c>
      <c r="X43">
        <v>23.529</v>
      </c>
      <c r="Y43">
        <v>23.138000000000002</v>
      </c>
      <c r="Z43">
        <v>7.87</v>
      </c>
      <c r="AA43">
        <f t="shared" si="50"/>
        <v>2</v>
      </c>
      <c r="AB43">
        <v>0.2</v>
      </c>
      <c r="AC43" s="314">
        <v>1.8</v>
      </c>
      <c r="AD43" s="121" t="s">
        <v>359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</row>
    <row r="44" spans="1:143" s="10" customFormat="1" ht="16.350000000000001" customHeight="1">
      <c r="A44" s="133" t="s">
        <v>361</v>
      </c>
      <c r="B44" s="51" t="s">
        <v>22</v>
      </c>
      <c r="C44" s="10" t="s">
        <v>262</v>
      </c>
      <c r="D44" s="11" t="s">
        <v>271</v>
      </c>
      <c r="E44" s="13">
        <v>27.571428600000001</v>
      </c>
      <c r="F44" s="10">
        <f t="shared" si="49"/>
        <v>55.099999999999994</v>
      </c>
      <c r="G44" s="10">
        <v>19.8</v>
      </c>
      <c r="H44" s="10">
        <v>8.3000000000000007</v>
      </c>
      <c r="I44" s="10">
        <v>18.33333</v>
      </c>
      <c r="J44" s="14">
        <v>8.6666699999999999</v>
      </c>
      <c r="K44" s="13">
        <v>0.57142899999999996</v>
      </c>
      <c r="L44" s="10">
        <f t="shared" si="48"/>
        <v>1.250003</v>
      </c>
      <c r="M44" s="10">
        <v>0.25</v>
      </c>
      <c r="N44" s="10">
        <v>0</v>
      </c>
      <c r="O44" s="10">
        <v>0.33333299999999999</v>
      </c>
      <c r="P44" s="14">
        <v>0.66666999999999998</v>
      </c>
      <c r="Q44" s="15">
        <v>0.23</v>
      </c>
      <c r="R44">
        <v>12.676</v>
      </c>
      <c r="S44">
        <v>26</v>
      </c>
      <c r="T44">
        <v>83.233999999999995</v>
      </c>
      <c r="U44">
        <v>86.588999999999999</v>
      </c>
      <c r="V44">
        <v>19.251000000000001</v>
      </c>
      <c r="W44">
        <v>13.725</v>
      </c>
      <c r="X44">
        <v>30.881</v>
      </c>
      <c r="Y44">
        <v>24.536999999999999</v>
      </c>
      <c r="Z44">
        <v>6.73</v>
      </c>
      <c r="AA44">
        <f t="shared" si="50"/>
        <v>1.7999000000000001</v>
      </c>
      <c r="AB44">
        <v>0.2</v>
      </c>
      <c r="AC44" s="314">
        <v>1.5999000000000001</v>
      </c>
      <c r="AD44" s="134" t="s">
        <v>361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</row>
    <row r="45" spans="1:143" s="10" customFormat="1" ht="16.350000000000001" customHeight="1">
      <c r="A45" s="133" t="s">
        <v>363</v>
      </c>
      <c r="B45" s="51" t="s">
        <v>22</v>
      </c>
      <c r="C45" s="10" t="s">
        <v>262</v>
      </c>
      <c r="D45" s="11" t="s">
        <v>271</v>
      </c>
      <c r="E45" s="13">
        <v>23.142859999999999</v>
      </c>
      <c r="F45" s="10">
        <f t="shared" si="49"/>
        <v>43.600000000000009</v>
      </c>
      <c r="G45" s="10">
        <v>20.8</v>
      </c>
      <c r="H45" s="10">
        <v>10.8</v>
      </c>
      <c r="I45" s="10">
        <v>7.6666699999999999</v>
      </c>
      <c r="J45" s="14">
        <v>4.3333300000000001</v>
      </c>
      <c r="K45" s="13">
        <v>1</v>
      </c>
      <c r="L45" s="10">
        <f t="shared" si="48"/>
        <v>1.9166630000000002</v>
      </c>
      <c r="M45" s="10">
        <v>0.5</v>
      </c>
      <c r="N45" s="10">
        <v>0.75</v>
      </c>
      <c r="O45" s="10">
        <v>0.33333299999999999</v>
      </c>
      <c r="P45" s="14">
        <v>0.33333000000000002</v>
      </c>
      <c r="Q45" s="15">
        <v>-7.0000000000000007E-2</v>
      </c>
      <c r="R45">
        <v>8.7309999999999999</v>
      </c>
      <c r="S45">
        <v>20</v>
      </c>
      <c r="T45">
        <v>78.066999999999993</v>
      </c>
      <c r="U45">
        <v>80.114999999999995</v>
      </c>
      <c r="V45">
        <v>19.29</v>
      </c>
      <c r="W45">
        <v>14.031000000000001</v>
      </c>
      <c r="X45">
        <v>19.082999999999998</v>
      </c>
      <c r="Y45">
        <v>24.564</v>
      </c>
      <c r="Z45">
        <v>8.4269999999999996</v>
      </c>
      <c r="AA45">
        <f t="shared" si="50"/>
        <v>0.73329999999999995</v>
      </c>
      <c r="AB45">
        <v>6.6699999999999995E-2</v>
      </c>
      <c r="AC45" s="314">
        <v>0.66659999999999997</v>
      </c>
      <c r="AD45" s="134" t="s">
        <v>363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</row>
    <row r="46" spans="1:143" s="10" customFormat="1" ht="16.350000000000001" customHeight="1">
      <c r="A46" s="133" t="s">
        <v>365</v>
      </c>
      <c r="B46" s="51" t="s">
        <v>22</v>
      </c>
      <c r="C46" s="10" t="s">
        <v>262</v>
      </c>
      <c r="D46" s="11">
        <v>42411</v>
      </c>
      <c r="E46" s="13">
        <v>17.125</v>
      </c>
      <c r="F46" s="10">
        <f>G46+H46+I46+J46</f>
        <v>34.833330000000004</v>
      </c>
      <c r="G46" s="10">
        <v>16.3</v>
      </c>
      <c r="H46" s="10">
        <v>8.1999999999999993</v>
      </c>
      <c r="I46" s="10">
        <v>6</v>
      </c>
      <c r="J46" s="14">
        <v>4.3333300000000001</v>
      </c>
      <c r="K46" s="13">
        <v>0.625</v>
      </c>
      <c r="L46" s="10">
        <f t="shared" si="48"/>
        <v>1.3666700000000001</v>
      </c>
      <c r="M46" s="10">
        <v>0.5</v>
      </c>
      <c r="N46" s="10">
        <v>0.2</v>
      </c>
      <c r="O46" s="10">
        <v>0</v>
      </c>
      <c r="P46" s="14">
        <v>0.66666999999999998</v>
      </c>
      <c r="Q46" s="15">
        <v>0.3</v>
      </c>
      <c r="R46">
        <v>10.643000000000001</v>
      </c>
      <c r="S46">
        <v>17</v>
      </c>
      <c r="T46">
        <v>71.632999999999996</v>
      </c>
      <c r="U46">
        <v>81.733000000000004</v>
      </c>
      <c r="V46">
        <v>14.226000000000001</v>
      </c>
      <c r="W46">
        <v>10.803000000000001</v>
      </c>
      <c r="X46">
        <v>20.204000000000001</v>
      </c>
      <c r="Y46">
        <v>21.378</v>
      </c>
      <c r="Z46">
        <v>6.6970000000000001</v>
      </c>
      <c r="AA46">
        <f t="shared" si="50"/>
        <v>1.5999000000000001</v>
      </c>
      <c r="AB46">
        <v>0</v>
      </c>
      <c r="AC46" s="314">
        <v>1.5999000000000001</v>
      </c>
      <c r="AD46" s="134" t="s">
        <v>365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</row>
    <row r="47" spans="1:143" s="10" customFormat="1" ht="16.350000000000001" customHeight="1">
      <c r="A47" s="133" t="s">
        <v>367</v>
      </c>
      <c r="B47" s="51" t="s">
        <v>22</v>
      </c>
      <c r="C47" s="10" t="s">
        <v>262</v>
      </c>
      <c r="D47" s="11">
        <v>42411</v>
      </c>
      <c r="E47" s="13">
        <v>21.875</v>
      </c>
      <c r="F47" s="10">
        <f t="shared" si="49"/>
        <v>45.566670000000002</v>
      </c>
      <c r="G47" s="10">
        <v>13.3</v>
      </c>
      <c r="H47" s="10">
        <v>12.6</v>
      </c>
      <c r="I47" s="10">
        <v>8.6666699999999999</v>
      </c>
      <c r="J47" s="14">
        <v>11</v>
      </c>
      <c r="K47" s="13">
        <v>0.625</v>
      </c>
      <c r="L47" s="10">
        <f t="shared" si="48"/>
        <v>1.1499999999999999</v>
      </c>
      <c r="M47" s="10">
        <v>0.75</v>
      </c>
      <c r="N47" s="10">
        <v>0.4</v>
      </c>
      <c r="O47" s="10">
        <v>0</v>
      </c>
      <c r="P47" s="14">
        <v>0</v>
      </c>
      <c r="Q47" s="15">
        <v>0.17</v>
      </c>
      <c r="R47">
        <v>14.497</v>
      </c>
      <c r="S47">
        <v>34</v>
      </c>
      <c r="T47">
        <v>78.19</v>
      </c>
      <c r="U47">
        <v>83.963999999999999</v>
      </c>
      <c r="V47">
        <v>19.402999999999999</v>
      </c>
      <c r="W47">
        <v>12.535</v>
      </c>
      <c r="X47">
        <v>19.510000000000002</v>
      </c>
      <c r="Y47">
        <v>23.728000000000002</v>
      </c>
      <c r="Z47">
        <v>7.4269999999999996</v>
      </c>
      <c r="AA47">
        <f t="shared" si="50"/>
        <v>1.2665999999999999</v>
      </c>
      <c r="AB47">
        <v>0</v>
      </c>
      <c r="AC47" s="314">
        <v>1.2665999999999999</v>
      </c>
      <c r="AD47" s="134" t="s">
        <v>367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</row>
    <row r="48" spans="1:143" s="10" customFormat="1" ht="16.350000000000001" customHeight="1">
      <c r="A48" s="9" t="s">
        <v>369</v>
      </c>
      <c r="B48" s="51" t="s">
        <v>22</v>
      </c>
      <c r="C48" s="10" t="s">
        <v>262</v>
      </c>
      <c r="D48" s="11">
        <v>42411</v>
      </c>
      <c r="E48" s="13"/>
      <c r="J48" s="14"/>
      <c r="K48" s="13"/>
      <c r="P48" s="14"/>
      <c r="Q48" s="15">
        <v>-0.06</v>
      </c>
      <c r="R48">
        <v>14.962999999999999</v>
      </c>
      <c r="S48">
        <v>32</v>
      </c>
      <c r="T48">
        <v>83.43</v>
      </c>
      <c r="U48">
        <v>86.629000000000005</v>
      </c>
      <c r="V48">
        <v>16.82</v>
      </c>
      <c r="W48">
        <v>13.121</v>
      </c>
      <c r="X48">
        <v>25.614999999999998</v>
      </c>
      <c r="Y48">
        <v>25.760999999999999</v>
      </c>
      <c r="Z48">
        <v>8.85</v>
      </c>
      <c r="AA48">
        <f t="shared" si="50"/>
        <v>0.86670000000000003</v>
      </c>
      <c r="AB48">
        <v>0.4667</v>
      </c>
      <c r="AC48" s="314">
        <v>0.4</v>
      </c>
      <c r="AD48" s="123" t="s">
        <v>369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</row>
    <row r="49" spans="1:135" s="10" customFormat="1" ht="16.350000000000001" customHeight="1">
      <c r="A49" s="9"/>
      <c r="B49" s="51"/>
      <c r="D49" s="11"/>
      <c r="E49" s="13"/>
      <c r="J49" s="14"/>
      <c r="K49" s="13"/>
      <c r="P49" s="14"/>
      <c r="Q49" s="15">
        <v>0.65</v>
      </c>
      <c r="AC49" s="14"/>
      <c r="AD49" s="123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</row>
    <row r="50" spans="1:135" s="10" customFormat="1" ht="16.350000000000001" customHeight="1">
      <c r="A50" s="16"/>
      <c r="B50" s="18"/>
      <c r="C50" s="3"/>
      <c r="D50" s="3" t="s">
        <v>281</v>
      </c>
      <c r="E50" s="59">
        <f t="shared" ref="E50:J50" si="51">AVERAGE(E41:E49)</f>
        <v>17.061224085714287</v>
      </c>
      <c r="F50" s="55">
        <f t="shared" ref="F50" si="52">AVERAGE(F41:F49)</f>
        <v>34.961904285714283</v>
      </c>
      <c r="G50" s="55">
        <f t="shared" si="51"/>
        <v>13.77142857142857</v>
      </c>
      <c r="H50" s="55">
        <f t="shared" si="51"/>
        <v>7.2857142857142856</v>
      </c>
      <c r="I50" s="55">
        <f t="shared" si="51"/>
        <v>9.0952385714285704</v>
      </c>
      <c r="J50" s="88">
        <f t="shared" si="51"/>
        <v>4.8095228571428574</v>
      </c>
      <c r="K50" s="59">
        <f t="shared" ref="K50:P50" si="53">AVERAGE(K41:K49)</f>
        <v>0.55867357142857144</v>
      </c>
      <c r="L50" s="55">
        <f t="shared" ref="L50" si="54">AVERAGE(L41:L49)</f>
        <v>1.1266665714285715</v>
      </c>
      <c r="M50" s="55">
        <f t="shared" si="53"/>
        <v>0.45285714285714285</v>
      </c>
      <c r="N50" s="55">
        <f t="shared" si="53"/>
        <v>0.29285714285714282</v>
      </c>
      <c r="O50" s="55">
        <f t="shared" si="53"/>
        <v>0.14285657142857142</v>
      </c>
      <c r="P50" s="88">
        <f t="shared" si="53"/>
        <v>0.23809571428571427</v>
      </c>
      <c r="Q50" s="58">
        <f>AVERAGE(Q41:Q49)</f>
        <v>0.16444444444444445</v>
      </c>
      <c r="R50" s="55">
        <f t="shared" ref="R50:AC50" si="55">AVERAGE(R41:R49)</f>
        <v>13.032249999999999</v>
      </c>
      <c r="S50" s="55">
        <f t="shared" si="55"/>
        <v>24.5</v>
      </c>
      <c r="T50" s="55">
        <f t="shared" si="55"/>
        <v>78.820750000000004</v>
      </c>
      <c r="U50" s="55">
        <f t="shared" si="55"/>
        <v>83.515124999999998</v>
      </c>
      <c r="V50" s="55">
        <f t="shared" si="55"/>
        <v>16.359499999999997</v>
      </c>
      <c r="W50" s="55">
        <f t="shared" si="55"/>
        <v>12.559875</v>
      </c>
      <c r="X50" s="55">
        <f t="shared" si="55"/>
        <v>22.135874999999999</v>
      </c>
      <c r="Y50" s="55">
        <f t="shared" si="55"/>
        <v>23.694125000000003</v>
      </c>
      <c r="Z50" s="55">
        <f t="shared" si="55"/>
        <v>7.2468750000000011</v>
      </c>
      <c r="AA50" s="55">
        <f t="shared" si="55"/>
        <v>2.4166000000000003</v>
      </c>
      <c r="AB50" s="55">
        <f t="shared" si="55"/>
        <v>0.141675</v>
      </c>
      <c r="AC50" s="88">
        <f t="shared" si="55"/>
        <v>2.2749250000000001</v>
      </c>
      <c r="AD50" s="126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</row>
    <row r="51" spans="1:135" s="22" customFormat="1" ht="16.350000000000001" customHeight="1">
      <c r="A51" s="16"/>
      <c r="B51" s="18"/>
      <c r="C51" s="3"/>
      <c r="D51" s="3" t="s">
        <v>45</v>
      </c>
      <c r="E51" s="59">
        <f t="shared" ref="E51:J51" si="56">(STDEV(E41:E49)/(SQRT(COUNT(E41:E49))))</f>
        <v>2.9473843967918922</v>
      </c>
      <c r="F51" s="55">
        <f t="shared" ref="F51" si="57">(STDEV(F41:F49)/(SQRT(COUNT(F41:F49))))</f>
        <v>5.6135913749326667</v>
      </c>
      <c r="G51" s="55">
        <f t="shared" si="56"/>
        <v>2.3372464757563294</v>
      </c>
      <c r="H51" s="55">
        <f t="shared" si="56"/>
        <v>1.3963265703826107</v>
      </c>
      <c r="I51" s="55">
        <f t="shared" si="56"/>
        <v>1.7147259377444175</v>
      </c>
      <c r="J51" s="88">
        <f t="shared" si="56"/>
        <v>1.4176839138248296</v>
      </c>
      <c r="K51" s="59">
        <f t="shared" ref="K51:P51" si="58">(STDEV(K41:K49)/(SQRT(COUNT(K41:K49))))</f>
        <v>9.8866457627702714E-2</v>
      </c>
      <c r="L51" s="55">
        <f t="shared" ref="L51" si="59">(STDEV(L41:L49)/(SQRT(COUNT(L41:L49))))</f>
        <v>0.19905039988451087</v>
      </c>
      <c r="M51" s="55">
        <f t="shared" si="58"/>
        <v>9.6157467226426901E-2</v>
      </c>
      <c r="N51" s="55">
        <f t="shared" si="58"/>
        <v>8.8255966632622113E-2</v>
      </c>
      <c r="O51" s="55">
        <f t="shared" si="58"/>
        <v>6.734323359719617E-2</v>
      </c>
      <c r="P51" s="88">
        <f t="shared" si="58"/>
        <v>0.11983914641554087</v>
      </c>
      <c r="Q51" s="58">
        <f t="shared" ref="Q51:AC51" si="60">(STDEV(Q41:Q49)/(SQRT(COUNT(Q41:Q49))))</f>
        <v>7.37885701611012E-2</v>
      </c>
      <c r="R51" s="55">
        <f t="shared" si="60"/>
        <v>1.0388959584578228</v>
      </c>
      <c r="S51" s="55">
        <f t="shared" si="60"/>
        <v>2.5704363164923687</v>
      </c>
      <c r="T51" s="55">
        <f t="shared" si="60"/>
        <v>1.3078111723410233</v>
      </c>
      <c r="U51" s="55">
        <f t="shared" si="60"/>
        <v>0.78833385416649504</v>
      </c>
      <c r="V51" s="55">
        <f t="shared" si="60"/>
        <v>1.0414160517570086</v>
      </c>
      <c r="W51" s="55">
        <f t="shared" si="60"/>
        <v>0.36965811605841575</v>
      </c>
      <c r="X51" s="55">
        <f t="shared" si="60"/>
        <v>1.5577392551558713</v>
      </c>
      <c r="Y51" s="55">
        <f t="shared" si="60"/>
        <v>0.46018573259298534</v>
      </c>
      <c r="Z51" s="55">
        <f t="shared" si="60"/>
        <v>0.38591447227424824</v>
      </c>
      <c r="AA51" s="55">
        <f t="shared" si="60"/>
        <v>0.83157008745934491</v>
      </c>
      <c r="AB51" s="55">
        <f t="shared" si="60"/>
        <v>5.6959154381513978E-2</v>
      </c>
      <c r="AC51" s="88">
        <f t="shared" si="60"/>
        <v>0.85255965014394797</v>
      </c>
      <c r="AD51" s="126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</row>
    <row r="52" spans="1:135" s="10" customFormat="1" ht="16.350000000000001" customHeight="1">
      <c r="A52" s="21"/>
      <c r="B52" s="26"/>
      <c r="C52" s="24"/>
      <c r="D52" s="25"/>
      <c r="E52" s="30"/>
      <c r="F52" s="22"/>
      <c r="G52" s="22"/>
      <c r="H52" s="22"/>
      <c r="I52" s="22"/>
      <c r="J52" s="28"/>
      <c r="K52" s="30"/>
      <c r="L52" s="22"/>
      <c r="M52" s="22"/>
      <c r="N52" s="22"/>
      <c r="O52" s="22"/>
      <c r="P52" s="28"/>
      <c r="Q52" s="3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8"/>
      <c r="AD52" s="125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</row>
    <row r="53" spans="1:135" s="10" customFormat="1" ht="16.350000000000001" customHeight="1">
      <c r="A53" s="313" t="s">
        <v>373</v>
      </c>
      <c r="B53" s="13" t="s">
        <v>22</v>
      </c>
      <c r="C53" s="10" t="s">
        <v>284</v>
      </c>
      <c r="D53" s="89">
        <v>42587</v>
      </c>
      <c r="E53" s="13">
        <v>12.28571</v>
      </c>
      <c r="F53" s="10">
        <f t="shared" ref="F53:F57" si="61">G53+H53+I53+J53</f>
        <v>26.1</v>
      </c>
      <c r="G53" s="10">
        <v>11.5</v>
      </c>
      <c r="H53" s="10">
        <v>3.6</v>
      </c>
      <c r="I53" s="10">
        <v>10</v>
      </c>
      <c r="J53" s="14">
        <v>1</v>
      </c>
      <c r="K53" s="13">
        <v>0.28571400000000002</v>
      </c>
      <c r="L53" s="10">
        <f t="shared" ref="L53:L57" si="62">M53+N53+O53+P53</f>
        <v>0.45</v>
      </c>
      <c r="M53" s="10">
        <v>0.25</v>
      </c>
      <c r="N53" s="10">
        <v>0.2</v>
      </c>
      <c r="O53" s="10">
        <v>0</v>
      </c>
      <c r="P53" s="14">
        <v>0</v>
      </c>
      <c r="Q53" s="15">
        <v>0.01</v>
      </c>
      <c r="R53">
        <v>16.687000000000001</v>
      </c>
      <c r="S53">
        <v>41</v>
      </c>
      <c r="T53">
        <v>87.5</v>
      </c>
      <c r="U53">
        <v>89.772000000000006</v>
      </c>
      <c r="V53">
        <v>31.457000000000001</v>
      </c>
      <c r="W53">
        <v>17.3</v>
      </c>
      <c r="X53">
        <v>31.398</v>
      </c>
      <c r="Y53">
        <v>27.317</v>
      </c>
      <c r="Z53">
        <v>8.1869999999999994</v>
      </c>
      <c r="AA53">
        <f>AB53+AC53</f>
        <v>0.46660000000000001</v>
      </c>
      <c r="AB53">
        <v>0</v>
      </c>
      <c r="AC53" s="314">
        <v>0.46660000000000001</v>
      </c>
      <c r="AD53" s="121" t="s">
        <v>373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</row>
    <row r="54" spans="1:135" s="10" customFormat="1" ht="16.350000000000001" customHeight="1">
      <c r="A54" s="9" t="s">
        <v>375</v>
      </c>
      <c r="B54" s="51" t="s">
        <v>22</v>
      </c>
      <c r="C54" s="10" t="s">
        <v>284</v>
      </c>
      <c r="D54" s="11" t="s">
        <v>271</v>
      </c>
      <c r="E54" s="13">
        <v>18.857140000000001</v>
      </c>
      <c r="F54" s="10">
        <f t="shared" si="61"/>
        <v>41.33334</v>
      </c>
      <c r="G54" s="10">
        <v>17.66667</v>
      </c>
      <c r="H54" s="10">
        <v>8</v>
      </c>
      <c r="I54" s="10">
        <v>10.66667</v>
      </c>
      <c r="J54" s="14">
        <v>5</v>
      </c>
      <c r="K54" s="13">
        <v>0.57142899999999996</v>
      </c>
      <c r="L54" s="10">
        <f t="shared" si="62"/>
        <v>1.3333330000000001</v>
      </c>
      <c r="M54" s="10">
        <v>1.3333330000000001</v>
      </c>
      <c r="N54" s="10">
        <v>0</v>
      </c>
      <c r="O54" s="10">
        <v>0</v>
      </c>
      <c r="P54" s="14">
        <v>0</v>
      </c>
      <c r="Q54" s="15">
        <v>0.32</v>
      </c>
      <c r="R54">
        <v>12.436999999999999</v>
      </c>
      <c r="S54">
        <v>17</v>
      </c>
      <c r="T54">
        <v>81.141000000000005</v>
      </c>
      <c r="U54">
        <v>84.635999999999996</v>
      </c>
      <c r="V54">
        <v>16.530999999999999</v>
      </c>
      <c r="W54">
        <v>13.473000000000001</v>
      </c>
      <c r="X54">
        <v>19.728999999999999</v>
      </c>
      <c r="Y54">
        <v>24.768000000000001</v>
      </c>
      <c r="Z54">
        <v>5.117</v>
      </c>
      <c r="AA54">
        <f t="shared" ref="AA54:AA57" si="63">AB54+AC54</f>
        <v>3.2664999999999997</v>
      </c>
      <c r="AB54">
        <v>1.2</v>
      </c>
      <c r="AC54" s="314">
        <v>2.0665</v>
      </c>
      <c r="AD54" s="123" t="s">
        <v>375</v>
      </c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</row>
    <row r="55" spans="1:135" s="10" customFormat="1" ht="16.350000000000001" customHeight="1">
      <c r="A55" s="133" t="s">
        <v>377</v>
      </c>
      <c r="B55" s="51" t="s">
        <v>22</v>
      </c>
      <c r="C55" s="10" t="s">
        <v>284</v>
      </c>
      <c r="D55" s="11" t="s">
        <v>271</v>
      </c>
      <c r="E55" s="13">
        <v>13.5</v>
      </c>
      <c r="F55" s="10">
        <f t="shared" si="61"/>
        <v>29.65</v>
      </c>
      <c r="G55" s="10">
        <v>8.25</v>
      </c>
      <c r="H55" s="10">
        <v>5.4</v>
      </c>
      <c r="I55" s="10">
        <v>9</v>
      </c>
      <c r="J55" s="14">
        <v>7</v>
      </c>
      <c r="K55" s="13">
        <v>0.625</v>
      </c>
      <c r="L55" s="10">
        <f t="shared" si="62"/>
        <v>1.23333</v>
      </c>
      <c r="M55" s="10">
        <v>0.5</v>
      </c>
      <c r="N55" s="10">
        <v>0.4</v>
      </c>
      <c r="O55" s="10">
        <v>0</v>
      </c>
      <c r="P55" s="14">
        <v>0.33333000000000002</v>
      </c>
      <c r="Q55" s="15">
        <v>-0.06</v>
      </c>
      <c r="R55">
        <v>13.448</v>
      </c>
      <c r="S55">
        <v>35</v>
      </c>
      <c r="T55">
        <v>83.135999999999996</v>
      </c>
      <c r="U55">
        <v>84.668999999999997</v>
      </c>
      <c r="V55">
        <v>25.626000000000001</v>
      </c>
      <c r="W55">
        <v>18.062000000000001</v>
      </c>
      <c r="X55">
        <v>21.498999999999999</v>
      </c>
      <c r="Y55">
        <v>26.992000000000001</v>
      </c>
      <c r="Z55">
        <v>5.5890000000000004</v>
      </c>
      <c r="AA55">
        <f t="shared" si="63"/>
        <v>1.9333</v>
      </c>
      <c r="AB55">
        <v>0.2</v>
      </c>
      <c r="AC55" s="314">
        <v>1.7333000000000001</v>
      </c>
      <c r="AD55" s="134" t="s">
        <v>377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</row>
    <row r="56" spans="1:135" s="10" customFormat="1" ht="16.350000000000001" customHeight="1">
      <c r="A56" s="133" t="s">
        <v>379</v>
      </c>
      <c r="B56" s="51" t="s">
        <v>22</v>
      </c>
      <c r="C56" s="10" t="s">
        <v>284</v>
      </c>
      <c r="D56" s="11">
        <v>42411</v>
      </c>
      <c r="E56" s="13">
        <v>24</v>
      </c>
      <c r="F56" s="10">
        <f t="shared" si="61"/>
        <v>52</v>
      </c>
      <c r="G56" s="10">
        <v>16.66667</v>
      </c>
      <c r="H56" s="10">
        <v>12</v>
      </c>
      <c r="I56" s="10">
        <v>16</v>
      </c>
      <c r="J56" s="14">
        <v>7.3333300000000001</v>
      </c>
      <c r="K56" s="13">
        <v>0.85714299999999999</v>
      </c>
      <c r="L56" s="10">
        <f t="shared" si="62"/>
        <v>1.8333369999999998</v>
      </c>
      <c r="M56" s="10">
        <v>0.66666700000000001</v>
      </c>
      <c r="N56" s="10">
        <v>0.5</v>
      </c>
      <c r="O56" s="10">
        <v>0</v>
      </c>
      <c r="P56" s="14">
        <v>0.66666999999999998</v>
      </c>
      <c r="Q56" s="15">
        <v>0.44</v>
      </c>
      <c r="R56">
        <v>16.954999999999998</v>
      </c>
      <c r="S56">
        <v>26</v>
      </c>
      <c r="T56">
        <v>82.334999999999994</v>
      </c>
      <c r="U56">
        <v>85.376999999999995</v>
      </c>
      <c r="V56">
        <v>18.097999999999999</v>
      </c>
      <c r="W56">
        <v>12.92</v>
      </c>
      <c r="X56">
        <v>22.273</v>
      </c>
      <c r="Y56">
        <v>24.902999999999999</v>
      </c>
      <c r="Z56">
        <v>10.493</v>
      </c>
      <c r="AA56">
        <f t="shared" si="63"/>
        <v>0.86660000000000004</v>
      </c>
      <c r="AB56">
        <v>0.26669999999999999</v>
      </c>
      <c r="AC56" s="314">
        <v>0.59989999999999999</v>
      </c>
      <c r="AD56" s="134" t="s">
        <v>379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</row>
    <row r="57" spans="1:135" s="10" customFormat="1" ht="16.350000000000001" customHeight="1">
      <c r="A57" s="9" t="s">
        <v>381</v>
      </c>
      <c r="B57" s="51" t="s">
        <v>22</v>
      </c>
      <c r="C57" s="10" t="s">
        <v>284</v>
      </c>
      <c r="D57" s="11" t="s">
        <v>309</v>
      </c>
      <c r="E57" s="13">
        <v>28</v>
      </c>
      <c r="F57" s="10">
        <f t="shared" si="61"/>
        <v>61.766660000000002</v>
      </c>
      <c r="G57" s="10">
        <v>21.5</v>
      </c>
      <c r="H57" s="10">
        <v>8.6</v>
      </c>
      <c r="I57" s="10">
        <v>21.33333</v>
      </c>
      <c r="J57" s="14">
        <v>10.33333</v>
      </c>
      <c r="K57" s="13">
        <v>0.625</v>
      </c>
      <c r="L57" s="10">
        <f t="shared" si="62"/>
        <v>1.3666670000000001</v>
      </c>
      <c r="M57" s="10">
        <v>0.5</v>
      </c>
      <c r="N57" s="10">
        <v>0.2</v>
      </c>
      <c r="O57" s="266">
        <v>0.66666700000000001</v>
      </c>
      <c r="P57" s="14">
        <v>0</v>
      </c>
      <c r="Q57" s="15">
        <v>7.0000000000000007E-2</v>
      </c>
      <c r="R57">
        <v>12.132</v>
      </c>
      <c r="S57">
        <v>17</v>
      </c>
      <c r="T57">
        <v>77.548000000000002</v>
      </c>
      <c r="U57">
        <v>80.503</v>
      </c>
      <c r="V57">
        <v>24.428999999999998</v>
      </c>
      <c r="W57">
        <v>10.824</v>
      </c>
      <c r="X57">
        <v>19.268000000000001</v>
      </c>
      <c r="Y57">
        <v>21.068999999999999</v>
      </c>
      <c r="Z57">
        <v>10.727</v>
      </c>
      <c r="AA57">
        <f t="shared" si="63"/>
        <v>1.1999</v>
      </c>
      <c r="AB57">
        <v>0</v>
      </c>
      <c r="AC57" s="314">
        <v>1.1999</v>
      </c>
      <c r="AD57" s="123" t="s">
        <v>381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</row>
    <row r="58" spans="1:135" s="10" customFormat="1" ht="16.350000000000001" customHeight="1">
      <c r="A58" s="9"/>
      <c r="B58" s="51"/>
      <c r="D58" s="11"/>
      <c r="E58" s="13"/>
      <c r="J58" s="14"/>
      <c r="K58" s="13"/>
      <c r="O58" s="266"/>
      <c r="P58" s="14"/>
      <c r="Q58" s="15">
        <v>0.21</v>
      </c>
      <c r="R58">
        <v>9.9809999999999999</v>
      </c>
      <c r="S58"/>
      <c r="T58"/>
      <c r="U58"/>
      <c r="V58"/>
      <c r="W58"/>
      <c r="X58"/>
      <c r="Y58"/>
      <c r="Z58"/>
      <c r="AA58"/>
      <c r="AB58"/>
      <c r="AC58" s="314"/>
      <c r="AD58" s="123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</row>
    <row r="59" spans="1:135" s="10" customFormat="1" ht="16.350000000000001" customHeight="1">
      <c r="A59" s="9"/>
      <c r="B59" s="51"/>
      <c r="D59" s="11"/>
      <c r="E59" s="13"/>
      <c r="J59" s="14"/>
      <c r="K59" s="13"/>
      <c r="O59" s="266"/>
      <c r="P59" s="14"/>
      <c r="Q59" s="15">
        <v>0.06</v>
      </c>
      <c r="R59">
        <v>14.07</v>
      </c>
      <c r="S59"/>
      <c r="T59"/>
      <c r="U59"/>
      <c r="V59"/>
      <c r="W59"/>
      <c r="X59"/>
      <c r="Y59"/>
      <c r="Z59"/>
      <c r="AA59"/>
      <c r="AB59"/>
      <c r="AC59" s="314"/>
      <c r="AD59" s="123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</row>
    <row r="60" spans="1:135" s="10" customFormat="1" ht="16.350000000000001" customHeight="1">
      <c r="A60" s="9"/>
      <c r="B60" s="51"/>
      <c r="D60" s="11"/>
      <c r="E60" s="13"/>
      <c r="J60" s="14"/>
      <c r="K60" s="13"/>
      <c r="P60" s="14"/>
      <c r="Q60" s="15">
        <v>0.47</v>
      </c>
      <c r="AC60" s="14"/>
      <c r="AD60" s="123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</row>
    <row r="61" spans="1:135" s="10" customFormat="1" ht="16.350000000000001" customHeight="1">
      <c r="A61" s="9"/>
      <c r="B61" s="51"/>
      <c r="C61" s="12"/>
      <c r="D61" s="3" t="s">
        <v>281</v>
      </c>
      <c r="E61" s="59">
        <f t="shared" ref="E61:J61" si="64">AVERAGE(E53:E60)</f>
        <v>19.328570000000003</v>
      </c>
      <c r="F61" s="55">
        <f t="shared" ref="F61" si="65">AVERAGE(F53:F60)</f>
        <v>42.17</v>
      </c>
      <c r="G61" s="55">
        <f t="shared" si="64"/>
        <v>15.116667999999999</v>
      </c>
      <c r="H61" s="55">
        <f t="shared" si="64"/>
        <v>7.5200000000000005</v>
      </c>
      <c r="I61" s="55">
        <f t="shared" si="64"/>
        <v>13.4</v>
      </c>
      <c r="J61" s="88">
        <f t="shared" si="64"/>
        <v>6.1333320000000002</v>
      </c>
      <c r="K61" s="59">
        <f t="shared" ref="K61:P61" si="66">AVERAGE(K53:K60)</f>
        <v>0.59285719999999997</v>
      </c>
      <c r="L61" s="55">
        <f t="shared" ref="L61" si="67">AVERAGE(L53:L60)</f>
        <v>1.2433333999999998</v>
      </c>
      <c r="M61" s="55">
        <f t="shared" si="66"/>
        <v>0.65</v>
      </c>
      <c r="N61" s="55">
        <f t="shared" si="66"/>
        <v>0.26</v>
      </c>
      <c r="O61" s="55">
        <f t="shared" si="66"/>
        <v>0.13333339999999999</v>
      </c>
      <c r="P61" s="88">
        <f t="shared" si="66"/>
        <v>0.2</v>
      </c>
      <c r="Q61" s="58">
        <f t="shared" ref="Q61:AC61" si="68">AVERAGE(Q53:Q60)</f>
        <v>0.19</v>
      </c>
      <c r="R61" s="55">
        <f t="shared" si="68"/>
        <v>13.672857142857143</v>
      </c>
      <c r="S61" s="55">
        <f t="shared" si="68"/>
        <v>27.2</v>
      </c>
      <c r="T61" s="55">
        <f t="shared" si="68"/>
        <v>82.332000000000008</v>
      </c>
      <c r="U61" s="55">
        <f t="shared" si="68"/>
        <v>84.991399999999999</v>
      </c>
      <c r="V61" s="55">
        <f t="shared" si="68"/>
        <v>23.228200000000001</v>
      </c>
      <c r="W61" s="55">
        <f t="shared" si="68"/>
        <v>14.515800000000002</v>
      </c>
      <c r="X61" s="55">
        <f t="shared" si="68"/>
        <v>22.833399999999997</v>
      </c>
      <c r="Y61" s="55">
        <f t="shared" si="68"/>
        <v>25.009799999999998</v>
      </c>
      <c r="Z61" s="55">
        <f t="shared" si="68"/>
        <v>8.0226000000000006</v>
      </c>
      <c r="AA61" s="55">
        <f t="shared" si="68"/>
        <v>1.5465799999999998</v>
      </c>
      <c r="AB61" s="55">
        <f t="shared" si="68"/>
        <v>0.33333999999999997</v>
      </c>
      <c r="AC61" s="88">
        <f t="shared" si="68"/>
        <v>1.2132400000000001</v>
      </c>
      <c r="AD61" s="123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</row>
    <row r="62" spans="1:135" s="10" customFormat="1" ht="16.350000000000001" customHeight="1">
      <c r="A62" s="9"/>
      <c r="B62" s="51"/>
      <c r="C62" s="12"/>
      <c r="D62" s="3" t="s">
        <v>45</v>
      </c>
      <c r="E62" s="59">
        <f t="shared" ref="E62:J62" si="69">(STDEV(E53:E60)/(SQRT(COUNT(E53:E60))))</f>
        <v>3.0067616130913972</v>
      </c>
      <c r="F62" s="55">
        <f t="shared" ref="F62" si="70">(STDEV(F53:F60)/(SQRT(COUNT(F53:F60))))</f>
        <v>6.6945996262330683</v>
      </c>
      <c r="G62" s="55">
        <f t="shared" si="69"/>
        <v>2.3439641706591883</v>
      </c>
      <c r="H62" s="55">
        <f t="shared" si="69"/>
        <v>1.4374978260853111</v>
      </c>
      <c r="I62" s="55">
        <f t="shared" si="69"/>
        <v>2.3247453385026944</v>
      </c>
      <c r="J62" s="88">
        <f t="shared" si="69"/>
        <v>1.5405620835701495</v>
      </c>
      <c r="K62" s="59">
        <f t="shared" ref="K62:P62" si="71">(STDEV(K53:K60)/(SQRT(COUNT(K53:K60))))</f>
        <v>9.1298799643478312E-2</v>
      </c>
      <c r="L62" s="55">
        <f t="shared" ref="L62" si="72">(STDEV(L53:L60)/(SQRT(COUNT(L53:L60))))</f>
        <v>0.22370664993124381</v>
      </c>
      <c r="M62" s="55">
        <f t="shared" si="71"/>
        <v>0.18333327272729302</v>
      </c>
      <c r="N62" s="55">
        <f t="shared" si="71"/>
        <v>8.7177978870813494E-2</v>
      </c>
      <c r="O62" s="55">
        <f t="shared" si="71"/>
        <v>0.13333339999999999</v>
      </c>
      <c r="P62" s="88">
        <f t="shared" si="71"/>
        <v>0.13333375000351561</v>
      </c>
      <c r="Q62" s="58">
        <f t="shared" ref="Q62:AC62" si="73">(STDEV(Q53:Q60)/(SQRT(COUNT(Q53:Q60))))</f>
        <v>7.1264096349925227E-2</v>
      </c>
      <c r="R62" s="55">
        <f t="shared" si="73"/>
        <v>0.94613493018831163</v>
      </c>
      <c r="S62" s="55">
        <f t="shared" si="73"/>
        <v>4.8000000000000007</v>
      </c>
      <c r="T62" s="55">
        <f t="shared" si="73"/>
        <v>1.6071680994843067</v>
      </c>
      <c r="U62" s="55">
        <f t="shared" si="73"/>
        <v>1.4727323110463768</v>
      </c>
      <c r="V62" s="55">
        <f t="shared" si="73"/>
        <v>2.7025539291566418</v>
      </c>
      <c r="W62" s="55">
        <f t="shared" si="73"/>
        <v>1.3709613561293388</v>
      </c>
      <c r="X62" s="55">
        <f t="shared" si="73"/>
        <v>2.2112939786468986</v>
      </c>
      <c r="Y62" s="55">
        <f t="shared" si="73"/>
        <v>1.1147211938417607</v>
      </c>
      <c r="Z62" s="55">
        <f t="shared" si="73"/>
        <v>1.179165026618413</v>
      </c>
      <c r="AA62" s="55">
        <f t="shared" si="73"/>
        <v>0.49277752525861007</v>
      </c>
      <c r="AB62" s="55">
        <f t="shared" si="73"/>
        <v>0.22310884249621304</v>
      </c>
      <c r="AC62" s="88">
        <f t="shared" si="73"/>
        <v>0.31083357540651885</v>
      </c>
      <c r="AD62" s="123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</row>
    <row r="63" spans="1:135" s="22" customFormat="1" ht="16.350000000000001" customHeight="1">
      <c r="A63" s="9"/>
      <c r="B63" s="51"/>
      <c r="C63" s="12"/>
      <c r="D63" s="62" t="s">
        <v>300</v>
      </c>
      <c r="E63" s="63">
        <f>(100/E50)*E61</f>
        <v>113.28946799417641</v>
      </c>
      <c r="F63" s="62">
        <f t="shared" ref="F63" si="74">(100/F50)*F61</f>
        <v>120.61699973599838</v>
      </c>
      <c r="G63" s="62">
        <f t="shared" ref="G63:J63" si="75">(100/G50)*G61</f>
        <v>109.76833609958507</v>
      </c>
      <c r="H63" s="62">
        <f t="shared" si="75"/>
        <v>103.21568627450982</v>
      </c>
      <c r="I63" s="62">
        <f t="shared" si="75"/>
        <v>147.32983521833324</v>
      </c>
      <c r="J63" s="62">
        <f t="shared" si="75"/>
        <v>127.52475000490098</v>
      </c>
      <c r="K63" s="63">
        <f>(100/K50)*K61</f>
        <v>106.11871230708451</v>
      </c>
      <c r="L63" s="62">
        <f t="shared" ref="L63" si="76">(100/L50)*L61</f>
        <v>110.35504483136471</v>
      </c>
      <c r="M63" s="62">
        <f t="shared" ref="M63:P63" si="77">(100/M50)*M61</f>
        <v>143.53312302839117</v>
      </c>
      <c r="N63" s="62">
        <f t="shared" si="77"/>
        <v>88.780487804878064</v>
      </c>
      <c r="O63" s="62">
        <f t="shared" si="77"/>
        <v>93.333753335013341</v>
      </c>
      <c r="P63" s="64">
        <f t="shared" si="77"/>
        <v>83.999832000336013</v>
      </c>
      <c r="Q63" s="325">
        <f t="shared" ref="Q63:AC63" si="78">(100/Q50)*Q61</f>
        <v>115.54054054054055</v>
      </c>
      <c r="R63" s="62">
        <f t="shared" si="78"/>
        <v>104.91555290035984</v>
      </c>
      <c r="S63" s="62">
        <f t="shared" si="78"/>
        <v>111.0204081632653</v>
      </c>
      <c r="T63" s="62">
        <f t="shared" si="78"/>
        <v>104.45472797454984</v>
      </c>
      <c r="U63" s="62">
        <f t="shared" si="78"/>
        <v>101.76767381956263</v>
      </c>
      <c r="V63" s="62">
        <f t="shared" si="78"/>
        <v>141.98600201717659</v>
      </c>
      <c r="W63" s="62">
        <f t="shared" si="78"/>
        <v>115.57280625802407</v>
      </c>
      <c r="X63" s="62">
        <f t="shared" si="78"/>
        <v>103.15110651826504</v>
      </c>
      <c r="Y63" s="62">
        <f t="shared" si="78"/>
        <v>105.55274778030416</v>
      </c>
      <c r="Z63" s="62">
        <f t="shared" si="78"/>
        <v>110.70426908150064</v>
      </c>
      <c r="AA63" s="62">
        <f t="shared" si="78"/>
        <v>63.99817926011751</v>
      </c>
      <c r="AB63" s="62">
        <f t="shared" si="78"/>
        <v>235.2849832362802</v>
      </c>
      <c r="AC63" s="64">
        <f t="shared" si="78"/>
        <v>53.330988933701107</v>
      </c>
      <c r="AD63" s="12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</row>
    <row r="64" spans="1:135" s="10" customFormat="1" ht="16.350000000000001" customHeight="1">
      <c r="A64" s="67"/>
      <c r="B64" s="26"/>
      <c r="C64" s="65"/>
      <c r="D64" s="65"/>
      <c r="E64" s="30"/>
      <c r="F64" s="22"/>
      <c r="G64" s="22"/>
      <c r="H64" s="22"/>
      <c r="I64" s="22"/>
      <c r="J64" s="28"/>
      <c r="K64" s="30"/>
      <c r="L64" s="22"/>
      <c r="M64" s="22"/>
      <c r="N64" s="22"/>
      <c r="O64" s="22"/>
      <c r="P64" s="28"/>
      <c r="Q64" s="3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8"/>
      <c r="AD64" s="12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</row>
    <row r="65" spans="1:175" s="10" customFormat="1" ht="16.350000000000001" customHeight="1">
      <c r="A65" s="313" t="s">
        <v>389</v>
      </c>
      <c r="B65" s="13" t="s">
        <v>22</v>
      </c>
      <c r="C65" s="10" t="s">
        <v>303</v>
      </c>
      <c r="D65" s="89">
        <v>42587</v>
      </c>
      <c r="E65" s="13">
        <v>21</v>
      </c>
      <c r="F65" s="10">
        <f t="shared" ref="F65:F69" si="79">G65+H65+I65+J65</f>
        <v>43.9</v>
      </c>
      <c r="G65" s="10">
        <v>17</v>
      </c>
      <c r="H65" s="10">
        <v>8.4</v>
      </c>
      <c r="I65" s="10">
        <v>12</v>
      </c>
      <c r="J65" s="14">
        <v>6.5</v>
      </c>
      <c r="K65" s="13">
        <v>0.28571400000000002</v>
      </c>
      <c r="L65" s="10">
        <f t="shared" ref="L65:L69" si="80">M65+N65+O65+P65</f>
        <v>0.45</v>
      </c>
      <c r="M65" s="10">
        <v>0.25</v>
      </c>
      <c r="N65" s="10">
        <v>0.2</v>
      </c>
      <c r="O65" s="10">
        <v>0</v>
      </c>
      <c r="P65" s="14">
        <v>0</v>
      </c>
      <c r="Q65" s="15">
        <v>0.26</v>
      </c>
      <c r="R65">
        <v>10.861000000000001</v>
      </c>
      <c r="S65">
        <v>19</v>
      </c>
      <c r="T65">
        <v>69.585999999999999</v>
      </c>
      <c r="U65">
        <v>83.332999999999998</v>
      </c>
      <c r="V65">
        <v>13.497999999999999</v>
      </c>
      <c r="W65">
        <v>12.817</v>
      </c>
      <c r="X65">
        <v>20.998000000000001</v>
      </c>
      <c r="Y65">
        <v>24.056999999999999</v>
      </c>
      <c r="Z65">
        <v>6.3010000000000002</v>
      </c>
      <c r="AA65">
        <f>AB65+AC65</f>
        <v>1.4</v>
      </c>
      <c r="AB65">
        <v>0.66669999999999996</v>
      </c>
      <c r="AC65" s="314">
        <v>0.73329999999999995</v>
      </c>
      <c r="AD65" s="121" t="s">
        <v>389</v>
      </c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</row>
    <row r="66" spans="1:175" s="10" customFormat="1" ht="16.350000000000001" customHeight="1">
      <c r="A66" s="313" t="s">
        <v>391</v>
      </c>
      <c r="B66" s="13" t="s">
        <v>22</v>
      </c>
      <c r="C66" s="10" t="s">
        <v>303</v>
      </c>
      <c r="D66" s="89">
        <v>42587</v>
      </c>
      <c r="E66" s="13">
        <v>12.57</v>
      </c>
      <c r="F66" s="10">
        <f t="shared" si="79"/>
        <v>28.340000000000003</v>
      </c>
      <c r="G66" s="10">
        <v>9.67</v>
      </c>
      <c r="H66" s="10">
        <v>3</v>
      </c>
      <c r="I66" s="10">
        <v>9</v>
      </c>
      <c r="J66" s="14">
        <v>6.67</v>
      </c>
      <c r="K66" s="13">
        <v>0.28571400000000002</v>
      </c>
      <c r="L66" s="10">
        <f t="shared" si="80"/>
        <v>0.66</v>
      </c>
      <c r="M66" s="10">
        <v>0</v>
      </c>
      <c r="N66" s="10">
        <v>0</v>
      </c>
      <c r="O66" s="10">
        <v>0.33</v>
      </c>
      <c r="P66" s="14">
        <v>0.33</v>
      </c>
      <c r="Q66" s="15">
        <v>0.14000000000000001</v>
      </c>
      <c r="R66">
        <v>12.914</v>
      </c>
      <c r="S66">
        <v>20</v>
      </c>
      <c r="T66">
        <v>86.259</v>
      </c>
      <c r="U66">
        <v>81.861999999999995</v>
      </c>
      <c r="V66">
        <v>20.556000000000001</v>
      </c>
      <c r="W66">
        <v>12.738</v>
      </c>
      <c r="X66">
        <v>24.248999999999999</v>
      </c>
      <c r="Y66">
        <v>22.457999999999998</v>
      </c>
      <c r="Z66">
        <v>11.712999999999999</v>
      </c>
      <c r="AA66">
        <f t="shared" ref="AA66:AA69" si="81">AB66+AC66</f>
        <v>0.66659999999999997</v>
      </c>
      <c r="AB66">
        <v>0</v>
      </c>
      <c r="AC66" s="314">
        <v>0.66659999999999997</v>
      </c>
      <c r="AD66" s="121" t="s">
        <v>391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</row>
    <row r="67" spans="1:175" s="10" customFormat="1" ht="16.350000000000001" customHeight="1">
      <c r="A67" s="9" t="s">
        <v>393</v>
      </c>
      <c r="B67" s="51" t="s">
        <v>22</v>
      </c>
      <c r="C67" s="10" t="s">
        <v>303</v>
      </c>
      <c r="D67" s="11">
        <v>42411</v>
      </c>
      <c r="E67" s="13">
        <v>20.25</v>
      </c>
      <c r="F67" s="10">
        <f t="shared" si="79"/>
        <v>41.379999999999995</v>
      </c>
      <c r="G67" s="10">
        <v>20.25</v>
      </c>
      <c r="H67" s="10">
        <v>8.8000000000000007</v>
      </c>
      <c r="I67" s="10">
        <v>7</v>
      </c>
      <c r="J67" s="14">
        <v>5.33</v>
      </c>
      <c r="K67" s="13">
        <v>0.25</v>
      </c>
      <c r="L67" s="10">
        <f t="shared" si="80"/>
        <v>0.45</v>
      </c>
      <c r="M67" s="10">
        <v>0.25</v>
      </c>
      <c r="N67" s="10">
        <v>0.2</v>
      </c>
      <c r="O67" s="10">
        <v>0</v>
      </c>
      <c r="P67" s="14">
        <v>0</v>
      </c>
      <c r="Q67" s="15">
        <v>-0.03</v>
      </c>
      <c r="R67">
        <v>9.2899999999999991</v>
      </c>
      <c r="S67">
        <v>25</v>
      </c>
      <c r="T67">
        <v>77.715999999999994</v>
      </c>
      <c r="U67">
        <v>84.626000000000005</v>
      </c>
      <c r="V67">
        <v>20.462</v>
      </c>
      <c r="W67">
        <v>13.066000000000001</v>
      </c>
      <c r="X67">
        <v>20.474</v>
      </c>
      <c r="Y67">
        <v>22.106000000000002</v>
      </c>
      <c r="Z67">
        <v>6.048</v>
      </c>
      <c r="AA67">
        <f t="shared" si="81"/>
        <v>1.5999000000000001</v>
      </c>
      <c r="AB67">
        <v>0</v>
      </c>
      <c r="AC67" s="314">
        <v>1.5999000000000001</v>
      </c>
      <c r="AD67" s="123" t="s">
        <v>393</v>
      </c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</row>
    <row r="68" spans="1:175" s="10" customFormat="1" ht="16.350000000000001" customHeight="1">
      <c r="A68" s="9" t="s">
        <v>409</v>
      </c>
      <c r="B68" s="51" t="s">
        <v>22</v>
      </c>
      <c r="C68" s="10" t="s">
        <v>303</v>
      </c>
      <c r="D68" s="11" t="s">
        <v>309</v>
      </c>
      <c r="E68" s="13">
        <v>25</v>
      </c>
      <c r="F68" s="10">
        <f t="shared" si="79"/>
        <v>50.4</v>
      </c>
      <c r="G68" s="10">
        <v>21.5</v>
      </c>
      <c r="H68" s="10">
        <v>10.4</v>
      </c>
      <c r="I68" s="10">
        <v>13.5</v>
      </c>
      <c r="J68" s="14">
        <v>5</v>
      </c>
      <c r="K68" s="13">
        <v>1.285714</v>
      </c>
      <c r="L68" s="10">
        <f t="shared" si="80"/>
        <v>2.1</v>
      </c>
      <c r="M68" s="10">
        <v>0</v>
      </c>
      <c r="N68" s="266">
        <v>1.6</v>
      </c>
      <c r="O68" s="10">
        <v>0.5</v>
      </c>
      <c r="P68" s="14">
        <v>0</v>
      </c>
      <c r="Q68" s="15">
        <v>0.06</v>
      </c>
      <c r="R68">
        <v>10.923</v>
      </c>
      <c r="S68">
        <v>19</v>
      </c>
      <c r="T68">
        <v>82.195999999999998</v>
      </c>
      <c r="U68">
        <v>88.933000000000007</v>
      </c>
      <c r="V68">
        <v>20.92</v>
      </c>
      <c r="W68">
        <v>13.9</v>
      </c>
      <c r="X68">
        <v>22.254999999999999</v>
      </c>
      <c r="Y68">
        <v>23.667999999999999</v>
      </c>
      <c r="Z68">
        <v>7.4829999999999997</v>
      </c>
      <c r="AA68">
        <f t="shared" si="81"/>
        <v>0.93330000000000002</v>
      </c>
      <c r="AB68">
        <v>0</v>
      </c>
      <c r="AC68" s="314">
        <v>0.93330000000000002</v>
      </c>
      <c r="AD68" s="123" t="s">
        <v>409</v>
      </c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</row>
    <row r="69" spans="1:175" s="10" customFormat="1" ht="16.350000000000001" customHeight="1">
      <c r="A69" s="9" t="s">
        <v>395</v>
      </c>
      <c r="B69" s="51" t="s">
        <v>22</v>
      </c>
      <c r="C69" s="10" t="s">
        <v>303</v>
      </c>
      <c r="D69" s="11" t="s">
        <v>309</v>
      </c>
      <c r="E69" s="13">
        <v>21.71</v>
      </c>
      <c r="F69" s="10">
        <f t="shared" si="79"/>
        <v>46.75</v>
      </c>
      <c r="G69" s="10">
        <v>20.67</v>
      </c>
      <c r="H69" s="10">
        <v>11.75</v>
      </c>
      <c r="I69" s="10">
        <v>13</v>
      </c>
      <c r="J69" s="14">
        <v>1.33</v>
      </c>
      <c r="K69" s="13">
        <v>0.42857099999999998</v>
      </c>
      <c r="L69" s="10">
        <f t="shared" si="80"/>
        <v>1</v>
      </c>
      <c r="M69" s="10">
        <v>0</v>
      </c>
      <c r="N69" s="10">
        <v>0</v>
      </c>
      <c r="O69" s="10">
        <v>1</v>
      </c>
      <c r="P69" s="14">
        <v>0</v>
      </c>
      <c r="Q69" s="15">
        <v>-0.14000000000000001</v>
      </c>
      <c r="R69">
        <v>7.7960000000000003</v>
      </c>
      <c r="S69">
        <v>18</v>
      </c>
      <c r="T69">
        <v>75.138000000000005</v>
      </c>
      <c r="U69">
        <v>86.703999999999994</v>
      </c>
      <c r="V69">
        <v>22.170999999999999</v>
      </c>
      <c r="W69">
        <v>13.79</v>
      </c>
      <c r="X69">
        <v>13.074999999999999</v>
      </c>
      <c r="Y69">
        <v>23.431000000000001</v>
      </c>
      <c r="Z69">
        <v>6.3920000000000003</v>
      </c>
      <c r="AA69">
        <f t="shared" si="81"/>
        <v>1.5331999999999999</v>
      </c>
      <c r="AB69">
        <v>0</v>
      </c>
      <c r="AC69" s="314">
        <v>1.5331999999999999</v>
      </c>
      <c r="AD69" s="123" t="s">
        <v>395</v>
      </c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</row>
    <row r="70" spans="1:175" s="10" customFormat="1" ht="16.350000000000001" customHeight="1">
      <c r="A70" s="9"/>
      <c r="B70" s="51"/>
      <c r="D70" s="11"/>
      <c r="E70" s="13"/>
      <c r="J70" s="14"/>
      <c r="K70" s="13"/>
      <c r="P70" s="14"/>
      <c r="Q70" s="15">
        <v>0.51</v>
      </c>
      <c r="R70"/>
      <c r="S70"/>
      <c r="T70"/>
      <c r="U70"/>
      <c r="V70"/>
      <c r="W70"/>
      <c r="X70"/>
      <c r="Y70"/>
      <c r="Z70"/>
      <c r="AA70"/>
      <c r="AB70"/>
      <c r="AC70" s="314"/>
      <c r="AD70" s="123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</row>
    <row r="71" spans="1:175" s="10" customFormat="1" ht="16.350000000000001" customHeight="1">
      <c r="A71" s="9"/>
      <c r="B71" s="51"/>
      <c r="D71" s="11"/>
      <c r="E71" s="13"/>
      <c r="J71" s="14"/>
      <c r="K71" s="13"/>
      <c r="P71" s="14"/>
      <c r="Q71" s="15">
        <v>0.45</v>
      </c>
      <c r="R71">
        <v>8.1259999999999994</v>
      </c>
      <c r="S71"/>
      <c r="T71"/>
      <c r="U71"/>
      <c r="V71"/>
      <c r="W71"/>
      <c r="X71"/>
      <c r="Y71"/>
      <c r="Z71"/>
      <c r="AA71"/>
      <c r="AB71"/>
      <c r="AC71" s="314"/>
      <c r="AD71" s="123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</row>
    <row r="72" spans="1:175" s="10" customFormat="1" ht="16.350000000000001" customHeight="1">
      <c r="A72" s="9"/>
      <c r="B72" s="51"/>
      <c r="D72" s="11"/>
      <c r="E72" s="13"/>
      <c r="J72" s="14"/>
      <c r="K72" s="13"/>
      <c r="P72" s="14"/>
      <c r="Q72" s="15">
        <v>0.47</v>
      </c>
      <c r="R72"/>
      <c r="S72"/>
      <c r="T72"/>
      <c r="U72"/>
      <c r="V72"/>
      <c r="W72"/>
      <c r="X72"/>
      <c r="Y72"/>
      <c r="Z72"/>
      <c r="AA72"/>
      <c r="AB72"/>
      <c r="AC72" s="314"/>
      <c r="AD72" s="123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</row>
    <row r="73" spans="1:175" s="10" customFormat="1" ht="16.350000000000001" customHeight="1">
      <c r="A73" s="9"/>
      <c r="B73" s="51"/>
      <c r="E73" s="13"/>
      <c r="J73" s="14"/>
      <c r="K73" s="13"/>
      <c r="P73" s="14"/>
      <c r="Q73" s="15">
        <v>0.45</v>
      </c>
      <c r="AC73" s="14"/>
      <c r="AD73" s="12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</row>
    <row r="74" spans="1:175" s="10" customFormat="1" ht="16.350000000000001" customHeight="1">
      <c r="A74" s="313"/>
      <c r="B74" s="13"/>
      <c r="D74" s="55" t="s">
        <v>281</v>
      </c>
      <c r="E74" s="59">
        <f t="shared" ref="E74:J74" si="82">AVERAGE(E65:E73)</f>
        <v>20.106000000000002</v>
      </c>
      <c r="F74" s="55">
        <f t="shared" ref="F74" si="83">AVERAGE(F65:F73)</f>
        <v>42.154000000000003</v>
      </c>
      <c r="G74" s="55">
        <f t="shared" si="82"/>
        <v>17.818000000000001</v>
      </c>
      <c r="H74" s="55">
        <f t="shared" si="82"/>
        <v>8.4700000000000006</v>
      </c>
      <c r="I74" s="55">
        <f t="shared" si="82"/>
        <v>10.9</v>
      </c>
      <c r="J74" s="88">
        <f t="shared" si="82"/>
        <v>4.9659999999999993</v>
      </c>
      <c r="K74" s="59">
        <f t="shared" ref="K74:P74" si="84">AVERAGE(K65:K73)</f>
        <v>0.5071426</v>
      </c>
      <c r="L74" s="55">
        <f t="shared" ref="L74" si="85">AVERAGE(L65:L73)</f>
        <v>0.93200000000000005</v>
      </c>
      <c r="M74" s="55">
        <f t="shared" si="84"/>
        <v>0.1</v>
      </c>
      <c r="N74" s="55">
        <f t="shared" si="84"/>
        <v>0.4</v>
      </c>
      <c r="O74" s="55">
        <f t="shared" si="84"/>
        <v>0.36599999999999999</v>
      </c>
      <c r="P74" s="88">
        <f t="shared" si="84"/>
        <v>6.6000000000000003E-2</v>
      </c>
      <c r="Q74" s="58">
        <f t="shared" ref="Q74:AC74" si="86">AVERAGE(Q65:Q73)</f>
        <v>0.24111111111111111</v>
      </c>
      <c r="R74" s="55">
        <f t="shared" si="86"/>
        <v>9.9849999999999994</v>
      </c>
      <c r="S74" s="55">
        <f t="shared" si="86"/>
        <v>20.2</v>
      </c>
      <c r="T74" s="55">
        <f t="shared" si="86"/>
        <v>78.179000000000002</v>
      </c>
      <c r="U74" s="55">
        <f t="shared" si="86"/>
        <v>85.0916</v>
      </c>
      <c r="V74" s="55">
        <f t="shared" si="86"/>
        <v>19.5214</v>
      </c>
      <c r="W74" s="55">
        <f t="shared" si="86"/>
        <v>13.262200000000002</v>
      </c>
      <c r="X74" s="55">
        <f t="shared" si="86"/>
        <v>20.2102</v>
      </c>
      <c r="Y74" s="55">
        <f t="shared" si="86"/>
        <v>23.144000000000002</v>
      </c>
      <c r="Z74" s="55">
        <f t="shared" si="86"/>
        <v>7.5873999999999997</v>
      </c>
      <c r="AA74" s="55">
        <f t="shared" si="86"/>
        <v>1.2265999999999999</v>
      </c>
      <c r="AB74" s="55">
        <f t="shared" si="86"/>
        <v>0.13333999999999999</v>
      </c>
      <c r="AC74" s="88">
        <f t="shared" si="86"/>
        <v>1.0932600000000001</v>
      </c>
      <c r="AD74" s="121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</row>
    <row r="75" spans="1:175" s="10" customFormat="1" ht="16.350000000000001" customHeight="1">
      <c r="A75" s="313"/>
      <c r="B75" s="13"/>
      <c r="D75" s="55" t="s">
        <v>45</v>
      </c>
      <c r="E75" s="59">
        <f t="shared" ref="E75:J75" si="87">(STDEV(E65:E73)/(SQRT(COUNT(E65:E73))))</f>
        <v>2.0510402238864045</v>
      </c>
      <c r="F75" s="55">
        <f t="shared" ref="F75" si="88">(STDEV(F65:F73)/(SQRT(COUNT(F65:F73))))</f>
        <v>3.7655937114882652</v>
      </c>
      <c r="G75" s="55">
        <f t="shared" si="87"/>
        <v>2.175599687442523</v>
      </c>
      <c r="H75" s="55">
        <f t="shared" si="87"/>
        <v>1.4919450392021822</v>
      </c>
      <c r="I75" s="55">
        <f t="shared" si="87"/>
        <v>1.2489995996796805</v>
      </c>
      <c r="J75" s="88">
        <f t="shared" si="87"/>
        <v>0.96464812237416486</v>
      </c>
      <c r="K75" s="59">
        <f t="shared" ref="K75:P75" si="89">(STDEV(K65:K73)/(SQRT(COUNT(K65:K73))))</f>
        <v>0.19704447312157727</v>
      </c>
      <c r="L75" s="55">
        <f t="shared" ref="L75" si="90">(STDEV(L65:L73)/(SQRT(COUNT(L65:L73))))</f>
        <v>0.30882681230748077</v>
      </c>
      <c r="M75" s="55">
        <f t="shared" si="89"/>
        <v>6.1237243569579443E-2</v>
      </c>
      <c r="N75" s="55">
        <f t="shared" si="89"/>
        <v>0.30331501776206204</v>
      </c>
      <c r="O75" s="55">
        <f t="shared" si="89"/>
        <v>0.1856232744027537</v>
      </c>
      <c r="P75" s="88">
        <f t="shared" si="89"/>
        <v>6.6000000000000003E-2</v>
      </c>
      <c r="Q75" s="58">
        <f t="shared" ref="Q75:AC75" si="91">(STDEV(Q65:Q73)/(SQRT(COUNT(Q65:Q73))))</f>
        <v>8.1145350459743346E-2</v>
      </c>
      <c r="R75" s="55">
        <f t="shared" si="91"/>
        <v>0.79491903151620946</v>
      </c>
      <c r="S75" s="55">
        <f t="shared" si="91"/>
        <v>1.2409673645990846</v>
      </c>
      <c r="T75" s="55">
        <f t="shared" si="91"/>
        <v>2.8698814261219918</v>
      </c>
      <c r="U75" s="55">
        <f t="shared" si="91"/>
        <v>1.2469154181419055</v>
      </c>
      <c r="V75" s="55">
        <f t="shared" si="91"/>
        <v>1.5364396376037714</v>
      </c>
      <c r="W75" s="55">
        <f t="shared" si="91"/>
        <v>0.24462673606946556</v>
      </c>
      <c r="X75" s="55">
        <f t="shared" si="91"/>
        <v>1.8986101600907948</v>
      </c>
      <c r="Y75" s="55">
        <f t="shared" si="91"/>
        <v>0.37003743053912769</v>
      </c>
      <c r="Z75" s="55">
        <f t="shared" si="91"/>
        <v>1.0603073422362035</v>
      </c>
      <c r="AA75" s="55">
        <f t="shared" si="91"/>
        <v>0.18207812883484931</v>
      </c>
      <c r="AB75" s="55">
        <f t="shared" si="91"/>
        <v>0.13333999999999999</v>
      </c>
      <c r="AC75" s="88">
        <f t="shared" si="91"/>
        <v>0.19842233392438444</v>
      </c>
      <c r="AD75" s="121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</row>
    <row r="76" spans="1:175" ht="12" customHeight="1">
      <c r="A76" s="33"/>
      <c r="B76" s="33"/>
      <c r="C76" s="34"/>
      <c r="D76" s="36" t="s">
        <v>300</v>
      </c>
      <c r="E76" s="68">
        <f>(100/E50)*E74</f>
        <v>117.84617503989745</v>
      </c>
      <c r="F76" s="69">
        <f t="shared" ref="F76" si="92">(100/F50)*F74</f>
        <v>120.57123563839876</v>
      </c>
      <c r="G76" s="69">
        <f t="shared" ref="G76:J76" si="93">(100/G50)*G74</f>
        <v>129.38381742738591</v>
      </c>
      <c r="H76" s="69">
        <f t="shared" si="93"/>
        <v>116.25490196078434</v>
      </c>
      <c r="I76" s="69">
        <f t="shared" si="93"/>
        <v>119.84292566267406</v>
      </c>
      <c r="J76" s="69">
        <f t="shared" si="93"/>
        <v>103.25348579276944</v>
      </c>
      <c r="K76" s="68">
        <f>(100/K50)*K74</f>
        <v>90.776193100238714</v>
      </c>
      <c r="L76" s="69">
        <f t="shared" ref="L76" si="94">(100/L50)*L74</f>
        <v>82.721900483677132</v>
      </c>
      <c r="M76" s="69">
        <f t="shared" ref="M76:P76" si="95">(100/M50)*M74</f>
        <v>22.082018927444796</v>
      </c>
      <c r="N76" s="69">
        <f t="shared" si="95"/>
        <v>136.58536585365854</v>
      </c>
      <c r="O76" s="69">
        <f t="shared" si="95"/>
        <v>256.20102480409923</v>
      </c>
      <c r="P76" s="70">
        <f t="shared" si="95"/>
        <v>27.719944560110882</v>
      </c>
      <c r="Q76" s="326">
        <f t="shared" ref="Q76:AC76" si="96">(100/Q50)*Q74</f>
        <v>146.62162162162161</v>
      </c>
      <c r="R76" s="69">
        <f t="shared" si="96"/>
        <v>76.617621669320343</v>
      </c>
      <c r="S76" s="69">
        <f t="shared" si="96"/>
        <v>82.448979591836732</v>
      </c>
      <c r="T76" s="69">
        <f t="shared" si="96"/>
        <v>99.185810842956954</v>
      </c>
      <c r="U76" s="69">
        <f t="shared" si="96"/>
        <v>101.88765208697228</v>
      </c>
      <c r="V76" s="69">
        <f t="shared" si="96"/>
        <v>119.32760781197472</v>
      </c>
      <c r="W76" s="69">
        <f t="shared" si="96"/>
        <v>105.59181520516726</v>
      </c>
      <c r="X76" s="69">
        <f t="shared" si="96"/>
        <v>91.300660127507953</v>
      </c>
      <c r="Y76" s="69">
        <f t="shared" si="96"/>
        <v>97.678221922100931</v>
      </c>
      <c r="Z76" s="69">
        <f t="shared" si="96"/>
        <v>104.69892194911598</v>
      </c>
      <c r="AA76" s="69">
        <f t="shared" si="96"/>
        <v>50.757262269303972</v>
      </c>
      <c r="AB76" s="69">
        <f t="shared" si="96"/>
        <v>94.116816657843643</v>
      </c>
      <c r="AC76" s="70">
        <f t="shared" si="96"/>
        <v>48.056968911063002</v>
      </c>
      <c r="AD76" s="37"/>
      <c r="AE76" s="136"/>
      <c r="AF76" s="136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36"/>
      <c r="AT76" s="10"/>
      <c r="AU76" s="10"/>
      <c r="AV76" s="10"/>
      <c r="AW76" s="10"/>
      <c r="AX76" s="10"/>
      <c r="AY76" s="10"/>
      <c r="AZ76" s="10"/>
      <c r="BA76" s="10"/>
      <c r="BB76" s="10"/>
      <c r="BC76" s="136"/>
      <c r="BD76" s="10"/>
      <c r="BE76" s="10"/>
      <c r="BF76" s="10"/>
      <c r="BG76" s="10"/>
      <c r="BH76" s="10"/>
      <c r="BI76" s="10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</row>
    <row r="77" spans="1:175" ht="12" customHeight="1">
      <c r="A77" s="62"/>
      <c r="B77" s="62"/>
      <c r="D77" s="62"/>
      <c r="E77" s="62"/>
      <c r="F77" s="62"/>
      <c r="G77" s="136"/>
      <c r="H77" s="136"/>
      <c r="I77" s="136"/>
      <c r="J77" s="136"/>
      <c r="K77" s="136"/>
      <c r="L77" s="136"/>
      <c r="M77" s="136"/>
      <c r="N77" s="10"/>
      <c r="O77" s="10"/>
      <c r="P77" s="10"/>
      <c r="Q77" s="136"/>
      <c r="R77" s="136"/>
      <c r="S77" s="136"/>
      <c r="T77" s="136"/>
      <c r="U77" s="136"/>
      <c r="V77" s="136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6"/>
      <c r="AJ77" s="10"/>
      <c r="AK77" s="10"/>
      <c r="AL77" s="10"/>
      <c r="AM77" s="10"/>
      <c r="AN77" s="10"/>
      <c r="AO77" s="10"/>
      <c r="AP77" s="10"/>
      <c r="AQ77" s="10"/>
      <c r="AR77" s="10"/>
      <c r="AS77" s="136"/>
      <c r="AT77" s="10"/>
      <c r="AU77" s="10"/>
      <c r="AV77" s="10"/>
      <c r="AW77" s="10"/>
      <c r="AX77" s="10"/>
      <c r="AY77" s="10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</row>
    <row r="78" spans="1:175" ht="12" customHeight="1">
      <c r="A78" s="62"/>
      <c r="B78" s="62"/>
      <c r="D78" s="62"/>
      <c r="E78" s="62"/>
      <c r="F78" s="62"/>
      <c r="G78" s="136"/>
      <c r="H78" s="136"/>
      <c r="I78" s="136"/>
      <c r="J78" s="136"/>
      <c r="K78" s="136"/>
      <c r="L78" s="136"/>
      <c r="M78" s="136"/>
      <c r="N78" s="10"/>
      <c r="O78" s="10"/>
      <c r="P78" s="10"/>
      <c r="Q78" s="136"/>
      <c r="R78" s="136"/>
      <c r="S78" s="136"/>
      <c r="T78" s="136"/>
      <c r="U78" s="136"/>
      <c r="V78" s="136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6"/>
      <c r="AJ78" s="10"/>
      <c r="AK78" s="10"/>
      <c r="AL78" s="10"/>
      <c r="AM78" s="10"/>
      <c r="AN78" s="10"/>
      <c r="AO78" s="10"/>
      <c r="AP78" s="10"/>
      <c r="AQ78" s="10"/>
      <c r="AR78" s="10"/>
      <c r="AS78" s="136"/>
      <c r="AT78" s="10"/>
      <c r="AU78" s="10"/>
      <c r="AV78" s="10"/>
      <c r="AW78" s="10"/>
      <c r="AX78" s="10"/>
      <c r="AY78" s="10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</row>
    <row r="79" spans="1:175" s="77" customFormat="1" ht="15.75">
      <c r="A79" s="62"/>
      <c r="B79" s="62"/>
      <c r="C79" s="12"/>
      <c r="D79" s="62"/>
      <c r="E79" s="62"/>
      <c r="F79" s="62"/>
      <c r="G79" s="136"/>
      <c r="H79" s="136"/>
      <c r="I79" s="136"/>
      <c r="J79" s="136"/>
      <c r="K79" s="136"/>
      <c r="L79" s="136"/>
      <c r="M79" s="136"/>
      <c r="N79" s="10"/>
      <c r="O79" s="10"/>
      <c r="P79" s="10"/>
      <c r="Q79" s="136"/>
      <c r="R79" s="136"/>
      <c r="S79" s="136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</row>
    <row r="80" spans="1:175" s="10" customFormat="1" ht="16.350000000000001" customHeight="1">
      <c r="A80" s="12"/>
      <c r="B80" s="12"/>
      <c r="C80" s="12"/>
      <c r="D80" s="12"/>
      <c r="E80" s="12"/>
      <c r="F80" s="77"/>
      <c r="G80" s="77"/>
      <c r="I80" s="77"/>
      <c r="J80" s="77"/>
      <c r="K80" s="77"/>
      <c r="M80" s="77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</row>
    <row r="81" spans="1:185" customFormat="1" ht="16.350000000000001" customHeight="1">
      <c r="A81" s="10"/>
      <c r="B81" s="10"/>
      <c r="C81" s="10"/>
      <c r="D81" s="10"/>
      <c r="E81" s="10"/>
      <c r="F81" s="10"/>
      <c r="G81" s="10"/>
      <c r="H81" s="62"/>
      <c r="I81" s="62"/>
      <c r="J81" s="62"/>
      <c r="K81" s="62"/>
      <c r="L81" s="62"/>
      <c r="M81" s="62"/>
    </row>
    <row r="82" spans="1:185" customFormat="1" ht="16.350000000000001" customHeight="1">
      <c r="A82" s="120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AI82" s="12"/>
    </row>
    <row r="83" spans="1:185" customFormat="1" ht="16.350000000000001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1:185" customFormat="1" ht="16.350000000000001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1:185" customFormat="1" ht="16.350000000000001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FT85" s="12"/>
    </row>
    <row r="86" spans="1:185" ht="16.350000000000001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185" ht="16.350000000000001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185" ht="16.350000000000001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185" customFormat="1" ht="16.350000000000001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FT89" s="12"/>
      <c r="FU89" s="12"/>
      <c r="FV89" s="12"/>
      <c r="FW89" s="12"/>
      <c r="FX89" s="12"/>
      <c r="FY89" s="12"/>
      <c r="FZ89" s="12"/>
      <c r="GA89" s="12"/>
      <c r="GB89" s="12"/>
      <c r="GC89" s="12"/>
    </row>
    <row r="90" spans="1:185" customFormat="1" ht="16.350000000000001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AF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</row>
    <row r="91" spans="1:185" customFormat="1" ht="16.350000000000001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FT91" s="12"/>
      <c r="FU91" s="12"/>
      <c r="FV91" s="12"/>
      <c r="FW91" s="12"/>
      <c r="FX91" s="12"/>
      <c r="FY91" s="12"/>
      <c r="FZ91" s="12"/>
      <c r="GA91" s="12"/>
      <c r="GB91" s="12"/>
      <c r="GC91" s="12"/>
    </row>
    <row r="92" spans="1:185" customFormat="1" ht="16.350000000000001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P92" s="12"/>
    </row>
    <row r="93" spans="1:185" customFormat="1" ht="16.350000000000001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1:185" customFormat="1" ht="16.350000000000001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1:185" customFormat="1" ht="16.350000000000001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1:185" customFormat="1" ht="16.350000000000001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1:45" customFormat="1" ht="16.350000000000001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1:45" customFormat="1" ht="16.350000000000001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1:45" customFormat="1" ht="16.350000000000001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1:45" customFormat="1" ht="16.350000000000001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1:45" customFormat="1" ht="16.350000000000001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1:45" customFormat="1" ht="16.350000000000001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</row>
    <row r="103" spans="1:45" ht="16.350000000000001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</sheetData>
  <pageMargins left="0.74803149606299213" right="0.74803149606299213" top="0.98425196850393704" bottom="0.98425196850393704" header="0.51181102362204722" footer="0.51181102362204722"/>
  <pageSetup paperSize="9" scale="60" orientation="landscape" horizontalDpi="4294967292" verticalDpi="4294967292" r:id="rId1"/>
  <headerFooter alignWithMargins="0">
    <oddHeader>&amp;C&amp;"Helvetica,Bold"Experiment g
Prolonged Patterned Feeding with High Fat Diet (Male SD Rats)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112BF2916C5418FB3FCE74854BC49" ma:contentTypeVersion="14" ma:contentTypeDescription="Create a new document." ma:contentTypeScope="" ma:versionID="80ba70ca2acd8cb5addffdb4dae2caa5">
  <xsd:schema xmlns:xsd="http://www.w3.org/2001/XMLSchema" xmlns:xs="http://www.w3.org/2001/XMLSchema" xmlns:p="http://schemas.microsoft.com/office/2006/metadata/properties" xmlns:ns3="4d989623-7eba-4542-bae3-64dc5325344e" xmlns:ns4="c9524098-e924-4c58-b2dd-1854e46c97ae" targetNamespace="http://schemas.microsoft.com/office/2006/metadata/properties" ma:root="true" ma:fieldsID="8f1f412875a5643825f5dd198703f610" ns3:_="" ns4:_="">
    <xsd:import namespace="4d989623-7eba-4542-bae3-64dc5325344e"/>
    <xsd:import namespace="c9524098-e924-4c58-b2dd-1854e46c97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89623-7eba-4542-bae3-64dc53253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524098-e924-4c58-b2dd-1854e46c97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7E15F0-B973-4A95-B458-93AF7F04B5D8}"/>
</file>

<file path=customXml/itemProps2.xml><?xml version="1.0" encoding="utf-8"?>
<ds:datastoreItem xmlns:ds="http://schemas.openxmlformats.org/officeDocument/2006/customXml" ds:itemID="{5CA0DF59-73A6-4C21-97C3-60A3F10DF8DC}"/>
</file>

<file path=customXml/itemProps3.xml><?xml version="1.0" encoding="utf-8"?>
<ds:datastoreItem xmlns:ds="http://schemas.openxmlformats.org/officeDocument/2006/customXml" ds:itemID="{E6722F5A-C1F5-4C45-8A01-D85C22CD69CC}"/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HornsbyA@cardiff.ac.uk</dc:creator>
  <cp:keywords/>
  <dc:description/>
  <cp:lastModifiedBy>Paola Piza Martinez</cp:lastModifiedBy>
  <cp:revision/>
  <dcterms:created xsi:type="dcterms:W3CDTF">2011-03-22T15:11:56Z</dcterms:created>
  <dcterms:modified xsi:type="dcterms:W3CDTF">2025-02-10T16:37:27Z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0x010100A51112BF2916C5418FB3FCE74854BC49</vt:lpwstr>
  </property>
</Properties>
</file>