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neids13/Desktop/Oxford MBA/Academic/Term 1-Michelmas/Leading Across/Individual Assignment/BA-Individual-Assignment/DCF/"/>
    </mc:Choice>
  </mc:AlternateContent>
  <xr:revisionPtr revIDLastSave="0" documentId="13_ncr:1_{18B4A638-DF78-0D40-A1F0-C74ECAD12969}" xr6:coauthVersionLast="45" xr6:coauthVersionMax="45" xr10:uidLastSave="{00000000-0000-0000-0000-000000000000}"/>
  <bookViews>
    <workbookView xWindow="1200" yWindow="460" windowWidth="32400" windowHeight="20540" activeTab="5" xr2:uid="{B1578453-6ED5-774B-A012-E31654D65727}"/>
  </bookViews>
  <sheets>
    <sheet name="Income Statement" sheetId="2" r:id="rId1"/>
    <sheet name="Balance Sheet" sheetId="5" r:id="rId2"/>
    <sheet name="Input Data" sheetId="3" r:id="rId3"/>
    <sheet name="Workbook" sheetId="4" r:id="rId4"/>
    <sheet name="BA Baseline DCF" sheetId="1" r:id="rId5"/>
    <sheet name="Revenue Forecasts" sheetId="6" r:id="rId6"/>
  </sheets>
  <externalReferences>
    <externalReference r:id="rId7"/>
  </externalReferences>
  <definedNames>
    <definedName name="CIQWBGuid" localSheetId="4" hidden="1">"DCF_complete.xlsx"</definedName>
    <definedName name="CIQWBGuid" hidden="1">"a611639b-bab1-425e-aaa5-008c326fdfdb"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localSheetId="4" hidden="1">43549.6880671296</definedName>
    <definedName name="IQ_NAMES_REVISION_DATE_" hidden="1">43588.5561574074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MLNK841c85bef3244d5c8fb6b3f84988d79e" localSheetId="4" hidden="1">#REF!</definedName>
    <definedName name="MLNK841c85bef3244d5c8fb6b3f84988d79e" hidden="1">#REF!</definedName>
    <definedName name="MLNKa7775792bf444a4785f8ed5c82461a24" localSheetId="4" hidden="1">#REF!</definedName>
    <definedName name="MLNKa7775792bf444a4785f8ed5c82461a24" hidden="1">#REF!</definedName>
    <definedName name="_xlnm.Print_Titles" localSheetId="1">'Balance Sheet'!$1:$3</definedName>
    <definedName name="_xlnm.Print_Titles" localSheetId="0">'Income Statement'!$1:$3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V34" i="6" l="1"/>
  <c r="AP34" i="6"/>
  <c r="AJ34" i="6"/>
  <c r="AD34" i="6"/>
  <c r="AC39" i="6"/>
  <c r="AB39" i="6"/>
  <c r="AA39" i="6"/>
  <c r="AD39" i="6" s="1"/>
  <c r="AC38" i="6"/>
  <c r="AB38" i="6"/>
  <c r="AA38" i="6"/>
  <c r="AD38" i="6" s="1"/>
  <c r="AC37" i="6"/>
  <c r="AB37" i="6"/>
  <c r="AA37" i="6"/>
  <c r="AD37" i="6" s="1"/>
  <c r="AC36" i="6"/>
  <c r="AB36" i="6"/>
  <c r="AA36" i="6"/>
  <c r="AD36" i="6" s="1"/>
  <c r="AB35" i="6"/>
  <c r="AA35" i="6"/>
  <c r="AD3" i="6"/>
  <c r="AC3" i="6"/>
  <c r="AU39" i="6"/>
  <c r="AU3" i="6"/>
  <c r="AT3" i="6"/>
  <c r="AS3" i="6"/>
  <c r="AV3" i="6" s="1"/>
  <c r="AN3" i="6"/>
  <c r="AM3" i="6"/>
  <c r="AN38" i="6"/>
  <c r="AH38" i="6"/>
  <c r="AH3" i="6"/>
  <c r="AG3" i="6"/>
  <c r="AI3" i="6" s="1"/>
  <c r="W3" i="6"/>
  <c r="X3" i="6" s="1"/>
  <c r="S39" i="6"/>
  <c r="Q39" i="6"/>
  <c r="W39" i="6" s="1"/>
  <c r="AO39" i="6" s="1"/>
  <c r="O39" i="6"/>
  <c r="S38" i="6"/>
  <c r="Q38" i="6"/>
  <c r="O38" i="6"/>
  <c r="S37" i="6"/>
  <c r="Q37" i="6"/>
  <c r="O37" i="6"/>
  <c r="S36" i="6"/>
  <c r="Q36" i="6"/>
  <c r="O36" i="6"/>
  <c r="W36" i="6" s="1"/>
  <c r="AU36" i="6" s="1"/>
  <c r="S35" i="6"/>
  <c r="Q35" i="6"/>
  <c r="AC35" i="6" s="1"/>
  <c r="O35" i="6"/>
  <c r="S34" i="6"/>
  <c r="Q34" i="6"/>
  <c r="O34" i="6"/>
  <c r="S33" i="6"/>
  <c r="Q33" i="6"/>
  <c r="O33" i="6"/>
  <c r="S32" i="6"/>
  <c r="Q32" i="6"/>
  <c r="O32" i="6"/>
  <c r="S31" i="6"/>
  <c r="Q31" i="6"/>
  <c r="O31" i="6"/>
  <c r="W31" i="6" s="1"/>
  <c r="S30" i="6"/>
  <c r="Q30" i="6"/>
  <c r="O30" i="6"/>
  <c r="S29" i="6"/>
  <c r="Q29" i="6"/>
  <c r="O29" i="6"/>
  <c r="W29" i="6" s="1"/>
  <c r="S28" i="6"/>
  <c r="Q28" i="6"/>
  <c r="O28" i="6"/>
  <c r="S27" i="6"/>
  <c r="Q27" i="6"/>
  <c r="O27" i="6"/>
  <c r="S26" i="6"/>
  <c r="Q26" i="6"/>
  <c r="O26" i="6"/>
  <c r="W26" i="6" s="1"/>
  <c r="S25" i="6"/>
  <c r="Q25" i="6"/>
  <c r="O25" i="6"/>
  <c r="S24" i="6"/>
  <c r="Q24" i="6"/>
  <c r="O24" i="6"/>
  <c r="S23" i="6"/>
  <c r="Q23" i="6"/>
  <c r="W23" i="6" s="1"/>
  <c r="O23" i="6"/>
  <c r="S22" i="6"/>
  <c r="Q22" i="6"/>
  <c r="O22" i="6"/>
  <c r="S21" i="6"/>
  <c r="Q21" i="6"/>
  <c r="O21" i="6"/>
  <c r="W21" i="6" s="1"/>
  <c r="S20" i="6"/>
  <c r="Q20" i="6"/>
  <c r="O20" i="6"/>
  <c r="W20" i="6" s="1"/>
  <c r="S19" i="6"/>
  <c r="Q19" i="6"/>
  <c r="O19" i="6"/>
  <c r="S18" i="6"/>
  <c r="Q18" i="6"/>
  <c r="O18" i="6"/>
  <c r="S17" i="6"/>
  <c r="Q17" i="6"/>
  <c r="O17" i="6"/>
  <c r="S16" i="6"/>
  <c r="Q16" i="6"/>
  <c r="O16" i="6"/>
  <c r="S15" i="6"/>
  <c r="Q15" i="6"/>
  <c r="O15" i="6"/>
  <c r="W15" i="6" s="1"/>
  <c r="S14" i="6"/>
  <c r="Q14" i="6"/>
  <c r="O14" i="6"/>
  <c r="S13" i="6"/>
  <c r="Q13" i="6"/>
  <c r="O13" i="6"/>
  <c r="W13" i="6" s="1"/>
  <c r="S12" i="6"/>
  <c r="Q12" i="6"/>
  <c r="O12" i="6"/>
  <c r="S11" i="6"/>
  <c r="Q11" i="6"/>
  <c r="W11" i="6" s="1"/>
  <c r="O11" i="6"/>
  <c r="S10" i="6"/>
  <c r="Q10" i="6"/>
  <c r="O10" i="6"/>
  <c r="W10" i="6" s="1"/>
  <c r="S9" i="6"/>
  <c r="Q9" i="6"/>
  <c r="O9" i="6"/>
  <c r="W9" i="6" s="1"/>
  <c r="S8" i="6"/>
  <c r="Q8" i="6"/>
  <c r="O8" i="6"/>
  <c r="S7" i="6"/>
  <c r="Q7" i="6"/>
  <c r="W7" i="6" s="1"/>
  <c r="O7" i="6"/>
  <c r="S6" i="6"/>
  <c r="Q6" i="6"/>
  <c r="O6" i="6"/>
  <c r="S5" i="6"/>
  <c r="Q5" i="6"/>
  <c r="O5" i="6"/>
  <c r="W5" i="6" s="1"/>
  <c r="S4" i="6"/>
  <c r="Q4" i="6"/>
  <c r="O4" i="6"/>
  <c r="W4" i="6" s="1"/>
  <c r="M39" i="6"/>
  <c r="K39" i="6"/>
  <c r="I39" i="6"/>
  <c r="M38" i="6"/>
  <c r="K38" i="6"/>
  <c r="I38" i="6"/>
  <c r="V38" i="6" s="1"/>
  <c r="AT38" i="6" s="1"/>
  <c r="M37" i="6"/>
  <c r="K37" i="6"/>
  <c r="I37" i="6"/>
  <c r="V37" i="6" s="1"/>
  <c r="AH37" i="6" s="1"/>
  <c r="M36" i="6"/>
  <c r="K36" i="6"/>
  <c r="I36" i="6"/>
  <c r="V36" i="6" s="1"/>
  <c r="AH36" i="6" s="1"/>
  <c r="M35" i="6"/>
  <c r="K35" i="6"/>
  <c r="I35" i="6"/>
  <c r="M34" i="6"/>
  <c r="K34" i="6"/>
  <c r="I34" i="6"/>
  <c r="M33" i="6"/>
  <c r="K33" i="6"/>
  <c r="I33" i="6"/>
  <c r="V33" i="6" s="1"/>
  <c r="M32" i="6"/>
  <c r="K32" i="6"/>
  <c r="I32" i="6"/>
  <c r="M31" i="6"/>
  <c r="K31" i="6"/>
  <c r="I31" i="6"/>
  <c r="M30" i="6"/>
  <c r="K30" i="6"/>
  <c r="I30" i="6"/>
  <c r="M29" i="6"/>
  <c r="K29" i="6"/>
  <c r="I29" i="6"/>
  <c r="M28" i="6"/>
  <c r="K28" i="6"/>
  <c r="I28" i="6"/>
  <c r="M27" i="6"/>
  <c r="K27" i="6"/>
  <c r="I27" i="6"/>
  <c r="M26" i="6"/>
  <c r="K26" i="6"/>
  <c r="I26" i="6"/>
  <c r="V26" i="6" s="1"/>
  <c r="M25" i="6"/>
  <c r="K25" i="6"/>
  <c r="I25" i="6"/>
  <c r="M24" i="6"/>
  <c r="K24" i="6"/>
  <c r="I24" i="6"/>
  <c r="M23" i="6"/>
  <c r="K23" i="6"/>
  <c r="I23" i="6"/>
  <c r="M22" i="6"/>
  <c r="K22" i="6"/>
  <c r="I22" i="6"/>
  <c r="M21" i="6"/>
  <c r="K21" i="6"/>
  <c r="I21" i="6"/>
  <c r="V21" i="6" s="1"/>
  <c r="M20" i="6"/>
  <c r="K20" i="6"/>
  <c r="I20" i="6"/>
  <c r="M19" i="6"/>
  <c r="K19" i="6"/>
  <c r="I19" i="6"/>
  <c r="M18" i="6"/>
  <c r="K18" i="6"/>
  <c r="I18" i="6"/>
  <c r="M17" i="6"/>
  <c r="K17" i="6"/>
  <c r="I17" i="6"/>
  <c r="V17" i="6" s="1"/>
  <c r="M16" i="6"/>
  <c r="K16" i="6"/>
  <c r="I16" i="6"/>
  <c r="M15" i="6"/>
  <c r="K15" i="6"/>
  <c r="I15" i="6"/>
  <c r="M14" i="6"/>
  <c r="K14" i="6"/>
  <c r="I14" i="6"/>
  <c r="M13" i="6"/>
  <c r="K13" i="6"/>
  <c r="I13" i="6"/>
  <c r="M12" i="6"/>
  <c r="K12" i="6"/>
  <c r="I12" i="6"/>
  <c r="M11" i="6"/>
  <c r="K11" i="6"/>
  <c r="I11" i="6"/>
  <c r="M10" i="6"/>
  <c r="K10" i="6"/>
  <c r="I10" i="6"/>
  <c r="V10" i="6" s="1"/>
  <c r="M9" i="6"/>
  <c r="K9" i="6"/>
  <c r="I9" i="6"/>
  <c r="M8" i="6"/>
  <c r="K8" i="6"/>
  <c r="I8" i="6"/>
  <c r="M7" i="6"/>
  <c r="K7" i="6"/>
  <c r="I7" i="6"/>
  <c r="M6" i="6"/>
  <c r="K6" i="6"/>
  <c r="I6" i="6"/>
  <c r="M5" i="6"/>
  <c r="K5" i="6"/>
  <c r="I5" i="6"/>
  <c r="V5" i="6" s="1"/>
  <c r="M4" i="6"/>
  <c r="K4" i="6"/>
  <c r="I4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C5" i="6"/>
  <c r="C6" i="6"/>
  <c r="C7" i="6"/>
  <c r="C8" i="6"/>
  <c r="C9" i="6"/>
  <c r="C10" i="6"/>
  <c r="C11" i="6"/>
  <c r="C12" i="6"/>
  <c r="C13" i="6"/>
  <c r="C14" i="6"/>
  <c r="C15" i="6"/>
  <c r="U15" i="6" s="1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U31" i="6" s="1"/>
  <c r="C32" i="6"/>
  <c r="C33" i="6"/>
  <c r="C34" i="6"/>
  <c r="C35" i="6"/>
  <c r="C36" i="6"/>
  <c r="C37" i="6"/>
  <c r="C38" i="6"/>
  <c r="C39" i="6"/>
  <c r="C4" i="6"/>
  <c r="AD35" i="6" l="1"/>
  <c r="AJ3" i="6"/>
  <c r="AI36" i="6"/>
  <c r="AI39" i="6"/>
  <c r="AO36" i="6"/>
  <c r="AT37" i="6"/>
  <c r="AN36" i="6"/>
  <c r="AN37" i="6"/>
  <c r="AT36" i="6"/>
  <c r="U4" i="6"/>
  <c r="U23" i="6"/>
  <c r="U7" i="6"/>
  <c r="W12" i="6"/>
  <c r="W28" i="6"/>
  <c r="AO3" i="6"/>
  <c r="AP3" i="6" s="1"/>
  <c r="U37" i="6"/>
  <c r="U21" i="6"/>
  <c r="U5" i="6"/>
  <c r="V23" i="6"/>
  <c r="U38" i="6"/>
  <c r="U36" i="6"/>
  <c r="V7" i="6"/>
  <c r="V11" i="6"/>
  <c r="V27" i="6"/>
  <c r="W6" i="6"/>
  <c r="W38" i="6"/>
  <c r="U33" i="6"/>
  <c r="U17" i="6"/>
  <c r="W30" i="6"/>
  <c r="W33" i="6"/>
  <c r="W27" i="6"/>
  <c r="W25" i="6"/>
  <c r="W37" i="6"/>
  <c r="AI37" i="6" s="1"/>
  <c r="W22" i="6"/>
  <c r="V4" i="6"/>
  <c r="V20" i="6"/>
  <c r="U27" i="6"/>
  <c r="U11" i="6"/>
  <c r="V15" i="6"/>
  <c r="V31" i="6"/>
  <c r="W17" i="6"/>
  <c r="V25" i="6"/>
  <c r="U20" i="6"/>
  <c r="W14" i="6"/>
  <c r="V9" i="6"/>
  <c r="W35" i="6"/>
  <c r="V30" i="6"/>
  <c r="U25" i="6"/>
  <c r="W19" i="6"/>
  <c r="V14" i="6"/>
  <c r="U9" i="6"/>
  <c r="V35" i="6"/>
  <c r="U30" i="6"/>
  <c r="W24" i="6"/>
  <c r="V19" i="6"/>
  <c r="U14" i="6"/>
  <c r="W8" i="6"/>
  <c r="U35" i="6"/>
  <c r="V24" i="6"/>
  <c r="U19" i="6"/>
  <c r="V8" i="6"/>
  <c r="W34" i="6"/>
  <c r="V29" i="6"/>
  <c r="U24" i="6"/>
  <c r="W18" i="6"/>
  <c r="V13" i="6"/>
  <c r="U8" i="6"/>
  <c r="V34" i="6"/>
  <c r="U29" i="6"/>
  <c r="V18" i="6"/>
  <c r="U13" i="6"/>
  <c r="V39" i="6"/>
  <c r="U34" i="6"/>
  <c r="U18" i="6"/>
  <c r="U39" i="6"/>
  <c r="V28" i="6"/>
  <c r="V12" i="6"/>
  <c r="U28" i="6"/>
  <c r="U12" i="6"/>
  <c r="V22" i="6"/>
  <c r="V6" i="6"/>
  <c r="W32" i="6"/>
  <c r="U22" i="6"/>
  <c r="W16" i="6"/>
  <c r="U6" i="6"/>
  <c r="V32" i="6"/>
  <c r="V16" i="6"/>
  <c r="U32" i="6"/>
  <c r="U16" i="6"/>
  <c r="U26" i="6"/>
  <c r="U10" i="6"/>
  <c r="X36" i="6"/>
  <c r="C72" i="1"/>
  <c r="O16" i="4"/>
  <c r="O15" i="4"/>
  <c r="Q15" i="4"/>
  <c r="C62" i="1"/>
  <c r="D7" i="1"/>
  <c r="F33" i="1"/>
  <c r="G33" i="1"/>
  <c r="H33" i="1"/>
  <c r="I33" i="1"/>
  <c r="E33" i="1"/>
  <c r="L16" i="4"/>
  <c r="BZ7" i="3"/>
  <c r="BZ12" i="3"/>
  <c r="BY3" i="3"/>
  <c r="BZ3" i="3" s="1"/>
  <c r="BY4" i="3"/>
  <c r="BZ4" i="3" s="1"/>
  <c r="BY5" i="3"/>
  <c r="BZ5" i="3" s="1"/>
  <c r="BY6" i="3"/>
  <c r="BZ6" i="3" s="1"/>
  <c r="BY7" i="3"/>
  <c r="BY8" i="3"/>
  <c r="BZ8" i="3" s="1"/>
  <c r="BY9" i="3"/>
  <c r="BZ9" i="3" s="1"/>
  <c r="BY10" i="3"/>
  <c r="BZ10" i="3" s="1"/>
  <c r="BY11" i="3"/>
  <c r="BZ11" i="3" s="1"/>
  <c r="BY12" i="3"/>
  <c r="BY2" i="3"/>
  <c r="BZ2" i="3" s="1"/>
  <c r="D32" i="1"/>
  <c r="D25" i="1"/>
  <c r="E22" i="1"/>
  <c r="F22" i="1" s="1"/>
  <c r="G22" i="1" s="1"/>
  <c r="H22" i="1" s="1"/>
  <c r="I22" i="1" s="1"/>
  <c r="H16" i="4"/>
  <c r="D22" i="1"/>
  <c r="D16" i="1"/>
  <c r="D18" i="1"/>
  <c r="D21" i="1" s="1"/>
  <c r="D16" i="4"/>
  <c r="D15" i="4"/>
  <c r="D15" i="1" s="1"/>
  <c r="E15" i="1" s="1"/>
  <c r="F15" i="1" s="1"/>
  <c r="G15" i="1" s="1"/>
  <c r="H15" i="1" s="1"/>
  <c r="D4" i="4"/>
  <c r="D5" i="4"/>
  <c r="D6" i="4"/>
  <c r="D7" i="4"/>
  <c r="D8" i="4"/>
  <c r="D9" i="4"/>
  <c r="D10" i="4"/>
  <c r="D11" i="4"/>
  <c r="D12" i="4"/>
  <c r="D3" i="4"/>
  <c r="D12" i="1"/>
  <c r="E12" i="1"/>
  <c r="E37" i="1" s="1"/>
  <c r="D14" i="1"/>
  <c r="D28" i="1" s="1"/>
  <c r="E28" i="1" s="1"/>
  <c r="Q124" i="1"/>
  <c r="O124" i="1"/>
  <c r="D124" i="1"/>
  <c r="Q123" i="1"/>
  <c r="O123" i="1"/>
  <c r="G123" i="1"/>
  <c r="E123" i="1"/>
  <c r="C123" i="1"/>
  <c r="Q122" i="1"/>
  <c r="O122" i="1"/>
  <c r="E122" i="1"/>
  <c r="C122" i="1"/>
  <c r="L97" i="1"/>
  <c r="L98" i="1" s="1"/>
  <c r="D97" i="1"/>
  <c r="D98" i="1" s="1"/>
  <c r="L95" i="1"/>
  <c r="L94" i="1" s="1"/>
  <c r="D95" i="1"/>
  <c r="D94" i="1"/>
  <c r="Q93" i="1"/>
  <c r="P93" i="1"/>
  <c r="N93" i="1"/>
  <c r="M93" i="1" s="1"/>
  <c r="H93" i="1"/>
  <c r="I93" i="1" s="1"/>
  <c r="F93" i="1"/>
  <c r="E93" i="1"/>
  <c r="L88" i="1"/>
  <c r="L89" i="1" s="1"/>
  <c r="D88" i="1"/>
  <c r="D89" i="1" s="1"/>
  <c r="L86" i="1"/>
  <c r="D86" i="1"/>
  <c r="D85" i="1" s="1"/>
  <c r="L85" i="1"/>
  <c r="P84" i="1"/>
  <c r="Q84" i="1" s="1"/>
  <c r="N84" i="1"/>
  <c r="M84" i="1" s="1"/>
  <c r="H84" i="1"/>
  <c r="I84" i="1" s="1"/>
  <c r="F84" i="1"/>
  <c r="E84" i="1"/>
  <c r="I61" i="1"/>
  <c r="D72" i="1" s="1"/>
  <c r="C65" i="1"/>
  <c r="C70" i="1" s="1"/>
  <c r="D70" i="1" s="1"/>
  <c r="C32" i="1"/>
  <c r="D26" i="1" s="1"/>
  <c r="D5" i="1"/>
  <c r="B3" i="1"/>
  <c r="AU35" i="6" l="1"/>
  <c r="AO35" i="6"/>
  <c r="AG37" i="6"/>
  <c r="AM37" i="6"/>
  <c r="AS37" i="6"/>
  <c r="X16" i="6"/>
  <c r="Y16" i="6" s="1"/>
  <c r="X5" i="6"/>
  <c r="Y5" i="6" s="1"/>
  <c r="X32" i="6"/>
  <c r="Y32" i="6" s="1"/>
  <c r="X10" i="6"/>
  <c r="Y10" i="6" s="1"/>
  <c r="X19" i="6"/>
  <c r="Y19" i="6" s="1"/>
  <c r="AS39" i="6"/>
  <c r="AM39" i="6"/>
  <c r="AG39" i="6"/>
  <c r="AJ39" i="6" s="1"/>
  <c r="X18" i="6"/>
  <c r="Y18" i="6" s="1"/>
  <c r="AM35" i="6"/>
  <c r="AG35" i="6"/>
  <c r="AS35" i="6"/>
  <c r="X21" i="6"/>
  <c r="Y21" i="6" s="1"/>
  <c r="X34" i="6"/>
  <c r="Y34" i="6" s="1"/>
  <c r="X39" i="6"/>
  <c r="AT39" i="6"/>
  <c r="AN39" i="6"/>
  <c r="AH39" i="6"/>
  <c r="AO38" i="6"/>
  <c r="AU38" i="6"/>
  <c r="X13" i="6"/>
  <c r="Y13" i="6" s="1"/>
  <c r="AI35" i="6"/>
  <c r="X29" i="6"/>
  <c r="Y29" i="6" s="1"/>
  <c r="AN35" i="6"/>
  <c r="AH35" i="6"/>
  <c r="AT35" i="6"/>
  <c r="X8" i="6"/>
  <c r="Y8" i="6" s="1"/>
  <c r="X27" i="6"/>
  <c r="Y27" i="6" s="1"/>
  <c r="X9" i="6"/>
  <c r="Y9" i="6" s="1"/>
  <c r="X23" i="6"/>
  <c r="Y23" i="6" s="1"/>
  <c r="X24" i="6"/>
  <c r="Y24" i="6" s="1"/>
  <c r="AG36" i="6"/>
  <c r="AJ36" i="6" s="1"/>
  <c r="AS36" i="6"/>
  <c r="AV36" i="6" s="1"/>
  <c r="AM36" i="6"/>
  <c r="AP36" i="6" s="1"/>
  <c r="X12" i="6"/>
  <c r="Y12" i="6" s="1"/>
  <c r="X25" i="6"/>
  <c r="Y25" i="6" s="1"/>
  <c r="AU37" i="6"/>
  <c r="AO37" i="6"/>
  <c r="AS38" i="6"/>
  <c r="AG38" i="6"/>
  <c r="AM38" i="6"/>
  <c r="AP38" i="6" s="1"/>
  <c r="X4" i="6"/>
  <c r="Y4" i="6" s="1"/>
  <c r="AI38" i="6"/>
  <c r="AJ38" i="6" s="1"/>
  <c r="X26" i="6"/>
  <c r="Y26" i="6" s="1"/>
  <c r="X20" i="6"/>
  <c r="Y20" i="6" s="1"/>
  <c r="X17" i="6"/>
  <c r="Y17" i="6" s="1"/>
  <c r="X33" i="6"/>
  <c r="Y33" i="6" s="1"/>
  <c r="X14" i="6"/>
  <c r="Y14" i="6" s="1"/>
  <c r="X6" i="6"/>
  <c r="Y6" i="6" s="1"/>
  <c r="X30" i="6"/>
  <c r="Y30" i="6" s="1"/>
  <c r="X11" i="6"/>
  <c r="Y11" i="6" s="1"/>
  <c r="X22" i="6"/>
  <c r="Y22" i="6" s="1"/>
  <c r="X37" i="6"/>
  <c r="X7" i="6"/>
  <c r="Y7" i="6" s="1"/>
  <c r="X31" i="6"/>
  <c r="Y31" i="6" s="1"/>
  <c r="X38" i="6"/>
  <c r="X28" i="6"/>
  <c r="Y28" i="6" s="1"/>
  <c r="X15" i="6"/>
  <c r="Y15" i="6" s="1"/>
  <c r="X35" i="6"/>
  <c r="AJ37" i="6"/>
  <c r="G124" i="1"/>
  <c r="B122" i="1"/>
  <c r="B123" i="1"/>
  <c r="G122" i="1"/>
  <c r="D37" i="1"/>
  <c r="B35" i="1"/>
  <c r="D8" i="1"/>
  <c r="C38" i="1" s="1"/>
  <c r="P124" i="1"/>
  <c r="D23" i="1"/>
  <c r="D33" i="1"/>
  <c r="D19" i="1"/>
  <c r="E19" i="1" s="1"/>
  <c r="F19" i="1" s="1"/>
  <c r="G19" i="1" s="1"/>
  <c r="H19" i="1" s="1"/>
  <c r="D17" i="1"/>
  <c r="E17" i="1" s="1"/>
  <c r="F17" i="1" s="1"/>
  <c r="G17" i="1" s="1"/>
  <c r="H17" i="1" s="1"/>
  <c r="P123" i="1"/>
  <c r="D123" i="1"/>
  <c r="P122" i="1"/>
  <c r="D122" i="1"/>
  <c r="F12" i="1"/>
  <c r="AP37" i="6" l="1"/>
  <c r="AV37" i="6"/>
  <c r="AV39" i="6"/>
  <c r="AP39" i="6"/>
  <c r="AV38" i="6"/>
  <c r="AV35" i="6"/>
  <c r="AP35" i="6"/>
  <c r="AJ35" i="6"/>
  <c r="G12" i="1"/>
  <c r="F37" i="1"/>
  <c r="H12" i="1" l="1"/>
  <c r="G37" i="1"/>
  <c r="I12" i="1" l="1"/>
  <c r="H37" i="1"/>
  <c r="E44" i="1" l="1"/>
  <c r="I37" i="1"/>
  <c r="B44" i="1"/>
  <c r="B43" i="1"/>
  <c r="E14" i="1" l="1"/>
  <c r="E18" i="1" s="1"/>
  <c r="E32" i="1" l="1"/>
  <c r="E26" i="1" s="1"/>
  <c r="F14" i="1"/>
  <c r="F18" i="1" s="1"/>
  <c r="F21" i="1" s="1"/>
  <c r="F23" i="1" s="1"/>
  <c r="E16" i="1"/>
  <c r="E21" i="1"/>
  <c r="E23" i="1"/>
  <c r="E25" i="1"/>
  <c r="G14" i="1"/>
  <c r="E27" i="1"/>
  <c r="F16" i="1"/>
  <c r="F25" i="1" s="1"/>
  <c r="F32" i="1"/>
  <c r="F27" i="1" l="1"/>
  <c r="F26" i="1"/>
  <c r="F30" i="1"/>
  <c r="F38" i="1" s="1"/>
  <c r="F39" i="1" s="1"/>
  <c r="G16" i="1"/>
  <c r="G32" i="1"/>
  <c r="H14" i="1"/>
  <c r="G18" i="1"/>
  <c r="G27" i="1"/>
  <c r="E30" i="1"/>
  <c r="E38" i="1" s="1"/>
  <c r="E39" i="1" s="1"/>
  <c r="G21" i="1" l="1"/>
  <c r="G23" i="1" s="1"/>
  <c r="H27" i="1"/>
  <c r="H32" i="1"/>
  <c r="H26" i="1" s="1"/>
  <c r="I14" i="1"/>
  <c r="H18" i="1"/>
  <c r="H16" i="1"/>
  <c r="G25" i="1"/>
  <c r="G26" i="1"/>
  <c r="H25" i="1" l="1"/>
  <c r="H21" i="1"/>
  <c r="H23" i="1" s="1"/>
  <c r="G30" i="1"/>
  <c r="G38" i="1" s="1"/>
  <c r="G39" i="1" s="1"/>
  <c r="I27" i="1"/>
  <c r="I18" i="1"/>
  <c r="I16" i="1"/>
  <c r="I32" i="1"/>
  <c r="I26" i="1"/>
  <c r="H30" i="1" l="1"/>
  <c r="H38" i="1" s="1"/>
  <c r="H39" i="1" s="1"/>
  <c r="I21" i="1"/>
  <c r="I23" i="1" s="1"/>
  <c r="I42" i="1"/>
  <c r="I44" i="1" s="1"/>
  <c r="I45" i="1" s="1"/>
  <c r="I25" i="1"/>
  <c r="I30" i="1" l="1"/>
  <c r="I38" i="1" s="1"/>
  <c r="C43" i="1"/>
  <c r="C44" i="1" s="1"/>
  <c r="C51" i="1" l="1"/>
  <c r="C45" i="1"/>
  <c r="I39" i="1"/>
  <c r="C46" i="1" s="1"/>
  <c r="I51" i="1"/>
  <c r="I46" i="1" l="1"/>
  <c r="C47" i="1"/>
  <c r="C69" i="1" s="1"/>
  <c r="C49" i="1" l="1"/>
  <c r="C78" i="1"/>
  <c r="C77" i="1"/>
  <c r="L84" i="1" s="1"/>
  <c r="C76" i="1"/>
  <c r="C71" i="1"/>
  <c r="C73" i="1" s="1"/>
  <c r="D84" i="1" s="1"/>
  <c r="I47" i="1"/>
  <c r="C50" i="1"/>
  <c r="D69" i="1" l="1"/>
  <c r="I49" i="1"/>
  <c r="I50" i="1"/>
  <c r="D77" i="1" l="1"/>
  <c r="L93" i="1" s="1"/>
  <c r="D76" i="1"/>
  <c r="D78" i="1"/>
  <c r="D71" i="1"/>
  <c r="D73" i="1" s="1"/>
  <c r="D9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Matan Feldman</author>
    <author>tc={5E10299A-67A1-FC4B-9720-FD1EF2B09E09}</author>
    <author>tc={0040A186-79A7-D145-B5F6-72B1774B73B7}</author>
    <author>tc={18ECD44A-5814-874F-9A40-D83E1D291953}</author>
    <author>Wall Street Prep</author>
  </authors>
  <commentList>
    <comment ref="H7" authorId="0" shapeId="0" xr:uid="{E6753957-5D49-2C4A-8BF7-B8628872BF6E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1 = Midyear CF
0 = End of year CF</t>
        </r>
      </text>
    </comment>
    <comment ref="D15" authorId="1" shapeId="0" xr:uid="{5E10299A-67A1-FC4B-9720-FD1EF2B09E09}">
      <text>
        <t>[Threaded comment]
Your version of Excel allows you to read this threaded comment; however, any edits to it will get removed if the file is opened in a newer version of Excel. Learn more: https://go.microsoft.com/fwlink/?linkid=870924
Comment:
    10-year CAGR average</t>
      </text>
    </comment>
    <comment ref="D22" authorId="2" shapeId="0" xr:uid="{0040A186-79A7-D145-B5F6-72B1774B73B7}">
      <text>
        <t>[Threaded comment]
Your version of Excel allows you to read this threaded comment; however, any edits to it will get removed if the file is opened in a newer version of Excel. Learn more: https://go.microsoft.com/fwlink/?linkid=870924
Comment:
    10 Year Average of Tax Rate</t>
      </text>
    </comment>
    <comment ref="B23" authorId="0" shapeId="0" xr:uid="{8BDDC1F9-AEEA-1B42-8756-D355B0DF0250}">
      <text>
        <r>
          <rPr>
            <b/>
            <sz val="9"/>
            <color indexed="81"/>
            <rFont val="Tahoma"/>
            <family val="2"/>
          </rPr>
          <t>Matan Feldman:</t>
        </r>
        <r>
          <rPr>
            <sz val="9"/>
            <color indexed="81"/>
            <rFont val="Tahoma"/>
            <family val="2"/>
          </rPr>
          <t xml:space="preserve">
NOPAT stands for net operating profit after taxes.  It represents a company's operating profits less tax expense on operations.  This means that the tax deductions due to interest expense are ignored in this buildup and are instead captured in the discount rate.</t>
        </r>
      </text>
    </comment>
    <comment ref="E33" authorId="3" shapeId="0" xr:uid="{18ECD44A-5814-874F-9A40-D83E1D291953}">
      <text>
        <t>[Threaded comment]
Your version of Excel allows you to read this threaded comment; however, any edits to it will get removed if the file is opened in a newer version of Excel. Learn more: https://go.microsoft.com/fwlink/?linkid=870924
Comment:
    10 Year Mean of NWC</t>
      </text>
    </comment>
    <comment ref="E38" authorId="0" shapeId="0" xr:uid="{D0A139BF-E023-A348-B8A7-FD40D61DA95C}">
      <text>
        <r>
          <rPr>
            <b/>
            <sz val="9"/>
            <color rgb="FF000000"/>
            <rFont val="Tahoma"/>
            <family val="2"/>
          </rPr>
          <t>Matan Feldman: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Stub year adjusted</t>
        </r>
      </text>
    </comment>
    <comment ref="I51" authorId="4" shapeId="0" xr:uid="{8F4D3340-468C-064C-ACE2-0334F5A75FEC}">
      <text>
        <r>
          <rPr>
            <b/>
            <sz val="9"/>
            <color rgb="FF000000"/>
            <rFont val="Tahoma"/>
            <family val="2"/>
          </rPr>
          <t>Wall Street Prep: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Implied g = [r -FCF(t)/TV]/(1+FCF(t)/TV)
</t>
        </r>
      </text>
    </comment>
    <comment ref="B57" authorId="0" shapeId="0" xr:uid="{74C041FA-506D-0545-9EE6-8E9221AD757E}">
      <text>
        <r>
          <rPr>
            <b/>
            <sz val="9"/>
            <color indexed="81"/>
            <rFont val="Tahoma"/>
            <family val="2"/>
          </rPr>
          <t>Matan Feldman:</t>
        </r>
        <r>
          <rPr>
            <sz val="9"/>
            <color indexed="81"/>
            <rFont val="Tahoma"/>
            <family val="2"/>
          </rPr>
          <t xml:space="preserve">
Include all debt tranches</t>
        </r>
      </text>
    </comment>
    <comment ref="I57" authorId="0" shapeId="0" xr:uid="{6B139690-AAE2-714F-B6D3-FC5F9787E835}">
      <text>
        <r>
          <rPr>
            <b/>
            <sz val="9"/>
            <color indexed="81"/>
            <rFont val="Tahoma"/>
            <family val="2"/>
          </rPr>
          <t>Matan Feldman:</t>
        </r>
        <r>
          <rPr>
            <sz val="9"/>
            <color indexed="81"/>
            <rFont val="Tahoma"/>
            <family val="2"/>
          </rPr>
          <t xml:space="preserve">
Source: Q1 2020 10Q p.19 </t>
        </r>
      </text>
    </comment>
    <comment ref="B62" authorId="0" shapeId="0" xr:uid="{DD6ADC15-DD8D-B44A-86AF-F5118C1C0DDC}">
      <text>
        <r>
          <rPr>
            <b/>
            <sz val="9"/>
            <color rgb="FF000000"/>
            <rFont val="Tahoma"/>
            <family val="2"/>
          </rPr>
          <t>Matan Feldman: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Include cash &amp; equivalents, short term and long term marketable securites and investments</t>
        </r>
      </text>
    </comment>
  </commentList>
</comments>
</file>

<file path=xl/sharedStrings.xml><?xml version="1.0" encoding="utf-8"?>
<sst xmlns="http://schemas.openxmlformats.org/spreadsheetml/2006/main" count="1022" uniqueCount="350">
  <si>
    <t>Discounted Cash Flow Valuation</t>
  </si>
  <si>
    <t>Most recent fiscal year end</t>
  </si>
  <si>
    <t>Discount rate (WACC)</t>
  </si>
  <si>
    <t>End of first fiscal year</t>
  </si>
  <si>
    <t>Share price (Public Co)</t>
  </si>
  <si>
    <t>Most recent quarter end date</t>
  </si>
  <si>
    <t>Share price date</t>
  </si>
  <si>
    <t xml:space="preserve">Valuation date </t>
  </si>
  <si>
    <t>Midyear adjustment?</t>
  </si>
  <si>
    <t>Portion of year 1 cash flows in forecast</t>
  </si>
  <si>
    <t>Unlevered Free Cash Flows</t>
  </si>
  <si>
    <t>Actual</t>
  </si>
  <si>
    <t>Forecasts</t>
  </si>
  <si>
    <t>Fiscal year ended</t>
  </si>
  <si>
    <t>Revenue</t>
  </si>
  <si>
    <t>% growth</t>
  </si>
  <si>
    <t>EBITDA</t>
  </si>
  <si>
    <t>% margin</t>
  </si>
  <si>
    <t>EBIT</t>
  </si>
  <si>
    <t>Tax on EBIT</t>
  </si>
  <si>
    <t>Tax rate</t>
  </si>
  <si>
    <t>NOPAT (aka EBIAT)</t>
  </si>
  <si>
    <t>Depreciation &amp; amortization</t>
  </si>
  <si>
    <t>Changes in net working capital</t>
  </si>
  <si>
    <t>Capital expenditures</t>
  </si>
  <si>
    <t>as % of revenue</t>
  </si>
  <si>
    <t>Unlevered free cash flows (UFCF)</t>
  </si>
  <si>
    <t>Val date</t>
  </si>
  <si>
    <t xml:space="preserve">Yr 1 - Stub </t>
  </si>
  <si>
    <t>Year 2</t>
  </si>
  <si>
    <t>Year 3</t>
  </si>
  <si>
    <t>Year 4</t>
  </si>
  <si>
    <t>Year 5</t>
  </si>
  <si>
    <t>Date for discounting cash flows</t>
  </si>
  <si>
    <t>Unlevered free cash flows (UFCF) stub adjusted</t>
  </si>
  <si>
    <t>Present value of of unlevered free cash flows</t>
  </si>
  <si>
    <t>Terminal value - growth in perpetuity approach</t>
  </si>
  <si>
    <t>Terminal value - EBITDA multiple approach</t>
  </si>
  <si>
    <t>Long term growth rate</t>
  </si>
  <si>
    <t>Terminal year EBITDA</t>
  </si>
  <si>
    <t>EBITDA multiple</t>
  </si>
  <si>
    <t>Present value of terminal value</t>
  </si>
  <si>
    <t>Present value of stage 1 cash flows</t>
  </si>
  <si>
    <t>Total enterprise value (TEV)</t>
  </si>
  <si>
    <t>Enterprise value (stage 1 + 2)</t>
  </si>
  <si>
    <t>Terminal value as % of TEV</t>
  </si>
  <si>
    <t>Stage 1 cash flows as % of TEV</t>
  </si>
  <si>
    <t>Implied TV exit EBITDA multiple</t>
  </si>
  <si>
    <t>Implied terminal growth rate</t>
  </si>
  <si>
    <t>Net debt</t>
  </si>
  <si>
    <t>Shares outstanding</t>
  </si>
  <si>
    <t>Source doc</t>
  </si>
  <si>
    <t>Q1 2020 10Q</t>
  </si>
  <si>
    <t>Source date</t>
  </si>
  <si>
    <t>Date</t>
  </si>
  <si>
    <t>Shares</t>
  </si>
  <si>
    <t>Gross debt and equivalents</t>
  </si>
  <si>
    <t>Basic shares</t>
  </si>
  <si>
    <t>Debt</t>
  </si>
  <si>
    <t>Restricted stock / RSUs</t>
  </si>
  <si>
    <t>Convertible debt</t>
  </si>
  <si>
    <t>Options / warrants</t>
  </si>
  <si>
    <t>Preferred stock</t>
  </si>
  <si>
    <t>Noncontrolling (minority) interests</t>
  </si>
  <si>
    <t>Convertible preferred stock</t>
  </si>
  <si>
    <t>Nonoperating assets</t>
  </si>
  <si>
    <t>Net diluted shares outstanding</t>
  </si>
  <si>
    <t xml:space="preserve">Cash </t>
  </si>
  <si>
    <t xml:space="preserve">Equity investments </t>
  </si>
  <si>
    <t>Valuation</t>
  </si>
  <si>
    <t>Perpetuity</t>
  </si>
  <si>
    <t>Enterprise value</t>
  </si>
  <si>
    <t xml:space="preserve">Equity value </t>
  </si>
  <si>
    <t>Equity value per share</t>
  </si>
  <si>
    <t>Year 1 Multiples</t>
  </si>
  <si>
    <t>EV / Revenue</t>
  </si>
  <si>
    <t xml:space="preserve">EV / EBITDA </t>
  </si>
  <si>
    <t>EV / EBIT</t>
  </si>
  <si>
    <t>Outputs</t>
  </si>
  <si>
    <t>Year 1 EBITDA multiple</t>
  </si>
  <si>
    <t>Long term growth rate (g):</t>
  </si>
  <si>
    <t>WACC:</t>
  </si>
  <si>
    <t xml:space="preserve">Data </t>
  </si>
  <si>
    <t>Tables</t>
  </si>
  <si>
    <t>Exit EBITDA Multiple</t>
  </si>
  <si>
    <t>Equity value range</t>
  </si>
  <si>
    <t>Football field</t>
  </si>
  <si>
    <t>Low</t>
  </si>
  <si>
    <t>Diff.</t>
  </si>
  <si>
    <t>High</t>
  </si>
  <si>
    <t>52 Week Market High/Low</t>
  </si>
  <si>
    <t>British Airways Plc (UK) &gt; Financials &gt; Income Statement</t>
  </si>
  <si>
    <t>In Millions of the reported currency, except per share items.</t>
  </si>
  <si>
    <t>Template:</t>
  </si>
  <si>
    <t>Standard</t>
  </si>
  <si>
    <t> </t>
  </si>
  <si>
    <t>Restatement:</t>
  </si>
  <si>
    <t>Latest Filings</t>
  </si>
  <si>
    <t>Period Type:</t>
  </si>
  <si>
    <t>Annual</t>
  </si>
  <si>
    <t>Order:</t>
  </si>
  <si>
    <t>Latest on Right</t>
  </si>
  <si>
    <t>Currency:</t>
  </si>
  <si>
    <t>Reported Currency</t>
  </si>
  <si>
    <t>Conversion:</t>
  </si>
  <si>
    <t>Historical</t>
  </si>
  <si>
    <t>Units:</t>
  </si>
  <si>
    <t>S&amp;P Capital IQ (Default)</t>
  </si>
  <si>
    <t>Decimals:</t>
  </si>
  <si>
    <t>Capital IQ (Default)</t>
  </si>
  <si>
    <t>Source:</t>
  </si>
  <si>
    <t>Capital IQ &amp; Proprietary Data</t>
  </si>
  <si>
    <t>Income Statement</t>
  </si>
  <si>
    <t xml:space="preserve">For the Fiscal Period Ending
</t>
  </si>
  <si>
    <t>12 months
Dec-31-2010</t>
  </si>
  <si>
    <t>Reclassified
12 months
Dec-31-2011</t>
  </si>
  <si>
    <t>Restated
12 months
Dec-31-2012</t>
  </si>
  <si>
    <t>12 months
Dec-31-2013</t>
  </si>
  <si>
    <t>12 months
Dec-31-2014</t>
  </si>
  <si>
    <t>Reclassified
12 months
Dec-31-2015</t>
  </si>
  <si>
    <t>Reclassified
12 months
Dec-31-2016</t>
  </si>
  <si>
    <t>Restated
12 months
Dec-31-2017</t>
  </si>
  <si>
    <t>Reclassified
12 months
Dec-31-2018</t>
  </si>
  <si>
    <t>12 months
Dec-31-2019</t>
  </si>
  <si>
    <t>LTM
12 months
Jun-30-2020</t>
  </si>
  <si>
    <t>Currency</t>
  </si>
  <si>
    <t>GBP</t>
  </si>
  <si>
    <t xml:space="preserve"> </t>
  </si>
  <si>
    <t>Other Revenue</t>
  </si>
  <si>
    <t xml:space="preserve">  Total Revenue</t>
  </si>
  <si>
    <t>Cost Of Goods Sold</t>
  </si>
  <si>
    <t xml:space="preserve">  Gross Profit</t>
  </si>
  <si>
    <t>Selling General &amp; Admin Exp.</t>
  </si>
  <si>
    <t>R &amp; D Exp.</t>
  </si>
  <si>
    <t>-</t>
  </si>
  <si>
    <t>Depreciation &amp; Amort.</t>
  </si>
  <si>
    <t>Other Operating Expense/(Income)</t>
  </si>
  <si>
    <t xml:space="preserve">  Other Operating Exp., Total</t>
  </si>
  <si>
    <t xml:space="preserve">  Operating Income</t>
  </si>
  <si>
    <t>Interest Expense</t>
  </si>
  <si>
    <t>Interest and Invest. Income</t>
  </si>
  <si>
    <t xml:space="preserve">  Net Interest Exp.</t>
  </si>
  <si>
    <t>Income/(Loss) from Affiliates</t>
  </si>
  <si>
    <t>Currency Exchange Gains (Loss)</t>
  </si>
  <si>
    <t>Other Non-Operating Inc. (Exp.)</t>
  </si>
  <si>
    <t xml:space="preserve">  EBT Excl. Unusual Items</t>
  </si>
  <si>
    <t>Restructuring Charges</t>
  </si>
  <si>
    <t>Merger &amp; Related Restruct. Charges</t>
  </si>
  <si>
    <t>Impairment of Goodwill</t>
  </si>
  <si>
    <t>Gain (Loss) On Sale Of Invest.</t>
  </si>
  <si>
    <t>Gain (Loss) On Sale Of Assets</t>
  </si>
  <si>
    <t>Asset Writedown</t>
  </si>
  <si>
    <t>Legal Settlements</t>
  </si>
  <si>
    <t>Other Unusual Items</t>
  </si>
  <si>
    <t xml:space="preserve">  EBT Incl. Unusual Items</t>
  </si>
  <si>
    <t>Income Tax Expense</t>
  </si>
  <si>
    <t xml:space="preserve">  Earnings from Cont. Ops.</t>
  </si>
  <si>
    <t>Earnings of Discontinued Ops.</t>
  </si>
  <si>
    <t>Extraord. Item &amp; Account. Change</t>
  </si>
  <si>
    <t xml:space="preserve">  Net Income to Company</t>
  </si>
  <si>
    <t>Minority Int. in Earnings</t>
  </si>
  <si>
    <t xml:space="preserve">  Net Income</t>
  </si>
  <si>
    <t>Pref. Dividends and Other Adj.</t>
  </si>
  <si>
    <t xml:space="preserve">  NI to Common Incl Extra Items</t>
  </si>
  <si>
    <t xml:space="preserve">  NI to Common Excl. Extra Items</t>
  </si>
  <si>
    <t>Per Share Items</t>
  </si>
  <si>
    <t>Basic EPS</t>
  </si>
  <si>
    <t>NA</t>
  </si>
  <si>
    <t>Basic EPS Excl. Extra Items</t>
  </si>
  <si>
    <t>Weighted Avg. Basic Shares Out.</t>
  </si>
  <si>
    <t>Diluted EPS</t>
  </si>
  <si>
    <t>Diluted EPS Excl. Extra Items</t>
  </si>
  <si>
    <t>Weighted Avg. Diluted Shares Out.</t>
  </si>
  <si>
    <t>Normalized Basic EPS</t>
  </si>
  <si>
    <t>Normalized Diluted EPS</t>
  </si>
  <si>
    <t>Dividends per Share</t>
  </si>
  <si>
    <t>Payout Ratio %</t>
  </si>
  <si>
    <t>NM</t>
  </si>
  <si>
    <t>Shares per Depository Receipt</t>
  </si>
  <si>
    <t>Supplemental Items</t>
  </si>
  <si>
    <t>EBITA</t>
  </si>
  <si>
    <t>EBITDAR</t>
  </si>
  <si>
    <t>As Reported Total Revenue*</t>
  </si>
  <si>
    <t>Effective Tax Rate %</t>
  </si>
  <si>
    <t>Current Domestic Taxes</t>
  </si>
  <si>
    <t>Current Foreign Taxes</t>
  </si>
  <si>
    <t>Total Current Taxes</t>
  </si>
  <si>
    <t>Total Deferred Taxes</t>
  </si>
  <si>
    <t>Normalized Net Income</t>
  </si>
  <si>
    <t>Interest Capitalized</t>
  </si>
  <si>
    <t>Interest on Long Term Debt</t>
  </si>
  <si>
    <t>Non-Cash Pension Expense</t>
  </si>
  <si>
    <t>Filing Date</t>
  </si>
  <si>
    <t>Restatement Type</t>
  </si>
  <si>
    <t>NC</t>
  </si>
  <si>
    <t>RC</t>
  </si>
  <si>
    <t>RS</t>
  </si>
  <si>
    <t>RD</t>
  </si>
  <si>
    <t>O</t>
  </si>
  <si>
    <t>Calculation Type</t>
  </si>
  <si>
    <t>ANNU</t>
  </si>
  <si>
    <t>REP</t>
  </si>
  <si>
    <t>LTM</t>
  </si>
  <si>
    <t>Supplemental Operating Expense Items</t>
  </si>
  <si>
    <t>Selling and Marketing Exp.</t>
  </si>
  <si>
    <t>Net Rental Exp.</t>
  </si>
  <si>
    <t>Imputed Oper. Lease Interest Exp.</t>
  </si>
  <si>
    <t>Imputed Oper. Lease Depreciation</t>
  </si>
  <si>
    <t>Stock-Based Comp., COGS</t>
  </si>
  <si>
    <t xml:space="preserve">  Stock-Based Comp., Total</t>
  </si>
  <si>
    <t>* Occasionally, certain items classified as Revenue by the company will be re-classified as other income if it is deemed to be non-recurring and unrelated to the core business of the firm. This field shows Total Revenue exactly as reported by the firm on its consolidated statement of income.</t>
  </si>
  <si>
    <t>Note: For multiple class companies, per share items are primary class equivalent, and for foreign companies listed as primary ADRs, per share items are ADR-equivalent.</t>
  </si>
  <si>
    <t xml:space="preserve">
               </t>
  </si>
  <si>
    <t>Year</t>
  </si>
  <si>
    <t>Filing Date As Of</t>
  </si>
  <si>
    <t>Dec-31-2010</t>
  </si>
  <si>
    <t>Dec-31-2011</t>
  </si>
  <si>
    <t>Dec-31-2012</t>
  </si>
  <si>
    <t>Dec-31-2013</t>
  </si>
  <si>
    <t>Dec-31-2014</t>
  </si>
  <si>
    <t>Dec-31-2015</t>
  </si>
  <si>
    <t>Dec-31-2016</t>
  </si>
  <si>
    <t>Dec-31-2017</t>
  </si>
  <si>
    <t>Dec-31-2018</t>
  </si>
  <si>
    <t>Dec-31-2019</t>
  </si>
  <si>
    <t>Jun-30-2020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</si>
  <si>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</si>
  <si>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</si>
  <si>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</si>
  <si>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</si>
  <si>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</si>
  <si>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</si>
  <si>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</si>
  <si>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</si>
  <si>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</si>
  <si>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</si>
  <si>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</si>
  <si>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Revenue Growth Rate %</t>
  </si>
  <si>
    <t>Average 10-Year Revenue Growth Rate (CAGR)</t>
  </si>
  <si>
    <t>Average 10-Year Revenue Growth Rate (Mean)</t>
  </si>
  <si>
    <t>Average Tax Rate (Mean)</t>
  </si>
  <si>
    <t>British Airways Plc (UK) &gt; Financials &gt; Balance Sheet</t>
  </si>
  <si>
    <t>Balance Sheet</t>
  </si>
  <si>
    <t xml:space="preserve">Balance Sheet as of:
</t>
  </si>
  <si>
    <t>Restated
Dec-31-2012</t>
  </si>
  <si>
    <t>Restated
Dec-31-2017</t>
  </si>
  <si>
    <t>Restated
Dec-31-2018</t>
  </si>
  <si>
    <t>ASSETS</t>
  </si>
  <si>
    <t>Cash And Equivalents</t>
  </si>
  <si>
    <t>Short Term Investments</t>
  </si>
  <si>
    <t xml:space="preserve">  Total Cash &amp; ST Investments</t>
  </si>
  <si>
    <t>Accounts Receivable</t>
  </si>
  <si>
    <t>Other Receivables</t>
  </si>
  <si>
    <t>Notes Receivable</t>
  </si>
  <si>
    <t xml:space="preserve">  Total Receivables</t>
  </si>
  <si>
    <t>Inventory</t>
  </si>
  <si>
    <t>Prepaid Exp.</t>
  </si>
  <si>
    <t>Other Current Assets</t>
  </si>
  <si>
    <t xml:space="preserve">  Total Current Assets</t>
  </si>
  <si>
    <t>Gross Property, Plant &amp; Equipment</t>
  </si>
  <si>
    <t>Accumulated Depreciation</t>
  </si>
  <si>
    <t xml:space="preserve">  Net Property, Plant &amp; Equipment</t>
  </si>
  <si>
    <t>Long-term Investments</t>
  </si>
  <si>
    <t>Goodwill</t>
  </si>
  <si>
    <t>Other Intangibles</t>
  </si>
  <si>
    <t>Loans Receivable Long-Term</t>
  </si>
  <si>
    <t>Other Long-Term Assets</t>
  </si>
  <si>
    <t>Total Assets</t>
  </si>
  <si>
    <t>LIABILITIES</t>
  </si>
  <si>
    <t>Accounts Payable</t>
  </si>
  <si>
    <t>Accrued Exp.</t>
  </si>
  <si>
    <t>Short-term Borrowings</t>
  </si>
  <si>
    <t>Curr. Port. of LT Debt</t>
  </si>
  <si>
    <t>Curr. Port. of Leases</t>
  </si>
  <si>
    <t>Curr. Income Taxes Payable</t>
  </si>
  <si>
    <t>Unearned Revenue, Current</t>
  </si>
  <si>
    <t>Other Current Liabilities</t>
  </si>
  <si>
    <t xml:space="preserve">  Total Current Liabilities</t>
  </si>
  <si>
    <t>Long-Term Debt</t>
  </si>
  <si>
    <t>Long-Term Leases</t>
  </si>
  <si>
    <t>Unearned Revenue, Non-Current</t>
  </si>
  <si>
    <t>Pension &amp; Other Post-Retire. Benefits</t>
  </si>
  <si>
    <t>Def. Tax Liability, Non-Curr.</t>
  </si>
  <si>
    <t>Other Non-Current Liabilities</t>
  </si>
  <si>
    <t>Total Liabilities</t>
  </si>
  <si>
    <t>Common Stock</t>
  </si>
  <si>
    <t>Additional Paid In Capital</t>
  </si>
  <si>
    <t>Retained Earnings</t>
  </si>
  <si>
    <t>Treasury Stock</t>
  </si>
  <si>
    <t>Comprehensive Inc. and Other</t>
  </si>
  <si>
    <t xml:space="preserve">  Total Common Equity</t>
  </si>
  <si>
    <t>Minority Interest</t>
  </si>
  <si>
    <t>Total Equity</t>
  </si>
  <si>
    <t>Total Liabilities And Equity</t>
  </si>
  <si>
    <t>Total Shares Out. on Filing Date</t>
  </si>
  <si>
    <t>Total Shares Out. on Balance Sheet Date</t>
  </si>
  <si>
    <t>Book Value/Share</t>
  </si>
  <si>
    <t>Tangible Book Value</t>
  </si>
  <si>
    <t>Tangible Book Value/Share</t>
  </si>
  <si>
    <t>Total Debt</t>
  </si>
  <si>
    <t>Net Debt</t>
  </si>
  <si>
    <t>Debt Equiv. of Unfunded Proj. Benefit Obligation</t>
  </si>
  <si>
    <t>Debt Equivalent Oper. Leases</t>
  </si>
  <si>
    <t>Total Minority Interest</t>
  </si>
  <si>
    <t>Equity Method Investments</t>
  </si>
  <si>
    <t>Inventory Method</t>
  </si>
  <si>
    <t>Avg Cost</t>
  </si>
  <si>
    <t>Raw Materials Inventory</t>
  </si>
  <si>
    <t>Machinery</t>
  </si>
  <si>
    <t>Full Time Employees</t>
  </si>
  <si>
    <t>Accum. Allowance for Doubtful Accts</t>
  </si>
  <si>
    <t>Note: For multiple class companies, total share counts are primary class equivalent, and for foreign companies listed as primary ADRs, total share counts are ADR-equivalent.</t>
  </si>
  <si>
    <t>Net working capital (Current Assets - Current liabilities)</t>
  </si>
  <si>
    <t>Net Working Capital</t>
  </si>
  <si>
    <t>NWC as % of Revenue</t>
  </si>
  <si>
    <t>Average NWC  (Mean)</t>
  </si>
  <si>
    <t>Shares Outstanding</t>
  </si>
  <si>
    <t>Net Income (mil GBP, 2019)</t>
  </si>
  <si>
    <t>EPS (2019)</t>
  </si>
  <si>
    <t>East Asia &amp; Pacific</t>
  </si>
  <si>
    <t>South Asia</t>
  </si>
  <si>
    <t>Combined Other Five Regions</t>
  </si>
  <si>
    <t>GDP per capita</t>
  </si>
  <si>
    <t>Population, total</t>
  </si>
  <si>
    <t>East Asia</t>
  </si>
  <si>
    <t>Total</t>
  </si>
  <si>
    <t>Intercept</t>
  </si>
  <si>
    <t>log_GDP_per_capita</t>
  </si>
  <si>
    <t>log_Population_total</t>
  </si>
  <si>
    <t>log_Investment_total_perc_gdp</t>
  </si>
  <si>
    <t>Regressions</t>
  </si>
  <si>
    <t>Coefficient</t>
  </si>
  <si>
    <t>std error</t>
  </si>
  <si>
    <t>P-Value</t>
  </si>
  <si>
    <t>t-statistic</t>
  </si>
  <si>
    <t>Total investment, % of GDP</t>
  </si>
  <si>
    <t>Level</t>
  </si>
  <si>
    <t>Log</t>
  </si>
  <si>
    <t>Regression 1b: East Asia</t>
  </si>
  <si>
    <t>Regression 2b: South Asia</t>
  </si>
  <si>
    <t>Regression 3b: Other Five Regions</t>
  </si>
  <si>
    <t>Residual</t>
  </si>
  <si>
    <t>Actual Less Predicted Total</t>
  </si>
  <si>
    <t>Baseline Model</t>
  </si>
  <si>
    <t>Other Five</t>
  </si>
  <si>
    <t>Predicted</t>
  </si>
  <si>
    <t>Analysis</t>
  </si>
  <si>
    <t>Sensitivity Analysis X: Low Expansion</t>
  </si>
  <si>
    <t>Sensitivity Analysis 1: Medium Expansion</t>
  </si>
  <si>
    <t>Sensitivity Analysis 2: High 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</si>
</sst>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7" formatCode="&quot;$&quot;#,##0.00_);\(&quot;$&quot;#,##0.00\)"/>
    <numFmt numFmtId="43" formatCode="_(* #,##0.00_);_(* \(#,##0.00\);_(* &quot;-&quot;??_);_(@_)"/>
    <numFmt numFmtId="164" formatCode="0.0%_);\(0.0%\);@_)"/>
    <numFmt numFmtId="165" formatCode="#,##0_);\(#,##0\);@_)"/>
    <numFmt numFmtId="166" formatCode="_(#,##0.0%_);\(#,##0.0%\);_(&quot;–&quot;_)_%;_(@_)_%"/>
    <numFmt numFmtId="167" formatCode="m/d/yy;@"/>
    <numFmt numFmtId="168" formatCode="0000\A"/>
    <numFmt numFmtId="169" formatCode="0000\P"/>
    <numFmt numFmtId="170" formatCode="0.0\x_);\(0.0\x\);@_)"/>
    <numFmt numFmtId="171" formatCode="0.000%_);\(0.000%\);@_)"/>
    <numFmt numFmtId="172" formatCode="#,##0.000_);\(#,##0.000\);@_)"/>
    <numFmt numFmtId="173" formatCode="#,##0.000_);\(#,##0.000\)"/>
    <numFmt numFmtId="174" formatCode="#,##0.000"/>
    <numFmt numFmtId="175" formatCode="_([$$]#,##0_)_%;\([$$]#,##0\)_%;_(&quot;–&quot;_)_%;_(@_)_%"/>
    <numFmt numFmtId="176" formatCode="&quot;$&quot;#,##0.00_);\(&quot;$&quot;#,##0.00\);@_)"/>
    <numFmt numFmtId="177" formatCode="_(0.0_)_'_x;_(\(0.0\)_';_(&quot;–&quot;_)_%;_(@_)_%"/>
    <numFmt numFmtId="178" formatCode="_(0.0\x_)_';_(\(0.0\x\)_';_(&quot;–&quot;_)_%;_(@_)_%"/>
    <numFmt numFmtId="179" formatCode="0.0%"/>
    <numFmt numFmtId="180" formatCode="#,##0.00_);\(#,##0.00\);\-_);@_)"/>
    <numFmt numFmtId="181" formatCode="#,##0.0_);\(#,##0.0\);\-_);@_)"/>
    <numFmt numFmtId="182" formatCode="_(#,##0.00%_);\(#,##0.00%\);_(&quot;–&quot;_)_%;_(@_)_%"/>
    <numFmt numFmtId="183" formatCode="_(* #,##0.0_);_(* \(#,##0.0\)_)\ ;_(* 0_)"/>
    <numFmt numFmtId="184" formatCode="_(* #,##0.0#_);_(* \(#,##0.0#\)_)\ ;_(* 0_)"/>
    <numFmt numFmtId="185" formatCode="_(#,##0.0%_);_(\(#,##0.0%\)_);_(#,##0.0%_)"/>
    <numFmt numFmtId="186" formatCode="_(* #,##0.0##_);_(* \(#,##0.0##\)_)\ ;_(* 0_)"/>
    <numFmt numFmtId="187" formatCode="mmm\-dd\-yyyy"/>
    <numFmt numFmtId="188" formatCode="_(* #,##0_);_(* \(#,##0\)_)\ ;_(* 0_)"/>
    <numFmt numFmtId="189" formatCode="_-[$£-809]* #,##0.00_-;\-[$£-809]* #,##0.00_-;_-[$£-809]* &quot;-&quot;??_-;_-@_-"/>
    <numFmt numFmtId="190" formatCode="_(* #,##0_);_(* \(#,##0\);_(* &quot;-&quot;??_);_(@_)"/>
    <numFmt numFmtId="196" formatCode="0.000"/>
  </numFmts>
  <fonts count="4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singleAccounting"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b/>
      <sz val="13"/>
      <color indexed="8"/>
      <name val="Verdana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9"/>
      <name val="Verdana"/>
      <family val="2"/>
    </font>
    <font>
      <sz val="1"/>
      <color indexed="9"/>
      <name val="Symbol"/>
      <charset val="2"/>
    </font>
    <font>
      <b/>
      <sz val="8"/>
      <color indexed="8"/>
      <name val="Arial"/>
      <family val="2"/>
    </font>
    <font>
      <b/>
      <i/>
      <sz val="8"/>
      <color indexed="8"/>
      <name val="Arial"/>
      <family val="2"/>
    </font>
    <font>
      <b/>
      <u val="double"/>
      <sz val="8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sz val="13"/>
      <color indexed="8"/>
      <name val="Verdana"/>
      <family val="2"/>
    </font>
    <font>
      <sz val="8"/>
      <name val="Arial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b/>
      <sz val="8"/>
      <color indexed="9"/>
      <name val="Verdana"/>
      <family val="2"/>
    </font>
    <font>
      <sz val="1"/>
      <color indexed="9"/>
      <name val="Symbol"/>
      <charset val="2"/>
    </font>
    <font>
      <b/>
      <i/>
      <sz val="8"/>
      <color indexed="8"/>
      <name val="Arial"/>
      <family val="2"/>
    </font>
    <font>
      <b/>
      <u val="double"/>
      <sz val="8"/>
      <color indexed="8"/>
      <name val="Arial"/>
      <family val="2"/>
    </font>
    <font>
      <b/>
      <u/>
      <sz val="8"/>
      <color indexed="8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4"/>
      <color rgb="FF000000"/>
      <name val="Courier New"/>
      <family val="1"/>
    </font>
  </fonts>
  <fills count="11">
    <fill>
      <patternFill patternType="none"/>
    </fill>
    <fill>
      <patternFill patternType="gray125"/>
    </fill>
    <fill>
      <patternFill patternType="solid">
        <fgColor rgb="FFD2F2FF"/>
        <bgColor rgb="FF000000"/>
      </patternFill>
    </fill>
    <fill>
      <patternFill patternType="solid">
        <fgColor rgb="FFCC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8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9" fillId="0" borderId="0"/>
    <xf numFmtId="0" fontId="26" fillId="0" borderId="0" applyAlignment="0"/>
    <xf numFmtId="0" fontId="33" fillId="0" borderId="0"/>
    <xf numFmtId="0" fontId="39" fillId="0" borderId="0" applyAlignment="0"/>
  </cellStyleXfs>
  <cellXfs count="25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2" xfId="0" applyFont="1" applyBorder="1"/>
    <xf numFmtId="14" fontId="4" fillId="0" borderId="0" xfId="0" applyNumberFormat="1" applyFont="1"/>
    <xf numFmtId="164" fontId="4" fillId="0" borderId="0" xfId="0" applyNumberFormat="1" applyFont="1"/>
    <xf numFmtId="14" fontId="5" fillId="0" borderId="0" xfId="0" applyNumberFormat="1" applyFont="1"/>
    <xf numFmtId="14" fontId="4" fillId="0" borderId="0" xfId="0" applyNumberFormat="1" applyFont="1" applyAlignment="1">
      <alignment horizontal="right"/>
    </xf>
    <xf numFmtId="0" fontId="6" fillId="0" borderId="0" xfId="3" applyBorder="1"/>
    <xf numFmtId="165" fontId="7" fillId="0" borderId="3" xfId="0" applyNumberFormat="1" applyFont="1" applyBorder="1" applyAlignment="1">
      <alignment horizontal="center"/>
    </xf>
    <xf numFmtId="166" fontId="5" fillId="0" borderId="0" xfId="0" applyNumberFormat="1" applyFont="1"/>
    <xf numFmtId="7" fontId="8" fillId="0" borderId="0" xfId="0" applyNumberFormat="1" applyFont="1" applyAlignment="1">
      <alignment horizontal="right"/>
    </xf>
    <xf numFmtId="0" fontId="2" fillId="0" borderId="4" xfId="0" applyFont="1" applyBorder="1"/>
    <xf numFmtId="0" fontId="0" fillId="0" borderId="4" xfId="0" applyBorder="1"/>
    <xf numFmtId="7" fontId="8" fillId="0" borderId="4" xfId="0" applyNumberFormat="1" applyFont="1" applyBorder="1" applyAlignment="1">
      <alignment horizontal="right"/>
    </xf>
    <xf numFmtId="0" fontId="9" fillId="0" borderId="0" xfId="0" applyFont="1" applyAlignment="1">
      <alignment horizontal="centerContinuous"/>
    </xf>
    <xf numFmtId="0" fontId="10" fillId="0" borderId="5" xfId="0" applyFont="1" applyBorder="1" applyAlignment="1">
      <alignment horizontal="centerContinuous"/>
    </xf>
    <xf numFmtId="0" fontId="11" fillId="0" borderId="0" xfId="0" applyFont="1"/>
    <xf numFmtId="14" fontId="0" fillId="0" borderId="0" xfId="0" applyNumberFormat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7" xfId="0" applyNumberFormat="1" applyBorder="1" applyAlignment="1">
      <alignment horizontal="center"/>
    </xf>
    <xf numFmtId="168" fontId="2" fillId="0" borderId="6" xfId="0" applyNumberFormat="1" applyFont="1" applyBorder="1"/>
    <xf numFmtId="169" fontId="2" fillId="0" borderId="0" xfId="0" applyNumberFormat="1" applyFont="1"/>
    <xf numFmtId="165" fontId="5" fillId="0" borderId="0" xfId="0" applyNumberFormat="1" applyFont="1"/>
    <xf numFmtId="165" fontId="4" fillId="0" borderId="6" xfId="0" applyNumberFormat="1" applyFont="1" applyBorder="1"/>
    <xf numFmtId="0" fontId="0" fillId="0" borderId="0" xfId="0" applyAlignment="1">
      <alignment horizontal="left" indent="1"/>
    </xf>
    <xf numFmtId="166" fontId="4" fillId="0" borderId="0" xfId="0" applyNumberFormat="1" applyFont="1"/>
    <xf numFmtId="165" fontId="5" fillId="0" borderId="6" xfId="0" applyNumberFormat="1" applyFont="1" applyBorder="1"/>
    <xf numFmtId="166" fontId="5" fillId="0" borderId="6" xfId="0" applyNumberFormat="1" applyFont="1" applyBorder="1"/>
    <xf numFmtId="165" fontId="8" fillId="0" borderId="6" xfId="0" applyNumberFormat="1" applyFont="1" applyBorder="1"/>
    <xf numFmtId="165" fontId="8" fillId="0" borderId="0" xfId="0" applyNumberFormat="1" applyFont="1"/>
    <xf numFmtId="164" fontId="4" fillId="0" borderId="8" xfId="0" applyNumberFormat="1" applyFont="1" applyBorder="1"/>
    <xf numFmtId="0" fontId="2" fillId="0" borderId="0" xfId="0" applyFont="1"/>
    <xf numFmtId="165" fontId="12" fillId="0" borderId="8" xfId="0" applyNumberFormat="1" applyFont="1" applyBorder="1"/>
    <xf numFmtId="165" fontId="12" fillId="0" borderId="0" xfId="0" applyNumberFormat="1" applyFont="1"/>
    <xf numFmtId="166" fontId="0" fillId="0" borderId="0" xfId="0" applyNumberFormat="1"/>
    <xf numFmtId="165" fontId="5" fillId="0" borderId="8" xfId="0" applyNumberFormat="1" applyFont="1" applyBorder="1"/>
    <xf numFmtId="165" fontId="0" fillId="0" borderId="0" xfId="0" applyNumberFormat="1"/>
    <xf numFmtId="37" fontId="5" fillId="0" borderId="0" xfId="0" applyNumberFormat="1" applyFont="1"/>
    <xf numFmtId="166" fontId="5" fillId="0" borderId="9" xfId="0" applyNumberFormat="1" applyFont="1" applyBorder="1"/>
    <xf numFmtId="165" fontId="4" fillId="0" borderId="0" xfId="0" applyNumberFormat="1" applyFont="1"/>
    <xf numFmtId="37" fontId="4" fillId="0" borderId="0" xfId="0" applyNumberFormat="1" applyFont="1"/>
    <xf numFmtId="165" fontId="8" fillId="0" borderId="4" xfId="0" applyNumberFormat="1" applyFont="1" applyBorder="1"/>
    <xf numFmtId="165" fontId="10" fillId="0" borderId="4" xfId="0" applyNumberFormat="1" applyFont="1" applyBorder="1" applyAlignment="1">
      <alignment horizontal="center"/>
    </xf>
    <xf numFmtId="165" fontId="10" fillId="0" borderId="0" xfId="0" applyNumberFormat="1" applyFont="1"/>
    <xf numFmtId="0" fontId="13" fillId="0" borderId="0" xfId="0" applyFont="1" applyAlignment="1">
      <alignment horizontal="center"/>
    </xf>
    <xf numFmtId="14" fontId="0" fillId="0" borderId="0" xfId="0" applyNumberFormat="1"/>
    <xf numFmtId="166" fontId="0" fillId="0" borderId="0" xfId="0" applyNumberFormat="1" applyAlignment="1">
      <alignment horizontal="center"/>
    </xf>
    <xf numFmtId="165" fontId="5" fillId="0" borderId="4" xfId="0" applyNumberFormat="1" applyFont="1" applyBorder="1"/>
    <xf numFmtId="0" fontId="12" fillId="0" borderId="0" xfId="0" applyFont="1"/>
    <xf numFmtId="169" fontId="0" fillId="0" borderId="0" xfId="0" applyNumberFormat="1"/>
    <xf numFmtId="170" fontId="4" fillId="0" borderId="0" xfId="0" applyNumberFormat="1" applyFont="1"/>
    <xf numFmtId="165" fontId="2" fillId="0" borderId="0" xfId="0" applyNumberFormat="1" applyFont="1"/>
    <xf numFmtId="0" fontId="4" fillId="0" borderId="0" xfId="0" applyFont="1"/>
    <xf numFmtId="0" fontId="11" fillId="0" borderId="0" xfId="0" applyFont="1" applyAlignment="1">
      <alignment horizontal="left"/>
    </xf>
    <xf numFmtId="166" fontId="11" fillId="0" borderId="0" xfId="0" applyNumberFormat="1" applyFont="1"/>
    <xf numFmtId="171" fontId="11" fillId="0" borderId="0" xfId="0" applyNumberFormat="1" applyFont="1"/>
    <xf numFmtId="170" fontId="11" fillId="0" borderId="0" xfId="0" applyNumberFormat="1" applyFont="1"/>
    <xf numFmtId="164" fontId="0" fillId="0" borderId="0" xfId="0" quotePrefix="1" applyNumberFormat="1"/>
    <xf numFmtId="37" fontId="0" fillId="0" borderId="0" xfId="0" applyNumberFormat="1"/>
    <xf numFmtId="0" fontId="0" fillId="0" borderId="0" xfId="0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 vertical="center"/>
    </xf>
    <xf numFmtId="172" fontId="4" fillId="0" borderId="0" xfId="0" applyNumberFormat="1" applyFont="1"/>
    <xf numFmtId="173" fontId="4" fillId="0" borderId="0" xfId="0" applyNumberFormat="1" applyFont="1"/>
    <xf numFmtId="173" fontId="4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174" fontId="2" fillId="0" borderId="0" xfId="0" applyNumberFormat="1" applyFont="1"/>
    <xf numFmtId="175" fontId="4" fillId="0" borderId="0" xfId="0" applyNumberFormat="1" applyFont="1"/>
    <xf numFmtId="0" fontId="0" fillId="0" borderId="0" xfId="0" applyAlignment="1">
      <alignment horizontal="left" vertical="center" indent="1"/>
    </xf>
    <xf numFmtId="173" fontId="0" fillId="0" borderId="0" xfId="0" applyNumberFormat="1"/>
    <xf numFmtId="172" fontId="15" fillId="0" borderId="0" xfId="0" applyNumberFormat="1" applyFont="1"/>
    <xf numFmtId="0" fontId="2" fillId="0" borderId="0" xfId="0" applyFont="1" applyAlignment="1">
      <alignment vertical="center"/>
    </xf>
    <xf numFmtId="37" fontId="2" fillId="0" borderId="0" xfId="0" applyNumberFormat="1" applyFont="1"/>
    <xf numFmtId="0" fontId="9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37" fontId="11" fillId="0" borderId="4" xfId="0" applyNumberFormat="1" applyFont="1" applyBorder="1" applyAlignment="1">
      <alignment horizontal="right"/>
    </xf>
    <xf numFmtId="37" fontId="0" fillId="0" borderId="0" xfId="0" applyNumberFormat="1" applyAlignment="1">
      <alignment horizontal="right"/>
    </xf>
    <xf numFmtId="176" fontId="2" fillId="0" borderId="0" xfId="0" applyNumberFormat="1" applyFon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9" fontId="0" fillId="0" borderId="0" xfId="0" applyNumberFormat="1"/>
    <xf numFmtId="166" fontId="0" fillId="0" borderId="0" xfId="0" applyNumberFormat="1" applyAlignment="1">
      <alignment horizontal="right"/>
    </xf>
    <xf numFmtId="0" fontId="5" fillId="2" borderId="0" xfId="0" applyFont="1" applyFill="1"/>
    <xf numFmtId="0" fontId="16" fillId="0" borderId="0" xfId="0" applyFont="1" applyAlignment="1">
      <alignment horizontal="centerContinuous"/>
    </xf>
    <xf numFmtId="0" fontId="9" fillId="0" borderId="8" xfId="0" applyFont="1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0" xfId="0" applyAlignment="1">
      <alignment horizontal="right"/>
    </xf>
    <xf numFmtId="39" fontId="0" fillId="0" borderId="10" xfId="0" applyNumberFormat="1" applyBorder="1" applyAlignment="1">
      <alignment horizontal="right"/>
    </xf>
    <xf numFmtId="179" fontId="5" fillId="3" borderId="11" xfId="0" applyNumberFormat="1" applyFont="1" applyFill="1" applyBorder="1"/>
    <xf numFmtId="179" fontId="5" fillId="3" borderId="12" xfId="0" applyNumberFormat="1" applyFont="1" applyFill="1" applyBorder="1"/>
    <xf numFmtId="179" fontId="4" fillId="3" borderId="12" xfId="0" applyNumberFormat="1" applyFont="1" applyFill="1" applyBorder="1"/>
    <xf numFmtId="179" fontId="5" fillId="3" borderId="8" xfId="0" applyNumberFormat="1" applyFont="1" applyFill="1" applyBorder="1"/>
    <xf numFmtId="170" fontId="0" fillId="0" borderId="13" xfId="0" applyNumberFormat="1" applyBorder="1" applyAlignment="1">
      <alignment horizontal="right"/>
    </xf>
    <xf numFmtId="179" fontId="5" fillId="3" borderId="14" xfId="0" applyNumberFormat="1" applyFont="1" applyFill="1" applyBorder="1" applyAlignment="1">
      <alignment horizontal="right"/>
    </xf>
    <xf numFmtId="180" fontId="0" fillId="0" borderId="0" xfId="0" applyNumberFormat="1"/>
    <xf numFmtId="180" fontId="0" fillId="0" borderId="8" xfId="0" applyNumberFormat="1" applyBorder="1"/>
    <xf numFmtId="170" fontId="0" fillId="0" borderId="0" xfId="0" applyNumberFormat="1" applyAlignment="1">
      <alignment horizontal="right"/>
    </xf>
    <xf numFmtId="179" fontId="4" fillId="3" borderId="14" xfId="0" applyNumberFormat="1" applyFont="1" applyFill="1" applyBorder="1" applyAlignment="1">
      <alignment horizontal="right"/>
    </xf>
    <xf numFmtId="0" fontId="12" fillId="2" borderId="0" xfId="0" applyFont="1" applyFill="1" applyAlignment="1">
      <alignment horizontal="center"/>
    </xf>
    <xf numFmtId="179" fontId="5" fillId="3" borderId="15" xfId="0" applyNumberFormat="1" applyFont="1" applyFill="1" applyBorder="1" applyAlignment="1">
      <alignment horizontal="right"/>
    </xf>
    <xf numFmtId="181" fontId="0" fillId="0" borderId="0" xfId="0" applyNumberFormat="1"/>
    <xf numFmtId="181" fontId="0" fillId="0" borderId="8" xfId="0" applyNumberFormat="1" applyBorder="1"/>
    <xf numFmtId="176" fontId="0" fillId="0" borderId="13" xfId="0" applyNumberFormat="1" applyBorder="1"/>
    <xf numFmtId="170" fontId="5" fillId="3" borderId="12" xfId="0" applyNumberFormat="1" applyFont="1" applyFill="1" applyBorder="1"/>
    <xf numFmtId="170" fontId="4" fillId="3" borderId="12" xfId="0" applyNumberFormat="1" applyFont="1" applyFill="1" applyBorder="1"/>
    <xf numFmtId="170" fontId="5" fillId="3" borderId="8" xfId="0" applyNumberFormat="1" applyFont="1" applyFill="1" applyBorder="1"/>
    <xf numFmtId="0" fontId="0" fillId="0" borderId="8" xfId="0" applyBorder="1"/>
    <xf numFmtId="0" fontId="2" fillId="4" borderId="0" xfId="0" applyFont="1" applyFill="1"/>
    <xf numFmtId="0" fontId="2" fillId="4" borderId="8" xfId="0" applyFont="1" applyFill="1" applyBorder="1"/>
    <xf numFmtId="182" fontId="0" fillId="0" borderId="0" xfId="0" applyNumberFormat="1"/>
    <xf numFmtId="0" fontId="0" fillId="0" borderId="11" xfId="0" applyBorder="1"/>
    <xf numFmtId="0" fontId="0" fillId="0" borderId="12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2" xfId="0" applyBorder="1"/>
    <xf numFmtId="0" fontId="0" fillId="0" borderId="17" xfId="0" applyBorder="1"/>
    <xf numFmtId="0" fontId="0" fillId="0" borderId="18" xfId="0" quotePrefix="1" applyBorder="1"/>
    <xf numFmtId="39" fontId="0" fillId="0" borderId="0" xfId="0" applyNumberFormat="1"/>
    <xf numFmtId="39" fontId="0" fillId="0" borderId="19" xfId="0" applyNumberFormat="1" applyBorder="1"/>
    <xf numFmtId="39" fontId="5" fillId="0" borderId="0" xfId="0" applyNumberFormat="1" applyFont="1"/>
    <xf numFmtId="39" fontId="5" fillId="0" borderId="19" xfId="0" applyNumberFormat="1" applyFont="1" applyBorder="1"/>
    <xf numFmtId="0" fontId="0" fillId="0" borderId="18" xfId="0" applyBorder="1"/>
    <xf numFmtId="0" fontId="0" fillId="0" borderId="20" xfId="0" applyBorder="1"/>
    <xf numFmtId="39" fontId="0" fillId="0" borderId="10" xfId="0" applyNumberFormat="1" applyBorder="1"/>
    <xf numFmtId="39" fontId="0" fillId="0" borderId="13" xfId="0" applyNumberFormat="1" applyBorder="1"/>
    <xf numFmtId="0" fontId="0" fillId="0" borderId="10" xfId="0" applyBorder="1"/>
    <xf numFmtId="0" fontId="0" fillId="0" borderId="21" xfId="0" applyBorder="1"/>
    <xf numFmtId="39" fontId="5" fillId="0" borderId="10" xfId="0" applyNumberFormat="1" applyFont="1" applyBorder="1"/>
    <xf numFmtId="39" fontId="5" fillId="0" borderId="13" xfId="0" applyNumberFormat="1" applyFont="1" applyBorder="1"/>
    <xf numFmtId="0" fontId="20" fillId="0" borderId="0" xfId="4" applyFont="1"/>
    <xf numFmtId="0" fontId="21" fillId="0" borderId="0" xfId="4" applyFont="1"/>
    <xf numFmtId="0" fontId="22" fillId="0" borderId="0" xfId="4" applyFont="1" applyAlignment="1">
      <alignment wrapText="1"/>
    </xf>
    <xf numFmtId="0" fontId="23" fillId="0" borderId="0" xfId="4" applyFont="1"/>
    <xf numFmtId="0" fontId="24" fillId="0" borderId="0" xfId="4" applyFont="1" applyAlignment="1">
      <alignment horizontal="left" vertical="top"/>
    </xf>
    <xf numFmtId="49" fontId="21" fillId="0" borderId="0" xfId="4" applyNumberFormat="1" applyFont="1"/>
    <xf numFmtId="0" fontId="24" fillId="0" borderId="0" xfId="4" applyFont="1" applyAlignment="1">
      <alignment horizontal="left" vertical="center"/>
    </xf>
    <xf numFmtId="0" fontId="25" fillId="5" borderId="0" xfId="4" applyFont="1" applyFill="1"/>
    <xf numFmtId="0" fontId="26" fillId="0" borderId="0" xfId="5" applyAlignment="1"/>
    <xf numFmtId="0" fontId="27" fillId="6" borderId="0" xfId="4" applyFont="1" applyFill="1" applyAlignment="1">
      <alignment wrapText="1"/>
    </xf>
    <xf numFmtId="0" fontId="27" fillId="6" borderId="0" xfId="4" applyFont="1" applyFill="1" applyAlignment="1">
      <alignment horizontal="right" wrapText="1"/>
    </xf>
    <xf numFmtId="0" fontId="28" fillId="6" borderId="0" xfId="4" applyFont="1" applyFill="1" applyAlignment="1">
      <alignment wrapText="1"/>
    </xf>
    <xf numFmtId="0" fontId="28" fillId="6" borderId="0" xfId="4" applyFont="1" applyFill="1" applyAlignment="1">
      <alignment horizontal="right" wrapText="1"/>
    </xf>
    <xf numFmtId="0" fontId="27" fillId="0" borderId="0" xfId="4" applyFont="1" applyAlignment="1">
      <alignment horizontal="left" vertical="top"/>
    </xf>
    <xf numFmtId="183" fontId="24" fillId="0" borderId="0" xfId="4" applyNumberFormat="1" applyFont="1" applyAlignment="1">
      <alignment horizontal="right" vertical="top" wrapText="1"/>
    </xf>
    <xf numFmtId="183" fontId="27" fillId="0" borderId="22" xfId="4" applyNumberFormat="1" applyFont="1" applyBorder="1" applyAlignment="1">
      <alignment horizontal="right" vertical="top" wrapText="1"/>
    </xf>
    <xf numFmtId="183" fontId="27" fillId="0" borderId="0" xfId="4" applyNumberFormat="1" applyFont="1" applyAlignment="1">
      <alignment horizontal="right" vertical="top" wrapText="1"/>
    </xf>
    <xf numFmtId="183" fontId="29" fillId="0" borderId="22" xfId="4" applyNumberFormat="1" applyFont="1" applyBorder="1" applyAlignment="1">
      <alignment horizontal="right" vertical="top" wrapText="1"/>
    </xf>
    <xf numFmtId="184" fontId="24" fillId="0" borderId="0" xfId="4" applyNumberFormat="1" applyFont="1" applyAlignment="1">
      <alignment horizontal="right" vertical="top" wrapText="1"/>
    </xf>
    <xf numFmtId="49" fontId="24" fillId="0" borderId="0" xfId="4" applyNumberFormat="1" applyFont="1" applyAlignment="1">
      <alignment horizontal="right" vertical="top" wrapText="1"/>
    </xf>
    <xf numFmtId="185" fontId="24" fillId="0" borderId="0" xfId="4" applyNumberFormat="1" applyFont="1" applyAlignment="1">
      <alignment horizontal="right" vertical="top" wrapText="1"/>
    </xf>
    <xf numFmtId="186" fontId="24" fillId="0" borderId="0" xfId="4" applyNumberFormat="1" applyFont="1" applyAlignment="1">
      <alignment horizontal="right" vertical="top" wrapText="1"/>
    </xf>
    <xf numFmtId="187" fontId="24" fillId="0" borderId="0" xfId="4" applyNumberFormat="1" applyFont="1" applyAlignment="1">
      <alignment horizontal="right" vertical="top" wrapText="1"/>
    </xf>
    <xf numFmtId="0" fontId="21" fillId="0" borderId="0" xfId="4" applyFont="1" applyAlignment="1">
      <alignment vertical="top"/>
    </xf>
    <xf numFmtId="0" fontId="21" fillId="0" borderId="0" xfId="4" applyFont="1" applyAlignment="1">
      <alignment vertical="top" wrapText="1"/>
    </xf>
    <xf numFmtId="0" fontId="24" fillId="0" borderId="0" xfId="4" applyFont="1" applyAlignment="1">
      <alignment horizontal="center" vertical="center"/>
    </xf>
    <xf numFmtId="0" fontId="31" fillId="0" borderId="0" xfId="4" applyFont="1" applyFill="1" applyAlignment="1">
      <alignment horizontal="right" wrapText="1"/>
    </xf>
    <xf numFmtId="0" fontId="0" fillId="0" borderId="0" xfId="0" applyFill="1"/>
    <xf numFmtId="1" fontId="0" fillId="0" borderId="0" xfId="0" applyNumberFormat="1"/>
    <xf numFmtId="0" fontId="5" fillId="0" borderId="0" xfId="0" applyFont="1"/>
    <xf numFmtId="0" fontId="32" fillId="0" borderId="0" xfId="0" applyFont="1" applyAlignment="1">
      <alignment horizontal="right" wrapText="1"/>
    </xf>
    <xf numFmtId="1" fontId="5" fillId="0" borderId="0" xfId="0" applyNumberFormat="1" applyFont="1"/>
    <xf numFmtId="10" fontId="5" fillId="0" borderId="0" xfId="2" applyNumberFormat="1" applyFont="1"/>
    <xf numFmtId="0" fontId="0" fillId="7" borderId="0" xfId="0" applyFill="1"/>
    <xf numFmtId="9" fontId="0" fillId="0" borderId="0" xfId="2" applyFont="1"/>
    <xf numFmtId="179" fontId="0" fillId="0" borderId="0" xfId="2" applyNumberFormat="1" applyFont="1"/>
    <xf numFmtId="10" fontId="0" fillId="0" borderId="0" xfId="0" applyNumberFormat="1"/>
    <xf numFmtId="10" fontId="0" fillId="0" borderId="0" xfId="2" applyNumberFormat="1" applyFont="1"/>
    <xf numFmtId="10" fontId="0" fillId="0" borderId="6" xfId="0" applyNumberFormat="1" applyBorder="1"/>
    <xf numFmtId="0" fontId="34" fillId="0" borderId="0" xfId="6" applyFont="1"/>
    <xf numFmtId="0" fontId="35" fillId="0" borderId="0" xfId="6" applyFont="1"/>
    <xf numFmtId="0" fontId="36" fillId="0" borderId="0" xfId="6" applyFont="1" applyAlignment="1">
      <alignment wrapText="1"/>
    </xf>
    <xf numFmtId="0" fontId="30" fillId="0" borderId="0" xfId="6" applyFont="1"/>
    <xf numFmtId="0" fontId="37" fillId="0" borderId="0" xfId="6" applyFont="1" applyAlignment="1">
      <alignment horizontal="left" vertical="top"/>
    </xf>
    <xf numFmtId="49" fontId="35" fillId="0" borderId="0" xfId="6" applyNumberFormat="1" applyFont="1"/>
    <xf numFmtId="0" fontId="37" fillId="0" borderId="0" xfId="6" applyFont="1" applyAlignment="1">
      <alignment horizontal="left" vertical="center"/>
    </xf>
    <xf numFmtId="0" fontId="38" fillId="5" borderId="0" xfId="6" applyFont="1" applyFill="1"/>
    <xf numFmtId="0" fontId="39" fillId="0" borderId="0" xfId="7" applyAlignment="1"/>
    <xf numFmtId="0" fontId="31" fillId="6" borderId="0" xfId="6" applyFont="1" applyFill="1" applyAlignment="1">
      <alignment wrapText="1"/>
    </xf>
    <xf numFmtId="187" fontId="31" fillId="6" borderId="0" xfId="6" applyNumberFormat="1" applyFont="1" applyFill="1" applyAlignment="1">
      <alignment horizontal="right" wrapText="1"/>
    </xf>
    <xf numFmtId="0" fontId="31" fillId="6" borderId="0" xfId="6" applyFont="1" applyFill="1" applyAlignment="1">
      <alignment horizontal="right" wrapText="1"/>
    </xf>
    <xf numFmtId="0" fontId="40" fillId="6" borderId="0" xfId="6" applyFont="1" applyFill="1" applyAlignment="1">
      <alignment wrapText="1"/>
    </xf>
    <xf numFmtId="0" fontId="40" fillId="6" borderId="0" xfId="6" applyFont="1" applyFill="1" applyAlignment="1">
      <alignment horizontal="right" wrapText="1"/>
    </xf>
    <xf numFmtId="0" fontId="31" fillId="0" borderId="0" xfId="6" applyFont="1" applyAlignment="1">
      <alignment horizontal="left" vertical="top"/>
    </xf>
    <xf numFmtId="183" fontId="37" fillId="0" borderId="0" xfId="6" applyNumberFormat="1" applyFont="1" applyAlignment="1">
      <alignment horizontal="right" vertical="top" wrapText="1"/>
    </xf>
    <xf numFmtId="183" fontId="31" fillId="0" borderId="22" xfId="6" applyNumberFormat="1" applyFont="1" applyBorder="1" applyAlignment="1">
      <alignment horizontal="right" vertical="top" wrapText="1"/>
    </xf>
    <xf numFmtId="183" fontId="41" fillId="0" borderId="22" xfId="6" applyNumberFormat="1" applyFont="1" applyBorder="1" applyAlignment="1">
      <alignment horizontal="right" vertical="top" wrapText="1"/>
    </xf>
    <xf numFmtId="183" fontId="42" fillId="0" borderId="0" xfId="6" applyNumberFormat="1" applyFont="1" applyAlignment="1">
      <alignment horizontal="right" vertical="top" wrapText="1"/>
    </xf>
    <xf numFmtId="183" fontId="41" fillId="0" borderId="0" xfId="6" applyNumberFormat="1" applyFont="1" applyAlignment="1">
      <alignment horizontal="right" vertical="top" wrapText="1"/>
    </xf>
    <xf numFmtId="184" fontId="37" fillId="0" borderId="0" xfId="6" applyNumberFormat="1" applyFont="1" applyAlignment="1">
      <alignment horizontal="right" vertical="top" wrapText="1"/>
    </xf>
    <xf numFmtId="49" fontId="37" fillId="0" borderId="0" xfId="6" applyNumberFormat="1" applyFont="1" applyAlignment="1">
      <alignment horizontal="right" vertical="top" wrapText="1"/>
    </xf>
    <xf numFmtId="188" fontId="37" fillId="0" borderId="0" xfId="6" applyNumberFormat="1" applyFont="1" applyAlignment="1">
      <alignment horizontal="right" vertical="top" wrapText="1"/>
    </xf>
    <xf numFmtId="187" fontId="37" fillId="0" borderId="0" xfId="6" applyNumberFormat="1" applyFont="1" applyAlignment="1">
      <alignment horizontal="right" vertical="top" wrapText="1"/>
    </xf>
    <xf numFmtId="0" fontId="35" fillId="0" borderId="0" xfId="6" applyFont="1" applyAlignment="1">
      <alignment vertical="top" wrapText="1"/>
    </xf>
    <xf numFmtId="0" fontId="37" fillId="0" borderId="0" xfId="6" applyFont="1" applyAlignment="1">
      <alignment horizontal="center" vertical="center"/>
    </xf>
    <xf numFmtId="179" fontId="0" fillId="0" borderId="0" xfId="0" applyNumberFormat="1"/>
    <xf numFmtId="189" fontId="2" fillId="0" borderId="0" xfId="0" applyNumberFormat="1" applyFont="1" applyAlignment="1">
      <alignment horizontal="right"/>
    </xf>
    <xf numFmtId="189" fontId="0" fillId="0" borderId="0" xfId="0" applyNumberFormat="1"/>
    <xf numFmtId="190" fontId="0" fillId="0" borderId="0" xfId="1" applyNumberFormat="1" applyFont="1"/>
    <xf numFmtId="0" fontId="0" fillId="8" borderId="27" xfId="0" applyFill="1" applyBorder="1"/>
    <xf numFmtId="0" fontId="0" fillId="8" borderId="0" xfId="0" applyFill="1" applyBorder="1"/>
    <xf numFmtId="0" fontId="0" fillId="8" borderId="29" xfId="0" applyFill="1" applyBorder="1"/>
    <xf numFmtId="0" fontId="0" fillId="8" borderId="30" xfId="0" applyFill="1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5" xfId="0" applyBorder="1"/>
    <xf numFmtId="2" fontId="24" fillId="0" borderId="35" xfId="0" applyNumberFormat="1" applyFont="1" applyBorder="1" applyAlignment="1">
      <alignment horizontal="right" vertical="top" wrapText="1"/>
    </xf>
    <xf numFmtId="0" fontId="0" fillId="0" borderId="37" xfId="0" applyBorder="1"/>
    <xf numFmtId="0" fontId="2" fillId="0" borderId="23" xfId="0" applyFont="1" applyBorder="1" applyAlignment="1">
      <alignment horizontal="center"/>
    </xf>
    <xf numFmtId="2" fontId="0" fillId="0" borderId="35" xfId="0" applyNumberFormat="1" applyBorder="1"/>
    <xf numFmtId="1" fontId="0" fillId="0" borderId="35" xfId="0" applyNumberFormat="1" applyBorder="1"/>
    <xf numFmtId="0" fontId="45" fillId="0" borderId="0" xfId="0" applyFont="1"/>
    <xf numFmtId="0" fontId="0" fillId="0" borderId="36" xfId="0" applyBorder="1"/>
    <xf numFmtId="0" fontId="0" fillId="8" borderId="35" xfId="0" applyFill="1" applyBorder="1"/>
    <xf numFmtId="0" fontId="0" fillId="8" borderId="37" xfId="0" applyFill="1" applyBorder="1"/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0" fillId="0" borderId="26" xfId="0" applyBorder="1" applyAlignment="1">
      <alignment horizontal="center"/>
    </xf>
    <xf numFmtId="2" fontId="0" fillId="0" borderId="27" xfId="0" applyNumberFormat="1" applyBorder="1"/>
    <xf numFmtId="2" fontId="0" fillId="0" borderId="0" xfId="0" applyNumberFormat="1" applyBorder="1"/>
    <xf numFmtId="2" fontId="0" fillId="0" borderId="28" xfId="0" applyNumberFormat="1" applyBorder="1"/>
    <xf numFmtId="2" fontId="0" fillId="8" borderId="27" xfId="0" applyNumberFormat="1" applyFill="1" applyBorder="1"/>
    <xf numFmtId="2" fontId="0" fillId="8" borderId="0" xfId="0" applyNumberFormat="1" applyFill="1" applyBorder="1"/>
    <xf numFmtId="2" fontId="0" fillId="8" borderId="28" xfId="0" applyNumberFormat="1" applyFill="1" applyBorder="1"/>
    <xf numFmtId="2" fontId="0" fillId="8" borderId="29" xfId="0" applyNumberFormat="1" applyFill="1" applyBorder="1"/>
    <xf numFmtId="2" fontId="0" fillId="8" borderId="30" xfId="0" applyNumberFormat="1" applyFill="1" applyBorder="1"/>
    <xf numFmtId="2" fontId="0" fillId="8" borderId="31" xfId="0" applyNumberFormat="1" applyFill="1" applyBorder="1"/>
    <xf numFmtId="2" fontId="0" fillId="0" borderId="0" xfId="0" applyNumberFormat="1"/>
    <xf numFmtId="0" fontId="2" fillId="0" borderId="30" xfId="0" applyFont="1" applyBorder="1" applyAlignment="1">
      <alignment horizontal="center"/>
    </xf>
    <xf numFmtId="0" fontId="2" fillId="0" borderId="23" xfId="0" applyFont="1" applyBorder="1"/>
    <xf numFmtId="2" fontId="0" fillId="0" borderId="37" xfId="0" applyNumberFormat="1" applyBorder="1"/>
    <xf numFmtId="179" fontId="2" fillId="0" borderId="32" xfId="2" applyNumberFormat="1" applyFont="1" applyBorder="1"/>
    <xf numFmtId="179" fontId="2" fillId="0" borderId="33" xfId="2" applyNumberFormat="1" applyFont="1" applyBorder="1"/>
    <xf numFmtId="179" fontId="2" fillId="0" borderId="33" xfId="0" applyNumberFormat="1" applyFont="1" applyBorder="1"/>
    <xf numFmtId="179" fontId="2" fillId="0" borderId="34" xfId="0" applyNumberFormat="1" applyFont="1" applyBorder="1"/>
    <xf numFmtId="0" fontId="2" fillId="0" borderId="23" xfId="0" applyFont="1" applyBorder="1" applyAlignment="1"/>
    <xf numFmtId="196" fontId="0" fillId="0" borderId="0" xfId="0" applyNumberFormat="1" applyFill="1" applyBorder="1"/>
    <xf numFmtId="2" fontId="0" fillId="9" borderId="28" xfId="0" applyNumberFormat="1" applyFill="1" applyBorder="1"/>
    <xf numFmtId="2" fontId="0" fillId="9" borderId="31" xfId="0" applyNumberFormat="1" applyFill="1" applyBorder="1"/>
    <xf numFmtId="2" fontId="0" fillId="10" borderId="28" xfId="0" applyNumberFormat="1" applyFill="1" applyBorder="1"/>
  </cellXfs>
  <cellStyles count="8">
    <cellStyle name="Comma" xfId="1" builtinId="3"/>
    <cellStyle name="Hyperlink" xfId="3" builtinId="8"/>
    <cellStyle name="Invisible" xfId="5" xr:uid="{E929AA97-E918-4544-B863-F11010BFA518}"/>
    <cellStyle name="Invisible 2" xfId="7" xr:uid="{F1D35307-0919-5744-BBEA-CE49A38F4593}"/>
    <cellStyle name="Normal" xfId="0" builtinId="0"/>
    <cellStyle name="Normal 2" xfId="4" xr:uid="{D39F6918-14A1-014E-AD59-EFB18829CA1D}"/>
    <cellStyle name="Normal 3" xfId="6" xr:uid="{E57B1C87-E38B-B748-889F-24FEA91A2423}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Workbook!$C$1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Workbook!$A$2:$A$11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Workbook!$C$2:$C$11</c:f>
              <c:numCache>
                <c:formatCode>0</c:formatCode>
                <c:ptCount val="10"/>
                <c:pt idx="0">
                  <c:v>8483</c:v>
                </c:pt>
                <c:pt idx="1">
                  <c:v>9460</c:v>
                </c:pt>
                <c:pt idx="2">
                  <c:v>10236</c:v>
                </c:pt>
                <c:pt idx="3">
                  <c:v>10818</c:v>
                </c:pt>
                <c:pt idx="4">
                  <c:v>11050</c:v>
                </c:pt>
                <c:pt idx="5">
                  <c:v>10826</c:v>
                </c:pt>
                <c:pt idx="6">
                  <c:v>10885</c:v>
                </c:pt>
                <c:pt idx="7">
                  <c:v>11738</c:v>
                </c:pt>
                <c:pt idx="8">
                  <c:v>12333</c:v>
                </c:pt>
                <c:pt idx="9">
                  <c:v>12610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97-A849-8A93-19160AF9B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1611807"/>
        <c:axId val="1941778863"/>
      </c:lineChart>
      <c:lineChart>
        <c:grouping val="standard"/>
        <c:varyColors val="0"/>
        <c:ser>
          <c:idx val="1"/>
          <c:order val="1"/>
          <c:tx>
            <c:strRef>
              <c:f>Workbook!$D$1</c:f>
              <c:strCache>
                <c:ptCount val="1"/>
                <c:pt idx="0">
                  <c:v>Revenue Growth Rate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Workbook!$A$2:$A$11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Workbook!$D$2:$D$11</c:f>
              <c:numCache>
                <c:formatCode>0.00%</c:formatCode>
                <c:ptCount val="10"/>
                <c:pt idx="1">
                  <c:v>0.11517151950960747</c:v>
                </c:pt>
                <c:pt idx="2">
                  <c:v>8.2029598308668072E-2</c:v>
                </c:pt>
                <c:pt idx="3">
                  <c:v>5.6858147713950702E-2</c:v>
                </c:pt>
                <c:pt idx="4">
                  <c:v>2.14457385838418E-2</c:v>
                </c:pt>
                <c:pt idx="5">
                  <c:v>-2.0271493212669633E-2</c:v>
                </c:pt>
                <c:pt idx="6">
                  <c:v>5.4498429706262286E-3</c:v>
                </c:pt>
                <c:pt idx="7">
                  <c:v>7.8364722094625527E-2</c:v>
                </c:pt>
                <c:pt idx="8">
                  <c:v>5.0690066450843396E-2</c:v>
                </c:pt>
                <c:pt idx="9">
                  <c:v>2.246006648828347E-2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97-A849-8A93-19160AF9B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647424"/>
        <c:axId val="281432959"/>
      </c:lineChart>
      <c:catAx>
        <c:axId val="194161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778863"/>
        <c:crosses val="autoZero"/>
        <c:auto val="1"/>
        <c:lblAlgn val="ctr"/>
        <c:lblOffset val="100"/>
        <c:noMultiLvlLbl val="0"/>
      </c:catAx>
      <c:valAx>
        <c:axId val="19417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611807"/>
        <c:crosses val="autoZero"/>
        <c:crossBetween val="between"/>
      </c:valAx>
      <c:valAx>
        <c:axId val="281432959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647424"/>
        <c:crosses val="max"/>
        <c:crossBetween val="between"/>
      </c:valAx>
      <c:catAx>
        <c:axId val="553647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14329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Workbook!$F$2:$F$11</c:f>
              <c:numCache>
                <c:formatCode>0.0%</c:formatCode>
                <c:ptCount val="10"/>
                <c:pt idx="0">
                  <c:v>-8.8297727198606582E-2</c:v>
                </c:pt>
                <c:pt idx="1">
                  <c:v>-9.6088794926004223E-2</c:v>
                </c:pt>
                <c:pt idx="2">
                  <c:v>-0.17213755373192655</c:v>
                </c:pt>
                <c:pt idx="3">
                  <c:v>-0.15733037530042521</c:v>
                </c:pt>
                <c:pt idx="4">
                  <c:v>-0.17321266968325791</c:v>
                </c:pt>
                <c:pt idx="5">
                  <c:v>-0.21208202475521892</c:v>
                </c:pt>
                <c:pt idx="6">
                  <c:v>-0.11603123564538355</c:v>
                </c:pt>
                <c:pt idx="7">
                  <c:v>-8.2637587323223724E-2</c:v>
                </c:pt>
                <c:pt idx="8">
                  <c:v>-0.12576015567988325</c:v>
                </c:pt>
                <c:pt idx="9">
                  <c:v>-0.13243457573354481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8E-5848-85E8-C7DD6F802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0939327"/>
        <c:axId val="1946668927"/>
      </c:lineChart>
      <c:catAx>
        <c:axId val="19509393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668927"/>
        <c:crosses val="autoZero"/>
        <c:auto val="1"/>
        <c:lblAlgn val="ctr"/>
        <c:lblOffset val="100"/>
        <c:noMultiLvlLbl val="0"/>
      </c:catAx>
      <c:valAx>
        <c:axId val="194666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939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DCF Equity Valuation Range </a:t>
            </a:r>
          </a:p>
        </c:rich>
      </c:tx>
      <c:layout>
        <c:manualLayout>
          <c:xMode val="edge"/>
          <c:yMode val="edge"/>
          <c:x val="0.31291626892699836"/>
          <c:y val="0"/>
        </c:manualLayout>
      </c:layout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</c:spPr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'BA Baseline DCF'!$B$122:$B$124</c:f>
              <c:strCache>
                <c:ptCount val="3"/>
                <c:pt idx="0">
                  <c:v>DCF Value at 11.5x-13.5x Exit EBITDA Range at 9.0% WACC</c:v>
                </c:pt>
                <c:pt idx="1">
                  <c:v>DCF Value at 2.0%-4.0% Perpetuity Range at 9.0% WACC</c:v>
                </c:pt>
                <c:pt idx="2">
                  <c:v>52 Week Market High/Low</c:v>
                </c:pt>
              </c:strCache>
            </c:strRef>
          </c:cat>
          <c:val>
            <c:numRef>
              <c:f>'BA Baseline DCF'!$C$122:$C$124</c:f>
              <c:numCache>
                <c:formatCode>#,##0.00_);\(#,##0.00\)</c:formatCode>
                <c:ptCount val="3"/>
                <c:pt idx="0">
                  <c:v>8.6357612364691754</c:v>
                </c:pt>
                <c:pt idx="1">
                  <c:v>6.8875336907235667</c:v>
                </c:pt>
                <c:pt idx="2">
                  <c:v>169.5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2D-2848-914D-E5E810110724}"/>
            </c:ext>
          </c:extLst>
        </c:ser>
        <c:ser>
          <c:idx val="1"/>
          <c:order val="1"/>
          <c:invertIfNegative val="0"/>
          <c:cat>
            <c:strRef>
              <c:f>'BA Baseline DCF'!$B$122:$B$124</c:f>
              <c:strCache>
                <c:ptCount val="3"/>
                <c:pt idx="0">
                  <c:v>DCF Value at 11.5x-13.5x Exit EBITDA Range at 9.0% WACC</c:v>
                </c:pt>
                <c:pt idx="1">
                  <c:v>DCF Value at 2.0%-4.0% Perpetuity Range at 9.0% WACC</c:v>
                </c:pt>
                <c:pt idx="2">
                  <c:v>52 Week Market High/Low</c:v>
                </c:pt>
              </c:strCache>
            </c:strRef>
          </c:cat>
          <c:val>
            <c:numRef>
              <c:f>'BA Baseline DCF'!$D$122:$D$124</c:f>
              <c:numCache>
                <c:formatCode>#,##0.00_);\(#,##0.00\)</c:formatCode>
                <c:ptCount val="3"/>
                <c:pt idx="0">
                  <c:v>1.513210230521679</c:v>
                </c:pt>
                <c:pt idx="1">
                  <c:v>2.9719518019340825</c:v>
                </c:pt>
                <c:pt idx="2">
                  <c:v>158.35000000000002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2D-2848-914D-E5E810110724}"/>
            </c:ext>
          </c:extLst>
        </c:ser>
        <c:ser>
          <c:idx val="2"/>
          <c:order val="2"/>
          <c:spPr>
            <a:noFill/>
          </c:spPr>
          <c:invertIfNegative val="0"/>
          <c:dLbls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'BA Baseline DCF'!$B$122:$B$124</c:f>
              <c:strCache>
                <c:ptCount val="3"/>
                <c:pt idx="0">
                  <c:v>DCF Value at 11.5x-13.5x Exit EBITDA Range at 9.0% WACC</c:v>
                </c:pt>
                <c:pt idx="1">
                  <c:v>DCF Value at 2.0%-4.0% Perpetuity Range at 9.0% WACC</c:v>
                </c:pt>
                <c:pt idx="2">
                  <c:v>52 Week Market High/Low</c:v>
                </c:pt>
              </c:strCache>
            </c:strRef>
          </c:cat>
          <c:val>
            <c:numRef>
              <c:f>'BA Baseline DCF'!$E$122:$E$124</c:f>
              <c:numCache>
                <c:formatCode>#,##0.00_);\(#,##0.00\)</c:formatCode>
                <c:ptCount val="3"/>
                <c:pt idx="0">
                  <c:v>10.148971466990854</c:v>
                </c:pt>
                <c:pt idx="1">
                  <c:v>9.8594854926576492</c:v>
                </c:pt>
                <c:pt idx="2">
                  <c:v>327.85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2D-2848-914D-E5E810110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639680"/>
        <c:axId val="99641216"/>
      </c:barChart>
      <c:catAx>
        <c:axId val="99639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9641216"/>
        <c:crosses val="autoZero"/>
        <c:auto val="1"/>
        <c:lblAlgn val="ctr"/>
        <c:lblOffset val="100"/>
        <c:noMultiLvlLbl val="0"/>
      </c:catAx>
      <c:valAx>
        <c:axId val="99641216"/>
        <c:scaling>
          <c:orientation val="minMax"/>
          <c:max val="400"/>
          <c:min val="100"/>
        </c:scaling>
        <c:delete val="0"/>
        <c:axPos val="l"/>
        <c:numFmt formatCode="#,##0.00_);\(#,##0.00\)" sourceLinked="1"/>
        <c:majorTickMark val="out"/>
        <c:minorTickMark val="none"/>
        <c:tickLblPos val="nextTo"/>
        <c:crossAx val="9963968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LTM EBITDA Multiple Range</a:t>
            </a:r>
          </a:p>
        </c:rich>
      </c:tx>
      <c:layout>
        <c:manualLayout>
          <c:xMode val="edge"/>
          <c:yMode val="edge"/>
          <c:x val="0.31291626892699836"/>
          <c:y val="0"/>
        </c:manualLayout>
      </c:layout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</c:spPr>
          <c:invertIfNegative val="0"/>
          <c:dLbls>
            <c:numFmt formatCode="#,##0.0\x;\-#,##0.0\x" sourceLinked="0"/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'BA Baseline DCF'!$G$122:$G$124</c:f>
              <c:strCache>
                <c:ptCount val="3"/>
                <c:pt idx="0">
                  <c:v>LTM EBITDA Purchase Multiple at 2.0%-4.0% Perpetuity Growth at 9.0% WACC</c:v>
                </c:pt>
                <c:pt idx="1">
                  <c:v>LTM EBITDA Purchase Multiple at 9.5x-10.8x Exit EBITDA Multiple at 9.0% WACC</c:v>
                </c:pt>
                <c:pt idx="2">
                  <c:v>LTM EBITDA Purchase Multiple at 8.0%-10.0% WACC at 12.5x Exit EBITDA</c:v>
                </c:pt>
              </c:strCache>
            </c:strRef>
          </c:cat>
          <c:val>
            <c:numRef>
              <c:f>'BA Baseline DCF'!$O$122:$O$124</c:f>
              <c:numCache>
                <c:formatCode>#,##0.00_);\(#,##0.00\)</c:formatCode>
                <c:ptCount val="3"/>
                <c:pt idx="0">
                  <c:v>7.9827360906110938</c:v>
                </c:pt>
                <c:pt idx="1">
                  <c:v>9.4947419260029626</c:v>
                </c:pt>
                <c:pt idx="2">
                  <c:v>9.8135595301168213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12-164F-9D0B-F725487C55D0}"/>
            </c:ext>
          </c:extLst>
        </c:ser>
        <c:ser>
          <c:idx val="1"/>
          <c:order val="1"/>
          <c:spPr>
            <a:solidFill>
              <a:schemeClr val="tx2"/>
            </a:solidFill>
          </c:spPr>
          <c:invertIfNegative val="0"/>
          <c:cat>
            <c:strRef>
              <c:f>'BA Baseline DCF'!$G$122:$G$124</c:f>
              <c:strCache>
                <c:ptCount val="3"/>
                <c:pt idx="0">
                  <c:v>LTM EBITDA Purchase Multiple at 2.0%-4.0% Perpetuity Growth at 9.0% WACC</c:v>
                </c:pt>
                <c:pt idx="1">
                  <c:v>LTM EBITDA Purchase Multiple at 9.5x-10.8x Exit EBITDA Multiple at 9.0% WACC</c:v>
                </c:pt>
                <c:pt idx="2">
                  <c:v>LTM EBITDA Purchase Multiple at 8.0%-10.0% WACC at 12.5x Exit EBITDA</c:v>
                </c:pt>
              </c:strCache>
            </c:strRef>
          </c:cat>
          <c:val>
            <c:numRef>
              <c:f>'BA Baseline DCF'!$P$122:$P$124</c:f>
              <c:numCache>
                <c:formatCode>#,##0.00_);\(#,##0.00\)</c:formatCode>
                <c:ptCount val="3"/>
                <c:pt idx="0">
                  <c:v>2.5703796270474699</c:v>
                </c:pt>
                <c:pt idx="1">
                  <c:v>1.3087442217069309</c:v>
                </c:pt>
                <c:pt idx="2">
                  <c:v>0.68642194197861173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12-164F-9D0B-F725487C55D0}"/>
            </c:ext>
          </c:extLst>
        </c:ser>
        <c:ser>
          <c:idx val="2"/>
          <c:order val="2"/>
          <c:spPr>
            <a:noFill/>
          </c:spPr>
          <c:invertIfNegative val="0"/>
          <c:dLbls>
            <c:numFmt formatCode="#,##0.0\x;\-#,##0.0\x" sourceLinked="0"/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'BA Baseline DCF'!$G$122:$G$124</c:f>
              <c:strCache>
                <c:ptCount val="3"/>
                <c:pt idx="0">
                  <c:v>LTM EBITDA Purchase Multiple at 2.0%-4.0% Perpetuity Growth at 9.0% WACC</c:v>
                </c:pt>
                <c:pt idx="1">
                  <c:v>LTM EBITDA Purchase Multiple at 9.5x-10.8x Exit EBITDA Multiple at 9.0% WACC</c:v>
                </c:pt>
                <c:pt idx="2">
                  <c:v>LTM EBITDA Purchase Multiple at 8.0%-10.0% WACC at 12.5x Exit EBITDA</c:v>
                </c:pt>
              </c:strCache>
            </c:strRef>
          </c:cat>
          <c:val>
            <c:numRef>
              <c:f>'BA Baseline DCF'!$Q$122:$Q$124</c:f>
              <c:numCache>
                <c:formatCode>#,##0.00_);\(#,##0.00\)</c:formatCode>
                <c:ptCount val="3"/>
                <c:pt idx="0">
                  <c:v>10.553115717658564</c:v>
                </c:pt>
                <c:pt idx="1">
                  <c:v>10.803486147709894</c:v>
                </c:pt>
                <c:pt idx="2">
                  <c:v>10.499981472095433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12-164F-9D0B-F725487C5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639680"/>
        <c:axId val="99641216"/>
      </c:barChart>
      <c:catAx>
        <c:axId val="99639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9641216"/>
        <c:crosses val="autoZero"/>
        <c:auto val="1"/>
        <c:lblAlgn val="ctr"/>
        <c:lblOffset val="100"/>
        <c:noMultiLvlLbl val="0"/>
      </c:catAx>
      <c:valAx>
        <c:axId val="99641216"/>
        <c:scaling>
          <c:orientation val="minMax"/>
          <c:max val="20"/>
          <c:min val="10"/>
        </c:scaling>
        <c:delete val="0"/>
        <c:axPos val="l"/>
        <c:numFmt formatCode="#,##0.0\x;\-#,##0.0\x" sourceLinked="0"/>
        <c:majorTickMark val="out"/>
        <c:minorTickMark val="none"/>
        <c:tickLblPos val="nextTo"/>
        <c:crossAx val="9963968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Modelling</a:t>
            </a:r>
            <a:r>
              <a:rPr lang="en-US" baseline="0"/>
              <a:t> </a:t>
            </a:r>
            <a:r>
              <a:rPr lang="en-US"/>
              <a:t>British Airways Revenue: Predicted</a:t>
            </a:r>
            <a:r>
              <a:rPr lang="en-US" baseline="0"/>
              <a:t> vs Actual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'Revenue Forecasts'!$T$3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'Revenue Forecasts'!$A$4:$A$34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'Revenue Forecasts'!$T$4:$T$34</c:f>
              <c:numCache>
                <c:formatCode>General</c:formatCode>
                <c:ptCount val="31"/>
                <c:pt idx="0">
                  <c:v>4257</c:v>
                </c:pt>
                <c:pt idx="1">
                  <c:v>4838</c:v>
                </c:pt>
                <c:pt idx="2">
                  <c:v>4937</c:v>
                </c:pt>
                <c:pt idx="3">
                  <c:v>5224</c:v>
                </c:pt>
                <c:pt idx="4">
                  <c:v>5566</c:v>
                </c:pt>
                <c:pt idx="5">
                  <c:v>6303</c:v>
                </c:pt>
                <c:pt idx="6">
                  <c:v>7177</c:v>
                </c:pt>
                <c:pt idx="7">
                  <c:v>7760</c:v>
                </c:pt>
                <c:pt idx="8">
                  <c:v>7608</c:v>
                </c:pt>
                <c:pt idx="9">
                  <c:v>7881</c:v>
                </c:pt>
                <c:pt idx="10">
                  <c:v>8086</c:v>
                </c:pt>
                <c:pt idx="11">
                  <c:v>8940</c:v>
                </c:pt>
                <c:pt idx="12">
                  <c:v>9278</c:v>
                </c:pt>
                <c:pt idx="13">
                  <c:v>8340</c:v>
                </c:pt>
                <c:pt idx="14">
                  <c:v>7688</c:v>
                </c:pt>
                <c:pt idx="15">
                  <c:v>7560</c:v>
                </c:pt>
                <c:pt idx="16">
                  <c:v>6982</c:v>
                </c:pt>
                <c:pt idx="17">
                  <c:v>7562</c:v>
                </c:pt>
                <c:pt idx="18">
                  <c:v>7861</c:v>
                </c:pt>
                <c:pt idx="19">
                  <c:v>8215</c:v>
                </c:pt>
                <c:pt idx="20">
                  <c:v>8509</c:v>
                </c:pt>
                <c:pt idx="21" formatCode="0">
                  <c:v>8482.664546</c:v>
                </c:pt>
                <c:pt idx="22">
                  <c:v>9460</c:v>
                </c:pt>
                <c:pt idx="23">
                  <c:v>10236</c:v>
                </c:pt>
                <c:pt idx="24">
                  <c:v>10818</c:v>
                </c:pt>
                <c:pt idx="25">
                  <c:v>11050</c:v>
                </c:pt>
                <c:pt idx="26">
                  <c:v>10826</c:v>
                </c:pt>
                <c:pt idx="27">
                  <c:v>10885</c:v>
                </c:pt>
                <c:pt idx="28">
                  <c:v>11738</c:v>
                </c:pt>
                <c:pt idx="29">
                  <c:v>12333</c:v>
                </c:pt>
                <c:pt idx="30">
                  <c:v>12610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31-9B4F-81F6-0BBACA47D099}"/>
            </c:ext>
          </c:extLst>
        </c:ser>
        <c:ser>
          <c:idx val="1"/>
          <c:order val="1"/>
          <c:tx>
            <c:strRef>
              <c:f>'Revenue Forecasts'!$T$2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'Revenue Forecasts'!$A$4:$A$34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'Revenue Forecasts'!$X$4:$X$34</c:f>
              <c:numCache>
                <c:formatCode>0.00</c:formatCode>
                <c:ptCount val="31"/>
                <c:pt idx="0">
                  <c:v>5124.7428128469564</c:v>
                </c:pt>
                <c:pt idx="1">
                  <c:v>5498.2658209977762</c:v>
                </c:pt>
                <c:pt idx="2">
                  <c:v>6051.263360902044</c:v>
                </c:pt>
                <c:pt idx="3">
                  <c:v>6066.7404231266901</c:v>
                </c:pt>
                <c:pt idx="4">
                  <c:v>6471.9724704817709</c:v>
                </c:pt>
                <c:pt idx="5">
                  <c:v>6216.6858212669549</c:v>
                </c:pt>
                <c:pt idx="6">
                  <c:v>6733.7046010051554</c:v>
                </c:pt>
                <c:pt idx="7">
                  <c:v>7024.6260590395659</c:v>
                </c:pt>
                <c:pt idx="8">
                  <c:v>7148.1108177772148</c:v>
                </c:pt>
                <c:pt idx="9">
                  <c:v>6942.6386859756967</c:v>
                </c:pt>
                <c:pt idx="10">
                  <c:v>7910.9679646311051</c:v>
                </c:pt>
                <c:pt idx="11">
                  <c:v>8157.993900299608</c:v>
                </c:pt>
                <c:pt idx="12">
                  <c:v>8253.1416315155384</c:v>
                </c:pt>
                <c:pt idx="13">
                  <c:v>8525.4268856257186</c:v>
                </c:pt>
                <c:pt idx="14">
                  <c:v>8523.7211635859403</c:v>
                </c:pt>
                <c:pt idx="15">
                  <c:v>8428.5366333638522</c:v>
                </c:pt>
                <c:pt idx="16">
                  <c:v>8474.9271017999417</c:v>
                </c:pt>
                <c:pt idx="17">
                  <c:v>8515.746022407573</c:v>
                </c:pt>
                <c:pt idx="18">
                  <c:v>8104.7375979804492</c:v>
                </c:pt>
                <c:pt idx="19">
                  <c:v>8107.3160753537804</c:v>
                </c:pt>
                <c:pt idx="20">
                  <c:v>9593.3549737078938</c:v>
                </c:pt>
                <c:pt idx="21">
                  <c:v>9667.7269144234324</c:v>
                </c:pt>
                <c:pt idx="22">
                  <c:v>10448.283833382375</c:v>
                </c:pt>
                <c:pt idx="23">
                  <c:v>10424.30362173054</c:v>
                </c:pt>
                <c:pt idx="24">
                  <c:v>10557.731044609647</c:v>
                </c:pt>
                <c:pt idx="25">
                  <c:v>11052.926477091201</c:v>
                </c:pt>
                <c:pt idx="26">
                  <c:v>11086.82104799136</c:v>
                </c:pt>
                <c:pt idx="27">
                  <c:v>11606.653411747151</c:v>
                </c:pt>
                <c:pt idx="28">
                  <c:v>12106.182280580326</c:v>
                </c:pt>
                <c:pt idx="29">
                  <c:v>12378.40416605373</c:v>
                </c:pt>
                <c:pt idx="30">
                  <c:v>12625.072786786433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31-9B4F-81F6-0BBACA47D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865311"/>
        <c:axId val="143830031"/>
      </c:lineChart>
      <c:catAx>
        <c:axId val="14386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30031"/>
        <c:crosses val="autoZero"/>
        <c:auto val="1"/>
        <c:lblAlgn val="ctr"/>
        <c:lblOffset val="100"/>
        <c:noMultiLvlLbl val="0"/>
      </c:catAx>
      <c:valAx>
        <c:axId val="14383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 Revenues,</a:t>
                </a:r>
                <a:r>
                  <a:rPr lang="en-US" baseline="0"/>
                  <a:t> mil. GBP (£)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65311"/>
        <c:crosses val="autoZero"/>
        <c:crossBetween val="between"/>
      </c:valAx>
      <c:spPr>
        <a:solidFill>
          <a:schemeClr val="accent1">
            <a:lumMod val="20000"/>
            <a:lumOff val="80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Sensitivity Analysis:</a:t>
            </a:r>
            <a:r>
              <a:rPr lang="en-US" baseline="0"/>
              <a:t> </a:t>
            </a:r>
          </a:p>
          <a:p>
            <a:pPr>
              <a:defRPr/>
            </a:pPr>
            <a:r>
              <a:rPr lang="en-US" baseline="0"/>
              <a:t>Potential Expandsions into South &amp; East Asia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'Revenue Forecasts'!$T$3</c:f>
              <c:strCache>
                <c:ptCount val="1"/>
                <c:pt idx="0">
                  <c:v>Actual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'Revenue Forecasts'!$A$4:$A$39</c:f>
              <c:numCache>
                <c:formatCode>General</c:formatCode>
                <c:ptCount val="36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  <c:pt idx="31">
                  <c:v>2020</c:v>
                </c:pt>
                <c:pt idx="32">
                  <c:v>2021</c:v>
                </c:pt>
                <c:pt idx="33">
                  <c:v>2022</c:v>
                </c:pt>
                <c:pt idx="34">
                  <c:v>2023</c:v>
                </c:pt>
                <c:pt idx="35">
                  <c:v>2024</c:v>
                </c:pt>
              </c:numCache>
            </c:numRef>
          </c:cat>
          <c:val>
            <c:numRef>
              <c:f>'Revenue Forecasts'!$T$4:$T$39</c:f>
              <c:numCache>
                <c:formatCode>General</c:formatCode>
                <c:ptCount val="36"/>
                <c:pt idx="0">
                  <c:v>4257</c:v>
                </c:pt>
                <c:pt idx="1">
                  <c:v>4838</c:v>
                </c:pt>
                <c:pt idx="2">
                  <c:v>4937</c:v>
                </c:pt>
                <c:pt idx="3">
                  <c:v>5224</c:v>
                </c:pt>
                <c:pt idx="4">
                  <c:v>5566</c:v>
                </c:pt>
                <c:pt idx="5">
                  <c:v>6303</c:v>
                </c:pt>
                <c:pt idx="6">
                  <c:v>7177</c:v>
                </c:pt>
                <c:pt idx="7">
                  <c:v>7760</c:v>
                </c:pt>
                <c:pt idx="8">
                  <c:v>7608</c:v>
                </c:pt>
                <c:pt idx="9">
                  <c:v>7881</c:v>
                </c:pt>
                <c:pt idx="10">
                  <c:v>8086</c:v>
                </c:pt>
                <c:pt idx="11">
                  <c:v>8940</c:v>
                </c:pt>
                <c:pt idx="12">
                  <c:v>9278</c:v>
                </c:pt>
                <c:pt idx="13">
                  <c:v>8340</c:v>
                </c:pt>
                <c:pt idx="14">
                  <c:v>7688</c:v>
                </c:pt>
                <c:pt idx="15">
                  <c:v>7560</c:v>
                </c:pt>
                <c:pt idx="16">
                  <c:v>6982</c:v>
                </c:pt>
                <c:pt idx="17">
                  <c:v>7562</c:v>
                </c:pt>
                <c:pt idx="18">
                  <c:v>7861</c:v>
                </c:pt>
                <c:pt idx="19">
                  <c:v>8215</c:v>
                </c:pt>
                <c:pt idx="20">
                  <c:v>8509</c:v>
                </c:pt>
                <c:pt idx="21" formatCode="0">
                  <c:v>8482.664546</c:v>
                </c:pt>
                <c:pt idx="22">
                  <c:v>9460</c:v>
                </c:pt>
                <c:pt idx="23">
                  <c:v>10236</c:v>
                </c:pt>
                <c:pt idx="24">
                  <c:v>10818</c:v>
                </c:pt>
                <c:pt idx="25">
                  <c:v>11050</c:v>
                </c:pt>
                <c:pt idx="26">
                  <c:v>10826</c:v>
                </c:pt>
                <c:pt idx="27">
                  <c:v>10885</c:v>
                </c:pt>
                <c:pt idx="28">
                  <c:v>11738</c:v>
                </c:pt>
                <c:pt idx="29">
                  <c:v>12333</c:v>
                </c:pt>
                <c:pt idx="30">
                  <c:v>12610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3A-5C4D-A163-D9267DFF8A94}"/>
            </c:ext>
          </c:extLst>
        </c:ser>
        <c:ser>
          <c:idx val="1"/>
          <c:order val="1"/>
          <c:tx>
            <c:strRef>
              <c:f>'Revenue Forecasts'!$Z$1:$AE$1</c:f>
              <c:strCache>
                <c:ptCount val="1"/>
                <c:pt idx="0">
                  <c:v>Baseline Model</c:v>
                </c:pt>
              </c:strCache>
            </c:strRef>
          </c:tx>
          <c:spPr>
            <a:ln w="3810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'Revenue Forecasts'!$A$4:$A$39</c:f>
              <c:numCache>
                <c:formatCode>General</c:formatCode>
                <c:ptCount val="36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  <c:pt idx="31">
                  <c:v>2020</c:v>
                </c:pt>
                <c:pt idx="32">
                  <c:v>2021</c:v>
                </c:pt>
                <c:pt idx="33">
                  <c:v>2022</c:v>
                </c:pt>
                <c:pt idx="34">
                  <c:v>2023</c:v>
                </c:pt>
                <c:pt idx="35">
                  <c:v>2024</c:v>
                </c:pt>
              </c:numCache>
            </c:numRef>
          </c:cat>
          <c:val>
            <c:numRef>
              <c:f>'Revenue Forecasts'!$AD$4:$AD$39</c:f>
              <c:numCache>
                <c:formatCode>0.00</c:formatCode>
                <c:ptCount val="36"/>
                <c:pt idx="30">
                  <c:v>12610</c:v>
                </c:pt>
                <c:pt idx="31">
                  <c:v>13303.03021414479</c:v>
                </c:pt>
                <c:pt idx="32">
                  <c:v>13307.823934186352</c:v>
                </c:pt>
                <c:pt idx="33">
                  <c:v>13581.853225884372</c:v>
                </c:pt>
                <c:pt idx="34">
                  <c:v>13899.192108583407</c:v>
                </c:pt>
                <c:pt idx="35">
                  <c:v>14125.204274475918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3A-5C4D-A163-D9267DFF8A94}"/>
            </c:ext>
          </c:extLst>
        </c:ser>
        <c:ser>
          <c:idx val="3"/>
          <c:order val="2"/>
          <c:tx>
            <c:strRef>
              <c:f>'Revenue Forecasts'!$AL$1:$AQ$1</c:f>
              <c:strCache>
                <c:ptCount val="1"/>
                <c:pt idx="0">
                  <c:v>Sensitivity Analysis 1: Medium Expansion</c:v>
                </c:pt>
              </c:strCache>
            </c:strRef>
          </c:tx>
          <c:spPr>
            <a:ln w="38100" cap="rnd">
              <a:solidFill>
                <a:srgbClr val="FFC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'Revenue Forecasts'!$A$4:$A$39</c:f>
              <c:numCache>
                <c:formatCode>General</c:formatCode>
                <c:ptCount val="36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  <c:pt idx="31">
                  <c:v>2020</c:v>
                </c:pt>
                <c:pt idx="32">
                  <c:v>2021</c:v>
                </c:pt>
                <c:pt idx="33">
                  <c:v>2022</c:v>
                </c:pt>
                <c:pt idx="34">
                  <c:v>2023</c:v>
                </c:pt>
                <c:pt idx="35">
                  <c:v>2024</c:v>
                </c:pt>
              </c:numCache>
            </c:numRef>
          </c:cat>
          <c:val>
            <c:numRef>
              <c:f>'Revenue Forecasts'!$AP$4:$AP$39</c:f>
              <c:numCache>
                <c:formatCode>0.00</c:formatCode>
                <c:ptCount val="36"/>
                <c:pt idx="30">
                  <c:v>12610</c:v>
                </c:pt>
                <c:pt idx="31">
                  <c:v>15651.946713859375</c:v>
                </c:pt>
                <c:pt idx="32">
                  <c:v>15679.284335994556</c:v>
                </c:pt>
                <c:pt idx="33">
                  <c:v>15966.980489059986</c:v>
                </c:pt>
                <c:pt idx="34">
                  <c:v>16294.134870172209</c:v>
                </c:pt>
                <c:pt idx="35">
                  <c:v>16550.787235148215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3A-5C4D-A163-D9267DFF8A94}"/>
            </c:ext>
          </c:extLst>
        </c:ser>
        <c:ser>
          <c:idx val="4"/>
          <c:order val="3"/>
          <c:tx>
            <c:strRef>
              <c:f>'Revenue Forecasts'!$AR$1:$AW$1</c:f>
              <c:strCache>
                <c:ptCount val="1"/>
                <c:pt idx="0">
                  <c:v>Sensitivity Analysis 2: High Expansion</c:v>
                </c:pt>
              </c:strCache>
            </c:strRef>
          </c:tx>
          <c:spPr>
            <a:ln w="3810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'Revenue Forecasts'!$A$4:$A$39</c:f>
              <c:numCache>
                <c:formatCode>General</c:formatCode>
                <c:ptCount val="36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  <c:pt idx="31">
                  <c:v>2020</c:v>
                </c:pt>
                <c:pt idx="32">
                  <c:v>2021</c:v>
                </c:pt>
                <c:pt idx="33">
                  <c:v>2022</c:v>
                </c:pt>
                <c:pt idx="34">
                  <c:v>2023</c:v>
                </c:pt>
                <c:pt idx="35">
                  <c:v>2024</c:v>
                </c:pt>
              </c:numCache>
            </c:numRef>
          </c:cat>
          <c:val>
            <c:numRef>
              <c:f>'Revenue Forecasts'!$AV$4:$AV$39</c:f>
              <c:numCache>
                <c:formatCode>0.00</c:formatCode>
                <c:ptCount val="36"/>
                <c:pt idx="30">
                  <c:v>12610</c:v>
                </c:pt>
                <c:pt idx="31">
                  <c:v>18000.863213573961</c:v>
                </c:pt>
                <c:pt idx="32">
                  <c:v>18050.744737802761</c:v>
                </c:pt>
                <c:pt idx="33">
                  <c:v>18352.107752235599</c:v>
                </c:pt>
                <c:pt idx="34">
                  <c:v>18689.077631761011</c:v>
                </c:pt>
                <c:pt idx="35">
                  <c:v>18976.370195820513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3A-5C4D-A163-D9267DFF8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3675968"/>
        <c:axId val="2133086624"/>
      </c:lineChart>
      <c:catAx>
        <c:axId val="213367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086624"/>
        <c:crosses val="autoZero"/>
        <c:auto val="1"/>
        <c:lblAlgn val="ctr"/>
        <c:lblOffset val="100"/>
        <c:noMultiLvlLbl val="0"/>
      </c:catAx>
      <c:valAx>
        <c:axId val="213308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 Revenues, mil. GBP (£)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675968"/>
        <c:crosses val="autoZero"/>
        <c:crossBetween val="between"/>
      </c:valAx>
      <c:spPr>
        <a:solidFill>
          <a:schemeClr val="accent1">
            <a:lumMod val="20000"/>
            <a:lumOff val="80000"/>
          </a:schemeClr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6965769903762024E-2"/>
          <c:y val="0.86718667979002628"/>
          <c:w val="0.94606846019247592"/>
          <c:h val="0.111979986876640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1041400</xdr:colOff>
      <xdr:row>2</xdr:row>
      <xdr:rowOff>101600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4ABBA70F-B9AC-A046-8F44-F9EA023B3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14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1041400</xdr:colOff>
      <xdr:row>2</xdr:row>
      <xdr:rowOff>101600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915853DE-AD97-C540-B00B-A2CA00DA4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14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81642</xdr:colOff>
      <xdr:row>19</xdr:row>
      <xdr:rowOff>125186</xdr:rowOff>
    </xdr:from>
    <xdr:to>
      <xdr:col>8</xdr:col>
      <xdr:colOff>526142</xdr:colOff>
      <xdr:row>34</xdr:row>
      <xdr:rowOff>10886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FF13ED-D02D-4346-AF64-88B108ABE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208643</xdr:colOff>
      <xdr:row>19</xdr:row>
      <xdr:rowOff>107043</xdr:rowOff>
    </xdr:from>
    <xdr:to>
      <xdr:col>14</xdr:col>
      <xdr:colOff>653143</xdr:colOff>
      <xdr:row>33</xdr:row>
      <xdr:rowOff>183243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E7566D-02D9-EF4F-B464-5CB0309A50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53578</xdr:colOff>
      <xdr:row>100</xdr:row>
      <xdr:rowOff>149424</xdr:rowOff>
    </xdr:from>
    <xdr:to>
      <xdr:col>4</xdr:col>
      <xdr:colOff>654844</xdr:colOff>
      <xdr:row>119</xdr:row>
      <xdr:rowOff>53578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F329FA-1A41-C74B-9E8B-594EC5BDAC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47228</xdr:colOff>
      <xdr:row>100</xdr:row>
      <xdr:rowOff>149424</xdr:rowOff>
    </xdr:from>
    <xdr:to>
      <xdr:col>15</xdr:col>
      <xdr:colOff>657225</xdr:colOff>
      <xdr:row>119</xdr:row>
      <xdr:rowOff>47228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E7FBCF-2999-1C45-B4A3-BBADA0D397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788460</xdr:colOff>
      <xdr:row>46</xdr:row>
      <xdr:rowOff>173565</xdr:rowOff>
    </xdr:from>
    <xdr:to>
      <xdr:col>7</xdr:col>
      <xdr:colOff>305860</xdr:colOff>
      <xdr:row>66</xdr:row>
      <xdr:rowOff>21165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572C21-457C-FB4F-A03A-D077C1B2FB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656166</xdr:colOff>
      <xdr:row>46</xdr:row>
      <xdr:rowOff>116417</xdr:rowOff>
    </xdr:from>
    <xdr:to>
      <xdr:col>15</xdr:col>
      <xdr:colOff>364066</xdr:colOff>
      <xdr:row>65</xdr:row>
      <xdr:rowOff>154517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DD7011-81DA-A34F-99F8-06245EE3C8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schneids13/Desktop/Oxford%20MBA/Academic/Wall%20Street%20Prep/DCF%20Modeling%20Course/DCF-Modeling-Course-DL-Kit/DCF%20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s "/>
      <sheetName val="Simple DCF Empty"/>
      <sheetName val="Simple DCF Done"/>
      <sheetName val="WACC Empty"/>
      <sheetName val="WACC Done"/>
      <sheetName val="Shares Empty"/>
      <sheetName val="Shares"/>
      <sheetName val="DCF 1-Pager"/>
      <sheetName val="2019 FSM Update Complete"/>
      <sheetName val="Integrated DCF Empty"/>
      <sheetName val="Integrated DCF"/>
    </sheetNames>
    <sheetDataSet>
      <sheetData sheetId="0">
        <row r="3">
          <cell r="B3" t="str">
            <v xml:space="preserve">$ and shares in millions, except per share data 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ake Schneider" id="{159EDEB5-64A9-5F47-87DD-5E6E7018C55B}" userId="6f80b508ea527ce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5" dT="2020-11-02T14:52:02.37" personId="{159EDEB5-64A9-5F47-87DD-5E6E7018C55B}" id="{5E10299A-67A1-FC4B-9720-FD1EF2B09E09}">
    <text>10-year CAGR average</text>
  </threadedComment>
  <threadedComment ref="D22" dT="2020-11-02T15:05:42.62" personId="{159EDEB5-64A9-5F47-87DD-5E6E7018C55B}" id="{0040A186-79A7-D145-B5F6-72B1774B73B7}">
    <text>10 Year Average of Tax Rate</text>
  </threadedComment>
  <threadedComment ref="E33" dT="2020-11-02T15:05:22.21" personId="{159EDEB5-64A9-5F47-87DD-5E6E7018C55B}" id="{18ECD44A-5814-874F-9A40-D83E1D291953}">
    <text>10 Year Mean of NWC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ED02-759D-EA40-85D5-4499665B423C}">
  <sheetPr>
    <outlinePr summaryBelow="0" summaryRight="0"/>
    <pageSetUpPr autoPageBreaks="0"/>
  </sheetPr>
  <dimension ref="A5:IU116"/>
  <sheetViews>
    <sheetView workbookViewId="0">
      <selection activeCell="B18" sqref="B18:L112"/>
    </sheetView>
  </sheetViews>
  <sheetFormatPr baseColWidth="10" defaultRowHeight="11" x14ac:dyDescent="0.15"/>
  <cols>
    <col min="1" max="1" width="45.83203125" style="133" customWidth="1"/>
    <col min="2" max="12" width="14.83203125" style="133" customWidth="1"/>
    <col min="13" max="256" width="8.83203125" style="133" customWidth="1"/>
    <col min="257" max="257" width="45.83203125" style="133" customWidth="1"/>
    <col min="258" max="268" width="14.83203125" style="133" customWidth="1"/>
    <col min="269" max="512" width="8.83203125" style="133" customWidth="1"/>
    <col min="513" max="513" width="45.83203125" style="133" customWidth="1"/>
    <col min="514" max="524" width="14.83203125" style="133" customWidth="1"/>
    <col min="525" max="768" width="8.83203125" style="133" customWidth="1"/>
    <col min="769" max="769" width="45.83203125" style="133" customWidth="1"/>
    <col min="770" max="780" width="14.83203125" style="133" customWidth="1"/>
    <col min="781" max="1024" width="8.83203125" style="133" customWidth="1"/>
    <col min="1025" max="1025" width="45.83203125" style="133" customWidth="1"/>
    <col min="1026" max="1036" width="14.83203125" style="133" customWidth="1"/>
    <col min="1037" max="1280" width="8.83203125" style="133" customWidth="1"/>
    <col min="1281" max="1281" width="45.83203125" style="133" customWidth="1"/>
    <col min="1282" max="1292" width="14.83203125" style="133" customWidth="1"/>
    <col min="1293" max="1536" width="8.83203125" style="133" customWidth="1"/>
    <col min="1537" max="1537" width="45.83203125" style="133" customWidth="1"/>
    <col min="1538" max="1548" width="14.83203125" style="133" customWidth="1"/>
    <col min="1549" max="1792" width="8.83203125" style="133" customWidth="1"/>
    <col min="1793" max="1793" width="45.83203125" style="133" customWidth="1"/>
    <col min="1794" max="1804" width="14.83203125" style="133" customWidth="1"/>
    <col min="1805" max="2048" width="8.83203125" style="133" customWidth="1"/>
    <col min="2049" max="2049" width="45.83203125" style="133" customWidth="1"/>
    <col min="2050" max="2060" width="14.83203125" style="133" customWidth="1"/>
    <col min="2061" max="2304" width="8.83203125" style="133" customWidth="1"/>
    <col min="2305" max="2305" width="45.83203125" style="133" customWidth="1"/>
    <col min="2306" max="2316" width="14.83203125" style="133" customWidth="1"/>
    <col min="2317" max="2560" width="8.83203125" style="133" customWidth="1"/>
    <col min="2561" max="2561" width="45.83203125" style="133" customWidth="1"/>
    <col min="2562" max="2572" width="14.83203125" style="133" customWidth="1"/>
    <col min="2573" max="2816" width="8.83203125" style="133" customWidth="1"/>
    <col min="2817" max="2817" width="45.83203125" style="133" customWidth="1"/>
    <col min="2818" max="2828" width="14.83203125" style="133" customWidth="1"/>
    <col min="2829" max="3072" width="8.83203125" style="133" customWidth="1"/>
    <col min="3073" max="3073" width="45.83203125" style="133" customWidth="1"/>
    <col min="3074" max="3084" width="14.83203125" style="133" customWidth="1"/>
    <col min="3085" max="3328" width="8.83203125" style="133" customWidth="1"/>
    <col min="3329" max="3329" width="45.83203125" style="133" customWidth="1"/>
    <col min="3330" max="3340" width="14.83203125" style="133" customWidth="1"/>
    <col min="3341" max="3584" width="8.83203125" style="133" customWidth="1"/>
    <col min="3585" max="3585" width="45.83203125" style="133" customWidth="1"/>
    <col min="3586" max="3596" width="14.83203125" style="133" customWidth="1"/>
    <col min="3597" max="3840" width="8.83203125" style="133" customWidth="1"/>
    <col min="3841" max="3841" width="45.83203125" style="133" customWidth="1"/>
    <col min="3842" max="3852" width="14.83203125" style="133" customWidth="1"/>
    <col min="3853" max="4096" width="8.83203125" style="133" customWidth="1"/>
    <col min="4097" max="4097" width="45.83203125" style="133" customWidth="1"/>
    <col min="4098" max="4108" width="14.83203125" style="133" customWidth="1"/>
    <col min="4109" max="4352" width="8.83203125" style="133" customWidth="1"/>
    <col min="4353" max="4353" width="45.83203125" style="133" customWidth="1"/>
    <col min="4354" max="4364" width="14.83203125" style="133" customWidth="1"/>
    <col min="4365" max="4608" width="8.83203125" style="133" customWidth="1"/>
    <col min="4609" max="4609" width="45.83203125" style="133" customWidth="1"/>
    <col min="4610" max="4620" width="14.83203125" style="133" customWidth="1"/>
    <col min="4621" max="4864" width="8.83203125" style="133" customWidth="1"/>
    <col min="4865" max="4865" width="45.83203125" style="133" customWidth="1"/>
    <col min="4866" max="4876" width="14.83203125" style="133" customWidth="1"/>
    <col min="4877" max="5120" width="8.83203125" style="133" customWidth="1"/>
    <col min="5121" max="5121" width="45.83203125" style="133" customWidth="1"/>
    <col min="5122" max="5132" width="14.83203125" style="133" customWidth="1"/>
    <col min="5133" max="5376" width="8.83203125" style="133" customWidth="1"/>
    <col min="5377" max="5377" width="45.83203125" style="133" customWidth="1"/>
    <col min="5378" max="5388" width="14.83203125" style="133" customWidth="1"/>
    <col min="5389" max="5632" width="8.83203125" style="133" customWidth="1"/>
    <col min="5633" max="5633" width="45.83203125" style="133" customWidth="1"/>
    <col min="5634" max="5644" width="14.83203125" style="133" customWidth="1"/>
    <col min="5645" max="5888" width="8.83203125" style="133" customWidth="1"/>
    <col min="5889" max="5889" width="45.83203125" style="133" customWidth="1"/>
    <col min="5890" max="5900" width="14.83203125" style="133" customWidth="1"/>
    <col min="5901" max="6144" width="8.83203125" style="133" customWidth="1"/>
    <col min="6145" max="6145" width="45.83203125" style="133" customWidth="1"/>
    <col min="6146" max="6156" width="14.83203125" style="133" customWidth="1"/>
    <col min="6157" max="6400" width="8.83203125" style="133" customWidth="1"/>
    <col min="6401" max="6401" width="45.83203125" style="133" customWidth="1"/>
    <col min="6402" max="6412" width="14.83203125" style="133" customWidth="1"/>
    <col min="6413" max="6656" width="8.83203125" style="133" customWidth="1"/>
    <col min="6657" max="6657" width="45.83203125" style="133" customWidth="1"/>
    <col min="6658" max="6668" width="14.83203125" style="133" customWidth="1"/>
    <col min="6669" max="6912" width="8.83203125" style="133" customWidth="1"/>
    <col min="6913" max="6913" width="45.83203125" style="133" customWidth="1"/>
    <col min="6914" max="6924" width="14.83203125" style="133" customWidth="1"/>
    <col min="6925" max="7168" width="8.83203125" style="133" customWidth="1"/>
    <col min="7169" max="7169" width="45.83203125" style="133" customWidth="1"/>
    <col min="7170" max="7180" width="14.83203125" style="133" customWidth="1"/>
    <col min="7181" max="7424" width="8.83203125" style="133" customWidth="1"/>
    <col min="7425" max="7425" width="45.83203125" style="133" customWidth="1"/>
    <col min="7426" max="7436" width="14.83203125" style="133" customWidth="1"/>
    <col min="7437" max="7680" width="8.83203125" style="133" customWidth="1"/>
    <col min="7681" max="7681" width="45.83203125" style="133" customWidth="1"/>
    <col min="7682" max="7692" width="14.83203125" style="133" customWidth="1"/>
    <col min="7693" max="7936" width="8.83203125" style="133" customWidth="1"/>
    <col min="7937" max="7937" width="45.83203125" style="133" customWidth="1"/>
    <col min="7938" max="7948" width="14.83203125" style="133" customWidth="1"/>
    <col min="7949" max="8192" width="8.83203125" style="133" customWidth="1"/>
    <col min="8193" max="8193" width="45.83203125" style="133" customWidth="1"/>
    <col min="8194" max="8204" width="14.83203125" style="133" customWidth="1"/>
    <col min="8205" max="8448" width="8.83203125" style="133" customWidth="1"/>
    <col min="8449" max="8449" width="45.83203125" style="133" customWidth="1"/>
    <col min="8450" max="8460" width="14.83203125" style="133" customWidth="1"/>
    <col min="8461" max="8704" width="8.83203125" style="133" customWidth="1"/>
    <col min="8705" max="8705" width="45.83203125" style="133" customWidth="1"/>
    <col min="8706" max="8716" width="14.83203125" style="133" customWidth="1"/>
    <col min="8717" max="8960" width="8.83203125" style="133" customWidth="1"/>
    <col min="8961" max="8961" width="45.83203125" style="133" customWidth="1"/>
    <col min="8962" max="8972" width="14.83203125" style="133" customWidth="1"/>
    <col min="8973" max="9216" width="8.83203125" style="133" customWidth="1"/>
    <col min="9217" max="9217" width="45.83203125" style="133" customWidth="1"/>
    <col min="9218" max="9228" width="14.83203125" style="133" customWidth="1"/>
    <col min="9229" max="9472" width="8.83203125" style="133" customWidth="1"/>
    <col min="9473" max="9473" width="45.83203125" style="133" customWidth="1"/>
    <col min="9474" max="9484" width="14.83203125" style="133" customWidth="1"/>
    <col min="9485" max="9728" width="8.83203125" style="133" customWidth="1"/>
    <col min="9729" max="9729" width="45.83203125" style="133" customWidth="1"/>
    <col min="9730" max="9740" width="14.83203125" style="133" customWidth="1"/>
    <col min="9741" max="9984" width="8.83203125" style="133" customWidth="1"/>
    <col min="9985" max="9985" width="45.83203125" style="133" customWidth="1"/>
    <col min="9986" max="9996" width="14.83203125" style="133" customWidth="1"/>
    <col min="9997" max="10240" width="8.83203125" style="133" customWidth="1"/>
    <col min="10241" max="10241" width="45.83203125" style="133" customWidth="1"/>
    <col min="10242" max="10252" width="14.83203125" style="133" customWidth="1"/>
    <col min="10253" max="10496" width="8.83203125" style="133" customWidth="1"/>
    <col min="10497" max="10497" width="45.83203125" style="133" customWidth="1"/>
    <col min="10498" max="10508" width="14.83203125" style="133" customWidth="1"/>
    <col min="10509" max="10752" width="8.83203125" style="133" customWidth="1"/>
    <col min="10753" max="10753" width="45.83203125" style="133" customWidth="1"/>
    <col min="10754" max="10764" width="14.83203125" style="133" customWidth="1"/>
    <col min="10765" max="11008" width="8.83203125" style="133" customWidth="1"/>
    <col min="11009" max="11009" width="45.83203125" style="133" customWidth="1"/>
    <col min="11010" max="11020" width="14.83203125" style="133" customWidth="1"/>
    <col min="11021" max="11264" width="8.83203125" style="133" customWidth="1"/>
    <col min="11265" max="11265" width="45.83203125" style="133" customWidth="1"/>
    <col min="11266" max="11276" width="14.83203125" style="133" customWidth="1"/>
    <col min="11277" max="11520" width="8.83203125" style="133" customWidth="1"/>
    <col min="11521" max="11521" width="45.83203125" style="133" customWidth="1"/>
    <col min="11522" max="11532" width="14.83203125" style="133" customWidth="1"/>
    <col min="11533" max="11776" width="8.83203125" style="133" customWidth="1"/>
    <col min="11777" max="11777" width="45.83203125" style="133" customWidth="1"/>
    <col min="11778" max="11788" width="14.83203125" style="133" customWidth="1"/>
    <col min="11789" max="12032" width="8.83203125" style="133" customWidth="1"/>
    <col min="12033" max="12033" width="45.83203125" style="133" customWidth="1"/>
    <col min="12034" max="12044" width="14.83203125" style="133" customWidth="1"/>
    <col min="12045" max="12288" width="8.83203125" style="133" customWidth="1"/>
    <col min="12289" max="12289" width="45.83203125" style="133" customWidth="1"/>
    <col min="12290" max="12300" width="14.83203125" style="133" customWidth="1"/>
    <col min="12301" max="12544" width="8.83203125" style="133" customWidth="1"/>
    <col min="12545" max="12545" width="45.83203125" style="133" customWidth="1"/>
    <col min="12546" max="12556" width="14.83203125" style="133" customWidth="1"/>
    <col min="12557" max="12800" width="8.83203125" style="133" customWidth="1"/>
    <col min="12801" max="12801" width="45.83203125" style="133" customWidth="1"/>
    <col min="12802" max="12812" width="14.83203125" style="133" customWidth="1"/>
    <col min="12813" max="13056" width="8.83203125" style="133" customWidth="1"/>
    <col min="13057" max="13057" width="45.83203125" style="133" customWidth="1"/>
    <col min="13058" max="13068" width="14.83203125" style="133" customWidth="1"/>
    <col min="13069" max="13312" width="8.83203125" style="133" customWidth="1"/>
    <col min="13313" max="13313" width="45.83203125" style="133" customWidth="1"/>
    <col min="13314" max="13324" width="14.83203125" style="133" customWidth="1"/>
    <col min="13325" max="13568" width="8.83203125" style="133" customWidth="1"/>
    <col min="13569" max="13569" width="45.83203125" style="133" customWidth="1"/>
    <col min="13570" max="13580" width="14.83203125" style="133" customWidth="1"/>
    <col min="13581" max="13824" width="8.83203125" style="133" customWidth="1"/>
    <col min="13825" max="13825" width="45.83203125" style="133" customWidth="1"/>
    <col min="13826" max="13836" width="14.83203125" style="133" customWidth="1"/>
    <col min="13837" max="14080" width="8.83203125" style="133" customWidth="1"/>
    <col min="14081" max="14081" width="45.83203125" style="133" customWidth="1"/>
    <col min="14082" max="14092" width="14.83203125" style="133" customWidth="1"/>
    <col min="14093" max="14336" width="8.83203125" style="133" customWidth="1"/>
    <col min="14337" max="14337" width="45.83203125" style="133" customWidth="1"/>
    <col min="14338" max="14348" width="14.83203125" style="133" customWidth="1"/>
    <col min="14349" max="14592" width="8.83203125" style="133" customWidth="1"/>
    <col min="14593" max="14593" width="45.83203125" style="133" customWidth="1"/>
    <col min="14594" max="14604" width="14.83203125" style="133" customWidth="1"/>
    <col min="14605" max="14848" width="8.83203125" style="133" customWidth="1"/>
    <col min="14849" max="14849" width="45.83203125" style="133" customWidth="1"/>
    <col min="14850" max="14860" width="14.83203125" style="133" customWidth="1"/>
    <col min="14861" max="15104" width="8.83203125" style="133" customWidth="1"/>
    <col min="15105" max="15105" width="45.83203125" style="133" customWidth="1"/>
    <col min="15106" max="15116" width="14.83203125" style="133" customWidth="1"/>
    <col min="15117" max="15360" width="8.83203125" style="133" customWidth="1"/>
    <col min="15361" max="15361" width="45.83203125" style="133" customWidth="1"/>
    <col min="15362" max="15372" width="14.83203125" style="133" customWidth="1"/>
    <col min="15373" max="15616" width="8.83203125" style="133" customWidth="1"/>
    <col min="15617" max="15617" width="45.83203125" style="133" customWidth="1"/>
    <col min="15618" max="15628" width="14.83203125" style="133" customWidth="1"/>
    <col min="15629" max="15872" width="8.83203125" style="133" customWidth="1"/>
    <col min="15873" max="15873" width="45.83203125" style="133" customWidth="1"/>
    <col min="15874" max="15884" width="14.83203125" style="133" customWidth="1"/>
    <col min="15885" max="16128" width="8.83203125" style="133" customWidth="1"/>
    <col min="16129" max="16129" width="45.83203125" style="133" customWidth="1"/>
    <col min="16130" max="16140" width="14.83203125" style="133" customWidth="1"/>
    <col min="16141" max="16384" width="8.83203125" style="133" customWidth="1"/>
  </cols>
  <sheetData>
    <row r="5" spans="1:255" ht="17" x14ac:dyDescent="0.2">
      <c r="A5" s="132" t="s">
        <v>91</v>
      </c>
    </row>
    <row r="7" spans="1:255" ht="12" x14ac:dyDescent="0.15">
      <c r="A7" s="134" t="s">
        <v>92</v>
      </c>
      <c r="B7" s="135" t="s">
        <v>93</v>
      </c>
      <c r="C7" s="133" t="s">
        <v>94</v>
      </c>
      <c r="D7" s="136" t="s">
        <v>95</v>
      </c>
      <c r="E7" s="135" t="s">
        <v>96</v>
      </c>
      <c r="F7" s="133" t="s">
        <v>97</v>
      </c>
    </row>
    <row r="8" spans="1:255" x14ac:dyDescent="0.15">
      <c r="A8" s="136"/>
      <c r="B8" s="135" t="s">
        <v>98</v>
      </c>
      <c r="C8" s="133" t="s">
        <v>99</v>
      </c>
      <c r="D8" s="136" t="s">
        <v>95</v>
      </c>
      <c r="E8" s="135" t="s">
        <v>100</v>
      </c>
      <c r="F8" s="133" t="s">
        <v>101</v>
      </c>
    </row>
    <row r="9" spans="1:255" x14ac:dyDescent="0.15">
      <c r="A9" s="136"/>
      <c r="B9" s="135" t="s">
        <v>102</v>
      </c>
      <c r="C9" s="133" t="s">
        <v>103</v>
      </c>
      <c r="D9" s="136" t="s">
        <v>95</v>
      </c>
      <c r="E9" s="135" t="s">
        <v>104</v>
      </c>
      <c r="F9" s="133" t="s">
        <v>105</v>
      </c>
    </row>
    <row r="10" spans="1:255" x14ac:dyDescent="0.15">
      <c r="A10" s="136"/>
      <c r="B10" s="135" t="s">
        <v>106</v>
      </c>
      <c r="C10" s="133" t="s">
        <v>107</v>
      </c>
      <c r="D10" s="136" t="s">
        <v>95</v>
      </c>
      <c r="E10" s="135" t="s">
        <v>108</v>
      </c>
      <c r="F10" s="137" t="s">
        <v>109</v>
      </c>
    </row>
    <row r="11" spans="1:255" x14ac:dyDescent="0.15">
      <c r="A11" s="136"/>
      <c r="B11" s="135" t="s">
        <v>110</v>
      </c>
      <c r="C11" s="133" t="s">
        <v>111</v>
      </c>
      <c r="D11" s="136" t="s">
        <v>95</v>
      </c>
      <c r="E11" s="138"/>
      <c r="F11" s="138"/>
    </row>
    <row r="14" spans="1:255" x14ac:dyDescent="0.15">
      <c r="A14" s="139" t="s">
        <v>112</v>
      </c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DB14" s="140"/>
      <c r="DC14" s="140"/>
      <c r="DD14" s="140"/>
      <c r="DE14" s="140"/>
      <c r="DF14" s="140"/>
      <c r="DG14" s="140"/>
      <c r="DH14" s="140"/>
      <c r="DI14" s="140"/>
      <c r="DJ14" s="140"/>
      <c r="DK14" s="140"/>
      <c r="DL14" s="140"/>
      <c r="DM14" s="140"/>
      <c r="DN14" s="140"/>
      <c r="DO14" s="140"/>
      <c r="DP14" s="140"/>
      <c r="DQ14" s="140"/>
      <c r="DR14" s="140"/>
      <c r="DS14" s="140"/>
      <c r="DT14" s="140"/>
      <c r="DU14" s="140"/>
      <c r="DV14" s="140"/>
      <c r="DW14" s="140"/>
      <c r="DX14" s="140"/>
      <c r="DY14" s="140"/>
      <c r="DZ14" s="140"/>
      <c r="EA14" s="140"/>
      <c r="EB14" s="140"/>
      <c r="EC14" s="140"/>
      <c r="ED14" s="140"/>
      <c r="EE14" s="140"/>
      <c r="EF14" s="140"/>
      <c r="EG14" s="140"/>
      <c r="EH14" s="140"/>
      <c r="EI14" s="140"/>
      <c r="EJ14" s="140"/>
      <c r="EK14" s="140"/>
      <c r="EL14" s="140"/>
      <c r="EM14" s="140"/>
      <c r="EN14" s="140"/>
      <c r="EO14" s="140"/>
      <c r="EP14" s="140"/>
      <c r="EQ14" s="140"/>
      <c r="ER14" s="140"/>
      <c r="ES14" s="140"/>
      <c r="ET14" s="140"/>
      <c r="EU14" s="140"/>
      <c r="EV14" s="140"/>
      <c r="EW14" s="140"/>
      <c r="EX14" s="140"/>
      <c r="EY14" s="140"/>
      <c r="EZ14" s="140"/>
      <c r="FA14" s="140"/>
      <c r="FB14" s="140"/>
      <c r="FC14" s="140"/>
      <c r="FD14" s="140"/>
      <c r="FE14" s="140"/>
      <c r="FF14" s="140"/>
      <c r="FG14" s="140"/>
      <c r="FH14" s="140"/>
      <c r="FI14" s="140"/>
      <c r="FJ14" s="140"/>
      <c r="FK14" s="140"/>
      <c r="FL14" s="140"/>
      <c r="FM14" s="140"/>
      <c r="FN14" s="140"/>
      <c r="FO14" s="140"/>
      <c r="FP14" s="140"/>
      <c r="FQ14" s="140"/>
      <c r="FR14" s="140"/>
      <c r="FS14" s="140"/>
      <c r="FT14" s="140"/>
      <c r="FU14" s="140"/>
      <c r="FV14" s="140"/>
      <c r="FW14" s="140"/>
      <c r="FX14" s="140"/>
      <c r="FY14" s="140"/>
      <c r="FZ14" s="140"/>
      <c r="GA14" s="140"/>
      <c r="GB14" s="140"/>
      <c r="GC14" s="140"/>
      <c r="GD14" s="140"/>
      <c r="GE14" s="140"/>
      <c r="GF14" s="140"/>
      <c r="GG14" s="140"/>
      <c r="GH14" s="140"/>
      <c r="GI14" s="140"/>
      <c r="GJ14" s="140"/>
      <c r="GK14" s="140"/>
      <c r="GL14" s="140"/>
      <c r="GM14" s="140"/>
      <c r="GN14" s="140"/>
      <c r="GO14" s="140"/>
      <c r="GP14" s="140"/>
      <c r="GQ14" s="140"/>
      <c r="GR14" s="140"/>
      <c r="GS14" s="140"/>
      <c r="GT14" s="140"/>
      <c r="GU14" s="140"/>
      <c r="GV14" s="140"/>
      <c r="GW14" s="140"/>
      <c r="GX14" s="140"/>
      <c r="GY14" s="140"/>
      <c r="GZ14" s="140"/>
      <c r="HA14" s="140"/>
      <c r="HB14" s="140"/>
      <c r="HC14" s="140"/>
      <c r="HD14" s="140"/>
      <c r="HE14" s="140"/>
      <c r="HF14" s="140"/>
      <c r="HG14" s="140"/>
      <c r="HH14" s="140"/>
      <c r="HI14" s="140"/>
      <c r="HJ14" s="140"/>
      <c r="HK14" s="140"/>
      <c r="HL14" s="140"/>
      <c r="HM14" s="140"/>
      <c r="HN14" s="140"/>
      <c r="HO14" s="140"/>
      <c r="HP14" s="140"/>
      <c r="HQ14" s="140"/>
      <c r="HR14" s="140"/>
      <c r="HS14" s="140"/>
      <c r="HT14" s="140"/>
      <c r="HU14" s="140"/>
      <c r="HV14" s="140"/>
      <c r="HW14" s="140"/>
      <c r="HX14" s="140"/>
      <c r="HY14" s="140"/>
      <c r="HZ14" s="140"/>
      <c r="IA14" s="140"/>
      <c r="IB14" s="140"/>
      <c r="IC14" s="140"/>
      <c r="ID14" s="140"/>
      <c r="IE14" s="140"/>
      <c r="IF14" s="140"/>
      <c r="IG14" s="140"/>
      <c r="IH14" s="140"/>
      <c r="II14" s="140"/>
      <c r="IJ14" s="140"/>
      <c r="IK14" s="140"/>
      <c r="IL14" s="140"/>
      <c r="IM14" s="140"/>
      <c r="IN14" s="140"/>
      <c r="IO14" s="140"/>
      <c r="IP14" s="140"/>
      <c r="IQ14" s="140"/>
      <c r="IR14" s="140"/>
      <c r="IS14" s="140"/>
      <c r="IT14" s="140"/>
      <c r="IU14" s="140"/>
    </row>
    <row r="15" spans="1:255" ht="36" x14ac:dyDescent="0.15">
      <c r="A15" s="141" t="s">
        <v>113</v>
      </c>
      <c r="B15" s="142" t="s">
        <v>114</v>
      </c>
      <c r="C15" s="142" t="s">
        <v>115</v>
      </c>
      <c r="D15" s="142" t="s">
        <v>116</v>
      </c>
      <c r="E15" s="142" t="s">
        <v>117</v>
      </c>
      <c r="F15" s="142" t="s">
        <v>118</v>
      </c>
      <c r="G15" s="142" t="s">
        <v>119</v>
      </c>
      <c r="H15" s="142" t="s">
        <v>120</v>
      </c>
      <c r="I15" s="142" t="s">
        <v>121</v>
      </c>
      <c r="J15" s="142" t="s">
        <v>122</v>
      </c>
      <c r="K15" s="142" t="s">
        <v>123</v>
      </c>
      <c r="L15" s="142" t="s">
        <v>124</v>
      </c>
    </row>
    <row r="16" spans="1:255" ht="12" x14ac:dyDescent="0.15">
      <c r="A16" s="143" t="s">
        <v>125</v>
      </c>
      <c r="B16" s="144" t="s">
        <v>126</v>
      </c>
      <c r="C16" s="144" t="s">
        <v>126</v>
      </c>
      <c r="D16" s="144" t="s">
        <v>126</v>
      </c>
      <c r="E16" s="144" t="s">
        <v>126</v>
      </c>
      <c r="F16" s="144" t="s">
        <v>126</v>
      </c>
      <c r="G16" s="144" t="s">
        <v>126</v>
      </c>
      <c r="H16" s="144" t="s">
        <v>126</v>
      </c>
      <c r="I16" s="144" t="s">
        <v>126</v>
      </c>
      <c r="J16" s="144" t="s">
        <v>126</v>
      </c>
      <c r="K16" s="144" t="s">
        <v>126</v>
      </c>
      <c r="L16" s="144" t="s">
        <v>126</v>
      </c>
    </row>
    <row r="17" spans="1:12" x14ac:dyDescent="0.15">
      <c r="A17" s="145" t="s">
        <v>127</v>
      </c>
      <c r="B17" s="136"/>
      <c r="C17" s="136"/>
      <c r="D17" s="136"/>
      <c r="E17" s="136"/>
      <c r="F17" s="136"/>
      <c r="G17" s="136"/>
      <c r="H17" s="136"/>
      <c r="I17" s="136"/>
      <c r="J17" s="136"/>
      <c r="K17" s="136"/>
      <c r="L17" s="136"/>
    </row>
    <row r="18" spans="1:12" x14ac:dyDescent="0.15">
      <c r="A18" s="136" t="s">
        <v>14</v>
      </c>
      <c r="B18" s="146">
        <v>8482.664546</v>
      </c>
      <c r="C18" s="146">
        <v>9460</v>
      </c>
      <c r="D18" s="146">
        <v>10236</v>
      </c>
      <c r="E18" s="146">
        <v>10818</v>
      </c>
      <c r="F18" s="146">
        <v>11050</v>
      </c>
      <c r="G18" s="146">
        <v>10826</v>
      </c>
      <c r="H18" s="146">
        <v>10885</v>
      </c>
      <c r="I18" s="146">
        <v>11738</v>
      </c>
      <c r="J18" s="146">
        <v>12333</v>
      </c>
      <c r="K18" s="146">
        <v>12610</v>
      </c>
      <c r="L18" s="146">
        <v>9087</v>
      </c>
    </row>
    <row r="19" spans="1:12" x14ac:dyDescent="0.15">
      <c r="A19" s="136" t="s">
        <v>128</v>
      </c>
      <c r="B19" s="146">
        <v>427.99989299999999</v>
      </c>
      <c r="C19" s="146">
        <v>527</v>
      </c>
      <c r="D19" s="146">
        <v>591</v>
      </c>
      <c r="E19" s="146">
        <v>603</v>
      </c>
      <c r="F19" s="146">
        <v>669</v>
      </c>
      <c r="G19" s="146">
        <v>507</v>
      </c>
      <c r="H19" s="146">
        <v>513</v>
      </c>
      <c r="I19" s="146">
        <v>533</v>
      </c>
      <c r="J19" s="146">
        <v>632</v>
      </c>
      <c r="K19" s="146">
        <v>680</v>
      </c>
      <c r="L19" s="146">
        <v>518</v>
      </c>
    </row>
    <row r="20" spans="1:12" x14ac:dyDescent="0.15">
      <c r="A20" s="145" t="s">
        <v>129</v>
      </c>
      <c r="B20" s="147">
        <v>8910.6644390000001</v>
      </c>
      <c r="C20" s="147">
        <v>9987</v>
      </c>
      <c r="D20" s="147">
        <v>10827</v>
      </c>
      <c r="E20" s="147">
        <v>11421</v>
      </c>
      <c r="F20" s="147">
        <v>11719</v>
      </c>
      <c r="G20" s="147">
        <v>11333</v>
      </c>
      <c r="H20" s="147">
        <v>11398</v>
      </c>
      <c r="I20" s="147">
        <v>12271</v>
      </c>
      <c r="J20" s="147">
        <v>12965</v>
      </c>
      <c r="K20" s="147">
        <v>13290</v>
      </c>
      <c r="L20" s="147">
        <v>9605</v>
      </c>
    </row>
    <row r="21" spans="1:12" x14ac:dyDescent="0.15">
      <c r="A21" s="136"/>
      <c r="B21" s="136"/>
      <c r="C21" s="136"/>
      <c r="D21" s="136"/>
      <c r="E21" s="136"/>
      <c r="F21" s="136"/>
      <c r="G21" s="136"/>
      <c r="H21" s="136"/>
      <c r="I21" s="136"/>
      <c r="J21" s="136"/>
      <c r="K21" s="136"/>
      <c r="L21" s="136"/>
    </row>
    <row r="22" spans="1:12" x14ac:dyDescent="0.15">
      <c r="A22" s="136" t="s">
        <v>130</v>
      </c>
      <c r="B22" s="146">
        <v>7439.9981399999997</v>
      </c>
      <c r="C22" s="146">
        <v>8162</v>
      </c>
      <c r="D22" s="146">
        <v>9367</v>
      </c>
      <c r="E22" s="146">
        <v>9621</v>
      </c>
      <c r="F22" s="146">
        <v>9391</v>
      </c>
      <c r="G22" s="146">
        <v>8829</v>
      </c>
      <c r="H22" s="146">
        <v>8629</v>
      </c>
      <c r="I22" s="146">
        <v>9301</v>
      </c>
      <c r="J22" s="146">
        <v>9650</v>
      </c>
      <c r="K22" s="146">
        <v>9733</v>
      </c>
      <c r="L22" s="146">
        <v>7915</v>
      </c>
    </row>
    <row r="23" spans="1:12" x14ac:dyDescent="0.15">
      <c r="A23" s="145" t="s">
        <v>131</v>
      </c>
      <c r="B23" s="147">
        <v>1470.666299</v>
      </c>
      <c r="C23" s="147">
        <v>1825</v>
      </c>
      <c r="D23" s="147">
        <v>1460</v>
      </c>
      <c r="E23" s="147">
        <v>1800</v>
      </c>
      <c r="F23" s="147">
        <v>2328</v>
      </c>
      <c r="G23" s="147">
        <v>2504</v>
      </c>
      <c r="H23" s="147">
        <v>2769</v>
      </c>
      <c r="I23" s="147">
        <v>2970</v>
      </c>
      <c r="J23" s="147">
        <v>3315</v>
      </c>
      <c r="K23" s="147">
        <v>3557</v>
      </c>
      <c r="L23" s="147">
        <v>1690</v>
      </c>
    </row>
    <row r="24" spans="1:12" x14ac:dyDescent="0.15">
      <c r="A24" s="136"/>
      <c r="B24" s="136"/>
      <c r="C24" s="136"/>
      <c r="D24" s="136"/>
      <c r="E24" s="136"/>
      <c r="F24" s="136"/>
      <c r="G24" s="136"/>
      <c r="H24" s="136"/>
      <c r="I24" s="136"/>
      <c r="J24" s="136"/>
      <c r="K24" s="136"/>
      <c r="L24" s="136"/>
    </row>
    <row r="25" spans="1:12" x14ac:dyDescent="0.15">
      <c r="A25" s="136" t="s">
        <v>132</v>
      </c>
      <c r="B25" s="146">
        <v>313.33325500000001</v>
      </c>
      <c r="C25" s="146">
        <v>436</v>
      </c>
      <c r="D25" s="146">
        <v>466</v>
      </c>
      <c r="E25" s="146">
        <v>439</v>
      </c>
      <c r="F25" s="146">
        <v>449</v>
      </c>
      <c r="G25" s="146">
        <v>415</v>
      </c>
      <c r="H25" s="146">
        <v>414</v>
      </c>
      <c r="I25" s="146">
        <v>480</v>
      </c>
      <c r="J25" s="146">
        <v>509</v>
      </c>
      <c r="K25" s="146">
        <v>516</v>
      </c>
      <c r="L25" s="146">
        <v>339</v>
      </c>
    </row>
    <row r="26" spans="1:12" ht="12" x14ac:dyDescent="0.15">
      <c r="A26" s="136" t="s">
        <v>133</v>
      </c>
      <c r="B26" s="146" t="s">
        <v>134</v>
      </c>
      <c r="C26" s="146" t="s">
        <v>134</v>
      </c>
      <c r="D26" s="146" t="s">
        <v>134</v>
      </c>
      <c r="E26" s="146" t="s">
        <v>134</v>
      </c>
      <c r="F26" s="146" t="s">
        <v>134</v>
      </c>
      <c r="G26" s="146" t="s">
        <v>134</v>
      </c>
      <c r="H26" s="146" t="s">
        <v>134</v>
      </c>
      <c r="I26" s="146" t="s">
        <v>134</v>
      </c>
      <c r="J26" s="146" t="s">
        <v>134</v>
      </c>
      <c r="K26" s="146" t="s">
        <v>134</v>
      </c>
      <c r="L26" s="146" t="s">
        <v>134</v>
      </c>
    </row>
    <row r="27" spans="1:12" x14ac:dyDescent="0.15">
      <c r="A27" s="136" t="s">
        <v>135</v>
      </c>
      <c r="B27" s="146">
        <v>722.66648599999996</v>
      </c>
      <c r="C27" s="146">
        <v>691</v>
      </c>
      <c r="D27" s="146">
        <v>705</v>
      </c>
      <c r="E27" s="146">
        <v>706</v>
      </c>
      <c r="F27" s="146">
        <v>831</v>
      </c>
      <c r="G27" s="146">
        <v>757</v>
      </c>
      <c r="H27" s="146">
        <v>756</v>
      </c>
      <c r="I27" s="146">
        <v>751</v>
      </c>
      <c r="J27" s="146">
        <v>786</v>
      </c>
      <c r="K27" s="146">
        <v>1106</v>
      </c>
      <c r="L27" s="146">
        <v>1147</v>
      </c>
    </row>
    <row r="28" spans="1:12" ht="12" x14ac:dyDescent="0.15">
      <c r="A28" s="136" t="s">
        <v>136</v>
      </c>
      <c r="B28" s="146">
        <v>2.6666660000000002</v>
      </c>
      <c r="C28" s="146">
        <v>11</v>
      </c>
      <c r="D28" s="146">
        <v>-8</v>
      </c>
      <c r="E28" s="146">
        <v>-17</v>
      </c>
      <c r="F28" s="146">
        <v>37</v>
      </c>
      <c r="G28" s="146">
        <v>121</v>
      </c>
      <c r="H28" s="146">
        <v>-34</v>
      </c>
      <c r="I28" s="146">
        <v>-4</v>
      </c>
      <c r="J28" s="146" t="s">
        <v>134</v>
      </c>
      <c r="K28" s="146" t="s">
        <v>134</v>
      </c>
      <c r="L28" s="146" t="s">
        <v>134</v>
      </c>
    </row>
    <row r="29" spans="1:12" x14ac:dyDescent="0.15">
      <c r="A29" s="136"/>
      <c r="B29" s="136"/>
      <c r="C29" s="136"/>
      <c r="D29" s="136"/>
      <c r="E29" s="136"/>
      <c r="F29" s="136"/>
      <c r="G29" s="136"/>
      <c r="H29" s="136"/>
      <c r="I29" s="136"/>
      <c r="J29" s="136"/>
      <c r="K29" s="136"/>
      <c r="L29" s="136"/>
    </row>
    <row r="30" spans="1:12" x14ac:dyDescent="0.15">
      <c r="A30" s="145" t="s">
        <v>137</v>
      </c>
      <c r="B30" s="147">
        <v>1038.6664069999999</v>
      </c>
      <c r="C30" s="147">
        <v>1138</v>
      </c>
      <c r="D30" s="147">
        <v>1163</v>
      </c>
      <c r="E30" s="147">
        <v>1128</v>
      </c>
      <c r="F30" s="147">
        <v>1317</v>
      </c>
      <c r="G30" s="147">
        <v>1293</v>
      </c>
      <c r="H30" s="147">
        <v>1136</v>
      </c>
      <c r="I30" s="147">
        <v>1227</v>
      </c>
      <c r="J30" s="147">
        <v>1295</v>
      </c>
      <c r="K30" s="147">
        <v>1622</v>
      </c>
      <c r="L30" s="147">
        <v>1486</v>
      </c>
    </row>
    <row r="31" spans="1:12" x14ac:dyDescent="0.15">
      <c r="A31" s="136"/>
      <c r="B31" s="136"/>
      <c r="C31" s="136"/>
      <c r="D31" s="136"/>
      <c r="E31" s="136"/>
      <c r="F31" s="136"/>
      <c r="G31" s="136"/>
      <c r="H31" s="136"/>
      <c r="I31" s="136"/>
      <c r="J31" s="136"/>
      <c r="K31" s="136"/>
      <c r="L31" s="136"/>
    </row>
    <row r="32" spans="1:12" x14ac:dyDescent="0.15">
      <c r="A32" s="145" t="s">
        <v>138</v>
      </c>
      <c r="B32" s="148">
        <v>431.99989199999999</v>
      </c>
      <c r="C32" s="148">
        <v>687</v>
      </c>
      <c r="D32" s="148">
        <v>297</v>
      </c>
      <c r="E32" s="148">
        <v>672</v>
      </c>
      <c r="F32" s="148">
        <v>1011</v>
      </c>
      <c r="G32" s="148">
        <v>1211</v>
      </c>
      <c r="H32" s="148">
        <v>1633</v>
      </c>
      <c r="I32" s="148">
        <v>1743</v>
      </c>
      <c r="J32" s="148">
        <v>2020</v>
      </c>
      <c r="K32" s="148">
        <v>1935</v>
      </c>
      <c r="L32" s="148">
        <v>204</v>
      </c>
    </row>
    <row r="33" spans="1:12" x14ac:dyDescent="0.15">
      <c r="A33" s="136"/>
      <c r="B33" s="136"/>
      <c r="C33" s="136"/>
      <c r="D33" s="136"/>
      <c r="E33" s="136"/>
      <c r="F33" s="136"/>
      <c r="G33" s="136"/>
      <c r="H33" s="136"/>
      <c r="I33" s="136"/>
      <c r="J33" s="136"/>
      <c r="K33" s="136"/>
      <c r="L33" s="136"/>
    </row>
    <row r="34" spans="1:12" x14ac:dyDescent="0.15">
      <c r="A34" s="136" t="s">
        <v>139</v>
      </c>
      <c r="B34" s="146">
        <v>-150.69999999999999</v>
      </c>
      <c r="C34" s="146">
        <v>-151</v>
      </c>
      <c r="D34" s="146">
        <v>-167</v>
      </c>
      <c r="E34" s="146">
        <v>-166</v>
      </c>
      <c r="F34" s="146">
        <v>-139</v>
      </c>
      <c r="G34" s="146">
        <v>-146</v>
      </c>
      <c r="H34" s="146">
        <v>-145</v>
      </c>
      <c r="I34" s="146">
        <v>-106</v>
      </c>
      <c r="J34" s="146">
        <v>-116</v>
      </c>
      <c r="K34" s="146">
        <v>-219</v>
      </c>
      <c r="L34" s="146">
        <v>-242</v>
      </c>
    </row>
    <row r="35" spans="1:12" x14ac:dyDescent="0.15">
      <c r="A35" s="136" t="s">
        <v>140</v>
      </c>
      <c r="B35" s="146">
        <v>23.999994000000001</v>
      </c>
      <c r="C35" s="146">
        <v>32</v>
      </c>
      <c r="D35" s="146">
        <v>25</v>
      </c>
      <c r="E35" s="146">
        <v>13</v>
      </c>
      <c r="F35" s="146">
        <v>17</v>
      </c>
      <c r="G35" s="146">
        <v>24</v>
      </c>
      <c r="H35" s="146">
        <v>22</v>
      </c>
      <c r="I35" s="146">
        <v>20</v>
      </c>
      <c r="J35" s="146">
        <v>26</v>
      </c>
      <c r="K35" s="146">
        <v>36</v>
      </c>
      <c r="L35" s="146">
        <v>30</v>
      </c>
    </row>
    <row r="36" spans="1:12" x14ac:dyDescent="0.15">
      <c r="A36" s="145" t="s">
        <v>141</v>
      </c>
      <c r="B36" s="147">
        <v>-126.7</v>
      </c>
      <c r="C36" s="147">
        <v>-119</v>
      </c>
      <c r="D36" s="147">
        <v>-142</v>
      </c>
      <c r="E36" s="147">
        <v>-153</v>
      </c>
      <c r="F36" s="147">
        <v>-122</v>
      </c>
      <c r="G36" s="147">
        <v>-122</v>
      </c>
      <c r="H36" s="147">
        <v>-123</v>
      </c>
      <c r="I36" s="147">
        <v>-86</v>
      </c>
      <c r="J36" s="147">
        <v>-90</v>
      </c>
      <c r="K36" s="147">
        <v>-183</v>
      </c>
      <c r="L36" s="147">
        <v>-212</v>
      </c>
    </row>
    <row r="37" spans="1:12" x14ac:dyDescent="0.15">
      <c r="A37" s="136"/>
      <c r="B37" s="136"/>
      <c r="C37" s="136"/>
      <c r="D37" s="136"/>
      <c r="E37" s="136"/>
      <c r="F37" s="136"/>
      <c r="G37" s="136"/>
      <c r="H37" s="136"/>
      <c r="I37" s="136"/>
      <c r="J37" s="136"/>
      <c r="K37" s="136"/>
      <c r="L37" s="136"/>
    </row>
    <row r="38" spans="1:12" x14ac:dyDescent="0.15">
      <c r="A38" s="136" t="s">
        <v>142</v>
      </c>
      <c r="B38" s="146">
        <v>7.9999979999999997</v>
      </c>
      <c r="C38" s="146">
        <v>-6</v>
      </c>
      <c r="D38" s="146">
        <v>-66</v>
      </c>
      <c r="E38" s="146">
        <v>-65</v>
      </c>
      <c r="F38" s="146">
        <v>39</v>
      </c>
      <c r="G38" s="146">
        <v>149</v>
      </c>
      <c r="H38" s="146">
        <v>147</v>
      </c>
      <c r="I38" s="146">
        <v>130</v>
      </c>
      <c r="J38" s="146">
        <v>165</v>
      </c>
      <c r="K38" s="146">
        <v>170</v>
      </c>
      <c r="L38" s="146">
        <v>22</v>
      </c>
    </row>
    <row r="39" spans="1:12" x14ac:dyDescent="0.15">
      <c r="A39" s="136" t="s">
        <v>143</v>
      </c>
      <c r="B39" s="146">
        <v>-13.3</v>
      </c>
      <c r="C39" s="146">
        <v>-10</v>
      </c>
      <c r="D39" s="146">
        <v>7</v>
      </c>
      <c r="E39" s="146">
        <v>-24</v>
      </c>
      <c r="F39" s="146">
        <v>-37</v>
      </c>
      <c r="G39" s="146">
        <v>-58</v>
      </c>
      <c r="H39" s="146">
        <v>-107</v>
      </c>
      <c r="I39" s="146">
        <v>19</v>
      </c>
      <c r="J39" s="146">
        <v>-43</v>
      </c>
      <c r="K39" s="146">
        <v>110</v>
      </c>
      <c r="L39" s="146">
        <v>56</v>
      </c>
    </row>
    <row r="40" spans="1:12" x14ac:dyDescent="0.15">
      <c r="A40" s="136" t="s">
        <v>144</v>
      </c>
      <c r="B40" s="146">
        <v>-17.3</v>
      </c>
      <c r="C40" s="146">
        <v>158</v>
      </c>
      <c r="D40" s="146">
        <v>-17</v>
      </c>
      <c r="E40" s="146">
        <v>-174</v>
      </c>
      <c r="F40" s="146">
        <v>-3</v>
      </c>
      <c r="G40" s="146">
        <v>-2</v>
      </c>
      <c r="H40" s="146">
        <v>1</v>
      </c>
      <c r="I40" s="146">
        <v>15</v>
      </c>
      <c r="J40" s="146">
        <v>16</v>
      </c>
      <c r="K40" s="146">
        <v>4</v>
      </c>
      <c r="L40" s="146">
        <v>-10</v>
      </c>
    </row>
    <row r="41" spans="1:12" x14ac:dyDescent="0.15">
      <c r="A41" s="145" t="s">
        <v>145</v>
      </c>
      <c r="B41" s="147">
        <v>282.66659600000003</v>
      </c>
      <c r="C41" s="147">
        <v>710</v>
      </c>
      <c r="D41" s="147">
        <v>79</v>
      </c>
      <c r="E41" s="147">
        <v>256</v>
      </c>
      <c r="F41" s="147">
        <v>888</v>
      </c>
      <c r="G41" s="147">
        <v>1178</v>
      </c>
      <c r="H41" s="147">
        <v>1551</v>
      </c>
      <c r="I41" s="147">
        <v>1821</v>
      </c>
      <c r="J41" s="147">
        <v>2068</v>
      </c>
      <c r="K41" s="147">
        <v>2036</v>
      </c>
      <c r="L41" s="147">
        <v>60</v>
      </c>
    </row>
    <row r="42" spans="1:12" x14ac:dyDescent="0.15">
      <c r="A42" s="136"/>
      <c r="B42" s="136"/>
      <c r="C42" s="136"/>
      <c r="D42" s="136"/>
      <c r="E42" s="136"/>
      <c r="F42" s="136"/>
      <c r="G42" s="136"/>
      <c r="H42" s="136"/>
      <c r="I42" s="136"/>
      <c r="J42" s="136"/>
      <c r="K42" s="136"/>
      <c r="L42" s="136"/>
    </row>
    <row r="43" spans="1:12" ht="12" x14ac:dyDescent="0.15">
      <c r="A43" s="136" t="s">
        <v>146</v>
      </c>
      <c r="B43" s="146">
        <v>-8</v>
      </c>
      <c r="C43" s="146">
        <v>-12</v>
      </c>
      <c r="D43" s="146">
        <v>-36</v>
      </c>
      <c r="E43" s="146">
        <v>-5</v>
      </c>
      <c r="F43" s="146">
        <v>-39</v>
      </c>
      <c r="G43" s="146">
        <v>-27</v>
      </c>
      <c r="H43" s="146">
        <v>-128</v>
      </c>
      <c r="I43" s="146">
        <v>-94</v>
      </c>
      <c r="J43" s="146" t="s">
        <v>134</v>
      </c>
      <c r="K43" s="146" t="s">
        <v>134</v>
      </c>
      <c r="L43" s="146" t="s">
        <v>134</v>
      </c>
    </row>
    <row r="44" spans="1:12" ht="12" x14ac:dyDescent="0.15">
      <c r="A44" s="136" t="s">
        <v>147</v>
      </c>
      <c r="B44" s="146" t="s">
        <v>134</v>
      </c>
      <c r="C44" s="146">
        <v>-3</v>
      </c>
      <c r="D44" s="146">
        <v>-71</v>
      </c>
      <c r="E44" s="146" t="s">
        <v>134</v>
      </c>
      <c r="F44" s="146" t="s">
        <v>134</v>
      </c>
      <c r="G44" s="146" t="s">
        <v>134</v>
      </c>
      <c r="H44" s="146" t="s">
        <v>134</v>
      </c>
      <c r="I44" s="146" t="s">
        <v>134</v>
      </c>
      <c r="J44" s="146" t="s">
        <v>134</v>
      </c>
      <c r="K44" s="146" t="s">
        <v>134</v>
      </c>
      <c r="L44" s="146" t="s">
        <v>134</v>
      </c>
    </row>
    <row r="45" spans="1:12" ht="12" x14ac:dyDescent="0.15">
      <c r="A45" s="136" t="s">
        <v>148</v>
      </c>
      <c r="B45" s="146" t="s">
        <v>134</v>
      </c>
      <c r="C45" s="146" t="s">
        <v>134</v>
      </c>
      <c r="D45" s="146">
        <v>58</v>
      </c>
      <c r="E45" s="146" t="s">
        <v>134</v>
      </c>
      <c r="F45" s="146" t="s">
        <v>134</v>
      </c>
      <c r="G45" s="146" t="s">
        <v>134</v>
      </c>
      <c r="H45" s="146" t="s">
        <v>134</v>
      </c>
      <c r="I45" s="146" t="s">
        <v>134</v>
      </c>
      <c r="J45" s="146" t="s">
        <v>134</v>
      </c>
      <c r="K45" s="146" t="s">
        <v>134</v>
      </c>
      <c r="L45" s="146" t="s">
        <v>134</v>
      </c>
    </row>
    <row r="46" spans="1:12" x14ac:dyDescent="0.15">
      <c r="A46" s="136" t="s">
        <v>149</v>
      </c>
      <c r="B46" s="146">
        <v>-24</v>
      </c>
      <c r="C46" s="146">
        <v>-21</v>
      </c>
      <c r="D46" s="146">
        <v>-1</v>
      </c>
      <c r="E46" s="146">
        <v>8</v>
      </c>
      <c r="F46" s="146">
        <v>10</v>
      </c>
      <c r="G46" s="146">
        <v>4</v>
      </c>
      <c r="H46" s="146">
        <v>4</v>
      </c>
      <c r="I46" s="146">
        <v>6</v>
      </c>
      <c r="J46" s="146">
        <v>5</v>
      </c>
      <c r="K46" s="146">
        <v>3</v>
      </c>
      <c r="L46" s="146">
        <v>4</v>
      </c>
    </row>
    <row r="47" spans="1:12" ht="12" x14ac:dyDescent="0.15">
      <c r="A47" s="136" t="s">
        <v>150</v>
      </c>
      <c r="B47" s="146">
        <v>-4</v>
      </c>
      <c r="C47" s="146">
        <v>-3</v>
      </c>
      <c r="D47" s="146">
        <v>-3</v>
      </c>
      <c r="E47" s="146" t="s">
        <v>134</v>
      </c>
      <c r="F47" s="146" t="s">
        <v>134</v>
      </c>
      <c r="G47" s="146">
        <v>1502</v>
      </c>
      <c r="H47" s="146">
        <v>123</v>
      </c>
      <c r="I47" s="146">
        <v>-6</v>
      </c>
      <c r="J47" s="146">
        <v>-11</v>
      </c>
      <c r="K47" s="146">
        <v>3</v>
      </c>
      <c r="L47" s="146">
        <v>4</v>
      </c>
    </row>
    <row r="48" spans="1:12" ht="12" x14ac:dyDescent="0.15">
      <c r="A48" s="136" t="s">
        <v>151</v>
      </c>
      <c r="B48" s="146">
        <v>-37.299999999999997</v>
      </c>
      <c r="C48" s="146">
        <v>8</v>
      </c>
      <c r="D48" s="146">
        <v>-15</v>
      </c>
      <c r="E48" s="146">
        <v>-16</v>
      </c>
      <c r="F48" s="146" t="s">
        <v>134</v>
      </c>
      <c r="G48" s="146">
        <v>-4</v>
      </c>
      <c r="H48" s="146" t="s">
        <v>134</v>
      </c>
      <c r="I48" s="146" t="s">
        <v>134</v>
      </c>
      <c r="J48" s="146" t="s">
        <v>134</v>
      </c>
      <c r="K48" s="146" t="s">
        <v>134</v>
      </c>
      <c r="L48" s="146">
        <v>-434</v>
      </c>
    </row>
    <row r="49" spans="1:12" ht="12" x14ac:dyDescent="0.15">
      <c r="A49" s="136" t="s">
        <v>152</v>
      </c>
      <c r="B49" s="146" t="s">
        <v>134</v>
      </c>
      <c r="C49" s="146" t="s">
        <v>134</v>
      </c>
      <c r="D49" s="146" t="s">
        <v>134</v>
      </c>
      <c r="E49" s="146" t="s">
        <v>134</v>
      </c>
      <c r="F49" s="146" t="s">
        <v>134</v>
      </c>
      <c r="G49" s="146">
        <v>-25</v>
      </c>
      <c r="H49" s="146" t="s">
        <v>134</v>
      </c>
      <c r="I49" s="146" t="s">
        <v>134</v>
      </c>
      <c r="J49" s="146" t="s">
        <v>134</v>
      </c>
      <c r="K49" s="146">
        <v>-583</v>
      </c>
      <c r="L49" s="146">
        <v>-603</v>
      </c>
    </row>
    <row r="50" spans="1:12" ht="12" x14ac:dyDescent="0.15">
      <c r="A50" s="136" t="s">
        <v>153</v>
      </c>
      <c r="B50" s="146" t="s">
        <v>134</v>
      </c>
      <c r="C50" s="146" t="s">
        <v>134</v>
      </c>
      <c r="D50" s="146">
        <v>30</v>
      </c>
      <c r="E50" s="146">
        <v>57</v>
      </c>
      <c r="F50" s="146" t="s">
        <v>134</v>
      </c>
      <c r="G50" s="146" t="s">
        <v>134</v>
      </c>
      <c r="H50" s="146">
        <v>40</v>
      </c>
      <c r="I50" s="146" t="s">
        <v>134</v>
      </c>
      <c r="J50" s="146">
        <v>394</v>
      </c>
      <c r="K50" s="146" t="s">
        <v>134</v>
      </c>
      <c r="L50" s="146">
        <v>-688</v>
      </c>
    </row>
    <row r="51" spans="1:12" x14ac:dyDescent="0.15">
      <c r="A51" s="145" t="s">
        <v>154</v>
      </c>
      <c r="B51" s="147">
        <v>209.333281</v>
      </c>
      <c r="C51" s="147">
        <v>679</v>
      </c>
      <c r="D51" s="147">
        <v>41</v>
      </c>
      <c r="E51" s="147">
        <v>300</v>
      </c>
      <c r="F51" s="147">
        <v>859</v>
      </c>
      <c r="G51" s="147">
        <v>2628</v>
      </c>
      <c r="H51" s="147">
        <v>1590</v>
      </c>
      <c r="I51" s="147">
        <v>1727</v>
      </c>
      <c r="J51" s="147">
        <v>2456</v>
      </c>
      <c r="K51" s="147">
        <v>1459</v>
      </c>
      <c r="L51" s="147">
        <v>-1657</v>
      </c>
    </row>
    <row r="52" spans="1:12" x14ac:dyDescent="0.15">
      <c r="A52" s="136"/>
      <c r="B52" s="136"/>
      <c r="C52" s="136"/>
      <c r="D52" s="136"/>
      <c r="E52" s="136"/>
      <c r="F52" s="136"/>
      <c r="G52" s="136"/>
      <c r="H52" s="136"/>
      <c r="I52" s="136"/>
      <c r="J52" s="136"/>
      <c r="K52" s="136"/>
      <c r="L52" s="136"/>
    </row>
    <row r="53" spans="1:12" x14ac:dyDescent="0.15">
      <c r="A53" s="136" t="s">
        <v>155</v>
      </c>
      <c r="B53" s="146">
        <v>-17.3</v>
      </c>
      <c r="C53" s="146">
        <v>7</v>
      </c>
      <c r="D53" s="146">
        <v>-73</v>
      </c>
      <c r="E53" s="146">
        <v>16</v>
      </c>
      <c r="F53" s="146">
        <v>157</v>
      </c>
      <c r="G53" s="146">
        <v>120</v>
      </c>
      <c r="H53" s="146">
        <v>221</v>
      </c>
      <c r="I53" s="146">
        <v>300</v>
      </c>
      <c r="J53" s="146">
        <v>365</v>
      </c>
      <c r="K53" s="146">
        <v>350</v>
      </c>
      <c r="L53" s="146">
        <v>-151</v>
      </c>
    </row>
    <row r="54" spans="1:12" x14ac:dyDescent="0.15">
      <c r="A54" s="145" t="s">
        <v>156</v>
      </c>
      <c r="B54" s="147">
        <v>226.66660999999999</v>
      </c>
      <c r="C54" s="147">
        <v>672</v>
      </c>
      <c r="D54" s="147">
        <v>114</v>
      </c>
      <c r="E54" s="147">
        <v>284</v>
      </c>
      <c r="F54" s="147">
        <v>702</v>
      </c>
      <c r="G54" s="147">
        <v>2508</v>
      </c>
      <c r="H54" s="147">
        <v>1369</v>
      </c>
      <c r="I54" s="147">
        <v>1427</v>
      </c>
      <c r="J54" s="147">
        <v>2091</v>
      </c>
      <c r="K54" s="147">
        <v>1109</v>
      </c>
      <c r="L54" s="147">
        <v>-1506</v>
      </c>
    </row>
    <row r="55" spans="1:12" x14ac:dyDescent="0.15">
      <c r="A55" s="136"/>
      <c r="B55" s="136"/>
      <c r="C55" s="136"/>
      <c r="D55" s="136"/>
      <c r="E55" s="136"/>
      <c r="F55" s="136"/>
      <c r="G55" s="136"/>
      <c r="H55" s="136"/>
      <c r="I55" s="136"/>
      <c r="J55" s="136"/>
      <c r="K55" s="136"/>
      <c r="L55" s="136"/>
    </row>
    <row r="56" spans="1:12" ht="12" x14ac:dyDescent="0.15">
      <c r="A56" s="136" t="s">
        <v>157</v>
      </c>
      <c r="B56" s="146" t="s">
        <v>134</v>
      </c>
      <c r="C56" s="146" t="s">
        <v>134</v>
      </c>
      <c r="D56" s="146">
        <v>-30</v>
      </c>
      <c r="E56" s="146">
        <v>-3</v>
      </c>
      <c r="F56" s="146" t="s">
        <v>134</v>
      </c>
      <c r="G56" s="146" t="s">
        <v>134</v>
      </c>
      <c r="H56" s="146">
        <v>-24</v>
      </c>
      <c r="I56" s="146">
        <v>-44</v>
      </c>
      <c r="J56" s="146" t="s">
        <v>134</v>
      </c>
      <c r="K56" s="146" t="s">
        <v>134</v>
      </c>
      <c r="L56" s="146" t="s">
        <v>134</v>
      </c>
    </row>
    <row r="57" spans="1:12" ht="12" x14ac:dyDescent="0.15">
      <c r="A57" s="136" t="s">
        <v>158</v>
      </c>
      <c r="B57" s="146" t="s">
        <v>134</v>
      </c>
      <c r="C57" s="146" t="s">
        <v>134</v>
      </c>
      <c r="D57" s="146" t="s">
        <v>134</v>
      </c>
      <c r="E57" s="146" t="s">
        <v>134</v>
      </c>
      <c r="F57" s="146" t="s">
        <v>134</v>
      </c>
      <c r="G57" s="146" t="s">
        <v>134</v>
      </c>
      <c r="H57" s="146" t="s">
        <v>134</v>
      </c>
      <c r="I57" s="146" t="s">
        <v>134</v>
      </c>
      <c r="J57" s="146" t="s">
        <v>134</v>
      </c>
      <c r="K57" s="146" t="s">
        <v>134</v>
      </c>
      <c r="L57" s="146" t="s">
        <v>134</v>
      </c>
    </row>
    <row r="58" spans="1:12" x14ac:dyDescent="0.15">
      <c r="A58" s="145" t="s">
        <v>159</v>
      </c>
      <c r="B58" s="147">
        <v>226.66660999999999</v>
      </c>
      <c r="C58" s="147">
        <v>672</v>
      </c>
      <c r="D58" s="147">
        <v>84</v>
      </c>
      <c r="E58" s="147">
        <v>281</v>
      </c>
      <c r="F58" s="147">
        <v>702</v>
      </c>
      <c r="G58" s="147">
        <v>2508</v>
      </c>
      <c r="H58" s="147">
        <v>1345</v>
      </c>
      <c r="I58" s="147">
        <v>1383</v>
      </c>
      <c r="J58" s="147">
        <v>2091</v>
      </c>
      <c r="K58" s="147">
        <v>1109</v>
      </c>
      <c r="L58" s="147">
        <v>-1506</v>
      </c>
    </row>
    <row r="59" spans="1:12" x14ac:dyDescent="0.15">
      <c r="A59" s="136"/>
      <c r="B59" s="136"/>
      <c r="C59" s="136"/>
      <c r="D59" s="136"/>
      <c r="E59" s="136"/>
      <c r="F59" s="136"/>
      <c r="G59" s="136"/>
      <c r="H59" s="136"/>
      <c r="I59" s="136"/>
      <c r="J59" s="136"/>
      <c r="K59" s="136"/>
      <c r="L59" s="136"/>
    </row>
    <row r="60" spans="1:12" ht="12" x14ac:dyDescent="0.15">
      <c r="A60" s="136" t="s">
        <v>160</v>
      </c>
      <c r="B60" s="146">
        <v>-17.3</v>
      </c>
      <c r="C60" s="146">
        <v>-18</v>
      </c>
      <c r="D60" s="146">
        <v>-16</v>
      </c>
      <c r="E60" s="146">
        <v>-17</v>
      </c>
      <c r="F60" s="146">
        <v>-16</v>
      </c>
      <c r="G60" s="146">
        <v>-15</v>
      </c>
      <c r="H60" s="146">
        <v>-16</v>
      </c>
      <c r="I60" s="146">
        <v>-18</v>
      </c>
      <c r="J60" s="146">
        <v>-11</v>
      </c>
      <c r="K60" s="146" t="s">
        <v>134</v>
      </c>
      <c r="L60" s="146" t="s">
        <v>134</v>
      </c>
    </row>
    <row r="61" spans="1:12" x14ac:dyDescent="0.15">
      <c r="A61" s="145" t="s">
        <v>161</v>
      </c>
      <c r="B61" s="149">
        <v>209.333281</v>
      </c>
      <c r="C61" s="149">
        <v>654</v>
      </c>
      <c r="D61" s="149">
        <v>68</v>
      </c>
      <c r="E61" s="149">
        <v>264</v>
      </c>
      <c r="F61" s="149">
        <v>686</v>
      </c>
      <c r="G61" s="149">
        <v>2493</v>
      </c>
      <c r="H61" s="149">
        <v>1329</v>
      </c>
      <c r="I61" s="149">
        <v>1365</v>
      </c>
      <c r="J61" s="149">
        <v>2080</v>
      </c>
      <c r="K61" s="149">
        <v>1109</v>
      </c>
      <c r="L61" s="149">
        <v>-1506</v>
      </c>
    </row>
    <row r="62" spans="1:12" x14ac:dyDescent="0.15">
      <c r="A62" s="136"/>
      <c r="B62" s="136"/>
      <c r="C62" s="136"/>
      <c r="D62" s="136"/>
      <c r="E62" s="136"/>
      <c r="F62" s="136"/>
      <c r="G62" s="136"/>
      <c r="H62" s="136"/>
      <c r="I62" s="136"/>
      <c r="J62" s="136"/>
      <c r="K62" s="136"/>
      <c r="L62" s="136"/>
    </row>
    <row r="63" spans="1:12" ht="12" x14ac:dyDescent="0.15">
      <c r="A63" s="136" t="s">
        <v>162</v>
      </c>
      <c r="B63" s="146" t="s">
        <v>134</v>
      </c>
      <c r="C63" s="146" t="s">
        <v>134</v>
      </c>
      <c r="D63" s="146" t="s">
        <v>134</v>
      </c>
      <c r="E63" s="146" t="s">
        <v>134</v>
      </c>
      <c r="F63" s="146" t="s">
        <v>134</v>
      </c>
      <c r="G63" s="146" t="s">
        <v>134</v>
      </c>
      <c r="H63" s="146" t="s">
        <v>134</v>
      </c>
      <c r="I63" s="146" t="s">
        <v>134</v>
      </c>
      <c r="J63" s="146" t="s">
        <v>134</v>
      </c>
      <c r="K63" s="146" t="s">
        <v>134</v>
      </c>
      <c r="L63" s="146" t="s">
        <v>134</v>
      </c>
    </row>
    <row r="64" spans="1:12" x14ac:dyDescent="0.15">
      <c r="A64" s="136"/>
      <c r="B64" s="136"/>
      <c r="C64" s="136"/>
      <c r="D64" s="136"/>
      <c r="E64" s="136"/>
      <c r="F64" s="136"/>
      <c r="G64" s="136"/>
      <c r="H64" s="136"/>
      <c r="I64" s="136"/>
      <c r="J64" s="136"/>
      <c r="K64" s="136"/>
      <c r="L64" s="136"/>
    </row>
    <row r="65" spans="1:12" x14ac:dyDescent="0.15">
      <c r="A65" s="145" t="s">
        <v>163</v>
      </c>
      <c r="B65" s="148">
        <v>209.333281</v>
      </c>
      <c r="C65" s="148">
        <v>654</v>
      </c>
      <c r="D65" s="148">
        <v>68</v>
      </c>
      <c r="E65" s="148">
        <v>264</v>
      </c>
      <c r="F65" s="148">
        <v>686</v>
      </c>
      <c r="G65" s="148">
        <v>2493</v>
      </c>
      <c r="H65" s="148">
        <v>1329</v>
      </c>
      <c r="I65" s="148">
        <v>1365</v>
      </c>
      <c r="J65" s="148">
        <v>2080</v>
      </c>
      <c r="K65" s="148">
        <v>1109</v>
      </c>
      <c r="L65" s="148">
        <v>-1506</v>
      </c>
    </row>
    <row r="66" spans="1:12" x14ac:dyDescent="0.15">
      <c r="A66" s="145" t="s">
        <v>164</v>
      </c>
      <c r="B66" s="148">
        <v>209.333281</v>
      </c>
      <c r="C66" s="148">
        <v>654</v>
      </c>
      <c r="D66" s="148">
        <v>98</v>
      </c>
      <c r="E66" s="148">
        <v>267</v>
      </c>
      <c r="F66" s="148">
        <v>686</v>
      </c>
      <c r="G66" s="148">
        <v>2493</v>
      </c>
      <c r="H66" s="148">
        <v>1353</v>
      </c>
      <c r="I66" s="148">
        <v>1409</v>
      </c>
      <c r="J66" s="148">
        <v>2080</v>
      </c>
      <c r="K66" s="148">
        <v>1109</v>
      </c>
      <c r="L66" s="148">
        <v>-1506</v>
      </c>
    </row>
    <row r="67" spans="1:12" x14ac:dyDescent="0.15">
      <c r="A67" s="136"/>
      <c r="B67" s="136"/>
      <c r="C67" s="136"/>
      <c r="D67" s="136"/>
      <c r="E67" s="136"/>
      <c r="F67" s="136"/>
      <c r="G67" s="136"/>
      <c r="H67" s="136"/>
      <c r="I67" s="136"/>
      <c r="J67" s="136"/>
      <c r="K67" s="136"/>
      <c r="L67" s="136"/>
    </row>
    <row r="68" spans="1:12" x14ac:dyDescent="0.15">
      <c r="A68" s="145" t="s">
        <v>165</v>
      </c>
      <c r="B68" s="136"/>
      <c r="C68" s="136"/>
      <c r="D68" s="136"/>
      <c r="E68" s="136"/>
      <c r="F68" s="136"/>
      <c r="G68" s="136"/>
      <c r="H68" s="136"/>
      <c r="I68" s="136"/>
      <c r="J68" s="136"/>
      <c r="K68" s="136"/>
      <c r="L68" s="136"/>
    </row>
    <row r="69" spans="1:12" ht="12" x14ac:dyDescent="0.15">
      <c r="A69" s="136" t="s">
        <v>166</v>
      </c>
      <c r="B69" s="150" t="s">
        <v>167</v>
      </c>
      <c r="C69" s="150">
        <v>327.65530999999999</v>
      </c>
      <c r="D69" s="150">
        <v>34.068136000000003</v>
      </c>
      <c r="E69" s="150">
        <v>123.134328</v>
      </c>
      <c r="F69" s="150">
        <v>319.96268600000002</v>
      </c>
      <c r="G69" s="150">
        <v>1162.7798499999999</v>
      </c>
      <c r="H69" s="150">
        <v>619.86940200000004</v>
      </c>
      <c r="I69" s="150">
        <v>636.66044699999998</v>
      </c>
      <c r="J69" s="150">
        <v>970.14925300000004</v>
      </c>
      <c r="K69" s="150">
        <v>517.25746200000003</v>
      </c>
      <c r="L69" s="150">
        <v>-702.43</v>
      </c>
    </row>
    <row r="70" spans="1:12" ht="12" x14ac:dyDescent="0.15">
      <c r="A70" s="136" t="s">
        <v>168</v>
      </c>
      <c r="B70" s="150" t="s">
        <v>167</v>
      </c>
      <c r="C70" s="150">
        <v>327.65530999999999</v>
      </c>
      <c r="D70" s="150">
        <v>49.098196000000002</v>
      </c>
      <c r="E70" s="150">
        <v>124.533582</v>
      </c>
      <c r="F70" s="150">
        <v>319.96268600000002</v>
      </c>
      <c r="G70" s="150">
        <v>1162.7798499999999</v>
      </c>
      <c r="H70" s="150">
        <v>631.06343200000003</v>
      </c>
      <c r="I70" s="150">
        <v>657.18283499999995</v>
      </c>
      <c r="J70" s="150">
        <v>970.14925300000004</v>
      </c>
      <c r="K70" s="150">
        <v>517.25746200000003</v>
      </c>
      <c r="L70" s="150">
        <v>-702.43</v>
      </c>
    </row>
    <row r="71" spans="1:12" ht="12" x14ac:dyDescent="0.15">
      <c r="A71" s="136" t="s">
        <v>169</v>
      </c>
      <c r="B71" s="146" t="s">
        <v>167</v>
      </c>
      <c r="C71" s="146">
        <v>1.996</v>
      </c>
      <c r="D71" s="146">
        <v>1.996</v>
      </c>
      <c r="E71" s="146">
        <v>2.1440000000000001</v>
      </c>
      <c r="F71" s="146">
        <v>2.1440000000000001</v>
      </c>
      <c r="G71" s="146">
        <v>2.1440000000000001</v>
      </c>
      <c r="H71" s="146">
        <v>2.1440000000000001</v>
      </c>
      <c r="I71" s="146">
        <v>2.1440000000000001</v>
      </c>
      <c r="J71" s="146">
        <v>2.1440000000000001</v>
      </c>
      <c r="K71" s="146">
        <v>2.1440000000000001</v>
      </c>
      <c r="L71" s="146">
        <v>2.1440000000000001</v>
      </c>
    </row>
    <row r="72" spans="1:12" x14ac:dyDescent="0.15">
      <c r="A72" s="136"/>
      <c r="B72" s="136"/>
      <c r="C72" s="136"/>
      <c r="D72" s="136"/>
      <c r="E72" s="136"/>
      <c r="F72" s="136"/>
      <c r="G72" s="136"/>
      <c r="H72" s="136"/>
      <c r="I72" s="136"/>
      <c r="J72" s="136"/>
      <c r="K72" s="136"/>
      <c r="L72" s="136"/>
    </row>
    <row r="73" spans="1:12" ht="12" x14ac:dyDescent="0.15">
      <c r="A73" s="136" t="s">
        <v>170</v>
      </c>
      <c r="B73" s="150" t="s">
        <v>167</v>
      </c>
      <c r="C73" s="150">
        <v>327.65530999999999</v>
      </c>
      <c r="D73" s="150">
        <v>34.068136000000003</v>
      </c>
      <c r="E73" s="150">
        <v>123.134328</v>
      </c>
      <c r="F73" s="150">
        <v>319.96268600000002</v>
      </c>
      <c r="G73" s="150">
        <v>1162.7798499999999</v>
      </c>
      <c r="H73" s="150">
        <v>619.86940200000004</v>
      </c>
      <c r="I73" s="150">
        <v>636.66044699999998</v>
      </c>
      <c r="J73" s="150">
        <v>970.14925300000004</v>
      </c>
      <c r="K73" s="150">
        <v>517.25746200000003</v>
      </c>
      <c r="L73" s="150">
        <v>-702.43</v>
      </c>
    </row>
    <row r="74" spans="1:12" ht="12" x14ac:dyDescent="0.15">
      <c r="A74" s="136" t="s">
        <v>171</v>
      </c>
      <c r="B74" s="150" t="s">
        <v>167</v>
      </c>
      <c r="C74" s="150">
        <v>327.65530999999999</v>
      </c>
      <c r="D74" s="150">
        <v>49.098196000000002</v>
      </c>
      <c r="E74" s="150">
        <v>124.533582</v>
      </c>
      <c r="F74" s="150">
        <v>319.96268600000002</v>
      </c>
      <c r="G74" s="150">
        <v>1162.7798499999999</v>
      </c>
      <c r="H74" s="150">
        <v>631.06343200000003</v>
      </c>
      <c r="I74" s="150">
        <v>657.18283499999995</v>
      </c>
      <c r="J74" s="150">
        <v>970.14925300000004</v>
      </c>
      <c r="K74" s="150">
        <v>517.25746200000003</v>
      </c>
      <c r="L74" s="150">
        <v>-702.43</v>
      </c>
    </row>
    <row r="75" spans="1:12" ht="12" x14ac:dyDescent="0.15">
      <c r="A75" s="136" t="s">
        <v>172</v>
      </c>
      <c r="B75" s="146" t="s">
        <v>167</v>
      </c>
      <c r="C75" s="146">
        <v>1.996</v>
      </c>
      <c r="D75" s="146">
        <v>1.996</v>
      </c>
      <c r="E75" s="146">
        <v>2.1440000000000001</v>
      </c>
      <c r="F75" s="146">
        <v>2.1440000000000001</v>
      </c>
      <c r="G75" s="146">
        <v>2.1440000000000001</v>
      </c>
      <c r="H75" s="146">
        <v>2.1440000000000001</v>
      </c>
      <c r="I75" s="146">
        <v>2.1440000000000001</v>
      </c>
      <c r="J75" s="146">
        <v>2.1440000000000001</v>
      </c>
      <c r="K75" s="146">
        <v>2.1440000000000001</v>
      </c>
      <c r="L75" s="146">
        <v>2.1440000000000001</v>
      </c>
    </row>
    <row r="76" spans="1:12" x14ac:dyDescent="0.15">
      <c r="A76" s="136"/>
      <c r="B76" s="136"/>
      <c r="C76" s="136"/>
      <c r="D76" s="136"/>
      <c r="E76" s="136"/>
      <c r="F76" s="136"/>
      <c r="G76" s="136"/>
      <c r="H76" s="136"/>
      <c r="I76" s="136"/>
      <c r="J76" s="136"/>
      <c r="K76" s="136"/>
      <c r="L76" s="136"/>
    </row>
    <row r="77" spans="1:12" ht="12" x14ac:dyDescent="0.15">
      <c r="A77" s="136" t="s">
        <v>173</v>
      </c>
      <c r="B77" s="150" t="s">
        <v>167</v>
      </c>
      <c r="C77" s="150">
        <v>213.301603</v>
      </c>
      <c r="D77" s="150">
        <v>16.720941</v>
      </c>
      <c r="E77" s="150">
        <v>66.697761</v>
      </c>
      <c r="F77" s="150">
        <v>251.39925299999999</v>
      </c>
      <c r="G77" s="150">
        <v>336.40391699999998</v>
      </c>
      <c r="H77" s="150">
        <v>444.67117500000001</v>
      </c>
      <c r="I77" s="150">
        <v>522.44636100000002</v>
      </c>
      <c r="J77" s="150">
        <v>597.71455200000003</v>
      </c>
      <c r="K77" s="150">
        <v>593.51679100000001</v>
      </c>
      <c r="L77" s="150">
        <v>17.490670999999999</v>
      </c>
    </row>
    <row r="78" spans="1:12" ht="12" x14ac:dyDescent="0.15">
      <c r="A78" s="136" t="s">
        <v>174</v>
      </c>
      <c r="B78" s="150" t="s">
        <v>167</v>
      </c>
      <c r="C78" s="150">
        <v>213.301603</v>
      </c>
      <c r="D78" s="150">
        <v>16.720941</v>
      </c>
      <c r="E78" s="150">
        <v>66.697761</v>
      </c>
      <c r="F78" s="150">
        <v>251.39925299999999</v>
      </c>
      <c r="G78" s="150">
        <v>336.40391699999998</v>
      </c>
      <c r="H78" s="150">
        <v>444.67117500000001</v>
      </c>
      <c r="I78" s="150">
        <v>522.44636100000002</v>
      </c>
      <c r="J78" s="150">
        <v>597.71455200000003</v>
      </c>
      <c r="K78" s="150">
        <v>593.51679100000001</v>
      </c>
      <c r="L78" s="150">
        <v>17.490670999999999</v>
      </c>
    </row>
    <row r="79" spans="1:12" x14ac:dyDescent="0.15">
      <c r="A79" s="136"/>
      <c r="B79" s="136"/>
      <c r="C79" s="136"/>
      <c r="D79" s="136"/>
      <c r="E79" s="136"/>
      <c r="F79" s="136"/>
      <c r="G79" s="136"/>
      <c r="H79" s="136"/>
      <c r="I79" s="136"/>
      <c r="J79" s="136"/>
      <c r="K79" s="136"/>
      <c r="L79" s="136"/>
    </row>
    <row r="80" spans="1:12" ht="12" x14ac:dyDescent="0.15">
      <c r="A80" s="136" t="s">
        <v>175</v>
      </c>
      <c r="B80" s="150" t="s">
        <v>167</v>
      </c>
      <c r="C80" s="150" t="s">
        <v>167</v>
      </c>
      <c r="D80" s="150" t="s">
        <v>167</v>
      </c>
      <c r="E80" s="150" t="s">
        <v>167</v>
      </c>
      <c r="F80" s="150" t="s">
        <v>167</v>
      </c>
      <c r="G80" s="150">
        <v>1</v>
      </c>
      <c r="H80" s="150" t="s">
        <v>167</v>
      </c>
      <c r="I80" s="150" t="s">
        <v>167</v>
      </c>
      <c r="J80" s="150" t="s">
        <v>167</v>
      </c>
      <c r="K80" s="150" t="s">
        <v>167</v>
      </c>
      <c r="L80" s="150" t="s">
        <v>167</v>
      </c>
    </row>
    <row r="81" spans="1:12" ht="12" x14ac:dyDescent="0.15">
      <c r="A81" s="136" t="s">
        <v>176</v>
      </c>
      <c r="B81" s="151" t="s">
        <v>167</v>
      </c>
      <c r="C81" s="151" t="s">
        <v>167</v>
      </c>
      <c r="D81" s="151" t="s">
        <v>167</v>
      </c>
      <c r="E81" s="151" t="s">
        <v>167</v>
      </c>
      <c r="F81" s="151" t="s">
        <v>167</v>
      </c>
      <c r="G81" s="152">
        <v>0.10389</v>
      </c>
      <c r="H81" s="152">
        <v>0.26410800000000001</v>
      </c>
      <c r="I81" s="152">
        <v>0.33699600000000002</v>
      </c>
      <c r="J81" s="152">
        <v>0.27644200000000002</v>
      </c>
      <c r="K81" s="152">
        <v>0.52750200000000003</v>
      </c>
      <c r="L81" s="152" t="s">
        <v>177</v>
      </c>
    </row>
    <row r="82" spans="1:12" x14ac:dyDescent="0.15">
      <c r="A82" s="136"/>
      <c r="B82" s="136"/>
      <c r="C82" s="136"/>
      <c r="D82" s="136"/>
      <c r="E82" s="136"/>
      <c r="F82" s="136"/>
      <c r="G82" s="136"/>
      <c r="H82" s="136"/>
      <c r="I82" s="136"/>
      <c r="J82" s="136"/>
      <c r="K82" s="136"/>
      <c r="L82" s="136"/>
    </row>
    <row r="83" spans="1:12" x14ac:dyDescent="0.15">
      <c r="A83" s="136" t="s">
        <v>178</v>
      </c>
      <c r="B83" s="153">
        <v>5</v>
      </c>
      <c r="C83" s="153">
        <v>5</v>
      </c>
      <c r="D83" s="153">
        <v>5</v>
      </c>
      <c r="E83" s="153">
        <v>5</v>
      </c>
      <c r="F83" s="153">
        <v>5</v>
      </c>
      <c r="G83" s="153">
        <v>5</v>
      </c>
      <c r="H83" s="153">
        <v>5</v>
      </c>
      <c r="I83" s="153">
        <v>5</v>
      </c>
      <c r="J83" s="153">
        <v>5</v>
      </c>
      <c r="K83" s="153">
        <v>5</v>
      </c>
      <c r="L83" s="153">
        <v>5</v>
      </c>
    </row>
    <row r="84" spans="1:12" x14ac:dyDescent="0.15">
      <c r="A84" s="136"/>
      <c r="B84" s="136"/>
      <c r="C84" s="136"/>
      <c r="D84" s="136"/>
      <c r="E84" s="136"/>
      <c r="F84" s="136"/>
      <c r="G84" s="136"/>
      <c r="H84" s="136"/>
      <c r="I84" s="136"/>
      <c r="J84" s="136"/>
      <c r="K84" s="136"/>
      <c r="L84" s="136"/>
    </row>
    <row r="85" spans="1:12" x14ac:dyDescent="0.15">
      <c r="A85" s="145" t="s">
        <v>179</v>
      </c>
      <c r="B85" s="136"/>
      <c r="C85" s="136"/>
      <c r="D85" s="136"/>
      <c r="E85" s="136"/>
      <c r="F85" s="136"/>
      <c r="G85" s="136"/>
      <c r="H85" s="136"/>
      <c r="I85" s="136"/>
      <c r="J85" s="136"/>
      <c r="K85" s="136"/>
      <c r="L85" s="136"/>
    </row>
    <row r="86" spans="1:12" x14ac:dyDescent="0.15">
      <c r="A86" s="136" t="s">
        <v>16</v>
      </c>
      <c r="B86" s="146">
        <v>1145.3330470000001</v>
      </c>
      <c r="C86" s="146">
        <v>1368</v>
      </c>
      <c r="D86" s="146">
        <v>994</v>
      </c>
      <c r="E86" s="146">
        <v>1370</v>
      </c>
      <c r="F86" s="146">
        <v>1830</v>
      </c>
      <c r="G86" s="146">
        <v>1946</v>
      </c>
      <c r="H86" s="146">
        <v>2350</v>
      </c>
      <c r="I86" s="146">
        <v>2440</v>
      </c>
      <c r="J86" s="146">
        <v>2748</v>
      </c>
      <c r="K86" s="146">
        <v>2498</v>
      </c>
      <c r="L86" s="146">
        <v>1120</v>
      </c>
    </row>
    <row r="87" spans="1:12" x14ac:dyDescent="0.15">
      <c r="A87" s="136" t="s">
        <v>180</v>
      </c>
      <c r="B87" s="146">
        <v>431.99989199999999</v>
      </c>
      <c r="C87" s="146">
        <v>687</v>
      </c>
      <c r="D87" s="146">
        <v>298</v>
      </c>
      <c r="E87" s="146">
        <v>672</v>
      </c>
      <c r="F87" s="146">
        <v>1011</v>
      </c>
      <c r="G87" s="146">
        <v>1211</v>
      </c>
      <c r="H87" s="146">
        <v>1633</v>
      </c>
      <c r="I87" s="146">
        <v>1744</v>
      </c>
      <c r="J87" s="146">
        <v>2020</v>
      </c>
      <c r="K87" s="146">
        <v>1935</v>
      </c>
      <c r="L87" s="146">
        <v>209</v>
      </c>
    </row>
    <row r="88" spans="1:12" x14ac:dyDescent="0.15">
      <c r="A88" s="136" t="s">
        <v>18</v>
      </c>
      <c r="B88" s="146">
        <v>431.99989199999999</v>
      </c>
      <c r="C88" s="146">
        <v>687</v>
      </c>
      <c r="D88" s="146">
        <v>297</v>
      </c>
      <c r="E88" s="146">
        <v>672</v>
      </c>
      <c r="F88" s="146">
        <v>1011</v>
      </c>
      <c r="G88" s="146">
        <v>1211</v>
      </c>
      <c r="H88" s="146">
        <v>1633</v>
      </c>
      <c r="I88" s="146">
        <v>1743</v>
      </c>
      <c r="J88" s="146">
        <v>2020</v>
      </c>
      <c r="K88" s="146">
        <v>1935</v>
      </c>
      <c r="L88" s="146">
        <v>204</v>
      </c>
    </row>
    <row r="89" spans="1:12" ht="12" x14ac:dyDescent="0.15">
      <c r="A89" s="136" t="s">
        <v>181</v>
      </c>
      <c r="B89" s="146" t="s">
        <v>167</v>
      </c>
      <c r="C89" s="146">
        <v>1523</v>
      </c>
      <c r="D89" s="146">
        <v>1181</v>
      </c>
      <c r="E89" s="146">
        <v>1536</v>
      </c>
      <c r="F89" s="146">
        <v>1992</v>
      </c>
      <c r="G89" s="146">
        <v>2135</v>
      </c>
      <c r="H89" s="146">
        <v>2615</v>
      </c>
      <c r="I89" s="146">
        <v>2791</v>
      </c>
      <c r="J89" s="146">
        <v>3107</v>
      </c>
      <c r="K89" s="146">
        <v>2538</v>
      </c>
      <c r="L89" s="146" t="s">
        <v>167</v>
      </c>
    </row>
    <row r="90" spans="1:12" x14ac:dyDescent="0.15">
      <c r="A90" s="136" t="s">
        <v>182</v>
      </c>
      <c r="B90" s="146">
        <v>8910.6644390000001</v>
      </c>
      <c r="C90" s="146">
        <v>9987</v>
      </c>
      <c r="D90" s="146">
        <v>10827</v>
      </c>
      <c r="E90" s="146">
        <v>11421</v>
      </c>
      <c r="F90" s="146">
        <v>11719</v>
      </c>
      <c r="G90" s="146">
        <v>11333</v>
      </c>
      <c r="H90" s="146">
        <v>11398</v>
      </c>
      <c r="I90" s="146">
        <v>12271</v>
      </c>
      <c r="J90" s="146">
        <v>12965</v>
      </c>
      <c r="K90" s="146">
        <v>13290</v>
      </c>
      <c r="L90" s="146">
        <v>9605</v>
      </c>
    </row>
    <row r="91" spans="1:12" ht="12" x14ac:dyDescent="0.15">
      <c r="A91" s="136" t="s">
        <v>183</v>
      </c>
      <c r="B91" s="152" t="s">
        <v>177</v>
      </c>
      <c r="C91" s="152">
        <v>1.0309E-2</v>
      </c>
      <c r="D91" s="152" t="s">
        <v>177</v>
      </c>
      <c r="E91" s="152">
        <v>5.3332999999999998E-2</v>
      </c>
      <c r="F91" s="152">
        <v>0.18276999999999999</v>
      </c>
      <c r="G91" s="152">
        <v>4.5662000000000001E-2</v>
      </c>
      <c r="H91" s="152">
        <v>0.13899300000000001</v>
      </c>
      <c r="I91" s="152">
        <v>0.173711</v>
      </c>
      <c r="J91" s="152">
        <v>0.148615</v>
      </c>
      <c r="K91" s="152">
        <v>0.23988999999999999</v>
      </c>
      <c r="L91" s="152" t="s">
        <v>177</v>
      </c>
    </row>
    <row r="92" spans="1:12" ht="12" x14ac:dyDescent="0.15">
      <c r="A92" s="136" t="s">
        <v>184</v>
      </c>
      <c r="B92" s="146">
        <v>7.9999979999999997</v>
      </c>
      <c r="C92" s="146">
        <v>17</v>
      </c>
      <c r="D92" s="146">
        <v>-1</v>
      </c>
      <c r="E92" s="146">
        <v>55</v>
      </c>
      <c r="F92" s="146">
        <v>124</v>
      </c>
      <c r="G92" s="146" t="s">
        <v>167</v>
      </c>
      <c r="H92" s="146" t="s">
        <v>167</v>
      </c>
      <c r="I92" s="146" t="s">
        <v>167</v>
      </c>
      <c r="J92" s="146" t="s">
        <v>167</v>
      </c>
      <c r="K92" s="146" t="s">
        <v>167</v>
      </c>
      <c r="L92" s="146" t="s">
        <v>167</v>
      </c>
    </row>
    <row r="93" spans="1:12" ht="12" x14ac:dyDescent="0.15">
      <c r="A93" s="136" t="s">
        <v>185</v>
      </c>
      <c r="B93" s="146" t="s">
        <v>167</v>
      </c>
      <c r="C93" s="146">
        <v>-9</v>
      </c>
      <c r="D93" s="146">
        <v>1</v>
      </c>
      <c r="E93" s="146">
        <v>1</v>
      </c>
      <c r="F93" s="146">
        <v>1</v>
      </c>
      <c r="G93" s="146" t="s">
        <v>167</v>
      </c>
      <c r="H93" s="146" t="s">
        <v>167</v>
      </c>
      <c r="I93" s="146" t="s">
        <v>167</v>
      </c>
      <c r="J93" s="146" t="s">
        <v>167</v>
      </c>
      <c r="K93" s="146" t="s">
        <v>167</v>
      </c>
      <c r="L93" s="146" t="s">
        <v>167</v>
      </c>
    </row>
    <row r="94" spans="1:12" x14ac:dyDescent="0.15">
      <c r="A94" s="136" t="s">
        <v>186</v>
      </c>
      <c r="B94" s="146">
        <v>7.9999979999999997</v>
      </c>
      <c r="C94" s="146">
        <v>8</v>
      </c>
      <c r="D94" s="146">
        <v>0</v>
      </c>
      <c r="E94" s="146">
        <v>56</v>
      </c>
      <c r="F94" s="146">
        <v>125</v>
      </c>
      <c r="G94" s="146">
        <v>196</v>
      </c>
      <c r="H94" s="146">
        <v>217</v>
      </c>
      <c r="I94" s="146">
        <v>256</v>
      </c>
      <c r="J94" s="146">
        <v>284</v>
      </c>
      <c r="K94" s="146">
        <v>329</v>
      </c>
      <c r="L94" s="146">
        <v>329</v>
      </c>
    </row>
    <row r="95" spans="1:12" x14ac:dyDescent="0.15">
      <c r="A95" s="136" t="s">
        <v>187</v>
      </c>
      <c r="B95" s="146">
        <v>-25.3</v>
      </c>
      <c r="C95" s="146">
        <v>-1</v>
      </c>
      <c r="D95" s="146">
        <v>-73</v>
      </c>
      <c r="E95" s="146">
        <v>-40</v>
      </c>
      <c r="F95" s="146">
        <v>32</v>
      </c>
      <c r="G95" s="146">
        <v>-76</v>
      </c>
      <c r="H95" s="146">
        <v>4</v>
      </c>
      <c r="I95" s="146">
        <v>44</v>
      </c>
      <c r="J95" s="146">
        <v>81</v>
      </c>
      <c r="K95" s="146">
        <v>21</v>
      </c>
      <c r="L95" s="146">
        <v>21</v>
      </c>
    </row>
    <row r="96" spans="1:12" x14ac:dyDescent="0.15">
      <c r="A96" s="136"/>
      <c r="B96" s="136"/>
      <c r="C96" s="136"/>
      <c r="D96" s="136"/>
      <c r="E96" s="136"/>
      <c r="F96" s="136"/>
      <c r="G96" s="136"/>
      <c r="H96" s="136"/>
      <c r="I96" s="136"/>
      <c r="J96" s="136"/>
      <c r="K96" s="136"/>
      <c r="L96" s="136"/>
    </row>
    <row r="97" spans="1:12" x14ac:dyDescent="0.15">
      <c r="A97" s="136" t="s">
        <v>188</v>
      </c>
      <c r="B97" s="146">
        <v>159.333294</v>
      </c>
      <c r="C97" s="146">
        <v>425.75</v>
      </c>
      <c r="D97" s="146">
        <v>33.375</v>
      </c>
      <c r="E97" s="146">
        <v>143</v>
      </c>
      <c r="F97" s="146">
        <v>539</v>
      </c>
      <c r="G97" s="146">
        <v>721.25</v>
      </c>
      <c r="H97" s="146">
        <v>953.375</v>
      </c>
      <c r="I97" s="146">
        <v>1120.125</v>
      </c>
      <c r="J97" s="146">
        <v>1281.5</v>
      </c>
      <c r="K97" s="146">
        <v>1272.5</v>
      </c>
      <c r="L97" s="146">
        <v>37.5</v>
      </c>
    </row>
    <row r="98" spans="1:12" ht="12" x14ac:dyDescent="0.15">
      <c r="A98" s="136" t="s">
        <v>189</v>
      </c>
      <c r="B98" s="146" t="s">
        <v>167</v>
      </c>
      <c r="C98" s="146">
        <v>1</v>
      </c>
      <c r="D98" s="146">
        <v>3</v>
      </c>
      <c r="E98" s="146">
        <v>4</v>
      </c>
      <c r="F98" s="146">
        <v>2</v>
      </c>
      <c r="G98" s="146">
        <v>1</v>
      </c>
      <c r="H98" s="146">
        <v>2</v>
      </c>
      <c r="I98" s="146">
        <v>6</v>
      </c>
      <c r="J98" s="146">
        <v>12</v>
      </c>
      <c r="K98" s="146">
        <v>15</v>
      </c>
      <c r="L98" s="146" t="s">
        <v>167</v>
      </c>
    </row>
    <row r="99" spans="1:12" ht="12" x14ac:dyDescent="0.15">
      <c r="A99" s="136" t="s">
        <v>190</v>
      </c>
      <c r="B99" s="146" t="s">
        <v>167</v>
      </c>
      <c r="C99" s="146">
        <v>152</v>
      </c>
      <c r="D99" s="146">
        <v>170</v>
      </c>
      <c r="E99" s="146">
        <v>170</v>
      </c>
      <c r="F99" s="146">
        <v>141</v>
      </c>
      <c r="G99" s="146">
        <v>147</v>
      </c>
      <c r="H99" s="146">
        <v>147</v>
      </c>
      <c r="I99" s="146">
        <v>101</v>
      </c>
      <c r="J99" s="146">
        <v>127</v>
      </c>
      <c r="K99" s="146">
        <v>233</v>
      </c>
      <c r="L99" s="146" t="s">
        <v>167</v>
      </c>
    </row>
    <row r="100" spans="1:12" ht="12" x14ac:dyDescent="0.15">
      <c r="A100" s="136" t="s">
        <v>191</v>
      </c>
      <c r="B100" s="146" t="s">
        <v>134</v>
      </c>
      <c r="C100" s="146">
        <v>-160</v>
      </c>
      <c r="D100" s="146">
        <v>35</v>
      </c>
      <c r="E100" s="146">
        <v>-98</v>
      </c>
      <c r="F100" s="146">
        <v>3</v>
      </c>
      <c r="G100" s="146">
        <v>8</v>
      </c>
      <c r="H100" s="146">
        <v>-10</v>
      </c>
      <c r="I100" s="146">
        <v>24</v>
      </c>
      <c r="J100" s="146">
        <v>-24</v>
      </c>
      <c r="K100" s="146">
        <v>-29</v>
      </c>
      <c r="L100" s="146" t="s">
        <v>134</v>
      </c>
    </row>
    <row r="101" spans="1:12" x14ac:dyDescent="0.15">
      <c r="A101" s="136" t="s">
        <v>192</v>
      </c>
      <c r="B101" s="154">
        <v>40997</v>
      </c>
      <c r="C101" s="154">
        <v>41348</v>
      </c>
      <c r="D101" s="154">
        <v>41718</v>
      </c>
      <c r="E101" s="154">
        <v>42082</v>
      </c>
      <c r="F101" s="154">
        <v>42446</v>
      </c>
      <c r="G101" s="154">
        <v>42810</v>
      </c>
      <c r="H101" s="154">
        <v>43159</v>
      </c>
      <c r="I101" s="154">
        <v>43564</v>
      </c>
      <c r="J101" s="154">
        <v>43888</v>
      </c>
      <c r="K101" s="154">
        <v>43888</v>
      </c>
      <c r="L101" s="154">
        <v>44049</v>
      </c>
    </row>
    <row r="102" spans="1:12" ht="12" x14ac:dyDescent="0.15">
      <c r="A102" s="136" t="s">
        <v>193</v>
      </c>
      <c r="B102" s="151" t="s">
        <v>194</v>
      </c>
      <c r="C102" s="151" t="s">
        <v>195</v>
      </c>
      <c r="D102" s="151" t="s">
        <v>196</v>
      </c>
      <c r="E102" s="151" t="s">
        <v>194</v>
      </c>
      <c r="F102" s="151" t="s">
        <v>194</v>
      </c>
      <c r="G102" s="151" t="s">
        <v>195</v>
      </c>
      <c r="H102" s="151" t="s">
        <v>197</v>
      </c>
      <c r="I102" s="151" t="s">
        <v>196</v>
      </c>
      <c r="J102" s="151" t="s">
        <v>195</v>
      </c>
      <c r="K102" s="151" t="s">
        <v>198</v>
      </c>
      <c r="L102" s="151" t="s">
        <v>198</v>
      </c>
    </row>
    <row r="103" spans="1:12" ht="12" x14ac:dyDescent="0.15">
      <c r="A103" s="136" t="s">
        <v>199</v>
      </c>
      <c r="B103" s="151" t="s">
        <v>200</v>
      </c>
      <c r="C103" s="151" t="s">
        <v>201</v>
      </c>
      <c r="D103" s="151" t="s">
        <v>201</v>
      </c>
      <c r="E103" s="151" t="s">
        <v>201</v>
      </c>
      <c r="F103" s="151" t="s">
        <v>201</v>
      </c>
      <c r="G103" s="151" t="s">
        <v>201</v>
      </c>
      <c r="H103" s="151" t="s">
        <v>201</v>
      </c>
      <c r="I103" s="151" t="s">
        <v>201</v>
      </c>
      <c r="J103" s="151" t="s">
        <v>201</v>
      </c>
      <c r="K103" s="151" t="s">
        <v>201</v>
      </c>
      <c r="L103" s="151" t="s">
        <v>202</v>
      </c>
    </row>
    <row r="104" spans="1:12" x14ac:dyDescent="0.15">
      <c r="A104" s="136"/>
      <c r="B104" s="136"/>
      <c r="C104" s="136"/>
      <c r="D104" s="136"/>
      <c r="E104" s="136"/>
      <c r="F104" s="136"/>
      <c r="G104" s="136"/>
      <c r="H104" s="136"/>
      <c r="I104" s="136"/>
      <c r="J104" s="136"/>
      <c r="K104" s="136"/>
      <c r="L104" s="136"/>
    </row>
    <row r="105" spans="1:12" x14ac:dyDescent="0.15">
      <c r="A105" s="145" t="s">
        <v>203</v>
      </c>
      <c r="B105" s="136"/>
      <c r="C105" s="136"/>
      <c r="D105" s="136"/>
      <c r="E105" s="136"/>
      <c r="F105" s="136"/>
      <c r="G105" s="136"/>
      <c r="H105" s="136"/>
      <c r="I105" s="136"/>
      <c r="J105" s="136"/>
      <c r="K105" s="136"/>
      <c r="L105" s="136"/>
    </row>
    <row r="106" spans="1:12" x14ac:dyDescent="0.15">
      <c r="A106" s="136" t="s">
        <v>204</v>
      </c>
      <c r="B106" s="146">
        <v>313.33325500000001</v>
      </c>
      <c r="C106" s="146">
        <v>436</v>
      </c>
      <c r="D106" s="146">
        <v>466</v>
      </c>
      <c r="E106" s="146">
        <v>439</v>
      </c>
      <c r="F106" s="146">
        <v>449</v>
      </c>
      <c r="G106" s="146">
        <v>415</v>
      </c>
      <c r="H106" s="146">
        <v>414</v>
      </c>
      <c r="I106" s="146">
        <v>480</v>
      </c>
      <c r="J106" s="146">
        <v>509</v>
      </c>
      <c r="K106" s="146">
        <v>516</v>
      </c>
      <c r="L106" s="146">
        <v>339</v>
      </c>
    </row>
    <row r="107" spans="1:12" ht="12" x14ac:dyDescent="0.15">
      <c r="A107" s="136" t="s">
        <v>205</v>
      </c>
      <c r="B107" s="146" t="s">
        <v>167</v>
      </c>
      <c r="C107" s="146">
        <v>155</v>
      </c>
      <c r="D107" s="146">
        <v>187</v>
      </c>
      <c r="E107" s="146">
        <v>166</v>
      </c>
      <c r="F107" s="146">
        <v>162</v>
      </c>
      <c r="G107" s="146">
        <v>189</v>
      </c>
      <c r="H107" s="146">
        <v>265</v>
      </c>
      <c r="I107" s="146">
        <v>351</v>
      </c>
      <c r="J107" s="146">
        <v>359</v>
      </c>
      <c r="K107" s="146">
        <v>40</v>
      </c>
      <c r="L107" s="146" t="s">
        <v>167</v>
      </c>
    </row>
    <row r="108" spans="1:12" ht="12" x14ac:dyDescent="0.15">
      <c r="A108" s="136" t="s">
        <v>206</v>
      </c>
      <c r="B108" s="146" t="s">
        <v>134</v>
      </c>
      <c r="C108" s="146">
        <v>48.98124</v>
      </c>
      <c r="D108" s="146">
        <v>68.410584</v>
      </c>
      <c r="E108" s="146">
        <v>60.121215999999997</v>
      </c>
      <c r="F108" s="146">
        <v>43.679088</v>
      </c>
      <c r="G108" s="146">
        <v>49.068936000000001</v>
      </c>
      <c r="H108" s="146">
        <v>64.520079999999993</v>
      </c>
      <c r="I108" s="146">
        <v>66.642263999999997</v>
      </c>
      <c r="J108" s="146">
        <v>84.373615999999998</v>
      </c>
      <c r="K108" s="146">
        <v>13.949120000000001</v>
      </c>
      <c r="L108" s="146" t="s">
        <v>134</v>
      </c>
    </row>
    <row r="109" spans="1:12" ht="12" x14ac:dyDescent="0.15">
      <c r="A109" s="136" t="s">
        <v>207</v>
      </c>
      <c r="B109" s="146" t="s">
        <v>134</v>
      </c>
      <c r="C109" s="146">
        <v>106.01876</v>
      </c>
      <c r="D109" s="146">
        <v>118.589416</v>
      </c>
      <c r="E109" s="146">
        <v>105.878784</v>
      </c>
      <c r="F109" s="146">
        <v>118.32091200000001</v>
      </c>
      <c r="G109" s="146">
        <v>139.93106399999999</v>
      </c>
      <c r="H109" s="146">
        <v>200.47991999999999</v>
      </c>
      <c r="I109" s="146">
        <v>284.35773599999999</v>
      </c>
      <c r="J109" s="146">
        <v>274.62638399999997</v>
      </c>
      <c r="K109" s="146">
        <v>26.050879999999999</v>
      </c>
      <c r="L109" s="146" t="s">
        <v>134</v>
      </c>
    </row>
    <row r="110" spans="1:12" x14ac:dyDescent="0.15">
      <c r="A110" s="136"/>
      <c r="B110" s="136"/>
      <c r="C110" s="136"/>
      <c r="D110" s="136"/>
      <c r="E110" s="136"/>
      <c r="F110" s="136"/>
      <c r="G110" s="136"/>
      <c r="H110" s="136"/>
      <c r="I110" s="136"/>
      <c r="J110" s="136"/>
      <c r="K110" s="136"/>
      <c r="L110" s="136"/>
    </row>
    <row r="111" spans="1:12" x14ac:dyDescent="0.15">
      <c r="A111" s="136" t="s">
        <v>208</v>
      </c>
      <c r="B111" s="146">
        <v>7.9999979999999997</v>
      </c>
      <c r="C111" s="146">
        <v>13</v>
      </c>
      <c r="D111" s="146">
        <v>15</v>
      </c>
      <c r="E111" s="146">
        <v>14</v>
      </c>
      <c r="F111" s="146">
        <v>11</v>
      </c>
      <c r="G111" s="146">
        <v>10</v>
      </c>
      <c r="H111" s="146">
        <v>10</v>
      </c>
      <c r="I111" s="146">
        <v>7</v>
      </c>
      <c r="J111" s="146">
        <v>6</v>
      </c>
      <c r="K111" s="146">
        <v>7</v>
      </c>
      <c r="L111" s="146">
        <v>7</v>
      </c>
    </row>
    <row r="112" spans="1:12" x14ac:dyDescent="0.15">
      <c r="A112" s="145" t="s">
        <v>209</v>
      </c>
      <c r="B112" s="148">
        <v>7.9999979999999997</v>
      </c>
      <c r="C112" s="148">
        <v>13</v>
      </c>
      <c r="D112" s="148">
        <v>15</v>
      </c>
      <c r="E112" s="148">
        <v>14</v>
      </c>
      <c r="F112" s="148">
        <v>11</v>
      </c>
      <c r="G112" s="148">
        <v>10</v>
      </c>
      <c r="H112" s="148">
        <v>10</v>
      </c>
      <c r="I112" s="148">
        <v>7</v>
      </c>
      <c r="J112" s="148">
        <v>6</v>
      </c>
      <c r="K112" s="148">
        <v>7</v>
      </c>
      <c r="L112" s="148">
        <v>7</v>
      </c>
    </row>
    <row r="113" spans="1:12" x14ac:dyDescent="0.15">
      <c r="A113" s="136"/>
      <c r="B113" s="136"/>
      <c r="C113" s="136"/>
      <c r="D113" s="136"/>
      <c r="E113" s="136"/>
      <c r="F113" s="136"/>
      <c r="G113" s="136"/>
      <c r="H113" s="136"/>
      <c r="I113" s="136"/>
      <c r="J113" s="136"/>
      <c r="K113" s="136"/>
      <c r="L113" s="136"/>
    </row>
    <row r="114" spans="1:12" x14ac:dyDescent="0.15">
      <c r="A114" s="155" t="s">
        <v>210</v>
      </c>
      <c r="B114" s="156"/>
      <c r="C114" s="156"/>
      <c r="D114" s="156"/>
      <c r="E114" s="156"/>
      <c r="F114" s="156"/>
      <c r="G114" s="156"/>
      <c r="H114" s="156"/>
      <c r="I114" s="156"/>
      <c r="J114" s="156"/>
      <c r="K114" s="156"/>
      <c r="L114" s="156"/>
    </row>
    <row r="115" spans="1:12" x14ac:dyDescent="0.15">
      <c r="A115" s="133" t="s">
        <v>211</v>
      </c>
    </row>
    <row r="116" spans="1:12" x14ac:dyDescent="0.15">
      <c r="A116" s="157" t="s">
        <v>212</v>
      </c>
    </row>
  </sheetData>
  <pageMargins left="0.2" right="0.2" top="0.5" bottom="0.5" header="0.5" footer="0.5"/>
  <pageSetup fitToWidth="0" fitToHeight="0" orientation="landscape" horizontalDpi="0" verticalDpi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4D98-AEBD-BD41-88CD-F2E38AB45961}">
  <sheetPr>
    <outlinePr summaryBelow="0" summaryRight="0"/>
    <pageSetUpPr autoPageBreaks="0"/>
  </sheetPr>
  <dimension ref="A5:IU98"/>
  <sheetViews>
    <sheetView topLeftCell="B1" zoomScale="130" zoomScaleNormal="130" workbookViewId="0">
      <selection activeCell="L54" sqref="L54"/>
    </sheetView>
  </sheetViews>
  <sheetFormatPr baseColWidth="10" defaultRowHeight="11" x14ac:dyDescent="0.15"/>
  <cols>
    <col min="1" max="1" width="45.83203125" style="172" customWidth="1"/>
    <col min="2" max="12" width="14.83203125" style="172" customWidth="1"/>
    <col min="13" max="256" width="8.83203125" style="172" customWidth="1"/>
    <col min="257" max="257" width="45.83203125" style="172" customWidth="1"/>
    <col min="258" max="268" width="14.83203125" style="172" customWidth="1"/>
    <col min="269" max="512" width="8.83203125" style="172" customWidth="1"/>
    <col min="513" max="513" width="45.83203125" style="172" customWidth="1"/>
    <col min="514" max="524" width="14.83203125" style="172" customWidth="1"/>
    <col min="525" max="768" width="8.83203125" style="172" customWidth="1"/>
    <col min="769" max="769" width="45.83203125" style="172" customWidth="1"/>
    <col min="770" max="780" width="14.83203125" style="172" customWidth="1"/>
    <col min="781" max="1024" width="8.83203125" style="172" customWidth="1"/>
    <col min="1025" max="1025" width="45.83203125" style="172" customWidth="1"/>
    <col min="1026" max="1036" width="14.83203125" style="172" customWidth="1"/>
    <col min="1037" max="1280" width="8.83203125" style="172" customWidth="1"/>
    <col min="1281" max="1281" width="45.83203125" style="172" customWidth="1"/>
    <col min="1282" max="1292" width="14.83203125" style="172" customWidth="1"/>
    <col min="1293" max="1536" width="8.83203125" style="172" customWidth="1"/>
    <col min="1537" max="1537" width="45.83203125" style="172" customWidth="1"/>
    <col min="1538" max="1548" width="14.83203125" style="172" customWidth="1"/>
    <col min="1549" max="1792" width="8.83203125" style="172" customWidth="1"/>
    <col min="1793" max="1793" width="45.83203125" style="172" customWidth="1"/>
    <col min="1794" max="1804" width="14.83203125" style="172" customWidth="1"/>
    <col min="1805" max="2048" width="8.83203125" style="172" customWidth="1"/>
    <col min="2049" max="2049" width="45.83203125" style="172" customWidth="1"/>
    <col min="2050" max="2060" width="14.83203125" style="172" customWidth="1"/>
    <col min="2061" max="2304" width="8.83203125" style="172" customWidth="1"/>
    <col min="2305" max="2305" width="45.83203125" style="172" customWidth="1"/>
    <col min="2306" max="2316" width="14.83203125" style="172" customWidth="1"/>
    <col min="2317" max="2560" width="8.83203125" style="172" customWidth="1"/>
    <col min="2561" max="2561" width="45.83203125" style="172" customWidth="1"/>
    <col min="2562" max="2572" width="14.83203125" style="172" customWidth="1"/>
    <col min="2573" max="2816" width="8.83203125" style="172" customWidth="1"/>
    <col min="2817" max="2817" width="45.83203125" style="172" customWidth="1"/>
    <col min="2818" max="2828" width="14.83203125" style="172" customWidth="1"/>
    <col min="2829" max="3072" width="8.83203125" style="172" customWidth="1"/>
    <col min="3073" max="3073" width="45.83203125" style="172" customWidth="1"/>
    <col min="3074" max="3084" width="14.83203125" style="172" customWidth="1"/>
    <col min="3085" max="3328" width="8.83203125" style="172" customWidth="1"/>
    <col min="3329" max="3329" width="45.83203125" style="172" customWidth="1"/>
    <col min="3330" max="3340" width="14.83203125" style="172" customWidth="1"/>
    <col min="3341" max="3584" width="8.83203125" style="172" customWidth="1"/>
    <col min="3585" max="3585" width="45.83203125" style="172" customWidth="1"/>
    <col min="3586" max="3596" width="14.83203125" style="172" customWidth="1"/>
    <col min="3597" max="3840" width="8.83203125" style="172" customWidth="1"/>
    <col min="3841" max="3841" width="45.83203125" style="172" customWidth="1"/>
    <col min="3842" max="3852" width="14.83203125" style="172" customWidth="1"/>
    <col min="3853" max="4096" width="8.83203125" style="172" customWidth="1"/>
    <col min="4097" max="4097" width="45.83203125" style="172" customWidth="1"/>
    <col min="4098" max="4108" width="14.83203125" style="172" customWidth="1"/>
    <col min="4109" max="4352" width="8.83203125" style="172" customWidth="1"/>
    <col min="4353" max="4353" width="45.83203125" style="172" customWidth="1"/>
    <col min="4354" max="4364" width="14.83203125" style="172" customWidth="1"/>
    <col min="4365" max="4608" width="8.83203125" style="172" customWidth="1"/>
    <col min="4609" max="4609" width="45.83203125" style="172" customWidth="1"/>
    <col min="4610" max="4620" width="14.83203125" style="172" customWidth="1"/>
    <col min="4621" max="4864" width="8.83203125" style="172" customWidth="1"/>
    <col min="4865" max="4865" width="45.83203125" style="172" customWidth="1"/>
    <col min="4866" max="4876" width="14.83203125" style="172" customWidth="1"/>
    <col min="4877" max="5120" width="8.83203125" style="172" customWidth="1"/>
    <col min="5121" max="5121" width="45.83203125" style="172" customWidth="1"/>
    <col min="5122" max="5132" width="14.83203125" style="172" customWidth="1"/>
    <col min="5133" max="5376" width="8.83203125" style="172" customWidth="1"/>
    <col min="5377" max="5377" width="45.83203125" style="172" customWidth="1"/>
    <col min="5378" max="5388" width="14.83203125" style="172" customWidth="1"/>
    <col min="5389" max="5632" width="8.83203125" style="172" customWidth="1"/>
    <col min="5633" max="5633" width="45.83203125" style="172" customWidth="1"/>
    <col min="5634" max="5644" width="14.83203125" style="172" customWidth="1"/>
    <col min="5645" max="5888" width="8.83203125" style="172" customWidth="1"/>
    <col min="5889" max="5889" width="45.83203125" style="172" customWidth="1"/>
    <col min="5890" max="5900" width="14.83203125" style="172" customWidth="1"/>
    <col min="5901" max="6144" width="8.83203125" style="172" customWidth="1"/>
    <col min="6145" max="6145" width="45.83203125" style="172" customWidth="1"/>
    <col min="6146" max="6156" width="14.83203125" style="172" customWidth="1"/>
    <col min="6157" max="6400" width="8.83203125" style="172" customWidth="1"/>
    <col min="6401" max="6401" width="45.83203125" style="172" customWidth="1"/>
    <col min="6402" max="6412" width="14.83203125" style="172" customWidth="1"/>
    <col min="6413" max="6656" width="8.83203125" style="172" customWidth="1"/>
    <col min="6657" max="6657" width="45.83203125" style="172" customWidth="1"/>
    <col min="6658" max="6668" width="14.83203125" style="172" customWidth="1"/>
    <col min="6669" max="6912" width="8.83203125" style="172" customWidth="1"/>
    <col min="6913" max="6913" width="45.83203125" style="172" customWidth="1"/>
    <col min="6914" max="6924" width="14.83203125" style="172" customWidth="1"/>
    <col min="6925" max="7168" width="8.83203125" style="172" customWidth="1"/>
    <col min="7169" max="7169" width="45.83203125" style="172" customWidth="1"/>
    <col min="7170" max="7180" width="14.83203125" style="172" customWidth="1"/>
    <col min="7181" max="7424" width="8.83203125" style="172" customWidth="1"/>
    <col min="7425" max="7425" width="45.83203125" style="172" customWidth="1"/>
    <col min="7426" max="7436" width="14.83203125" style="172" customWidth="1"/>
    <col min="7437" max="7680" width="8.83203125" style="172" customWidth="1"/>
    <col min="7681" max="7681" width="45.83203125" style="172" customWidth="1"/>
    <col min="7682" max="7692" width="14.83203125" style="172" customWidth="1"/>
    <col min="7693" max="7936" width="8.83203125" style="172" customWidth="1"/>
    <col min="7937" max="7937" width="45.83203125" style="172" customWidth="1"/>
    <col min="7938" max="7948" width="14.83203125" style="172" customWidth="1"/>
    <col min="7949" max="8192" width="8.83203125" style="172" customWidth="1"/>
    <col min="8193" max="8193" width="45.83203125" style="172" customWidth="1"/>
    <col min="8194" max="8204" width="14.83203125" style="172" customWidth="1"/>
    <col min="8205" max="8448" width="8.83203125" style="172" customWidth="1"/>
    <col min="8449" max="8449" width="45.83203125" style="172" customWidth="1"/>
    <col min="8450" max="8460" width="14.83203125" style="172" customWidth="1"/>
    <col min="8461" max="8704" width="8.83203125" style="172" customWidth="1"/>
    <col min="8705" max="8705" width="45.83203125" style="172" customWidth="1"/>
    <col min="8706" max="8716" width="14.83203125" style="172" customWidth="1"/>
    <col min="8717" max="8960" width="8.83203125" style="172" customWidth="1"/>
    <col min="8961" max="8961" width="45.83203125" style="172" customWidth="1"/>
    <col min="8962" max="8972" width="14.83203125" style="172" customWidth="1"/>
    <col min="8973" max="9216" width="8.83203125" style="172" customWidth="1"/>
    <col min="9217" max="9217" width="45.83203125" style="172" customWidth="1"/>
    <col min="9218" max="9228" width="14.83203125" style="172" customWidth="1"/>
    <col min="9229" max="9472" width="8.83203125" style="172" customWidth="1"/>
    <col min="9473" max="9473" width="45.83203125" style="172" customWidth="1"/>
    <col min="9474" max="9484" width="14.83203125" style="172" customWidth="1"/>
    <col min="9485" max="9728" width="8.83203125" style="172" customWidth="1"/>
    <col min="9729" max="9729" width="45.83203125" style="172" customWidth="1"/>
    <col min="9730" max="9740" width="14.83203125" style="172" customWidth="1"/>
    <col min="9741" max="9984" width="8.83203125" style="172" customWidth="1"/>
    <col min="9985" max="9985" width="45.83203125" style="172" customWidth="1"/>
    <col min="9986" max="9996" width="14.83203125" style="172" customWidth="1"/>
    <col min="9997" max="10240" width="8.83203125" style="172" customWidth="1"/>
    <col min="10241" max="10241" width="45.83203125" style="172" customWidth="1"/>
    <col min="10242" max="10252" width="14.83203125" style="172" customWidth="1"/>
    <col min="10253" max="10496" width="8.83203125" style="172" customWidth="1"/>
    <col min="10497" max="10497" width="45.83203125" style="172" customWidth="1"/>
    <col min="10498" max="10508" width="14.83203125" style="172" customWidth="1"/>
    <col min="10509" max="10752" width="8.83203125" style="172" customWidth="1"/>
    <col min="10753" max="10753" width="45.83203125" style="172" customWidth="1"/>
    <col min="10754" max="10764" width="14.83203125" style="172" customWidth="1"/>
    <col min="10765" max="11008" width="8.83203125" style="172" customWidth="1"/>
    <col min="11009" max="11009" width="45.83203125" style="172" customWidth="1"/>
    <col min="11010" max="11020" width="14.83203125" style="172" customWidth="1"/>
    <col min="11021" max="11264" width="8.83203125" style="172" customWidth="1"/>
    <col min="11265" max="11265" width="45.83203125" style="172" customWidth="1"/>
    <col min="11266" max="11276" width="14.83203125" style="172" customWidth="1"/>
    <col min="11277" max="11520" width="8.83203125" style="172" customWidth="1"/>
    <col min="11521" max="11521" width="45.83203125" style="172" customWidth="1"/>
    <col min="11522" max="11532" width="14.83203125" style="172" customWidth="1"/>
    <col min="11533" max="11776" width="8.83203125" style="172" customWidth="1"/>
    <col min="11777" max="11777" width="45.83203125" style="172" customWidth="1"/>
    <col min="11778" max="11788" width="14.83203125" style="172" customWidth="1"/>
    <col min="11789" max="12032" width="8.83203125" style="172" customWidth="1"/>
    <col min="12033" max="12033" width="45.83203125" style="172" customWidth="1"/>
    <col min="12034" max="12044" width="14.83203125" style="172" customWidth="1"/>
    <col min="12045" max="12288" width="8.83203125" style="172" customWidth="1"/>
    <col min="12289" max="12289" width="45.83203125" style="172" customWidth="1"/>
    <col min="12290" max="12300" width="14.83203125" style="172" customWidth="1"/>
    <col min="12301" max="12544" width="8.83203125" style="172" customWidth="1"/>
    <col min="12545" max="12545" width="45.83203125" style="172" customWidth="1"/>
    <col min="12546" max="12556" width="14.83203125" style="172" customWidth="1"/>
    <col min="12557" max="12800" width="8.83203125" style="172" customWidth="1"/>
    <col min="12801" max="12801" width="45.83203125" style="172" customWidth="1"/>
    <col min="12802" max="12812" width="14.83203125" style="172" customWidth="1"/>
    <col min="12813" max="13056" width="8.83203125" style="172" customWidth="1"/>
    <col min="13057" max="13057" width="45.83203125" style="172" customWidth="1"/>
    <col min="13058" max="13068" width="14.83203125" style="172" customWidth="1"/>
    <col min="13069" max="13312" width="8.83203125" style="172" customWidth="1"/>
    <col min="13313" max="13313" width="45.83203125" style="172" customWidth="1"/>
    <col min="13314" max="13324" width="14.83203125" style="172" customWidth="1"/>
    <col min="13325" max="13568" width="8.83203125" style="172" customWidth="1"/>
    <col min="13569" max="13569" width="45.83203125" style="172" customWidth="1"/>
    <col min="13570" max="13580" width="14.83203125" style="172" customWidth="1"/>
    <col min="13581" max="13824" width="8.83203125" style="172" customWidth="1"/>
    <col min="13825" max="13825" width="45.83203125" style="172" customWidth="1"/>
    <col min="13826" max="13836" width="14.83203125" style="172" customWidth="1"/>
    <col min="13837" max="14080" width="8.83203125" style="172" customWidth="1"/>
    <col min="14081" max="14081" width="45.83203125" style="172" customWidth="1"/>
    <col min="14082" max="14092" width="14.83203125" style="172" customWidth="1"/>
    <col min="14093" max="14336" width="8.83203125" style="172" customWidth="1"/>
    <col min="14337" max="14337" width="45.83203125" style="172" customWidth="1"/>
    <col min="14338" max="14348" width="14.83203125" style="172" customWidth="1"/>
    <col min="14349" max="14592" width="8.83203125" style="172" customWidth="1"/>
    <col min="14593" max="14593" width="45.83203125" style="172" customWidth="1"/>
    <col min="14594" max="14604" width="14.83203125" style="172" customWidth="1"/>
    <col min="14605" max="14848" width="8.83203125" style="172" customWidth="1"/>
    <col min="14849" max="14849" width="45.83203125" style="172" customWidth="1"/>
    <col min="14850" max="14860" width="14.83203125" style="172" customWidth="1"/>
    <col min="14861" max="15104" width="8.83203125" style="172" customWidth="1"/>
    <col min="15105" max="15105" width="45.83203125" style="172" customWidth="1"/>
    <col min="15106" max="15116" width="14.83203125" style="172" customWidth="1"/>
    <col min="15117" max="15360" width="8.83203125" style="172" customWidth="1"/>
    <col min="15361" max="15361" width="45.83203125" style="172" customWidth="1"/>
    <col min="15362" max="15372" width="14.83203125" style="172" customWidth="1"/>
    <col min="15373" max="15616" width="8.83203125" style="172" customWidth="1"/>
    <col min="15617" max="15617" width="45.83203125" style="172" customWidth="1"/>
    <col min="15618" max="15628" width="14.83203125" style="172" customWidth="1"/>
    <col min="15629" max="15872" width="8.83203125" style="172" customWidth="1"/>
    <col min="15873" max="15873" width="45.83203125" style="172" customWidth="1"/>
    <col min="15874" max="15884" width="14.83203125" style="172" customWidth="1"/>
    <col min="15885" max="16128" width="8.83203125" style="172" customWidth="1"/>
    <col min="16129" max="16129" width="45.83203125" style="172" customWidth="1"/>
    <col min="16130" max="16140" width="14.83203125" style="172" customWidth="1"/>
    <col min="16141" max="16384" width="8.83203125" style="172" customWidth="1"/>
  </cols>
  <sheetData>
    <row r="5" spans="1:255" ht="17" x14ac:dyDescent="0.2">
      <c r="A5" s="171" t="s">
        <v>241</v>
      </c>
    </row>
    <row r="7" spans="1:255" ht="12" x14ac:dyDescent="0.15">
      <c r="A7" s="173" t="s">
        <v>92</v>
      </c>
      <c r="B7" s="174" t="s">
        <v>93</v>
      </c>
      <c r="C7" s="172" t="s">
        <v>94</v>
      </c>
      <c r="D7" s="175" t="s">
        <v>95</v>
      </c>
      <c r="E7" s="174" t="s">
        <v>96</v>
      </c>
      <c r="F7" s="172" t="s">
        <v>97</v>
      </c>
    </row>
    <row r="8" spans="1:255" x14ac:dyDescent="0.15">
      <c r="A8" s="175"/>
      <c r="B8" s="174" t="s">
        <v>98</v>
      </c>
      <c r="C8" s="172" t="s">
        <v>99</v>
      </c>
      <c r="D8" s="175" t="s">
        <v>95</v>
      </c>
      <c r="E8" s="174" t="s">
        <v>100</v>
      </c>
      <c r="F8" s="172" t="s">
        <v>101</v>
      </c>
    </row>
    <row r="9" spans="1:255" x14ac:dyDescent="0.15">
      <c r="A9" s="175"/>
      <c r="B9" s="174" t="s">
        <v>102</v>
      </c>
      <c r="C9" s="172" t="s">
        <v>103</v>
      </c>
      <c r="D9" s="175" t="s">
        <v>95</v>
      </c>
      <c r="E9" s="174" t="s">
        <v>104</v>
      </c>
      <c r="F9" s="172" t="s">
        <v>105</v>
      </c>
    </row>
    <row r="10" spans="1:255" x14ac:dyDescent="0.15">
      <c r="A10" s="175"/>
      <c r="B10" s="174" t="s">
        <v>106</v>
      </c>
      <c r="C10" s="172" t="s">
        <v>107</v>
      </c>
      <c r="D10" s="175" t="s">
        <v>95</v>
      </c>
      <c r="E10" s="174" t="s">
        <v>108</v>
      </c>
      <c r="F10" s="176" t="s">
        <v>109</v>
      </c>
    </row>
    <row r="11" spans="1:255" x14ac:dyDescent="0.15">
      <c r="A11" s="175"/>
      <c r="B11" s="174" t="s">
        <v>110</v>
      </c>
      <c r="C11" s="172" t="s">
        <v>111</v>
      </c>
      <c r="D11" s="175" t="s">
        <v>95</v>
      </c>
      <c r="E11" s="177"/>
      <c r="F11" s="177"/>
    </row>
    <row r="14" spans="1:255" x14ac:dyDescent="0.15">
      <c r="A14" s="178" t="s">
        <v>242</v>
      </c>
      <c r="B14" s="178"/>
      <c r="C14" s="178"/>
      <c r="D14" s="178"/>
      <c r="E14" s="178"/>
      <c r="F14" s="178"/>
      <c r="G14" s="178"/>
      <c r="H14" s="178"/>
      <c r="I14" s="178"/>
      <c r="J14" s="178"/>
      <c r="K14" s="178"/>
      <c r="L14" s="178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  <c r="AU14" s="179"/>
      <c r="AV14" s="179"/>
      <c r="AW14" s="179"/>
      <c r="AX14" s="179"/>
      <c r="AY14" s="179"/>
      <c r="AZ14" s="179"/>
      <c r="BA14" s="179"/>
      <c r="BB14" s="179"/>
      <c r="BC14" s="179"/>
      <c r="BD14" s="179"/>
      <c r="BE14" s="179"/>
      <c r="BF14" s="179"/>
      <c r="BG14" s="179"/>
      <c r="BH14" s="179"/>
      <c r="BI14" s="179"/>
      <c r="BJ14" s="179"/>
      <c r="BK14" s="179"/>
      <c r="BL14" s="179"/>
      <c r="BM14" s="179"/>
      <c r="BN14" s="179"/>
      <c r="BO14" s="179"/>
      <c r="BP14" s="179"/>
      <c r="BQ14" s="179"/>
      <c r="BR14" s="179"/>
      <c r="BS14" s="179"/>
      <c r="BT14" s="179"/>
      <c r="BU14" s="179"/>
      <c r="BV14" s="179"/>
      <c r="BW14" s="179"/>
      <c r="BX14" s="179"/>
      <c r="BY14" s="179"/>
      <c r="BZ14" s="179"/>
      <c r="CA14" s="179"/>
      <c r="CB14" s="179"/>
      <c r="CC14" s="179"/>
      <c r="CD14" s="179"/>
      <c r="CE14" s="179"/>
      <c r="CF14" s="179"/>
      <c r="CG14" s="179"/>
      <c r="CH14" s="179"/>
      <c r="CI14" s="179"/>
      <c r="CJ14" s="179"/>
      <c r="CK14" s="179"/>
      <c r="CL14" s="179"/>
      <c r="CM14" s="179"/>
      <c r="CN14" s="179"/>
      <c r="CO14" s="179"/>
      <c r="CP14" s="179"/>
      <c r="CQ14" s="179"/>
      <c r="CR14" s="179"/>
      <c r="CS14" s="179"/>
      <c r="CT14" s="179"/>
      <c r="CU14" s="179"/>
      <c r="CV14" s="179"/>
      <c r="CW14" s="179"/>
      <c r="CX14" s="179"/>
      <c r="CY14" s="179"/>
      <c r="CZ14" s="179"/>
      <c r="DA14" s="179"/>
      <c r="DB14" s="179"/>
      <c r="DC14" s="179"/>
      <c r="DD14" s="179"/>
      <c r="DE14" s="179"/>
      <c r="DF14" s="179"/>
      <c r="DG14" s="179"/>
      <c r="DH14" s="179"/>
      <c r="DI14" s="179"/>
      <c r="DJ14" s="179"/>
      <c r="DK14" s="179"/>
      <c r="DL14" s="179"/>
      <c r="DM14" s="179"/>
      <c r="DN14" s="179"/>
      <c r="DO14" s="179"/>
      <c r="DP14" s="179"/>
      <c r="DQ14" s="179"/>
      <c r="DR14" s="179"/>
      <c r="DS14" s="179"/>
      <c r="DT14" s="179"/>
      <c r="DU14" s="179"/>
      <c r="DV14" s="179"/>
      <c r="DW14" s="179"/>
      <c r="DX14" s="179"/>
      <c r="DY14" s="179"/>
      <c r="DZ14" s="179"/>
      <c r="EA14" s="179"/>
      <c r="EB14" s="179"/>
      <c r="EC14" s="179"/>
      <c r="ED14" s="179"/>
      <c r="EE14" s="179"/>
      <c r="EF14" s="179"/>
      <c r="EG14" s="179"/>
      <c r="EH14" s="179"/>
      <c r="EI14" s="179"/>
      <c r="EJ14" s="179"/>
      <c r="EK14" s="179"/>
      <c r="EL14" s="179"/>
      <c r="EM14" s="179"/>
      <c r="EN14" s="179"/>
      <c r="EO14" s="179"/>
      <c r="EP14" s="179"/>
      <c r="EQ14" s="179"/>
      <c r="ER14" s="179"/>
      <c r="ES14" s="179"/>
      <c r="ET14" s="179"/>
      <c r="EU14" s="179"/>
      <c r="EV14" s="179"/>
      <c r="EW14" s="179"/>
      <c r="EX14" s="179"/>
      <c r="EY14" s="179"/>
      <c r="EZ14" s="179"/>
      <c r="FA14" s="179"/>
      <c r="FB14" s="179"/>
      <c r="FC14" s="179"/>
      <c r="FD14" s="179"/>
      <c r="FE14" s="179"/>
      <c r="FF14" s="179"/>
      <c r="FG14" s="179"/>
      <c r="FH14" s="179"/>
      <c r="FI14" s="179"/>
      <c r="FJ14" s="179"/>
      <c r="FK14" s="179"/>
      <c r="FL14" s="179"/>
      <c r="FM14" s="179"/>
      <c r="FN14" s="179"/>
      <c r="FO14" s="179"/>
      <c r="FP14" s="179"/>
      <c r="FQ14" s="179"/>
      <c r="FR14" s="179"/>
      <c r="FS14" s="179"/>
      <c r="FT14" s="179"/>
      <c r="FU14" s="179"/>
      <c r="FV14" s="179"/>
      <c r="FW14" s="179"/>
      <c r="FX14" s="179"/>
      <c r="FY14" s="179"/>
      <c r="FZ14" s="179"/>
      <c r="GA14" s="179"/>
      <c r="GB14" s="179"/>
      <c r="GC14" s="179"/>
      <c r="GD14" s="179"/>
      <c r="GE14" s="179"/>
      <c r="GF14" s="179"/>
      <c r="GG14" s="179"/>
      <c r="GH14" s="179"/>
      <c r="GI14" s="179"/>
      <c r="GJ14" s="179"/>
      <c r="GK14" s="179"/>
      <c r="GL14" s="179"/>
      <c r="GM14" s="179"/>
      <c r="GN14" s="179"/>
      <c r="GO14" s="179"/>
      <c r="GP14" s="179"/>
      <c r="GQ14" s="179"/>
      <c r="GR14" s="179"/>
      <c r="GS14" s="179"/>
      <c r="GT14" s="179"/>
      <c r="GU14" s="179"/>
      <c r="GV14" s="179"/>
      <c r="GW14" s="179"/>
      <c r="GX14" s="179"/>
      <c r="GY14" s="179"/>
      <c r="GZ14" s="179"/>
      <c r="HA14" s="179"/>
      <c r="HB14" s="179"/>
      <c r="HC14" s="179"/>
      <c r="HD14" s="179"/>
      <c r="HE14" s="179"/>
      <c r="HF14" s="179"/>
      <c r="HG14" s="179"/>
      <c r="HH14" s="179"/>
      <c r="HI14" s="179"/>
      <c r="HJ14" s="179"/>
      <c r="HK14" s="179"/>
      <c r="HL14" s="179"/>
      <c r="HM14" s="179"/>
      <c r="HN14" s="179"/>
      <c r="HO14" s="179"/>
      <c r="HP14" s="179"/>
      <c r="HQ14" s="179"/>
      <c r="HR14" s="179"/>
      <c r="HS14" s="179"/>
      <c r="HT14" s="179"/>
      <c r="HU14" s="179"/>
      <c r="HV14" s="179"/>
      <c r="HW14" s="179"/>
      <c r="HX14" s="179"/>
      <c r="HY14" s="179"/>
      <c r="HZ14" s="179"/>
      <c r="IA14" s="179"/>
      <c r="IB14" s="179"/>
      <c r="IC14" s="179"/>
      <c r="ID14" s="179"/>
      <c r="IE14" s="179"/>
      <c r="IF14" s="179"/>
      <c r="IG14" s="179"/>
      <c r="IH14" s="179"/>
      <c r="II14" s="179"/>
      <c r="IJ14" s="179"/>
      <c r="IK14" s="179"/>
      <c r="IL14" s="179"/>
      <c r="IM14" s="179"/>
      <c r="IN14" s="179"/>
      <c r="IO14" s="179"/>
      <c r="IP14" s="179"/>
      <c r="IQ14" s="179"/>
      <c r="IR14" s="179"/>
      <c r="IS14" s="179"/>
      <c r="IT14" s="179"/>
      <c r="IU14" s="179"/>
    </row>
    <row r="15" spans="1:255" ht="24" x14ac:dyDescent="0.15">
      <c r="A15" s="180" t="s">
        <v>243</v>
      </c>
      <c r="B15" s="181">
        <v>40543</v>
      </c>
      <c r="C15" s="181">
        <v>40908</v>
      </c>
      <c r="D15" s="182" t="s">
        <v>244</v>
      </c>
      <c r="E15" s="181">
        <v>41639</v>
      </c>
      <c r="F15" s="181">
        <v>42004</v>
      </c>
      <c r="G15" s="181">
        <v>42369</v>
      </c>
      <c r="H15" s="181">
        <v>42735</v>
      </c>
      <c r="I15" s="182" t="s">
        <v>245</v>
      </c>
      <c r="J15" s="182" t="s">
        <v>246</v>
      </c>
      <c r="K15" s="181">
        <v>43830</v>
      </c>
      <c r="L15" s="181">
        <v>44012</v>
      </c>
    </row>
    <row r="16" spans="1:255" ht="12" x14ac:dyDescent="0.15">
      <c r="A16" s="183" t="s">
        <v>125</v>
      </c>
      <c r="B16" s="184" t="s">
        <v>126</v>
      </c>
      <c r="C16" s="184" t="s">
        <v>126</v>
      </c>
      <c r="D16" s="184" t="s">
        <v>126</v>
      </c>
      <c r="E16" s="184" t="s">
        <v>126</v>
      </c>
      <c r="F16" s="184" t="s">
        <v>126</v>
      </c>
      <c r="G16" s="184" t="s">
        <v>126</v>
      </c>
      <c r="H16" s="184" t="s">
        <v>126</v>
      </c>
      <c r="I16" s="184" t="s">
        <v>126</v>
      </c>
      <c r="J16" s="184" t="s">
        <v>126</v>
      </c>
      <c r="K16" s="184" t="s">
        <v>126</v>
      </c>
      <c r="L16" s="184" t="s">
        <v>126</v>
      </c>
    </row>
    <row r="17" spans="1:12" x14ac:dyDescent="0.15">
      <c r="A17" s="185" t="s">
        <v>247</v>
      </c>
      <c r="B17" s="175"/>
      <c r="C17" s="175"/>
      <c r="D17" s="175"/>
      <c r="E17" s="175"/>
      <c r="F17" s="175"/>
      <c r="G17" s="175"/>
      <c r="H17" s="175"/>
      <c r="I17" s="175"/>
      <c r="J17" s="175"/>
      <c r="K17" s="175"/>
      <c r="L17" s="175"/>
    </row>
    <row r="18" spans="1:12" x14ac:dyDescent="0.15">
      <c r="A18" s="175" t="s">
        <v>248</v>
      </c>
      <c r="B18" s="186">
        <v>779</v>
      </c>
      <c r="C18" s="186">
        <v>570</v>
      </c>
      <c r="D18" s="186">
        <v>481</v>
      </c>
      <c r="E18" s="186">
        <v>630</v>
      </c>
      <c r="F18" s="186">
        <v>674</v>
      </c>
      <c r="G18" s="186">
        <v>848</v>
      </c>
      <c r="H18" s="186">
        <v>1070</v>
      </c>
      <c r="I18" s="186">
        <v>956</v>
      </c>
      <c r="J18" s="186">
        <v>1327</v>
      </c>
      <c r="K18" s="186">
        <v>1258</v>
      </c>
      <c r="L18" s="186">
        <v>1288</v>
      </c>
    </row>
    <row r="19" spans="1:12" x14ac:dyDescent="0.15">
      <c r="A19" s="175" t="s">
        <v>249</v>
      </c>
      <c r="B19" s="186">
        <v>1173</v>
      </c>
      <c r="C19" s="186">
        <v>1259</v>
      </c>
      <c r="D19" s="186">
        <v>1118</v>
      </c>
      <c r="E19" s="186">
        <v>1220</v>
      </c>
      <c r="F19" s="186">
        <v>1849</v>
      </c>
      <c r="G19" s="186">
        <v>1199</v>
      </c>
      <c r="H19" s="186">
        <v>1425</v>
      </c>
      <c r="I19" s="186">
        <v>1840</v>
      </c>
      <c r="J19" s="186">
        <v>1175</v>
      </c>
      <c r="K19" s="186">
        <v>1330</v>
      </c>
      <c r="L19" s="186">
        <v>830</v>
      </c>
    </row>
    <row r="20" spans="1:12" x14ac:dyDescent="0.15">
      <c r="A20" s="185" t="s">
        <v>250</v>
      </c>
      <c r="B20" s="187">
        <v>1952</v>
      </c>
      <c r="C20" s="187">
        <v>1829</v>
      </c>
      <c r="D20" s="187">
        <v>1599</v>
      </c>
      <c r="E20" s="187">
        <v>1850</v>
      </c>
      <c r="F20" s="187">
        <v>2523</v>
      </c>
      <c r="G20" s="187">
        <v>2047</v>
      </c>
      <c r="H20" s="187">
        <v>2495</v>
      </c>
      <c r="I20" s="187">
        <v>2796</v>
      </c>
      <c r="J20" s="187">
        <v>2502</v>
      </c>
      <c r="K20" s="187">
        <v>2588</v>
      </c>
      <c r="L20" s="187">
        <v>2118</v>
      </c>
    </row>
    <row r="21" spans="1:12" x14ac:dyDescent="0.15">
      <c r="A21" s="175"/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</row>
    <row r="22" spans="1:12" x14ac:dyDescent="0.15">
      <c r="A22" s="175" t="s">
        <v>251</v>
      </c>
      <c r="B22" s="186">
        <v>384</v>
      </c>
      <c r="C22" s="186">
        <v>460</v>
      </c>
      <c r="D22" s="186">
        <v>488</v>
      </c>
      <c r="E22" s="186">
        <v>533</v>
      </c>
      <c r="F22" s="186">
        <v>531</v>
      </c>
      <c r="G22" s="186">
        <v>541</v>
      </c>
      <c r="H22" s="186">
        <v>710</v>
      </c>
      <c r="I22" s="186">
        <v>766</v>
      </c>
      <c r="J22" s="186">
        <v>901</v>
      </c>
      <c r="K22" s="186">
        <v>1202</v>
      </c>
      <c r="L22" s="186">
        <v>447</v>
      </c>
    </row>
    <row r="23" spans="1:12" ht="12" x14ac:dyDescent="0.15">
      <c r="A23" s="175" t="s">
        <v>252</v>
      </c>
      <c r="B23" s="186">
        <v>99</v>
      </c>
      <c r="C23" s="186">
        <v>101</v>
      </c>
      <c r="D23" s="186">
        <v>175</v>
      </c>
      <c r="E23" s="186">
        <v>100</v>
      </c>
      <c r="F23" s="186">
        <v>71</v>
      </c>
      <c r="G23" s="186">
        <v>160</v>
      </c>
      <c r="H23" s="186">
        <v>100</v>
      </c>
      <c r="I23" s="186">
        <v>94</v>
      </c>
      <c r="J23" s="186">
        <v>125</v>
      </c>
      <c r="K23" s="186">
        <v>136</v>
      </c>
      <c r="L23" s="186" t="s">
        <v>134</v>
      </c>
    </row>
    <row r="24" spans="1:12" ht="12" x14ac:dyDescent="0.15">
      <c r="A24" s="175" t="s">
        <v>253</v>
      </c>
      <c r="B24" s="186" t="s">
        <v>134</v>
      </c>
      <c r="C24" s="186" t="s">
        <v>134</v>
      </c>
      <c r="D24" s="186" t="s">
        <v>134</v>
      </c>
      <c r="E24" s="186" t="s">
        <v>134</v>
      </c>
      <c r="F24" s="186" t="s">
        <v>134</v>
      </c>
      <c r="G24" s="186" t="s">
        <v>134</v>
      </c>
      <c r="H24" s="186">
        <v>51</v>
      </c>
      <c r="I24" s="186">
        <v>88</v>
      </c>
      <c r="J24" s="186">
        <v>100</v>
      </c>
      <c r="K24" s="186">
        <v>9</v>
      </c>
      <c r="L24" s="186" t="s">
        <v>134</v>
      </c>
    </row>
    <row r="25" spans="1:12" x14ac:dyDescent="0.15">
      <c r="A25" s="185" t="s">
        <v>254</v>
      </c>
      <c r="B25" s="187">
        <v>483</v>
      </c>
      <c r="C25" s="187">
        <v>561</v>
      </c>
      <c r="D25" s="187">
        <v>663</v>
      </c>
      <c r="E25" s="187">
        <v>633</v>
      </c>
      <c r="F25" s="187">
        <v>602</v>
      </c>
      <c r="G25" s="187">
        <v>701</v>
      </c>
      <c r="H25" s="187">
        <v>861</v>
      </c>
      <c r="I25" s="187">
        <v>948</v>
      </c>
      <c r="J25" s="187">
        <v>1126</v>
      </c>
      <c r="K25" s="187">
        <v>1347</v>
      </c>
      <c r="L25" s="187">
        <v>447</v>
      </c>
    </row>
    <row r="26" spans="1:12" x14ac:dyDescent="0.15">
      <c r="A26" s="175"/>
      <c r="B26" s="175"/>
      <c r="C26" s="175"/>
      <c r="D26" s="175"/>
      <c r="E26" s="175"/>
      <c r="F26" s="175"/>
      <c r="G26" s="175"/>
      <c r="H26" s="175"/>
      <c r="I26" s="175"/>
      <c r="J26" s="175"/>
      <c r="K26" s="175"/>
      <c r="L26" s="175"/>
    </row>
    <row r="27" spans="1:12" x14ac:dyDescent="0.15">
      <c r="A27" s="175" t="s">
        <v>255</v>
      </c>
      <c r="B27" s="186">
        <v>98</v>
      </c>
      <c r="C27" s="186">
        <v>139</v>
      </c>
      <c r="D27" s="186">
        <v>117</v>
      </c>
      <c r="E27" s="186">
        <v>110</v>
      </c>
      <c r="F27" s="186">
        <v>133</v>
      </c>
      <c r="G27" s="186">
        <v>139</v>
      </c>
      <c r="H27" s="186">
        <v>133</v>
      </c>
      <c r="I27" s="186">
        <v>131</v>
      </c>
      <c r="J27" s="186">
        <v>175</v>
      </c>
      <c r="K27" s="186">
        <v>156</v>
      </c>
      <c r="L27" s="186">
        <v>95</v>
      </c>
    </row>
    <row r="28" spans="1:12" ht="12" x14ac:dyDescent="0.15">
      <c r="A28" s="175" t="s">
        <v>256</v>
      </c>
      <c r="B28" s="186">
        <v>161</v>
      </c>
      <c r="C28" s="186">
        <v>172</v>
      </c>
      <c r="D28" s="186">
        <v>218</v>
      </c>
      <c r="E28" s="186">
        <v>238</v>
      </c>
      <c r="F28" s="186">
        <v>255</v>
      </c>
      <c r="G28" s="186">
        <v>454</v>
      </c>
      <c r="H28" s="186">
        <v>443</v>
      </c>
      <c r="I28" s="186">
        <v>415</v>
      </c>
      <c r="J28" s="186">
        <v>419</v>
      </c>
      <c r="K28" s="186">
        <v>538</v>
      </c>
      <c r="L28" s="186" t="s">
        <v>134</v>
      </c>
    </row>
    <row r="29" spans="1:12" x14ac:dyDescent="0.15">
      <c r="A29" s="175" t="s">
        <v>257</v>
      </c>
      <c r="B29" s="186">
        <v>132</v>
      </c>
      <c r="C29" s="186">
        <v>73</v>
      </c>
      <c r="D29" s="186">
        <v>39</v>
      </c>
      <c r="E29" s="186">
        <v>94</v>
      </c>
      <c r="F29" s="186">
        <v>75</v>
      </c>
      <c r="G29" s="186">
        <v>63</v>
      </c>
      <c r="H29" s="186">
        <v>139</v>
      </c>
      <c r="I29" s="186">
        <v>228</v>
      </c>
      <c r="J29" s="186">
        <v>65</v>
      </c>
      <c r="K29" s="186">
        <v>91</v>
      </c>
      <c r="L29" s="186">
        <v>860</v>
      </c>
    </row>
    <row r="30" spans="1:12" x14ac:dyDescent="0.15">
      <c r="A30" s="185" t="s">
        <v>258</v>
      </c>
      <c r="B30" s="187">
        <v>2826</v>
      </c>
      <c r="C30" s="187">
        <v>2774</v>
      </c>
      <c r="D30" s="187">
        <v>2636</v>
      </c>
      <c r="E30" s="187">
        <v>2925</v>
      </c>
      <c r="F30" s="187">
        <v>3588</v>
      </c>
      <c r="G30" s="187">
        <v>3404</v>
      </c>
      <c r="H30" s="187">
        <v>4071</v>
      </c>
      <c r="I30" s="187">
        <v>4518</v>
      </c>
      <c r="J30" s="187">
        <v>4287</v>
      </c>
      <c r="K30" s="187">
        <v>4720</v>
      </c>
      <c r="L30" s="187">
        <v>3520</v>
      </c>
    </row>
    <row r="31" spans="1:12" x14ac:dyDescent="0.15">
      <c r="A31" s="175"/>
      <c r="B31" s="175"/>
      <c r="C31" s="175"/>
      <c r="D31" s="175"/>
      <c r="E31" s="175"/>
      <c r="F31" s="175"/>
      <c r="G31" s="175"/>
      <c r="H31" s="175"/>
      <c r="I31" s="175"/>
      <c r="J31" s="175"/>
      <c r="K31" s="175"/>
      <c r="L31" s="175"/>
    </row>
    <row r="32" spans="1:12" ht="12" x14ac:dyDescent="0.15">
      <c r="A32" s="175" t="s">
        <v>259</v>
      </c>
      <c r="B32" s="186">
        <v>14514</v>
      </c>
      <c r="C32" s="186">
        <v>14814</v>
      </c>
      <c r="D32" s="186">
        <v>15469</v>
      </c>
      <c r="E32" s="186">
        <v>16308</v>
      </c>
      <c r="F32" s="186">
        <v>17274</v>
      </c>
      <c r="G32" s="186">
        <v>17381</v>
      </c>
      <c r="H32" s="186">
        <v>17087</v>
      </c>
      <c r="I32" s="186">
        <v>17389</v>
      </c>
      <c r="J32" s="186">
        <v>17784</v>
      </c>
      <c r="K32" s="186">
        <v>21735</v>
      </c>
      <c r="L32" s="186" t="s">
        <v>134</v>
      </c>
    </row>
    <row r="33" spans="1:12" ht="12" x14ac:dyDescent="0.15">
      <c r="A33" s="175" t="s">
        <v>260</v>
      </c>
      <c r="B33" s="186">
        <v>-7650</v>
      </c>
      <c r="C33" s="186">
        <v>-7986</v>
      </c>
      <c r="D33" s="186">
        <v>-8527</v>
      </c>
      <c r="E33" s="186">
        <v>-8821</v>
      </c>
      <c r="F33" s="186">
        <v>-9284</v>
      </c>
      <c r="G33" s="186">
        <v>-9261</v>
      </c>
      <c r="H33" s="186">
        <v>-8963</v>
      </c>
      <c r="I33" s="186">
        <v>-9451</v>
      </c>
      <c r="J33" s="186">
        <v>-9650</v>
      </c>
      <c r="K33" s="186">
        <v>-11247</v>
      </c>
      <c r="L33" s="186" t="s">
        <v>134</v>
      </c>
    </row>
    <row r="34" spans="1:12" x14ac:dyDescent="0.15">
      <c r="A34" s="185" t="s">
        <v>261</v>
      </c>
      <c r="B34" s="187">
        <v>6864</v>
      </c>
      <c r="C34" s="187">
        <v>6828</v>
      </c>
      <c r="D34" s="187">
        <v>6942</v>
      </c>
      <c r="E34" s="187">
        <v>7487</v>
      </c>
      <c r="F34" s="187">
        <v>7990</v>
      </c>
      <c r="G34" s="187">
        <v>8120</v>
      </c>
      <c r="H34" s="187">
        <v>8124</v>
      </c>
      <c r="I34" s="187">
        <v>7938</v>
      </c>
      <c r="J34" s="187">
        <v>8134</v>
      </c>
      <c r="K34" s="187">
        <v>10488</v>
      </c>
      <c r="L34" s="187">
        <v>10089</v>
      </c>
    </row>
    <row r="35" spans="1:12" x14ac:dyDescent="0.15">
      <c r="A35" s="175"/>
      <c r="B35" s="175"/>
      <c r="C35" s="175"/>
      <c r="D35" s="175"/>
      <c r="E35" s="175"/>
      <c r="F35" s="175"/>
      <c r="G35" s="175"/>
      <c r="H35" s="175"/>
      <c r="I35" s="175"/>
      <c r="J35" s="175"/>
      <c r="K35" s="175"/>
      <c r="L35" s="175"/>
    </row>
    <row r="36" spans="1:12" x14ac:dyDescent="0.15">
      <c r="A36" s="175" t="s">
        <v>262</v>
      </c>
      <c r="B36" s="186">
        <v>309</v>
      </c>
      <c r="C36" s="186">
        <v>271</v>
      </c>
      <c r="D36" s="186">
        <v>213</v>
      </c>
      <c r="E36" s="186">
        <v>154</v>
      </c>
      <c r="F36" s="186">
        <v>139</v>
      </c>
      <c r="G36" s="186">
        <v>1822</v>
      </c>
      <c r="H36" s="186">
        <v>1910</v>
      </c>
      <c r="I36" s="186">
        <v>1637</v>
      </c>
      <c r="J36" s="186">
        <v>1757</v>
      </c>
      <c r="K36" s="186">
        <v>1887</v>
      </c>
      <c r="L36" s="186">
        <v>1771</v>
      </c>
    </row>
    <row r="37" spans="1:12" ht="12" x14ac:dyDescent="0.15">
      <c r="A37" s="175" t="s">
        <v>263</v>
      </c>
      <c r="B37" s="186">
        <v>40</v>
      </c>
      <c r="C37" s="186">
        <v>40</v>
      </c>
      <c r="D37" s="186">
        <v>40</v>
      </c>
      <c r="E37" s="186">
        <v>40</v>
      </c>
      <c r="F37" s="186">
        <v>40</v>
      </c>
      <c r="G37" s="186">
        <v>40</v>
      </c>
      <c r="H37" s="186">
        <v>40</v>
      </c>
      <c r="I37" s="186">
        <v>40</v>
      </c>
      <c r="J37" s="186">
        <v>40</v>
      </c>
      <c r="K37" s="186">
        <v>40</v>
      </c>
      <c r="L37" s="186" t="s">
        <v>134</v>
      </c>
    </row>
    <row r="38" spans="1:12" x14ac:dyDescent="0.15">
      <c r="A38" s="175" t="s">
        <v>264</v>
      </c>
      <c r="B38" s="186">
        <v>246</v>
      </c>
      <c r="C38" s="186">
        <v>307</v>
      </c>
      <c r="D38" s="186">
        <v>779</v>
      </c>
      <c r="E38" s="186">
        <v>841</v>
      </c>
      <c r="F38" s="186">
        <v>909</v>
      </c>
      <c r="G38" s="186">
        <v>941</v>
      </c>
      <c r="H38" s="186">
        <v>952</v>
      </c>
      <c r="I38" s="186">
        <v>951</v>
      </c>
      <c r="J38" s="186">
        <v>1027</v>
      </c>
      <c r="K38" s="186">
        <v>1054</v>
      </c>
      <c r="L38" s="186">
        <v>1088</v>
      </c>
    </row>
    <row r="39" spans="1:12" ht="12" x14ac:dyDescent="0.15">
      <c r="A39" s="175" t="s">
        <v>265</v>
      </c>
      <c r="B39" s="186" t="s">
        <v>134</v>
      </c>
      <c r="C39" s="186" t="s">
        <v>134</v>
      </c>
      <c r="D39" s="186" t="s">
        <v>134</v>
      </c>
      <c r="E39" s="186" t="s">
        <v>134</v>
      </c>
      <c r="F39" s="186" t="s">
        <v>134</v>
      </c>
      <c r="G39" s="186" t="s">
        <v>134</v>
      </c>
      <c r="H39" s="186">
        <v>253</v>
      </c>
      <c r="I39" s="186">
        <v>177</v>
      </c>
      <c r="J39" s="186">
        <v>198</v>
      </c>
      <c r="K39" s="186">
        <v>95</v>
      </c>
      <c r="L39" s="186" t="s">
        <v>134</v>
      </c>
    </row>
    <row r="40" spans="1:12" x14ac:dyDescent="0.15">
      <c r="A40" s="175" t="s">
        <v>266</v>
      </c>
      <c r="B40" s="186">
        <v>667</v>
      </c>
      <c r="C40" s="186">
        <v>1149</v>
      </c>
      <c r="D40" s="186">
        <v>526</v>
      </c>
      <c r="E40" s="186">
        <v>474</v>
      </c>
      <c r="F40" s="186">
        <v>760</v>
      </c>
      <c r="G40" s="186">
        <v>1049</v>
      </c>
      <c r="H40" s="186">
        <v>1121</v>
      </c>
      <c r="I40" s="186">
        <v>1082</v>
      </c>
      <c r="J40" s="186">
        <v>1238</v>
      </c>
      <c r="K40" s="186">
        <v>598</v>
      </c>
      <c r="L40" s="186">
        <v>927</v>
      </c>
    </row>
    <row r="41" spans="1:12" x14ac:dyDescent="0.15">
      <c r="A41" s="185" t="s">
        <v>267</v>
      </c>
      <c r="B41" s="188">
        <v>10952</v>
      </c>
      <c r="C41" s="188">
        <v>11369</v>
      </c>
      <c r="D41" s="188">
        <v>11136</v>
      </c>
      <c r="E41" s="188">
        <v>11921</v>
      </c>
      <c r="F41" s="188">
        <v>13426</v>
      </c>
      <c r="G41" s="188">
        <v>15376</v>
      </c>
      <c r="H41" s="188">
        <v>16471</v>
      </c>
      <c r="I41" s="188">
        <v>16343</v>
      </c>
      <c r="J41" s="188">
        <v>16681</v>
      </c>
      <c r="K41" s="188">
        <v>18882</v>
      </c>
      <c r="L41" s="188">
        <v>17395</v>
      </c>
    </row>
    <row r="42" spans="1:12" x14ac:dyDescent="0.15">
      <c r="A42" s="175"/>
      <c r="B42" s="175"/>
      <c r="C42" s="175"/>
      <c r="D42" s="175"/>
      <c r="E42" s="175"/>
      <c r="F42" s="175"/>
      <c r="G42" s="175"/>
      <c r="H42" s="175"/>
      <c r="I42" s="175"/>
      <c r="J42" s="175"/>
      <c r="K42" s="175"/>
      <c r="L42" s="175"/>
    </row>
    <row r="43" spans="1:12" x14ac:dyDescent="0.15">
      <c r="A43" s="185" t="s">
        <v>268</v>
      </c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</row>
    <row r="44" spans="1:12" x14ac:dyDescent="0.15">
      <c r="A44" s="175" t="s">
        <v>269</v>
      </c>
      <c r="B44" s="186">
        <v>717</v>
      </c>
      <c r="C44" s="186">
        <v>857</v>
      </c>
      <c r="D44" s="186">
        <v>979</v>
      </c>
      <c r="E44" s="186">
        <v>940</v>
      </c>
      <c r="F44" s="186">
        <v>911</v>
      </c>
      <c r="G44" s="186">
        <v>971</v>
      </c>
      <c r="H44" s="186">
        <v>1126</v>
      </c>
      <c r="I44" s="186">
        <v>1312</v>
      </c>
      <c r="J44" s="186">
        <v>1180</v>
      </c>
      <c r="K44" s="186">
        <v>1396</v>
      </c>
      <c r="L44" s="186">
        <v>1599</v>
      </c>
    </row>
    <row r="45" spans="1:12" ht="12" x14ac:dyDescent="0.15">
      <c r="A45" s="175" t="s">
        <v>270</v>
      </c>
      <c r="B45" s="186">
        <v>864</v>
      </c>
      <c r="C45" s="186">
        <v>942</v>
      </c>
      <c r="D45" s="186">
        <v>261</v>
      </c>
      <c r="E45" s="186">
        <v>291</v>
      </c>
      <c r="F45" s="186">
        <v>208</v>
      </c>
      <c r="G45" s="186">
        <v>210</v>
      </c>
      <c r="H45" s="186">
        <v>75</v>
      </c>
      <c r="I45" s="186">
        <v>137</v>
      </c>
      <c r="J45" s="186">
        <v>175</v>
      </c>
      <c r="K45" s="186">
        <v>128</v>
      </c>
      <c r="L45" s="186" t="s">
        <v>134</v>
      </c>
    </row>
    <row r="46" spans="1:12" ht="12" x14ac:dyDescent="0.15">
      <c r="A46" s="175" t="s">
        <v>271</v>
      </c>
      <c r="B46" s="186" t="s">
        <v>134</v>
      </c>
      <c r="C46" s="186" t="s">
        <v>134</v>
      </c>
      <c r="D46" s="186" t="s">
        <v>134</v>
      </c>
      <c r="E46" s="186" t="s">
        <v>134</v>
      </c>
      <c r="F46" s="186" t="s">
        <v>134</v>
      </c>
      <c r="G46" s="186" t="s">
        <v>134</v>
      </c>
      <c r="H46" s="186" t="s">
        <v>134</v>
      </c>
      <c r="I46" s="186" t="s">
        <v>134</v>
      </c>
      <c r="J46" s="186" t="s">
        <v>134</v>
      </c>
      <c r="K46" s="186" t="s">
        <v>134</v>
      </c>
      <c r="L46" s="186">
        <v>904</v>
      </c>
    </row>
    <row r="47" spans="1:12" x14ac:dyDescent="0.15">
      <c r="A47" s="175" t="s">
        <v>272</v>
      </c>
      <c r="B47" s="186">
        <v>177</v>
      </c>
      <c r="C47" s="186">
        <v>192</v>
      </c>
      <c r="D47" s="186">
        <v>185</v>
      </c>
      <c r="E47" s="186">
        <v>141</v>
      </c>
      <c r="F47" s="186">
        <v>112</v>
      </c>
      <c r="G47" s="186">
        <v>396</v>
      </c>
      <c r="H47" s="186">
        <v>121</v>
      </c>
      <c r="I47" s="186">
        <v>83</v>
      </c>
      <c r="J47" s="186">
        <v>48</v>
      </c>
      <c r="K47" s="186">
        <v>63</v>
      </c>
      <c r="L47" s="186">
        <v>98</v>
      </c>
    </row>
    <row r="48" spans="1:12" x14ac:dyDescent="0.15">
      <c r="A48" s="175" t="s">
        <v>273</v>
      </c>
      <c r="B48" s="186">
        <v>280</v>
      </c>
      <c r="C48" s="186">
        <v>193</v>
      </c>
      <c r="D48" s="186">
        <v>281</v>
      </c>
      <c r="E48" s="186">
        <v>224</v>
      </c>
      <c r="F48" s="186">
        <v>316</v>
      </c>
      <c r="G48" s="186">
        <v>332</v>
      </c>
      <c r="H48" s="186">
        <v>559</v>
      </c>
      <c r="I48" s="186">
        <v>489</v>
      </c>
      <c r="J48" s="186">
        <v>425</v>
      </c>
      <c r="K48" s="186">
        <v>869</v>
      </c>
      <c r="L48" s="186">
        <v>829</v>
      </c>
    </row>
    <row r="49" spans="1:12" x14ac:dyDescent="0.15">
      <c r="A49" s="175" t="s">
        <v>274</v>
      </c>
      <c r="B49" s="186">
        <v>10</v>
      </c>
      <c r="C49" s="186">
        <v>12</v>
      </c>
      <c r="D49" s="186">
        <v>9</v>
      </c>
      <c r="E49" s="186">
        <v>1</v>
      </c>
      <c r="F49" s="186">
        <v>36</v>
      </c>
      <c r="G49" s="186">
        <v>69</v>
      </c>
      <c r="H49" s="186">
        <v>64</v>
      </c>
      <c r="I49" s="186">
        <v>116</v>
      </c>
      <c r="J49" s="186">
        <v>144</v>
      </c>
      <c r="K49" s="186">
        <v>142</v>
      </c>
      <c r="L49" s="186">
        <v>22</v>
      </c>
    </row>
    <row r="50" spans="1:12" x14ac:dyDescent="0.15">
      <c r="A50" s="175" t="s">
        <v>275</v>
      </c>
      <c r="B50" s="186">
        <v>755</v>
      </c>
      <c r="C50" s="186">
        <v>750</v>
      </c>
      <c r="D50" s="186">
        <v>2017</v>
      </c>
      <c r="E50" s="186">
        <v>2438</v>
      </c>
      <c r="F50" s="186">
        <v>2587</v>
      </c>
      <c r="G50" s="186">
        <v>2503</v>
      </c>
      <c r="H50" s="186">
        <v>2639</v>
      </c>
      <c r="I50" s="186">
        <v>2665</v>
      </c>
      <c r="J50" s="186">
        <v>2807</v>
      </c>
      <c r="K50" s="186">
        <v>2934</v>
      </c>
      <c r="L50" s="186">
        <v>2505</v>
      </c>
    </row>
    <row r="51" spans="1:12" x14ac:dyDescent="0.15">
      <c r="A51" s="175" t="s">
        <v>276</v>
      </c>
      <c r="B51" s="186">
        <v>772</v>
      </c>
      <c r="C51" s="186">
        <v>737</v>
      </c>
      <c r="D51" s="186">
        <v>666</v>
      </c>
      <c r="E51" s="186">
        <v>592</v>
      </c>
      <c r="F51" s="186">
        <v>1332</v>
      </c>
      <c r="G51" s="186">
        <v>1219</v>
      </c>
      <c r="H51" s="186">
        <v>750</v>
      </c>
      <c r="I51" s="186">
        <v>686</v>
      </c>
      <c r="J51" s="186">
        <v>1059</v>
      </c>
      <c r="K51" s="186">
        <v>858</v>
      </c>
      <c r="L51" s="186">
        <v>1058</v>
      </c>
    </row>
    <row r="52" spans="1:12" x14ac:dyDescent="0.15">
      <c r="A52" s="185" t="s">
        <v>277</v>
      </c>
      <c r="B52" s="187">
        <v>3575</v>
      </c>
      <c r="C52" s="187">
        <v>3683</v>
      </c>
      <c r="D52" s="187">
        <v>4398</v>
      </c>
      <c r="E52" s="187">
        <v>4627</v>
      </c>
      <c r="F52" s="187">
        <v>5502</v>
      </c>
      <c r="G52" s="187">
        <v>5700</v>
      </c>
      <c r="H52" s="187">
        <v>5334</v>
      </c>
      <c r="I52" s="187">
        <v>5488</v>
      </c>
      <c r="J52" s="187">
        <v>5838</v>
      </c>
      <c r="K52" s="187">
        <v>6390</v>
      </c>
      <c r="L52" s="187">
        <v>7015</v>
      </c>
    </row>
    <row r="53" spans="1:12" x14ac:dyDescent="0.15">
      <c r="A53" s="175"/>
      <c r="B53" s="175"/>
      <c r="C53" s="175"/>
      <c r="D53" s="175"/>
      <c r="E53" s="175"/>
      <c r="F53" s="175"/>
      <c r="G53" s="175"/>
      <c r="H53" s="175"/>
      <c r="I53" s="175"/>
      <c r="J53" s="175"/>
      <c r="K53" s="175"/>
      <c r="L53" s="175"/>
    </row>
    <row r="54" spans="1:12" x14ac:dyDescent="0.15">
      <c r="A54" s="175" t="s">
        <v>278</v>
      </c>
      <c r="B54" s="186">
        <v>1434</v>
      </c>
      <c r="C54" s="186">
        <v>1324</v>
      </c>
      <c r="D54" s="186">
        <v>1187</v>
      </c>
      <c r="E54" s="186">
        <v>692</v>
      </c>
      <c r="F54" s="186">
        <v>570</v>
      </c>
      <c r="G54" s="186">
        <v>480</v>
      </c>
      <c r="H54" s="186">
        <v>431</v>
      </c>
      <c r="I54" s="186">
        <v>393</v>
      </c>
      <c r="J54" s="186">
        <v>270</v>
      </c>
      <c r="K54" s="186">
        <v>600</v>
      </c>
      <c r="L54" s="186">
        <v>1071</v>
      </c>
    </row>
    <row r="55" spans="1:12" x14ac:dyDescent="0.15">
      <c r="A55" s="175" t="s">
        <v>279</v>
      </c>
      <c r="B55" s="186">
        <v>2062</v>
      </c>
      <c r="C55" s="186">
        <v>2034</v>
      </c>
      <c r="D55" s="186">
        <v>2039</v>
      </c>
      <c r="E55" s="186">
        <v>2761</v>
      </c>
      <c r="F55" s="186">
        <v>3551</v>
      </c>
      <c r="G55" s="186">
        <v>3302</v>
      </c>
      <c r="H55" s="186">
        <v>4039</v>
      </c>
      <c r="I55" s="186">
        <v>3323</v>
      </c>
      <c r="J55" s="186">
        <v>3683</v>
      </c>
      <c r="K55" s="186">
        <v>4778</v>
      </c>
      <c r="L55" s="186">
        <v>4928</v>
      </c>
    </row>
    <row r="56" spans="1:12" ht="12" x14ac:dyDescent="0.15">
      <c r="A56" s="175" t="s">
        <v>280</v>
      </c>
      <c r="B56" s="186" t="s">
        <v>134</v>
      </c>
      <c r="C56" s="186" t="s">
        <v>134</v>
      </c>
      <c r="D56" s="186" t="s">
        <v>134</v>
      </c>
      <c r="E56" s="186" t="s">
        <v>134</v>
      </c>
      <c r="F56" s="186" t="s">
        <v>134</v>
      </c>
      <c r="G56" s="186" t="s">
        <v>134</v>
      </c>
      <c r="H56" s="186">
        <v>51</v>
      </c>
      <c r="I56" s="186">
        <v>40</v>
      </c>
      <c r="J56" s="186">
        <v>34</v>
      </c>
      <c r="K56" s="186">
        <v>24</v>
      </c>
      <c r="L56" s="186" t="s">
        <v>134</v>
      </c>
    </row>
    <row r="57" spans="1:12" x14ac:dyDescent="0.15">
      <c r="A57" s="175" t="s">
        <v>281</v>
      </c>
      <c r="B57" s="186">
        <v>219</v>
      </c>
      <c r="C57" s="186">
        <v>232</v>
      </c>
      <c r="D57" s="186">
        <v>1732</v>
      </c>
      <c r="E57" s="186">
        <v>619</v>
      </c>
      <c r="F57" s="186">
        <v>1042</v>
      </c>
      <c r="G57" s="186">
        <v>618</v>
      </c>
      <c r="H57" s="186">
        <v>1991</v>
      </c>
      <c r="I57" s="186">
        <v>698</v>
      </c>
      <c r="J57" s="186">
        <v>258</v>
      </c>
      <c r="K57" s="186">
        <v>276</v>
      </c>
      <c r="L57" s="186">
        <v>1105</v>
      </c>
    </row>
    <row r="58" spans="1:12" ht="12" x14ac:dyDescent="0.15">
      <c r="A58" s="175" t="s">
        <v>282</v>
      </c>
      <c r="B58" s="186">
        <v>788</v>
      </c>
      <c r="C58" s="186">
        <v>778</v>
      </c>
      <c r="D58" s="186">
        <v>216</v>
      </c>
      <c r="E58" s="186">
        <v>444</v>
      </c>
      <c r="F58" s="186">
        <v>222</v>
      </c>
      <c r="G58" s="186">
        <v>282</v>
      </c>
      <c r="H58" s="186">
        <v>62</v>
      </c>
      <c r="I58" s="186">
        <v>372</v>
      </c>
      <c r="J58" s="186">
        <v>335</v>
      </c>
      <c r="K58" s="186">
        <v>423</v>
      </c>
      <c r="L58" s="186" t="s">
        <v>134</v>
      </c>
    </row>
    <row r="59" spans="1:12" x14ac:dyDescent="0.15">
      <c r="A59" s="175" t="s">
        <v>283</v>
      </c>
      <c r="B59" s="186">
        <v>474</v>
      </c>
      <c r="C59" s="186">
        <v>536</v>
      </c>
      <c r="D59" s="186">
        <v>496</v>
      </c>
      <c r="E59" s="186">
        <v>323</v>
      </c>
      <c r="F59" s="186">
        <v>439</v>
      </c>
      <c r="G59" s="186">
        <v>396</v>
      </c>
      <c r="H59" s="186">
        <v>322</v>
      </c>
      <c r="I59" s="186">
        <v>406</v>
      </c>
      <c r="J59" s="186">
        <v>596</v>
      </c>
      <c r="K59" s="186">
        <v>584</v>
      </c>
      <c r="L59" s="186">
        <v>778</v>
      </c>
    </row>
    <row r="60" spans="1:12" x14ac:dyDescent="0.15">
      <c r="A60" s="185" t="s">
        <v>284</v>
      </c>
      <c r="B60" s="187">
        <v>8552</v>
      </c>
      <c r="C60" s="187">
        <v>8587</v>
      </c>
      <c r="D60" s="187">
        <v>10068</v>
      </c>
      <c r="E60" s="187">
        <v>9466</v>
      </c>
      <c r="F60" s="187">
        <v>11326</v>
      </c>
      <c r="G60" s="187">
        <v>10778</v>
      </c>
      <c r="H60" s="187">
        <v>12230</v>
      </c>
      <c r="I60" s="187">
        <v>10720</v>
      </c>
      <c r="J60" s="187">
        <v>11014</v>
      </c>
      <c r="K60" s="187">
        <v>13075</v>
      </c>
      <c r="L60" s="187">
        <v>14897</v>
      </c>
    </row>
    <row r="61" spans="1:12" x14ac:dyDescent="0.15">
      <c r="A61" s="175"/>
      <c r="B61" s="175"/>
      <c r="C61" s="175"/>
      <c r="D61" s="175"/>
      <c r="E61" s="175"/>
      <c r="F61" s="175"/>
      <c r="G61" s="175"/>
      <c r="H61" s="175"/>
      <c r="I61" s="175"/>
      <c r="J61" s="175"/>
      <c r="K61" s="175"/>
      <c r="L61" s="175"/>
    </row>
    <row r="62" spans="1:12" x14ac:dyDescent="0.15">
      <c r="A62" s="175" t="s">
        <v>285</v>
      </c>
      <c r="B62" s="186">
        <v>288</v>
      </c>
      <c r="C62" s="186">
        <v>290</v>
      </c>
      <c r="D62" s="186">
        <v>290</v>
      </c>
      <c r="E62" s="186">
        <v>290</v>
      </c>
      <c r="F62" s="186">
        <v>290</v>
      </c>
      <c r="G62" s="186">
        <v>290</v>
      </c>
      <c r="H62" s="186">
        <v>290</v>
      </c>
      <c r="I62" s="186">
        <v>290</v>
      </c>
      <c r="J62" s="186">
        <v>290</v>
      </c>
      <c r="K62" s="186">
        <v>290</v>
      </c>
      <c r="L62" s="186">
        <v>290</v>
      </c>
    </row>
    <row r="63" spans="1:12" x14ac:dyDescent="0.15">
      <c r="A63" s="175" t="s">
        <v>286</v>
      </c>
      <c r="B63" s="186">
        <v>937</v>
      </c>
      <c r="C63" s="186">
        <v>937</v>
      </c>
      <c r="D63" s="186">
        <v>937</v>
      </c>
      <c r="E63" s="186">
        <v>1512</v>
      </c>
      <c r="F63" s="186">
        <v>1512</v>
      </c>
      <c r="G63" s="186">
        <v>1512</v>
      </c>
      <c r="H63" s="186">
        <v>1512</v>
      </c>
      <c r="I63" s="186">
        <v>1512</v>
      </c>
      <c r="J63" s="186">
        <v>1512</v>
      </c>
      <c r="K63" s="186">
        <v>1512</v>
      </c>
      <c r="L63" s="186">
        <v>1512</v>
      </c>
    </row>
    <row r="64" spans="1:12" x14ac:dyDescent="0.15">
      <c r="A64" s="175" t="s">
        <v>287</v>
      </c>
      <c r="B64" s="186">
        <v>945</v>
      </c>
      <c r="C64" s="186">
        <v>1603</v>
      </c>
      <c r="D64" s="186">
        <v>-181</v>
      </c>
      <c r="E64" s="186">
        <v>387</v>
      </c>
      <c r="F64" s="186">
        <v>683</v>
      </c>
      <c r="G64" s="186">
        <v>3031</v>
      </c>
      <c r="H64" s="186">
        <v>2570</v>
      </c>
      <c r="I64" s="186">
        <v>3791</v>
      </c>
      <c r="J64" s="186">
        <v>4621</v>
      </c>
      <c r="K64" s="186">
        <v>4374</v>
      </c>
      <c r="L64" s="186">
        <v>1530</v>
      </c>
    </row>
    <row r="65" spans="1:12" ht="12" x14ac:dyDescent="0.15">
      <c r="A65" s="175" t="s">
        <v>288</v>
      </c>
      <c r="B65" s="186">
        <v>-3</v>
      </c>
      <c r="C65" s="186" t="s">
        <v>134</v>
      </c>
      <c r="D65" s="186" t="s">
        <v>134</v>
      </c>
      <c r="E65" s="186" t="s">
        <v>134</v>
      </c>
      <c r="F65" s="186" t="s">
        <v>134</v>
      </c>
      <c r="G65" s="186" t="s">
        <v>134</v>
      </c>
      <c r="H65" s="186" t="s">
        <v>134</v>
      </c>
      <c r="I65" s="186" t="s">
        <v>134</v>
      </c>
      <c r="J65" s="186" t="s">
        <v>134</v>
      </c>
      <c r="K65" s="186" t="s">
        <v>134</v>
      </c>
      <c r="L65" s="186" t="s">
        <v>134</v>
      </c>
    </row>
    <row r="66" spans="1:12" x14ac:dyDescent="0.15">
      <c r="A66" s="175" t="s">
        <v>289</v>
      </c>
      <c r="B66" s="186">
        <v>33</v>
      </c>
      <c r="C66" s="186">
        <v>-248</v>
      </c>
      <c r="D66" s="186">
        <v>-178</v>
      </c>
      <c r="E66" s="186">
        <v>66</v>
      </c>
      <c r="F66" s="186">
        <v>-585</v>
      </c>
      <c r="G66" s="186">
        <v>-435</v>
      </c>
      <c r="H66" s="186">
        <v>-331</v>
      </c>
      <c r="I66" s="186">
        <v>-170</v>
      </c>
      <c r="J66" s="186">
        <v>-756</v>
      </c>
      <c r="K66" s="186">
        <v>-369</v>
      </c>
      <c r="L66" s="186">
        <v>-834</v>
      </c>
    </row>
    <row r="67" spans="1:12" x14ac:dyDescent="0.15">
      <c r="A67" s="185" t="s">
        <v>290</v>
      </c>
      <c r="B67" s="187">
        <v>2200</v>
      </c>
      <c r="C67" s="187">
        <v>2582</v>
      </c>
      <c r="D67" s="187">
        <v>868</v>
      </c>
      <c r="E67" s="187">
        <v>2255</v>
      </c>
      <c r="F67" s="187">
        <v>1900</v>
      </c>
      <c r="G67" s="187">
        <v>4398</v>
      </c>
      <c r="H67" s="187">
        <v>4041</v>
      </c>
      <c r="I67" s="187">
        <v>5423</v>
      </c>
      <c r="J67" s="187">
        <v>5667</v>
      </c>
      <c r="K67" s="187">
        <v>5807</v>
      </c>
      <c r="L67" s="187">
        <v>2498</v>
      </c>
    </row>
    <row r="68" spans="1:12" x14ac:dyDescent="0.15">
      <c r="A68" s="175"/>
      <c r="B68" s="175"/>
      <c r="C68" s="175"/>
      <c r="D68" s="175"/>
      <c r="E68" s="175"/>
      <c r="F68" s="175"/>
      <c r="G68" s="175"/>
      <c r="H68" s="175"/>
      <c r="I68" s="175"/>
      <c r="J68" s="175"/>
      <c r="K68" s="175"/>
      <c r="L68" s="175"/>
    </row>
    <row r="69" spans="1:12" ht="12" x14ac:dyDescent="0.15">
      <c r="A69" s="175" t="s">
        <v>291</v>
      </c>
      <c r="B69" s="186">
        <v>200</v>
      </c>
      <c r="C69" s="186">
        <v>200</v>
      </c>
      <c r="D69" s="186">
        <v>200</v>
      </c>
      <c r="E69" s="186">
        <v>200</v>
      </c>
      <c r="F69" s="186">
        <v>200</v>
      </c>
      <c r="G69" s="186">
        <v>200</v>
      </c>
      <c r="H69" s="186">
        <v>200</v>
      </c>
      <c r="I69" s="186">
        <v>200</v>
      </c>
      <c r="J69" s="186" t="s">
        <v>134</v>
      </c>
      <c r="K69" s="186" t="s">
        <v>134</v>
      </c>
      <c r="L69" s="186" t="s">
        <v>134</v>
      </c>
    </row>
    <row r="70" spans="1:12" x14ac:dyDescent="0.15">
      <c r="A70" s="175"/>
      <c r="B70" s="175"/>
      <c r="C70" s="175"/>
      <c r="D70" s="175"/>
      <c r="E70" s="175"/>
      <c r="F70" s="175"/>
      <c r="G70" s="175"/>
      <c r="H70" s="175"/>
      <c r="I70" s="175"/>
      <c r="J70" s="175"/>
      <c r="K70" s="175"/>
      <c r="L70" s="175"/>
    </row>
    <row r="71" spans="1:12" x14ac:dyDescent="0.15">
      <c r="A71" s="185" t="s">
        <v>292</v>
      </c>
      <c r="B71" s="189">
        <v>2400</v>
      </c>
      <c r="C71" s="189">
        <v>2782</v>
      </c>
      <c r="D71" s="189">
        <v>1068</v>
      </c>
      <c r="E71" s="189">
        <v>2455</v>
      </c>
      <c r="F71" s="189">
        <v>2100</v>
      </c>
      <c r="G71" s="189">
        <v>4598</v>
      </c>
      <c r="H71" s="189">
        <v>4241</v>
      </c>
      <c r="I71" s="189">
        <v>5623</v>
      </c>
      <c r="J71" s="189">
        <v>5667</v>
      </c>
      <c r="K71" s="189">
        <v>5807</v>
      </c>
      <c r="L71" s="189">
        <v>2498</v>
      </c>
    </row>
    <row r="72" spans="1:12" x14ac:dyDescent="0.15">
      <c r="A72" s="175"/>
      <c r="B72" s="175"/>
      <c r="C72" s="175"/>
      <c r="D72" s="175"/>
      <c r="E72" s="175"/>
      <c r="F72" s="175"/>
      <c r="G72" s="175"/>
      <c r="H72" s="175"/>
      <c r="I72" s="175"/>
      <c r="J72" s="175"/>
      <c r="K72" s="175"/>
      <c r="L72" s="175"/>
    </row>
    <row r="73" spans="1:12" x14ac:dyDescent="0.15">
      <c r="A73" s="185" t="s">
        <v>293</v>
      </c>
      <c r="B73" s="190">
        <v>10952</v>
      </c>
      <c r="C73" s="190">
        <v>11369</v>
      </c>
      <c r="D73" s="190">
        <v>11136</v>
      </c>
      <c r="E73" s="190">
        <v>11921</v>
      </c>
      <c r="F73" s="190">
        <v>13426</v>
      </c>
      <c r="G73" s="190">
        <v>15376</v>
      </c>
      <c r="H73" s="190">
        <v>16471</v>
      </c>
      <c r="I73" s="190">
        <v>16343</v>
      </c>
      <c r="J73" s="190">
        <v>16681</v>
      </c>
      <c r="K73" s="190">
        <v>18882</v>
      </c>
      <c r="L73" s="190">
        <v>17395</v>
      </c>
    </row>
    <row r="74" spans="1:12" x14ac:dyDescent="0.15">
      <c r="A74" s="175"/>
      <c r="B74" s="175"/>
      <c r="C74" s="175"/>
      <c r="D74" s="175"/>
      <c r="E74" s="175"/>
      <c r="F74" s="175"/>
      <c r="G74" s="175"/>
      <c r="H74" s="175"/>
      <c r="I74" s="175"/>
      <c r="J74" s="175"/>
      <c r="K74" s="175"/>
      <c r="L74" s="175"/>
    </row>
    <row r="75" spans="1:12" x14ac:dyDescent="0.15">
      <c r="A75" s="185" t="s">
        <v>179</v>
      </c>
      <c r="B75" s="175"/>
      <c r="C75" s="175"/>
      <c r="D75" s="175"/>
      <c r="E75" s="175"/>
      <c r="F75" s="175"/>
      <c r="G75" s="175"/>
      <c r="H75" s="175"/>
      <c r="I75" s="175"/>
      <c r="J75" s="175"/>
      <c r="K75" s="175"/>
      <c r="L75" s="175"/>
    </row>
    <row r="76" spans="1:12" x14ac:dyDescent="0.15">
      <c r="A76" s="175" t="s">
        <v>294</v>
      </c>
      <c r="B76" s="186">
        <v>1152.8932669999999</v>
      </c>
      <c r="C76" s="186">
        <v>1.996</v>
      </c>
      <c r="D76" s="186">
        <v>1.996</v>
      </c>
      <c r="E76" s="186">
        <v>2.1440000000000001</v>
      </c>
      <c r="F76" s="186">
        <v>2.1440000000000001</v>
      </c>
      <c r="G76" s="186">
        <v>2.1440000000000001</v>
      </c>
      <c r="H76" s="186">
        <v>2.1440000000000001</v>
      </c>
      <c r="I76" s="186">
        <v>2.1440000000000001</v>
      </c>
      <c r="J76" s="186">
        <v>2.1440000000000001</v>
      </c>
      <c r="K76" s="186">
        <v>2.1440000000000001</v>
      </c>
      <c r="L76" s="186">
        <v>2.1440000000000001</v>
      </c>
    </row>
    <row r="77" spans="1:12" x14ac:dyDescent="0.15">
      <c r="A77" s="175" t="s">
        <v>295</v>
      </c>
      <c r="B77" s="186">
        <v>1152.8932669999999</v>
      </c>
      <c r="C77" s="186">
        <v>1.996</v>
      </c>
      <c r="D77" s="186">
        <v>1.996</v>
      </c>
      <c r="E77" s="186">
        <v>2.1440000000000001</v>
      </c>
      <c r="F77" s="186">
        <v>2.1440000000000001</v>
      </c>
      <c r="G77" s="186">
        <v>2.1440000000000001</v>
      </c>
      <c r="H77" s="186">
        <v>2.1440000000000001</v>
      </c>
      <c r="I77" s="186">
        <v>2.1440000000000001</v>
      </c>
      <c r="J77" s="186">
        <v>2.1440000000000001</v>
      </c>
      <c r="K77" s="186">
        <v>2.1440000000000001</v>
      </c>
      <c r="L77" s="186">
        <v>2.1440000000000001</v>
      </c>
    </row>
    <row r="78" spans="1:12" x14ac:dyDescent="0.15">
      <c r="A78" s="175" t="s">
        <v>296</v>
      </c>
      <c r="B78" s="191">
        <v>1.908242</v>
      </c>
      <c r="C78" s="191">
        <v>1293.587174</v>
      </c>
      <c r="D78" s="191">
        <v>434.86973899999998</v>
      </c>
      <c r="E78" s="191">
        <v>1051.7723880000001</v>
      </c>
      <c r="F78" s="191">
        <v>886.194029</v>
      </c>
      <c r="G78" s="191">
        <v>2051.3059699999999</v>
      </c>
      <c r="H78" s="191">
        <v>1884.794776</v>
      </c>
      <c r="I78" s="191">
        <v>2529.3843280000001</v>
      </c>
      <c r="J78" s="191">
        <v>2643.190298</v>
      </c>
      <c r="K78" s="191">
        <v>2708.488805</v>
      </c>
      <c r="L78" s="191">
        <v>1165.11194</v>
      </c>
    </row>
    <row r="79" spans="1:12" x14ac:dyDescent="0.15">
      <c r="A79" s="175" t="s">
        <v>297</v>
      </c>
      <c r="B79" s="186">
        <v>1914</v>
      </c>
      <c r="C79" s="186">
        <v>2235</v>
      </c>
      <c r="D79" s="186">
        <v>49</v>
      </c>
      <c r="E79" s="186">
        <v>1374</v>
      </c>
      <c r="F79" s="186">
        <v>951</v>
      </c>
      <c r="G79" s="186">
        <v>3417</v>
      </c>
      <c r="H79" s="186">
        <v>3049</v>
      </c>
      <c r="I79" s="186">
        <v>4432</v>
      </c>
      <c r="J79" s="186">
        <v>4600</v>
      </c>
      <c r="K79" s="186">
        <v>4713</v>
      </c>
      <c r="L79" s="186">
        <v>1410</v>
      </c>
    </row>
    <row r="80" spans="1:12" x14ac:dyDescent="0.15">
      <c r="A80" s="175" t="s">
        <v>298</v>
      </c>
      <c r="B80" s="191">
        <v>1.6601710000000001</v>
      </c>
      <c r="C80" s="191">
        <v>1119.739478</v>
      </c>
      <c r="D80" s="191">
        <v>24.549098000000001</v>
      </c>
      <c r="E80" s="191">
        <v>640.85820799999999</v>
      </c>
      <c r="F80" s="191">
        <v>443.56343199999998</v>
      </c>
      <c r="G80" s="191">
        <v>1593.75</v>
      </c>
      <c r="H80" s="191">
        <v>1422.1082080000001</v>
      </c>
      <c r="I80" s="191">
        <v>2067.1641789999999</v>
      </c>
      <c r="J80" s="191">
        <v>2145.5223879999999</v>
      </c>
      <c r="K80" s="191">
        <v>2198.2276109999998</v>
      </c>
      <c r="L80" s="191">
        <v>657.64925300000004</v>
      </c>
    </row>
    <row r="81" spans="1:12" x14ac:dyDescent="0.15">
      <c r="A81" s="175" t="s">
        <v>299</v>
      </c>
      <c r="B81" s="186">
        <v>3953</v>
      </c>
      <c r="C81" s="186">
        <v>3743</v>
      </c>
      <c r="D81" s="186">
        <v>3692</v>
      </c>
      <c r="E81" s="186">
        <v>3818</v>
      </c>
      <c r="F81" s="186">
        <v>4549</v>
      </c>
      <c r="G81" s="186">
        <v>4510</v>
      </c>
      <c r="H81" s="186">
        <v>5150</v>
      </c>
      <c r="I81" s="186">
        <v>4288</v>
      </c>
      <c r="J81" s="186">
        <v>4426</v>
      </c>
      <c r="K81" s="186">
        <v>6310</v>
      </c>
      <c r="L81" s="186">
        <v>7830</v>
      </c>
    </row>
    <row r="82" spans="1:12" x14ac:dyDescent="0.15">
      <c r="A82" s="175" t="s">
        <v>300</v>
      </c>
      <c r="B82" s="186">
        <v>2001</v>
      </c>
      <c r="C82" s="186">
        <v>1914</v>
      </c>
      <c r="D82" s="186">
        <v>2093</v>
      </c>
      <c r="E82" s="186">
        <v>1968</v>
      </c>
      <c r="F82" s="186">
        <v>2026</v>
      </c>
      <c r="G82" s="186">
        <v>2463</v>
      </c>
      <c r="H82" s="186">
        <v>2655</v>
      </c>
      <c r="I82" s="186">
        <v>1492</v>
      </c>
      <c r="J82" s="186">
        <v>1924</v>
      </c>
      <c r="K82" s="186">
        <v>3722</v>
      </c>
      <c r="L82" s="186">
        <v>5712</v>
      </c>
    </row>
    <row r="83" spans="1:12" ht="12" x14ac:dyDescent="0.15">
      <c r="A83" s="175" t="s">
        <v>301</v>
      </c>
      <c r="B83" s="186">
        <v>826</v>
      </c>
      <c r="C83" s="186">
        <v>361</v>
      </c>
      <c r="D83" s="186">
        <v>764</v>
      </c>
      <c r="E83" s="186">
        <v>-55</v>
      </c>
      <c r="F83" s="186">
        <v>-102</v>
      </c>
      <c r="G83" s="186">
        <v>-542</v>
      </c>
      <c r="H83" s="186">
        <v>612</v>
      </c>
      <c r="I83" s="186">
        <v>-731</v>
      </c>
      <c r="J83" s="186">
        <v>-2009</v>
      </c>
      <c r="K83" s="186">
        <v>-775</v>
      </c>
      <c r="L83" s="186" t="s">
        <v>167</v>
      </c>
    </row>
    <row r="84" spans="1:12" ht="12" x14ac:dyDescent="0.15">
      <c r="A84" s="175" t="s">
        <v>302</v>
      </c>
      <c r="B84" s="186" t="s">
        <v>167</v>
      </c>
      <c r="C84" s="186">
        <v>1240</v>
      </c>
      <c r="D84" s="186">
        <v>1496</v>
      </c>
      <c r="E84" s="186">
        <v>1328</v>
      </c>
      <c r="F84" s="186">
        <v>1296</v>
      </c>
      <c r="G84" s="186">
        <v>1512</v>
      </c>
      <c r="H84" s="186">
        <v>2120</v>
      </c>
      <c r="I84" s="186">
        <v>2808</v>
      </c>
      <c r="J84" s="186">
        <v>2872</v>
      </c>
      <c r="K84" s="186">
        <v>320</v>
      </c>
      <c r="L84" s="186" t="s">
        <v>167</v>
      </c>
    </row>
    <row r="85" spans="1:12" ht="12" x14ac:dyDescent="0.15">
      <c r="A85" s="175" t="s">
        <v>303</v>
      </c>
      <c r="B85" s="186">
        <v>200</v>
      </c>
      <c r="C85" s="186">
        <v>200</v>
      </c>
      <c r="D85" s="186">
        <v>200</v>
      </c>
      <c r="E85" s="186">
        <v>200</v>
      </c>
      <c r="F85" s="186">
        <v>200</v>
      </c>
      <c r="G85" s="186">
        <v>200</v>
      </c>
      <c r="H85" s="186">
        <v>200</v>
      </c>
      <c r="I85" s="186">
        <v>200</v>
      </c>
      <c r="J85" s="186" t="s">
        <v>167</v>
      </c>
      <c r="K85" s="186" t="s">
        <v>167</v>
      </c>
      <c r="L85" s="186" t="s">
        <v>167</v>
      </c>
    </row>
    <row r="86" spans="1:12" x14ac:dyDescent="0.15">
      <c r="A86" s="175" t="s">
        <v>304</v>
      </c>
      <c r="B86" s="186">
        <v>244</v>
      </c>
      <c r="C86" s="186">
        <v>232</v>
      </c>
      <c r="D86" s="186">
        <v>174</v>
      </c>
      <c r="E86" s="186">
        <v>115</v>
      </c>
      <c r="F86" s="186">
        <v>76</v>
      </c>
      <c r="G86" s="186">
        <v>1775</v>
      </c>
      <c r="H86" s="186">
        <v>1857</v>
      </c>
      <c r="I86" s="186">
        <v>1577</v>
      </c>
      <c r="J86" s="186">
        <v>1701</v>
      </c>
      <c r="K86" s="186">
        <v>1838</v>
      </c>
      <c r="L86" s="186">
        <v>1731</v>
      </c>
    </row>
    <row r="87" spans="1:12" ht="12" x14ac:dyDescent="0.15">
      <c r="A87" s="175" t="s">
        <v>305</v>
      </c>
      <c r="B87" s="192" t="s">
        <v>306</v>
      </c>
      <c r="C87" s="192" t="s">
        <v>306</v>
      </c>
      <c r="D87" s="192" t="s">
        <v>306</v>
      </c>
      <c r="E87" s="192" t="s">
        <v>306</v>
      </c>
      <c r="F87" s="192" t="s">
        <v>306</v>
      </c>
      <c r="G87" s="192" t="s">
        <v>306</v>
      </c>
      <c r="H87" s="192" t="s">
        <v>306</v>
      </c>
      <c r="I87" s="192" t="s">
        <v>306</v>
      </c>
      <c r="J87" s="192" t="s">
        <v>306</v>
      </c>
      <c r="K87" s="192" t="s">
        <v>306</v>
      </c>
      <c r="L87" s="192" t="s">
        <v>167</v>
      </c>
    </row>
    <row r="88" spans="1:12" ht="12" x14ac:dyDescent="0.15">
      <c r="A88" s="175" t="s">
        <v>307</v>
      </c>
      <c r="B88" s="186">
        <v>98</v>
      </c>
      <c r="C88" s="186" t="s">
        <v>167</v>
      </c>
      <c r="D88" s="186" t="s">
        <v>167</v>
      </c>
      <c r="E88" s="186" t="s">
        <v>167</v>
      </c>
      <c r="F88" s="186" t="s">
        <v>167</v>
      </c>
      <c r="G88" s="186" t="s">
        <v>167</v>
      </c>
      <c r="H88" s="186" t="s">
        <v>167</v>
      </c>
      <c r="I88" s="186" t="s">
        <v>167</v>
      </c>
      <c r="J88" s="186" t="s">
        <v>167</v>
      </c>
      <c r="K88" s="186" t="s">
        <v>167</v>
      </c>
      <c r="L88" s="186" t="s">
        <v>167</v>
      </c>
    </row>
    <row r="89" spans="1:12" ht="12" x14ac:dyDescent="0.15">
      <c r="A89" s="175" t="s">
        <v>308</v>
      </c>
      <c r="B89" s="186">
        <v>12988</v>
      </c>
      <c r="C89" s="186">
        <v>13355</v>
      </c>
      <c r="D89" s="186">
        <v>13992</v>
      </c>
      <c r="E89" s="186">
        <v>14793</v>
      </c>
      <c r="F89" s="186">
        <v>15714</v>
      </c>
      <c r="G89" s="186">
        <v>15784</v>
      </c>
      <c r="H89" s="186">
        <v>15472</v>
      </c>
      <c r="I89" s="186">
        <v>15752</v>
      </c>
      <c r="J89" s="186">
        <v>16083</v>
      </c>
      <c r="K89" s="186">
        <v>11964</v>
      </c>
      <c r="L89" s="186" t="s">
        <v>167</v>
      </c>
    </row>
    <row r="90" spans="1:12" ht="12" x14ac:dyDescent="0.15">
      <c r="A90" s="175" t="s">
        <v>309</v>
      </c>
      <c r="B90" s="193">
        <v>39828</v>
      </c>
      <c r="C90" s="193">
        <v>40252</v>
      </c>
      <c r="D90" s="193">
        <v>43213</v>
      </c>
      <c r="E90" s="193">
        <v>41857</v>
      </c>
      <c r="F90" s="193">
        <v>43120</v>
      </c>
      <c r="G90" s="193">
        <v>43550</v>
      </c>
      <c r="H90" s="193">
        <v>43874</v>
      </c>
      <c r="I90" s="193">
        <v>43125</v>
      </c>
      <c r="J90" s="193">
        <v>42384</v>
      </c>
      <c r="K90" s="193">
        <v>42322</v>
      </c>
      <c r="L90" s="193" t="s">
        <v>167</v>
      </c>
    </row>
    <row r="91" spans="1:12" ht="12" x14ac:dyDescent="0.15">
      <c r="A91" s="175" t="s">
        <v>310</v>
      </c>
      <c r="B91" s="186">
        <v>9</v>
      </c>
      <c r="C91" s="186">
        <v>10</v>
      </c>
      <c r="D91" s="186">
        <v>14</v>
      </c>
      <c r="E91" s="186">
        <v>19</v>
      </c>
      <c r="F91" s="186">
        <v>19</v>
      </c>
      <c r="G91" s="186">
        <v>15</v>
      </c>
      <c r="H91" s="186">
        <v>16</v>
      </c>
      <c r="I91" s="186">
        <v>18</v>
      </c>
      <c r="J91" s="186">
        <v>21</v>
      </c>
      <c r="K91" s="186">
        <v>30</v>
      </c>
      <c r="L91" s="186" t="s">
        <v>167</v>
      </c>
    </row>
    <row r="92" spans="1:12" x14ac:dyDescent="0.15">
      <c r="A92" s="175" t="s">
        <v>192</v>
      </c>
      <c r="B92" s="194">
        <v>40997</v>
      </c>
      <c r="C92" s="194">
        <v>41348</v>
      </c>
      <c r="D92" s="194">
        <v>41718</v>
      </c>
      <c r="E92" s="194">
        <v>42082</v>
      </c>
      <c r="F92" s="194">
        <v>42446</v>
      </c>
      <c r="G92" s="194">
        <v>42810</v>
      </c>
      <c r="H92" s="194">
        <v>43159</v>
      </c>
      <c r="I92" s="194">
        <v>43564</v>
      </c>
      <c r="J92" s="194">
        <v>43888</v>
      </c>
      <c r="K92" s="194">
        <v>43888</v>
      </c>
      <c r="L92" s="194">
        <v>44049</v>
      </c>
    </row>
    <row r="93" spans="1:12" ht="12" x14ac:dyDescent="0.15">
      <c r="A93" s="175" t="s">
        <v>193</v>
      </c>
      <c r="B93" s="192" t="s">
        <v>194</v>
      </c>
      <c r="C93" s="192" t="s">
        <v>194</v>
      </c>
      <c r="D93" s="192" t="s">
        <v>196</v>
      </c>
      <c r="E93" s="192" t="s">
        <v>194</v>
      </c>
      <c r="F93" s="192" t="s">
        <v>194</v>
      </c>
      <c r="G93" s="192" t="s">
        <v>194</v>
      </c>
      <c r="H93" s="192" t="s">
        <v>194</v>
      </c>
      <c r="I93" s="192" t="s">
        <v>196</v>
      </c>
      <c r="J93" s="192" t="s">
        <v>196</v>
      </c>
      <c r="K93" s="192" t="s">
        <v>198</v>
      </c>
      <c r="L93" s="192" t="s">
        <v>198</v>
      </c>
    </row>
    <row r="94" spans="1:12" ht="12" x14ac:dyDescent="0.15">
      <c r="A94" s="175" t="s">
        <v>199</v>
      </c>
      <c r="B94" s="192" t="s">
        <v>201</v>
      </c>
      <c r="C94" s="192" t="s">
        <v>201</v>
      </c>
      <c r="D94" s="192" t="s">
        <v>201</v>
      </c>
      <c r="E94" s="192" t="s">
        <v>201</v>
      </c>
      <c r="F94" s="192" t="s">
        <v>201</v>
      </c>
      <c r="G94" s="192" t="s">
        <v>201</v>
      </c>
      <c r="H94" s="192" t="s">
        <v>201</v>
      </c>
      <c r="I94" s="192" t="s">
        <v>201</v>
      </c>
      <c r="J94" s="192" t="s">
        <v>201</v>
      </c>
      <c r="K94" s="192" t="s">
        <v>201</v>
      </c>
      <c r="L94" s="192" t="s">
        <v>201</v>
      </c>
    </row>
    <row r="95" spans="1:12" x14ac:dyDescent="0.15">
      <c r="A95" s="175"/>
      <c r="B95" s="175"/>
      <c r="C95" s="175"/>
      <c r="D95" s="175"/>
      <c r="E95" s="175"/>
      <c r="F95" s="175"/>
      <c r="G95" s="175"/>
      <c r="H95" s="175"/>
      <c r="I95" s="175"/>
      <c r="J95" s="175"/>
      <c r="K95" s="175"/>
      <c r="L95" s="175"/>
    </row>
    <row r="96" spans="1:12" x14ac:dyDescent="0.15">
      <c r="A96" s="195"/>
      <c r="B96" s="195"/>
      <c r="C96" s="195"/>
      <c r="D96" s="195"/>
      <c r="E96" s="195"/>
      <c r="F96" s="195"/>
      <c r="G96" s="195"/>
      <c r="H96" s="195"/>
      <c r="I96" s="195"/>
      <c r="J96" s="195"/>
      <c r="K96" s="195"/>
      <c r="L96" s="195"/>
    </row>
    <row r="97" spans="1:1" x14ac:dyDescent="0.15">
      <c r="A97" s="172" t="s">
        <v>311</v>
      </c>
    </row>
    <row r="98" spans="1:1" x14ac:dyDescent="0.15">
      <c r="A98" s="196" t="s">
        <v>212</v>
      </c>
    </row>
  </sheetData>
  <pageMargins left="0.2" right="0.2" top="0.5" bottom="0.5" header="0.5" footer="0.5"/>
  <pageSetup fitToWidth="0" fitToHeight="0" orientation="landscape" horizontalDpi="0" verticalDpi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803F-44EE-F04E-8BFA-F9E0E7AB25CE}">
  <dimension ref="A1:BZ13"/>
  <sheetViews>
    <sheetView topLeftCell="BS1" zoomScale="140" zoomScaleNormal="140" workbookViewId="0">
      <selection activeCell="BZ1" sqref="BZ1:BZ12"/>
    </sheetView>
  </sheetViews>
  <sheetFormatPr baseColWidth="10" defaultRowHeight="15" x14ac:dyDescent="0.2"/>
  <sheetData>
    <row r="1" spans="1:78" x14ac:dyDescent="0.2">
      <c r="A1" s="32" t="s">
        <v>213</v>
      </c>
      <c r="B1" s="32" t="s">
        <v>214</v>
      </c>
      <c r="C1" s="32" t="s">
        <v>14</v>
      </c>
      <c r="D1" s="32" t="s">
        <v>128</v>
      </c>
      <c r="E1" s="32" t="s">
        <v>129</v>
      </c>
      <c r="F1" s="32" t="s">
        <v>130</v>
      </c>
      <c r="G1" s="32" t="s">
        <v>131</v>
      </c>
      <c r="H1" s="32" t="s">
        <v>132</v>
      </c>
      <c r="I1" s="32" t="s">
        <v>133</v>
      </c>
      <c r="J1" s="32" t="s">
        <v>135</v>
      </c>
      <c r="K1" s="32" t="s">
        <v>136</v>
      </c>
      <c r="L1" s="32" t="s">
        <v>137</v>
      </c>
      <c r="M1" s="32" t="s">
        <v>138</v>
      </c>
      <c r="N1" s="32" t="s">
        <v>139</v>
      </c>
      <c r="O1" s="32" t="s">
        <v>140</v>
      </c>
      <c r="P1" s="32" t="s">
        <v>141</v>
      </c>
      <c r="Q1" s="32" t="s">
        <v>142</v>
      </c>
      <c r="R1" s="32" t="s">
        <v>143</v>
      </c>
      <c r="S1" s="32" t="s">
        <v>144</v>
      </c>
      <c r="T1" s="32" t="s">
        <v>145</v>
      </c>
      <c r="U1" s="32" t="s">
        <v>146</v>
      </c>
      <c r="V1" s="32" t="s">
        <v>147</v>
      </c>
      <c r="W1" s="32" t="s">
        <v>148</v>
      </c>
      <c r="X1" s="32" t="s">
        <v>149</v>
      </c>
      <c r="Y1" s="32" t="s">
        <v>150</v>
      </c>
      <c r="Z1" s="32" t="s">
        <v>151</v>
      </c>
      <c r="AA1" s="32" t="s">
        <v>152</v>
      </c>
      <c r="AB1" s="32" t="s">
        <v>153</v>
      </c>
      <c r="AC1" s="32" t="s">
        <v>154</v>
      </c>
      <c r="AD1" s="32" t="s">
        <v>155</v>
      </c>
      <c r="AE1" s="32" t="s">
        <v>156</v>
      </c>
      <c r="AF1" s="32" t="s">
        <v>157</v>
      </c>
      <c r="AG1" s="32" t="s">
        <v>158</v>
      </c>
      <c r="AH1" s="32" t="s">
        <v>159</v>
      </c>
      <c r="AI1" s="32" t="s">
        <v>160</v>
      </c>
      <c r="AJ1" s="32" t="s">
        <v>161</v>
      </c>
      <c r="AK1" s="32" t="s">
        <v>162</v>
      </c>
      <c r="AL1" s="32" t="s">
        <v>163</v>
      </c>
      <c r="AM1" s="32" t="s">
        <v>164</v>
      </c>
      <c r="AN1" s="32" t="s">
        <v>166</v>
      </c>
      <c r="AO1" s="32" t="s">
        <v>168</v>
      </c>
      <c r="AP1" s="32" t="s">
        <v>169</v>
      </c>
      <c r="AQ1" s="32" t="s">
        <v>170</v>
      </c>
      <c r="AR1" s="32" t="s">
        <v>171</v>
      </c>
      <c r="AS1" s="32" t="s">
        <v>172</v>
      </c>
      <c r="AT1" s="32" t="s">
        <v>173</v>
      </c>
      <c r="AU1" s="32" t="s">
        <v>174</v>
      </c>
      <c r="AV1" s="32" t="s">
        <v>175</v>
      </c>
      <c r="AW1" s="32" t="s">
        <v>176</v>
      </c>
      <c r="AX1" s="32" t="s">
        <v>178</v>
      </c>
      <c r="AY1" s="32" t="s">
        <v>16</v>
      </c>
      <c r="AZ1" s="32" t="s">
        <v>180</v>
      </c>
      <c r="BA1" s="32" t="s">
        <v>18</v>
      </c>
      <c r="BB1" s="32" t="s">
        <v>181</v>
      </c>
      <c r="BC1" s="32" t="s">
        <v>182</v>
      </c>
      <c r="BD1" s="32" t="s">
        <v>183</v>
      </c>
      <c r="BE1" s="32" t="s">
        <v>184</v>
      </c>
      <c r="BF1" s="32" t="s">
        <v>185</v>
      </c>
      <c r="BG1" s="32" t="s">
        <v>186</v>
      </c>
      <c r="BH1" s="32" t="s">
        <v>187</v>
      </c>
      <c r="BI1" s="32" t="s">
        <v>188</v>
      </c>
      <c r="BJ1" s="32" t="s">
        <v>189</v>
      </c>
      <c r="BK1" s="32" t="s">
        <v>190</v>
      </c>
      <c r="BL1" s="32" t="s">
        <v>191</v>
      </c>
      <c r="BM1" s="32" t="s">
        <v>192</v>
      </c>
      <c r="BN1" s="32" t="s">
        <v>193</v>
      </c>
      <c r="BO1" s="32" t="s">
        <v>199</v>
      </c>
      <c r="BP1" s="32" t="s">
        <v>203</v>
      </c>
      <c r="BQ1" s="32" t="s">
        <v>204</v>
      </c>
      <c r="BR1" s="32" t="s">
        <v>205</v>
      </c>
      <c r="BS1" s="32" t="s">
        <v>206</v>
      </c>
      <c r="BT1" s="32" t="s">
        <v>207</v>
      </c>
      <c r="BU1" s="32" t="s">
        <v>208</v>
      </c>
      <c r="BV1" s="32" t="s">
        <v>209</v>
      </c>
      <c r="BW1" s="32" t="s">
        <v>258</v>
      </c>
      <c r="BX1" s="32" t="s">
        <v>277</v>
      </c>
      <c r="BY1" s="32" t="s">
        <v>313</v>
      </c>
      <c r="BZ1" s="32" t="s">
        <v>314</v>
      </c>
    </row>
    <row r="2" spans="1:78" x14ac:dyDescent="0.2">
      <c r="A2" t="s">
        <v>226</v>
      </c>
      <c r="B2" s="158" t="s">
        <v>215</v>
      </c>
      <c r="C2" s="160">
        <v>8482.664546</v>
      </c>
      <c r="D2" s="160">
        <v>427.99989299999999</v>
      </c>
      <c r="E2" s="160">
        <v>8910.6644390000001</v>
      </c>
      <c r="F2" s="160">
        <v>7439.9981399999997</v>
      </c>
      <c r="G2" s="160">
        <v>1470.666299</v>
      </c>
      <c r="H2" s="160">
        <v>313.33325500000001</v>
      </c>
      <c r="I2" s="160" t="s">
        <v>134</v>
      </c>
      <c r="J2" s="160">
        <v>722.66648599999996</v>
      </c>
      <c r="K2" s="160">
        <v>2.6666660000000002</v>
      </c>
      <c r="L2" s="160">
        <v>1038.6664069999999</v>
      </c>
      <c r="M2" s="160">
        <v>431.99989199999999</v>
      </c>
      <c r="N2" s="160">
        <v>-150.69999999999999</v>
      </c>
      <c r="O2" s="160">
        <v>23.999994000000001</v>
      </c>
      <c r="P2" s="160">
        <v>-126.7</v>
      </c>
      <c r="Q2" s="160">
        <v>7.9999979999999997</v>
      </c>
      <c r="R2" s="160">
        <v>-13.3</v>
      </c>
      <c r="S2" s="160">
        <v>-17.3</v>
      </c>
      <c r="T2" s="160">
        <v>282.66659600000003</v>
      </c>
      <c r="U2" s="160">
        <v>-8</v>
      </c>
      <c r="V2" s="160" t="s">
        <v>134</v>
      </c>
      <c r="W2" s="160" t="s">
        <v>134</v>
      </c>
      <c r="X2" s="160">
        <v>-24</v>
      </c>
      <c r="Y2" s="160">
        <v>-4</v>
      </c>
      <c r="Z2" s="160">
        <v>-37.299999999999997</v>
      </c>
      <c r="AA2" s="160" t="s">
        <v>134</v>
      </c>
      <c r="AB2" s="160" t="s">
        <v>134</v>
      </c>
      <c r="AC2" s="160">
        <v>209.333281</v>
      </c>
      <c r="AD2" s="160">
        <v>-17.3</v>
      </c>
      <c r="AE2" s="160">
        <v>226.66660999999999</v>
      </c>
      <c r="AF2" s="160" t="s">
        <v>134</v>
      </c>
      <c r="AG2" s="160" t="s">
        <v>134</v>
      </c>
      <c r="AH2" s="160">
        <v>226.66660999999999</v>
      </c>
      <c r="AI2" s="160">
        <v>-17.3</v>
      </c>
      <c r="AJ2" s="160">
        <v>209.333281</v>
      </c>
      <c r="AK2" s="160" t="s">
        <v>134</v>
      </c>
      <c r="AL2" s="160">
        <v>209.333281</v>
      </c>
      <c r="AM2" s="160">
        <v>209.333281</v>
      </c>
      <c r="AN2" s="160" t="s">
        <v>167</v>
      </c>
      <c r="AO2" s="160" t="s">
        <v>167</v>
      </c>
      <c r="AP2" s="160" t="s">
        <v>167</v>
      </c>
      <c r="AQ2" s="160" t="s">
        <v>167</v>
      </c>
      <c r="AR2" s="160" t="s">
        <v>167</v>
      </c>
      <c r="AS2" s="160" t="s">
        <v>167</v>
      </c>
      <c r="AT2" s="160" t="s">
        <v>167</v>
      </c>
      <c r="AU2" s="160" t="s">
        <v>167</v>
      </c>
      <c r="AV2" s="160" t="s">
        <v>167</v>
      </c>
      <c r="AW2" s="160" t="s">
        <v>167</v>
      </c>
      <c r="AX2" s="160">
        <v>5</v>
      </c>
      <c r="AY2" s="160">
        <v>1145.3330470000001</v>
      </c>
      <c r="AZ2" s="160">
        <v>431.99989199999999</v>
      </c>
      <c r="BA2" s="160">
        <v>431.99989199999999</v>
      </c>
      <c r="BB2" s="160" t="s">
        <v>167</v>
      </c>
      <c r="BC2" s="160">
        <v>8910.6644390000001</v>
      </c>
      <c r="BD2" s="166" t="s">
        <v>177</v>
      </c>
      <c r="BE2" s="160">
        <v>7.9999979999999997</v>
      </c>
      <c r="BF2" s="160" t="s">
        <v>167</v>
      </c>
      <c r="BG2" s="160">
        <v>7.9999979999999997</v>
      </c>
      <c r="BH2" s="160">
        <v>-25.3</v>
      </c>
      <c r="BI2" s="160">
        <v>159.333294</v>
      </c>
      <c r="BJ2" s="160" t="s">
        <v>167</v>
      </c>
      <c r="BK2" s="160" t="s">
        <v>167</v>
      </c>
      <c r="BL2" s="160" t="s">
        <v>134</v>
      </c>
      <c r="BM2" s="160">
        <v>40997</v>
      </c>
      <c r="BN2" s="160" t="s">
        <v>194</v>
      </c>
      <c r="BO2" s="160" t="s">
        <v>200</v>
      </c>
      <c r="BP2" s="160"/>
      <c r="BQ2" s="160">
        <v>313.33325500000001</v>
      </c>
      <c r="BR2" s="160" t="s">
        <v>167</v>
      </c>
      <c r="BS2" s="160" t="s">
        <v>134</v>
      </c>
      <c r="BT2" s="160" t="s">
        <v>134</v>
      </c>
      <c r="BU2" s="160">
        <v>7.9999979999999997</v>
      </c>
      <c r="BV2" s="160">
        <v>7.9999979999999997</v>
      </c>
      <c r="BW2">
        <v>2826</v>
      </c>
      <c r="BX2">
        <v>3575</v>
      </c>
      <c r="BY2">
        <f>BW2-BX2</f>
        <v>-749</v>
      </c>
      <c r="BZ2" s="167">
        <f>BY2/C2</f>
        <v>-8.8297727198606582E-2</v>
      </c>
    </row>
    <row r="3" spans="1:78" x14ac:dyDescent="0.2">
      <c r="A3" t="s">
        <v>227</v>
      </c>
      <c r="B3" s="158" t="s">
        <v>216</v>
      </c>
      <c r="C3" s="160">
        <v>9460</v>
      </c>
      <c r="D3" s="160">
        <v>527</v>
      </c>
      <c r="E3" s="160">
        <v>9987</v>
      </c>
      <c r="F3" s="160">
        <v>8162</v>
      </c>
      <c r="G3" s="160">
        <v>1825</v>
      </c>
      <c r="H3" s="160">
        <v>436</v>
      </c>
      <c r="I3" s="160" t="s">
        <v>134</v>
      </c>
      <c r="J3" s="160">
        <v>691</v>
      </c>
      <c r="K3" s="160">
        <v>11</v>
      </c>
      <c r="L3" s="160">
        <v>1138</v>
      </c>
      <c r="M3" s="160">
        <v>687</v>
      </c>
      <c r="N3" s="160">
        <v>-151</v>
      </c>
      <c r="O3" s="160">
        <v>32</v>
      </c>
      <c r="P3" s="160">
        <v>-119</v>
      </c>
      <c r="Q3" s="160">
        <v>-6</v>
      </c>
      <c r="R3" s="160">
        <v>-10</v>
      </c>
      <c r="S3" s="160">
        <v>158</v>
      </c>
      <c r="T3" s="160">
        <v>710</v>
      </c>
      <c r="U3" s="160">
        <v>-12</v>
      </c>
      <c r="V3" s="160">
        <v>-3</v>
      </c>
      <c r="W3" s="160" t="s">
        <v>134</v>
      </c>
      <c r="X3" s="160">
        <v>-21</v>
      </c>
      <c r="Y3" s="160">
        <v>-3</v>
      </c>
      <c r="Z3" s="160">
        <v>8</v>
      </c>
      <c r="AA3" s="160" t="s">
        <v>134</v>
      </c>
      <c r="AB3" s="160" t="s">
        <v>134</v>
      </c>
      <c r="AC3" s="160">
        <v>679</v>
      </c>
      <c r="AD3" s="160">
        <v>7</v>
      </c>
      <c r="AE3" s="160">
        <v>672</v>
      </c>
      <c r="AF3" s="160" t="s">
        <v>134</v>
      </c>
      <c r="AG3" s="160" t="s">
        <v>134</v>
      </c>
      <c r="AH3" s="160">
        <v>672</v>
      </c>
      <c r="AI3" s="160">
        <v>-18</v>
      </c>
      <c r="AJ3" s="160">
        <v>654</v>
      </c>
      <c r="AK3" s="160" t="s">
        <v>134</v>
      </c>
      <c r="AL3" s="160">
        <v>654</v>
      </c>
      <c r="AM3" s="160">
        <v>654</v>
      </c>
      <c r="AN3" s="160">
        <v>327.65530999999999</v>
      </c>
      <c r="AO3" s="160">
        <v>327.65530999999999</v>
      </c>
      <c r="AP3" s="160">
        <v>1.996</v>
      </c>
      <c r="AQ3" s="160">
        <v>327.65530999999999</v>
      </c>
      <c r="AR3" s="160">
        <v>327.65530999999999</v>
      </c>
      <c r="AS3" s="160">
        <v>1.996</v>
      </c>
      <c r="AT3" s="160">
        <v>213.301603</v>
      </c>
      <c r="AU3" s="160">
        <v>213.301603</v>
      </c>
      <c r="AV3" s="160" t="s">
        <v>167</v>
      </c>
      <c r="AW3" s="160" t="s">
        <v>167</v>
      </c>
      <c r="AX3" s="160">
        <v>5</v>
      </c>
      <c r="AY3" s="160">
        <v>1368</v>
      </c>
      <c r="AZ3" s="160">
        <v>687</v>
      </c>
      <c r="BA3" s="160">
        <v>687</v>
      </c>
      <c r="BB3" s="160">
        <v>1523</v>
      </c>
      <c r="BC3" s="160">
        <v>9987</v>
      </c>
      <c r="BD3" s="166">
        <v>1.0309E-2</v>
      </c>
      <c r="BE3" s="160">
        <v>17</v>
      </c>
      <c r="BF3" s="160">
        <v>-9</v>
      </c>
      <c r="BG3" s="160">
        <v>8</v>
      </c>
      <c r="BH3" s="160">
        <v>-1</v>
      </c>
      <c r="BI3" s="160">
        <v>425.75</v>
      </c>
      <c r="BJ3" s="160">
        <v>1</v>
      </c>
      <c r="BK3" s="160">
        <v>152</v>
      </c>
      <c r="BL3" s="160">
        <v>-160</v>
      </c>
      <c r="BM3" s="160">
        <v>41348</v>
      </c>
      <c r="BN3" s="160" t="s">
        <v>195</v>
      </c>
      <c r="BO3" s="160" t="s">
        <v>201</v>
      </c>
      <c r="BP3" s="160"/>
      <c r="BQ3" s="160">
        <v>436</v>
      </c>
      <c r="BR3" s="160">
        <v>155</v>
      </c>
      <c r="BS3" s="160">
        <v>48.98124</v>
      </c>
      <c r="BT3" s="160">
        <v>106.01876</v>
      </c>
      <c r="BU3" s="160">
        <v>13</v>
      </c>
      <c r="BV3" s="160">
        <v>13</v>
      </c>
      <c r="BW3">
        <v>2774</v>
      </c>
      <c r="BX3">
        <v>3683</v>
      </c>
      <c r="BY3">
        <f t="shared" ref="BY3:BY12" si="0">BW3-BX3</f>
        <v>-909</v>
      </c>
      <c r="BZ3" s="167">
        <f t="shared" ref="BZ3:BZ12" si="1">BY3/C3</f>
        <v>-9.6088794926004223E-2</v>
      </c>
    </row>
    <row r="4" spans="1:78" x14ac:dyDescent="0.2">
      <c r="A4" t="s">
        <v>228</v>
      </c>
      <c r="B4" s="158" t="s">
        <v>217</v>
      </c>
      <c r="C4" s="160">
        <v>10236</v>
      </c>
      <c r="D4" s="160">
        <v>591</v>
      </c>
      <c r="E4" s="160">
        <v>10827</v>
      </c>
      <c r="F4" s="160">
        <v>9367</v>
      </c>
      <c r="G4" s="160">
        <v>1460</v>
      </c>
      <c r="H4" s="160">
        <v>466</v>
      </c>
      <c r="I4" s="160" t="s">
        <v>134</v>
      </c>
      <c r="J4" s="160">
        <v>705</v>
      </c>
      <c r="K4" s="160">
        <v>-8</v>
      </c>
      <c r="L4" s="160">
        <v>1163</v>
      </c>
      <c r="M4" s="160">
        <v>297</v>
      </c>
      <c r="N4" s="160">
        <v>-167</v>
      </c>
      <c r="O4" s="160">
        <v>25</v>
      </c>
      <c r="P4" s="160">
        <v>-142</v>
      </c>
      <c r="Q4" s="160">
        <v>-66</v>
      </c>
      <c r="R4" s="160">
        <v>7</v>
      </c>
      <c r="S4" s="160">
        <v>-17</v>
      </c>
      <c r="T4" s="160">
        <v>79</v>
      </c>
      <c r="U4" s="160">
        <v>-36</v>
      </c>
      <c r="V4" s="160">
        <v>-71</v>
      </c>
      <c r="W4" s="160">
        <v>58</v>
      </c>
      <c r="X4" s="160">
        <v>-1</v>
      </c>
      <c r="Y4" s="160">
        <v>-3</v>
      </c>
      <c r="Z4" s="160">
        <v>-15</v>
      </c>
      <c r="AA4" s="160" t="s">
        <v>134</v>
      </c>
      <c r="AB4" s="160">
        <v>30</v>
      </c>
      <c r="AC4" s="160">
        <v>41</v>
      </c>
      <c r="AD4" s="160">
        <v>-73</v>
      </c>
      <c r="AE4" s="160">
        <v>114</v>
      </c>
      <c r="AF4" s="160">
        <v>-30</v>
      </c>
      <c r="AG4" s="160" t="s">
        <v>134</v>
      </c>
      <c r="AH4" s="160">
        <v>84</v>
      </c>
      <c r="AI4" s="160">
        <v>-16</v>
      </c>
      <c r="AJ4" s="160">
        <v>68</v>
      </c>
      <c r="AK4" s="160" t="s">
        <v>134</v>
      </c>
      <c r="AL4" s="160">
        <v>68</v>
      </c>
      <c r="AM4" s="160">
        <v>98</v>
      </c>
      <c r="AN4" s="160">
        <v>34.068136000000003</v>
      </c>
      <c r="AO4" s="160">
        <v>49.098196000000002</v>
      </c>
      <c r="AP4" s="160">
        <v>1.996</v>
      </c>
      <c r="AQ4" s="160">
        <v>34.068136000000003</v>
      </c>
      <c r="AR4" s="160">
        <v>49.098196000000002</v>
      </c>
      <c r="AS4" s="160">
        <v>1.996</v>
      </c>
      <c r="AT4" s="160">
        <v>16.720941</v>
      </c>
      <c r="AU4" s="160">
        <v>16.720941</v>
      </c>
      <c r="AV4" s="160" t="s">
        <v>167</v>
      </c>
      <c r="AW4" s="160" t="s">
        <v>167</v>
      </c>
      <c r="AX4" s="160">
        <v>5</v>
      </c>
      <c r="AY4" s="160">
        <v>994</v>
      </c>
      <c r="AZ4" s="160">
        <v>298</v>
      </c>
      <c r="BA4" s="160">
        <v>297</v>
      </c>
      <c r="BB4" s="160">
        <v>1181</v>
      </c>
      <c r="BC4" s="160">
        <v>10827</v>
      </c>
      <c r="BD4" s="166" t="s">
        <v>177</v>
      </c>
      <c r="BE4" s="160">
        <v>-1</v>
      </c>
      <c r="BF4" s="160">
        <v>1</v>
      </c>
      <c r="BG4" s="160">
        <v>0</v>
      </c>
      <c r="BH4" s="160">
        <v>-73</v>
      </c>
      <c r="BI4" s="160">
        <v>33.375</v>
      </c>
      <c r="BJ4" s="160">
        <v>3</v>
      </c>
      <c r="BK4" s="160">
        <v>170</v>
      </c>
      <c r="BL4" s="160">
        <v>35</v>
      </c>
      <c r="BM4" s="160">
        <v>41718</v>
      </c>
      <c r="BN4" s="160" t="s">
        <v>196</v>
      </c>
      <c r="BO4" s="160" t="s">
        <v>201</v>
      </c>
      <c r="BP4" s="160"/>
      <c r="BQ4" s="160">
        <v>466</v>
      </c>
      <c r="BR4" s="160">
        <v>187</v>
      </c>
      <c r="BS4" s="160">
        <v>68.410584</v>
      </c>
      <c r="BT4" s="160">
        <v>118.589416</v>
      </c>
      <c r="BU4" s="160">
        <v>15</v>
      </c>
      <c r="BV4" s="160">
        <v>15</v>
      </c>
      <c r="BW4">
        <v>2636</v>
      </c>
      <c r="BX4">
        <v>4398</v>
      </c>
      <c r="BY4">
        <f t="shared" si="0"/>
        <v>-1762</v>
      </c>
      <c r="BZ4" s="167">
        <f t="shared" si="1"/>
        <v>-0.17213755373192655</v>
      </c>
    </row>
    <row r="5" spans="1:78" x14ac:dyDescent="0.2">
      <c r="A5" t="s">
        <v>229</v>
      </c>
      <c r="B5" s="158" t="s">
        <v>218</v>
      </c>
      <c r="C5" s="160">
        <v>10818</v>
      </c>
      <c r="D5" s="160">
        <v>603</v>
      </c>
      <c r="E5" s="160">
        <v>11421</v>
      </c>
      <c r="F5" s="160">
        <v>9621</v>
      </c>
      <c r="G5" s="160">
        <v>1800</v>
      </c>
      <c r="H5" s="160">
        <v>439</v>
      </c>
      <c r="I5" s="160" t="s">
        <v>134</v>
      </c>
      <c r="J5" s="160">
        <v>706</v>
      </c>
      <c r="K5" s="160">
        <v>-17</v>
      </c>
      <c r="L5" s="160">
        <v>1128</v>
      </c>
      <c r="M5" s="160">
        <v>672</v>
      </c>
      <c r="N5" s="160">
        <v>-166</v>
      </c>
      <c r="O5" s="160">
        <v>13</v>
      </c>
      <c r="P5" s="160">
        <v>-153</v>
      </c>
      <c r="Q5" s="160">
        <v>-65</v>
      </c>
      <c r="R5" s="160">
        <v>-24</v>
      </c>
      <c r="S5" s="160">
        <v>-174</v>
      </c>
      <c r="T5" s="160">
        <v>256</v>
      </c>
      <c r="U5" s="160">
        <v>-5</v>
      </c>
      <c r="V5" s="160" t="s">
        <v>134</v>
      </c>
      <c r="W5" s="160" t="s">
        <v>134</v>
      </c>
      <c r="X5" s="160">
        <v>8</v>
      </c>
      <c r="Y5" s="160" t="s">
        <v>134</v>
      </c>
      <c r="Z5" s="160">
        <v>-16</v>
      </c>
      <c r="AA5" s="160" t="s">
        <v>134</v>
      </c>
      <c r="AB5" s="160">
        <v>57</v>
      </c>
      <c r="AC5" s="160">
        <v>300</v>
      </c>
      <c r="AD5" s="160">
        <v>16</v>
      </c>
      <c r="AE5" s="160">
        <v>284</v>
      </c>
      <c r="AF5" s="160">
        <v>-3</v>
      </c>
      <c r="AG5" s="160" t="s">
        <v>134</v>
      </c>
      <c r="AH5" s="160">
        <v>281</v>
      </c>
      <c r="AI5" s="160">
        <v>-17</v>
      </c>
      <c r="AJ5" s="160">
        <v>264</v>
      </c>
      <c r="AK5" s="160" t="s">
        <v>134</v>
      </c>
      <c r="AL5" s="160">
        <v>264</v>
      </c>
      <c r="AM5" s="160">
        <v>267</v>
      </c>
      <c r="AN5" s="160">
        <v>123.134328</v>
      </c>
      <c r="AO5" s="160">
        <v>124.533582</v>
      </c>
      <c r="AP5" s="160">
        <v>2.1440000000000001</v>
      </c>
      <c r="AQ5" s="160">
        <v>123.134328</v>
      </c>
      <c r="AR5" s="160">
        <v>124.533582</v>
      </c>
      <c r="AS5" s="160">
        <v>2.1440000000000001</v>
      </c>
      <c r="AT5" s="160">
        <v>66.697761</v>
      </c>
      <c r="AU5" s="160">
        <v>66.697761</v>
      </c>
      <c r="AV5" s="160" t="s">
        <v>167</v>
      </c>
      <c r="AW5" s="160" t="s">
        <v>167</v>
      </c>
      <c r="AX5" s="160">
        <v>5</v>
      </c>
      <c r="AY5" s="160">
        <v>1370</v>
      </c>
      <c r="AZ5" s="160">
        <v>672</v>
      </c>
      <c r="BA5" s="160">
        <v>672</v>
      </c>
      <c r="BB5" s="160">
        <v>1536</v>
      </c>
      <c r="BC5" s="160">
        <v>11421</v>
      </c>
      <c r="BD5" s="166">
        <v>5.3332999999999998E-2</v>
      </c>
      <c r="BE5" s="160">
        <v>55</v>
      </c>
      <c r="BF5" s="160">
        <v>1</v>
      </c>
      <c r="BG5" s="160">
        <v>56</v>
      </c>
      <c r="BH5" s="160">
        <v>-40</v>
      </c>
      <c r="BI5" s="160">
        <v>143</v>
      </c>
      <c r="BJ5" s="160">
        <v>4</v>
      </c>
      <c r="BK5" s="160">
        <v>170</v>
      </c>
      <c r="BL5" s="160">
        <v>-98</v>
      </c>
      <c r="BM5" s="160">
        <v>42082</v>
      </c>
      <c r="BN5" s="160" t="s">
        <v>194</v>
      </c>
      <c r="BO5" s="160" t="s">
        <v>201</v>
      </c>
      <c r="BP5" s="160"/>
      <c r="BQ5" s="160">
        <v>439</v>
      </c>
      <c r="BR5" s="160">
        <v>166</v>
      </c>
      <c r="BS5" s="160">
        <v>60.121215999999997</v>
      </c>
      <c r="BT5" s="160">
        <v>105.878784</v>
      </c>
      <c r="BU5" s="160">
        <v>14</v>
      </c>
      <c r="BV5" s="160">
        <v>14</v>
      </c>
      <c r="BW5">
        <v>2925</v>
      </c>
      <c r="BX5">
        <v>4627</v>
      </c>
      <c r="BY5">
        <f t="shared" si="0"/>
        <v>-1702</v>
      </c>
      <c r="BZ5" s="167">
        <f t="shared" si="1"/>
        <v>-0.15733037530042521</v>
      </c>
    </row>
    <row r="6" spans="1:78" x14ac:dyDescent="0.2">
      <c r="A6" t="s">
        <v>230</v>
      </c>
      <c r="B6" s="158" t="s">
        <v>219</v>
      </c>
      <c r="C6" s="160">
        <v>11050</v>
      </c>
      <c r="D6" s="160">
        <v>669</v>
      </c>
      <c r="E6" s="160">
        <v>11719</v>
      </c>
      <c r="F6" s="160">
        <v>9391</v>
      </c>
      <c r="G6" s="160">
        <v>2328</v>
      </c>
      <c r="H6" s="160">
        <v>449</v>
      </c>
      <c r="I6" s="160" t="s">
        <v>134</v>
      </c>
      <c r="J6" s="160">
        <v>831</v>
      </c>
      <c r="K6" s="160">
        <v>37</v>
      </c>
      <c r="L6" s="160">
        <v>1317</v>
      </c>
      <c r="M6" s="160">
        <v>1011</v>
      </c>
      <c r="N6" s="160">
        <v>-139</v>
      </c>
      <c r="O6" s="160">
        <v>17</v>
      </c>
      <c r="P6" s="160">
        <v>-122</v>
      </c>
      <c r="Q6" s="160">
        <v>39</v>
      </c>
      <c r="R6" s="160">
        <v>-37</v>
      </c>
      <c r="S6" s="160">
        <v>-3</v>
      </c>
      <c r="T6" s="160">
        <v>888</v>
      </c>
      <c r="U6" s="160">
        <v>-39</v>
      </c>
      <c r="V6" s="160" t="s">
        <v>134</v>
      </c>
      <c r="W6" s="160" t="s">
        <v>134</v>
      </c>
      <c r="X6" s="160">
        <v>10</v>
      </c>
      <c r="Y6" s="160" t="s">
        <v>134</v>
      </c>
      <c r="Z6" s="160" t="s">
        <v>134</v>
      </c>
      <c r="AA6" s="160" t="s">
        <v>134</v>
      </c>
      <c r="AB6" s="160" t="s">
        <v>134</v>
      </c>
      <c r="AC6" s="160">
        <v>859</v>
      </c>
      <c r="AD6" s="160">
        <v>157</v>
      </c>
      <c r="AE6" s="160">
        <v>702</v>
      </c>
      <c r="AF6" s="160" t="s">
        <v>134</v>
      </c>
      <c r="AG6" s="160" t="s">
        <v>134</v>
      </c>
      <c r="AH6" s="160">
        <v>702</v>
      </c>
      <c r="AI6" s="160">
        <v>-16</v>
      </c>
      <c r="AJ6" s="160">
        <v>686</v>
      </c>
      <c r="AK6" s="160" t="s">
        <v>134</v>
      </c>
      <c r="AL6" s="160">
        <v>686</v>
      </c>
      <c r="AM6" s="160">
        <v>686</v>
      </c>
      <c r="AN6" s="160">
        <v>319.96268600000002</v>
      </c>
      <c r="AO6" s="160">
        <v>319.96268600000002</v>
      </c>
      <c r="AP6" s="160">
        <v>2.1440000000000001</v>
      </c>
      <c r="AQ6" s="160">
        <v>319.96268600000002</v>
      </c>
      <c r="AR6" s="160">
        <v>319.96268600000002</v>
      </c>
      <c r="AS6" s="160">
        <v>2.1440000000000001</v>
      </c>
      <c r="AT6" s="160">
        <v>251.39925299999999</v>
      </c>
      <c r="AU6" s="160">
        <v>251.39925299999999</v>
      </c>
      <c r="AV6" s="160" t="s">
        <v>167</v>
      </c>
      <c r="AW6" s="160" t="s">
        <v>167</v>
      </c>
      <c r="AX6" s="160">
        <v>5</v>
      </c>
      <c r="AY6" s="160">
        <v>1830</v>
      </c>
      <c r="AZ6" s="160">
        <v>1011</v>
      </c>
      <c r="BA6" s="160">
        <v>1011</v>
      </c>
      <c r="BB6" s="160">
        <v>1992</v>
      </c>
      <c r="BC6" s="160">
        <v>11719</v>
      </c>
      <c r="BD6" s="166">
        <v>0.18276999999999999</v>
      </c>
      <c r="BE6" s="160">
        <v>124</v>
      </c>
      <c r="BF6" s="160">
        <v>1</v>
      </c>
      <c r="BG6" s="160">
        <v>125</v>
      </c>
      <c r="BH6" s="160">
        <v>32</v>
      </c>
      <c r="BI6" s="160">
        <v>539</v>
      </c>
      <c r="BJ6" s="160">
        <v>2</v>
      </c>
      <c r="BK6" s="160">
        <v>141</v>
      </c>
      <c r="BL6" s="160">
        <v>3</v>
      </c>
      <c r="BM6" s="160">
        <v>42446</v>
      </c>
      <c r="BN6" s="160" t="s">
        <v>194</v>
      </c>
      <c r="BO6" s="160" t="s">
        <v>201</v>
      </c>
      <c r="BP6" s="160"/>
      <c r="BQ6" s="160">
        <v>449</v>
      </c>
      <c r="BR6" s="160">
        <v>162</v>
      </c>
      <c r="BS6" s="160">
        <v>43.679088</v>
      </c>
      <c r="BT6" s="160">
        <v>118.32091200000001</v>
      </c>
      <c r="BU6" s="160">
        <v>11</v>
      </c>
      <c r="BV6" s="160">
        <v>11</v>
      </c>
      <c r="BW6">
        <v>3588</v>
      </c>
      <c r="BX6">
        <v>5502</v>
      </c>
      <c r="BY6">
        <f t="shared" si="0"/>
        <v>-1914</v>
      </c>
      <c r="BZ6" s="167">
        <f t="shared" si="1"/>
        <v>-0.17321266968325791</v>
      </c>
    </row>
    <row r="7" spans="1:78" x14ac:dyDescent="0.2">
      <c r="A7" t="s">
        <v>231</v>
      </c>
      <c r="B7" s="158" t="s">
        <v>220</v>
      </c>
      <c r="C7" s="160">
        <v>10826</v>
      </c>
      <c r="D7" s="160">
        <v>507</v>
      </c>
      <c r="E7" s="160">
        <v>11333</v>
      </c>
      <c r="F7" s="160">
        <v>8829</v>
      </c>
      <c r="G7" s="160">
        <v>2504</v>
      </c>
      <c r="H7" s="160">
        <v>415</v>
      </c>
      <c r="I7" s="160" t="s">
        <v>134</v>
      </c>
      <c r="J7" s="160">
        <v>757</v>
      </c>
      <c r="K7" s="160">
        <v>121</v>
      </c>
      <c r="L7" s="160">
        <v>1293</v>
      </c>
      <c r="M7" s="160">
        <v>1211</v>
      </c>
      <c r="N7" s="160">
        <v>-146</v>
      </c>
      <c r="O7" s="160">
        <v>24</v>
      </c>
      <c r="P7" s="160">
        <v>-122</v>
      </c>
      <c r="Q7" s="160">
        <v>149</v>
      </c>
      <c r="R7" s="160">
        <v>-58</v>
      </c>
      <c r="S7" s="160">
        <v>-2</v>
      </c>
      <c r="T7" s="160">
        <v>1178</v>
      </c>
      <c r="U7" s="160">
        <v>-27</v>
      </c>
      <c r="V7" s="160" t="s">
        <v>134</v>
      </c>
      <c r="W7" s="160" t="s">
        <v>134</v>
      </c>
      <c r="X7" s="160">
        <v>4</v>
      </c>
      <c r="Y7" s="160">
        <v>1502</v>
      </c>
      <c r="Z7" s="160">
        <v>-4</v>
      </c>
      <c r="AA7" s="160">
        <v>-25</v>
      </c>
      <c r="AB7" s="160" t="s">
        <v>134</v>
      </c>
      <c r="AC7" s="160">
        <v>2628</v>
      </c>
      <c r="AD7" s="160">
        <v>120</v>
      </c>
      <c r="AE7" s="160">
        <v>2508</v>
      </c>
      <c r="AF7" s="160" t="s">
        <v>134</v>
      </c>
      <c r="AG7" s="160" t="s">
        <v>134</v>
      </c>
      <c r="AH7" s="160">
        <v>2508</v>
      </c>
      <c r="AI7" s="160">
        <v>-15</v>
      </c>
      <c r="AJ7" s="160">
        <v>2493</v>
      </c>
      <c r="AK7" s="160" t="s">
        <v>134</v>
      </c>
      <c r="AL7" s="160">
        <v>2493</v>
      </c>
      <c r="AM7" s="160">
        <v>2493</v>
      </c>
      <c r="AN7" s="160">
        <v>1162.7798499999999</v>
      </c>
      <c r="AO7" s="160">
        <v>1162.7798499999999</v>
      </c>
      <c r="AP7" s="160">
        <v>2.1440000000000001</v>
      </c>
      <c r="AQ7" s="160">
        <v>1162.7798499999999</v>
      </c>
      <c r="AR7" s="160">
        <v>1162.7798499999999</v>
      </c>
      <c r="AS7" s="160">
        <v>2.1440000000000001</v>
      </c>
      <c r="AT7" s="160">
        <v>336.40391699999998</v>
      </c>
      <c r="AU7" s="160">
        <v>336.40391699999998</v>
      </c>
      <c r="AV7" s="160">
        <v>1</v>
      </c>
      <c r="AW7" s="160">
        <v>0.10389</v>
      </c>
      <c r="AX7" s="160">
        <v>5</v>
      </c>
      <c r="AY7" s="160">
        <v>1946</v>
      </c>
      <c r="AZ7" s="160">
        <v>1211</v>
      </c>
      <c r="BA7" s="160">
        <v>1211</v>
      </c>
      <c r="BB7" s="160">
        <v>2135</v>
      </c>
      <c r="BC7" s="160">
        <v>11333</v>
      </c>
      <c r="BD7" s="166">
        <v>4.5662000000000001E-2</v>
      </c>
      <c r="BE7" s="160" t="s">
        <v>167</v>
      </c>
      <c r="BF7" s="160" t="s">
        <v>167</v>
      </c>
      <c r="BG7" s="160">
        <v>196</v>
      </c>
      <c r="BH7" s="160">
        <v>-76</v>
      </c>
      <c r="BI7" s="160">
        <v>721.25</v>
      </c>
      <c r="BJ7" s="160">
        <v>1</v>
      </c>
      <c r="BK7" s="160">
        <v>147</v>
      </c>
      <c r="BL7" s="160">
        <v>8</v>
      </c>
      <c r="BM7" s="160">
        <v>42810</v>
      </c>
      <c r="BN7" s="160" t="s">
        <v>195</v>
      </c>
      <c r="BO7" s="160" t="s">
        <v>201</v>
      </c>
      <c r="BP7" s="160"/>
      <c r="BQ7" s="160">
        <v>415</v>
      </c>
      <c r="BR7" s="160">
        <v>189</v>
      </c>
      <c r="BS7" s="160">
        <v>49.068936000000001</v>
      </c>
      <c r="BT7" s="160">
        <v>139.93106399999999</v>
      </c>
      <c r="BU7" s="160">
        <v>10</v>
      </c>
      <c r="BV7" s="160">
        <v>10</v>
      </c>
      <c r="BW7">
        <v>3404</v>
      </c>
      <c r="BX7">
        <v>5700</v>
      </c>
      <c r="BY7">
        <f t="shared" si="0"/>
        <v>-2296</v>
      </c>
      <c r="BZ7" s="167">
        <f t="shared" si="1"/>
        <v>-0.21208202475521892</v>
      </c>
    </row>
    <row r="8" spans="1:78" x14ac:dyDescent="0.2">
      <c r="A8" t="s">
        <v>232</v>
      </c>
      <c r="B8" s="158" t="s">
        <v>221</v>
      </c>
      <c r="C8" s="160">
        <v>10885</v>
      </c>
      <c r="D8" s="160">
        <v>513</v>
      </c>
      <c r="E8" s="160">
        <v>11398</v>
      </c>
      <c r="F8" s="160">
        <v>8629</v>
      </c>
      <c r="G8" s="160">
        <v>2769</v>
      </c>
      <c r="H8" s="160">
        <v>414</v>
      </c>
      <c r="I8" s="160" t="s">
        <v>134</v>
      </c>
      <c r="J8" s="160">
        <v>756</v>
      </c>
      <c r="K8" s="160">
        <v>-34</v>
      </c>
      <c r="L8" s="160">
        <v>1136</v>
      </c>
      <c r="M8" s="160">
        <v>1633</v>
      </c>
      <c r="N8" s="160">
        <v>-145</v>
      </c>
      <c r="O8" s="160">
        <v>22</v>
      </c>
      <c r="P8" s="160">
        <v>-123</v>
      </c>
      <c r="Q8" s="160">
        <v>147</v>
      </c>
      <c r="R8" s="160">
        <v>-107</v>
      </c>
      <c r="S8" s="160">
        <v>1</v>
      </c>
      <c r="T8" s="160">
        <v>1551</v>
      </c>
      <c r="U8" s="160">
        <v>-128</v>
      </c>
      <c r="V8" s="160" t="s">
        <v>134</v>
      </c>
      <c r="W8" s="160" t="s">
        <v>134</v>
      </c>
      <c r="X8" s="160">
        <v>4</v>
      </c>
      <c r="Y8" s="160">
        <v>123</v>
      </c>
      <c r="Z8" s="160" t="s">
        <v>134</v>
      </c>
      <c r="AA8" s="160" t="s">
        <v>134</v>
      </c>
      <c r="AB8" s="160">
        <v>40</v>
      </c>
      <c r="AC8" s="160">
        <v>1590</v>
      </c>
      <c r="AD8" s="160">
        <v>221</v>
      </c>
      <c r="AE8" s="160">
        <v>1369</v>
      </c>
      <c r="AF8" s="160">
        <v>-24</v>
      </c>
      <c r="AG8" s="160" t="s">
        <v>134</v>
      </c>
      <c r="AH8" s="160">
        <v>1345</v>
      </c>
      <c r="AI8" s="160">
        <v>-16</v>
      </c>
      <c r="AJ8" s="160">
        <v>1329</v>
      </c>
      <c r="AK8" s="160" t="s">
        <v>134</v>
      </c>
      <c r="AL8" s="160">
        <v>1329</v>
      </c>
      <c r="AM8" s="160">
        <v>1353</v>
      </c>
      <c r="AN8" s="160">
        <v>619.86940200000004</v>
      </c>
      <c r="AO8" s="160">
        <v>631.06343200000003</v>
      </c>
      <c r="AP8" s="160">
        <v>2.1440000000000001</v>
      </c>
      <c r="AQ8" s="160">
        <v>619.86940200000004</v>
      </c>
      <c r="AR8" s="160">
        <v>631.06343200000003</v>
      </c>
      <c r="AS8" s="160">
        <v>2.1440000000000001</v>
      </c>
      <c r="AT8" s="160">
        <v>444.67117500000001</v>
      </c>
      <c r="AU8" s="160">
        <v>444.67117500000001</v>
      </c>
      <c r="AV8" s="160" t="s">
        <v>167</v>
      </c>
      <c r="AW8" s="160">
        <v>0.26410800000000001</v>
      </c>
      <c r="AX8" s="160">
        <v>5</v>
      </c>
      <c r="AY8" s="160">
        <v>2350</v>
      </c>
      <c r="AZ8" s="160">
        <v>1633</v>
      </c>
      <c r="BA8" s="160">
        <v>1633</v>
      </c>
      <c r="BB8" s="160">
        <v>2615</v>
      </c>
      <c r="BC8" s="160">
        <v>11398</v>
      </c>
      <c r="BD8" s="166">
        <v>0.13899300000000001</v>
      </c>
      <c r="BE8" s="160" t="s">
        <v>167</v>
      </c>
      <c r="BF8" s="160" t="s">
        <v>167</v>
      </c>
      <c r="BG8" s="160">
        <v>217</v>
      </c>
      <c r="BH8" s="160">
        <v>4</v>
      </c>
      <c r="BI8" s="160">
        <v>953.375</v>
      </c>
      <c r="BJ8" s="160">
        <v>2</v>
      </c>
      <c r="BK8" s="160">
        <v>147</v>
      </c>
      <c r="BL8" s="160">
        <v>-10</v>
      </c>
      <c r="BM8" s="160">
        <v>43159</v>
      </c>
      <c r="BN8" s="160" t="s">
        <v>197</v>
      </c>
      <c r="BO8" s="160" t="s">
        <v>201</v>
      </c>
      <c r="BP8" s="160"/>
      <c r="BQ8" s="160">
        <v>414</v>
      </c>
      <c r="BR8" s="160">
        <v>265</v>
      </c>
      <c r="BS8" s="160">
        <v>64.520079999999993</v>
      </c>
      <c r="BT8" s="160">
        <v>200.47991999999999</v>
      </c>
      <c r="BU8" s="160">
        <v>10</v>
      </c>
      <c r="BV8" s="160">
        <v>10</v>
      </c>
      <c r="BW8">
        <v>4071</v>
      </c>
      <c r="BX8">
        <v>5334</v>
      </c>
      <c r="BY8">
        <f t="shared" si="0"/>
        <v>-1263</v>
      </c>
      <c r="BZ8" s="167">
        <f t="shared" si="1"/>
        <v>-0.11603123564538355</v>
      </c>
    </row>
    <row r="9" spans="1:78" x14ac:dyDescent="0.2">
      <c r="A9" t="s">
        <v>233</v>
      </c>
      <c r="B9" s="158" t="s">
        <v>222</v>
      </c>
      <c r="C9" s="160">
        <v>11738</v>
      </c>
      <c r="D9" s="160">
        <v>533</v>
      </c>
      <c r="E9" s="160">
        <v>12271</v>
      </c>
      <c r="F9" s="160">
        <v>9301</v>
      </c>
      <c r="G9" s="160">
        <v>2970</v>
      </c>
      <c r="H9" s="160">
        <v>480</v>
      </c>
      <c r="I9" s="160" t="s">
        <v>134</v>
      </c>
      <c r="J9" s="160">
        <v>751</v>
      </c>
      <c r="K9" s="160">
        <v>-4</v>
      </c>
      <c r="L9" s="160">
        <v>1227</v>
      </c>
      <c r="M9" s="160">
        <v>1743</v>
      </c>
      <c r="N9" s="160">
        <v>-106</v>
      </c>
      <c r="O9" s="160">
        <v>20</v>
      </c>
      <c r="P9" s="160">
        <v>-86</v>
      </c>
      <c r="Q9" s="160">
        <v>130</v>
      </c>
      <c r="R9" s="160">
        <v>19</v>
      </c>
      <c r="S9" s="160">
        <v>15</v>
      </c>
      <c r="T9" s="160">
        <v>1821</v>
      </c>
      <c r="U9" s="160">
        <v>-94</v>
      </c>
      <c r="V9" s="160" t="s">
        <v>134</v>
      </c>
      <c r="W9" s="160" t="s">
        <v>134</v>
      </c>
      <c r="X9" s="160">
        <v>6</v>
      </c>
      <c r="Y9" s="160">
        <v>-6</v>
      </c>
      <c r="Z9" s="160" t="s">
        <v>134</v>
      </c>
      <c r="AA9" s="160" t="s">
        <v>134</v>
      </c>
      <c r="AB9" s="160" t="s">
        <v>134</v>
      </c>
      <c r="AC9" s="160">
        <v>1727</v>
      </c>
      <c r="AD9" s="160">
        <v>300</v>
      </c>
      <c r="AE9" s="160">
        <v>1427</v>
      </c>
      <c r="AF9" s="160">
        <v>-44</v>
      </c>
      <c r="AG9" s="160" t="s">
        <v>134</v>
      </c>
      <c r="AH9" s="160">
        <v>1383</v>
      </c>
      <c r="AI9" s="160">
        <v>-18</v>
      </c>
      <c r="AJ9" s="160">
        <v>1365</v>
      </c>
      <c r="AK9" s="160" t="s">
        <v>134</v>
      </c>
      <c r="AL9" s="160">
        <v>1365</v>
      </c>
      <c r="AM9" s="160">
        <v>1409</v>
      </c>
      <c r="AN9" s="160">
        <v>636.66044699999998</v>
      </c>
      <c r="AO9" s="160">
        <v>657.18283499999995</v>
      </c>
      <c r="AP9" s="160">
        <v>2.1440000000000001</v>
      </c>
      <c r="AQ9" s="160">
        <v>636.66044699999998</v>
      </c>
      <c r="AR9" s="160">
        <v>657.18283499999995</v>
      </c>
      <c r="AS9" s="160">
        <v>2.1440000000000001</v>
      </c>
      <c r="AT9" s="160">
        <v>522.44636100000002</v>
      </c>
      <c r="AU9" s="160">
        <v>522.44636100000002</v>
      </c>
      <c r="AV9" s="160" t="s">
        <v>167</v>
      </c>
      <c r="AW9" s="160">
        <v>0.33699600000000002</v>
      </c>
      <c r="AX9" s="160">
        <v>5</v>
      </c>
      <c r="AY9" s="160">
        <v>2440</v>
      </c>
      <c r="AZ9" s="160">
        <v>1744</v>
      </c>
      <c r="BA9" s="160">
        <v>1743</v>
      </c>
      <c r="BB9" s="160">
        <v>2791</v>
      </c>
      <c r="BC9" s="160">
        <v>12271</v>
      </c>
      <c r="BD9" s="166">
        <v>0.173711</v>
      </c>
      <c r="BE9" s="160" t="s">
        <v>167</v>
      </c>
      <c r="BF9" s="160" t="s">
        <v>167</v>
      </c>
      <c r="BG9" s="160">
        <v>256</v>
      </c>
      <c r="BH9" s="160">
        <v>44</v>
      </c>
      <c r="BI9" s="160">
        <v>1120.125</v>
      </c>
      <c r="BJ9" s="160">
        <v>6</v>
      </c>
      <c r="BK9" s="160">
        <v>101</v>
      </c>
      <c r="BL9" s="160">
        <v>24</v>
      </c>
      <c r="BM9" s="160">
        <v>43564</v>
      </c>
      <c r="BN9" s="160" t="s">
        <v>196</v>
      </c>
      <c r="BO9" s="160" t="s">
        <v>201</v>
      </c>
      <c r="BP9" s="160"/>
      <c r="BQ9" s="160">
        <v>480</v>
      </c>
      <c r="BR9" s="160">
        <v>351</v>
      </c>
      <c r="BS9" s="160">
        <v>66.642263999999997</v>
      </c>
      <c r="BT9" s="160">
        <v>284.35773599999999</v>
      </c>
      <c r="BU9" s="160">
        <v>7</v>
      </c>
      <c r="BV9" s="160">
        <v>7</v>
      </c>
      <c r="BW9">
        <v>4518</v>
      </c>
      <c r="BX9">
        <v>5488</v>
      </c>
      <c r="BY9">
        <f t="shared" si="0"/>
        <v>-970</v>
      </c>
      <c r="BZ9" s="167">
        <f t="shared" si="1"/>
        <v>-8.2637587323223724E-2</v>
      </c>
    </row>
    <row r="10" spans="1:78" x14ac:dyDescent="0.2">
      <c r="A10" t="s">
        <v>234</v>
      </c>
      <c r="B10" s="158" t="s">
        <v>223</v>
      </c>
      <c r="C10" s="160">
        <v>12333</v>
      </c>
      <c r="D10" s="160">
        <v>632</v>
      </c>
      <c r="E10" s="160">
        <v>12965</v>
      </c>
      <c r="F10" s="160">
        <v>9650</v>
      </c>
      <c r="G10" s="160">
        <v>3315</v>
      </c>
      <c r="H10" s="160">
        <v>509</v>
      </c>
      <c r="I10" s="160" t="s">
        <v>134</v>
      </c>
      <c r="J10" s="160">
        <v>786</v>
      </c>
      <c r="K10" s="160" t="s">
        <v>134</v>
      </c>
      <c r="L10" s="160">
        <v>1295</v>
      </c>
      <c r="M10" s="160">
        <v>2020</v>
      </c>
      <c r="N10" s="160">
        <v>-116</v>
      </c>
      <c r="O10" s="160">
        <v>26</v>
      </c>
      <c r="P10" s="160">
        <v>-90</v>
      </c>
      <c r="Q10" s="160">
        <v>165</v>
      </c>
      <c r="R10" s="160">
        <v>-43</v>
      </c>
      <c r="S10" s="160">
        <v>16</v>
      </c>
      <c r="T10" s="160">
        <v>2068</v>
      </c>
      <c r="U10" s="160" t="s">
        <v>134</v>
      </c>
      <c r="V10" s="160" t="s">
        <v>134</v>
      </c>
      <c r="W10" s="160" t="s">
        <v>134</v>
      </c>
      <c r="X10" s="160">
        <v>5</v>
      </c>
      <c r="Y10" s="160">
        <v>-11</v>
      </c>
      <c r="Z10" s="160" t="s">
        <v>134</v>
      </c>
      <c r="AA10" s="160" t="s">
        <v>134</v>
      </c>
      <c r="AB10" s="160">
        <v>394</v>
      </c>
      <c r="AC10" s="160">
        <v>2456</v>
      </c>
      <c r="AD10" s="160">
        <v>365</v>
      </c>
      <c r="AE10" s="160">
        <v>2091</v>
      </c>
      <c r="AF10" s="160" t="s">
        <v>134</v>
      </c>
      <c r="AG10" s="160" t="s">
        <v>134</v>
      </c>
      <c r="AH10" s="160">
        <v>2091</v>
      </c>
      <c r="AI10" s="160">
        <v>-11</v>
      </c>
      <c r="AJ10" s="160">
        <v>2080</v>
      </c>
      <c r="AK10" s="160" t="s">
        <v>134</v>
      </c>
      <c r="AL10" s="160">
        <v>2080</v>
      </c>
      <c r="AM10" s="160">
        <v>2080</v>
      </c>
      <c r="AN10" s="160">
        <v>970.14925300000004</v>
      </c>
      <c r="AO10" s="160">
        <v>970.14925300000004</v>
      </c>
      <c r="AP10" s="160">
        <v>2.1440000000000001</v>
      </c>
      <c r="AQ10" s="160">
        <v>970.14925300000004</v>
      </c>
      <c r="AR10" s="160">
        <v>970.14925300000004</v>
      </c>
      <c r="AS10" s="160">
        <v>2.1440000000000001</v>
      </c>
      <c r="AT10" s="160">
        <v>597.71455200000003</v>
      </c>
      <c r="AU10" s="160">
        <v>597.71455200000003</v>
      </c>
      <c r="AV10" s="160" t="s">
        <v>167</v>
      </c>
      <c r="AW10" s="160">
        <v>0.27644200000000002</v>
      </c>
      <c r="AX10" s="160">
        <v>5</v>
      </c>
      <c r="AY10" s="160">
        <v>2748</v>
      </c>
      <c r="AZ10" s="160">
        <v>2020</v>
      </c>
      <c r="BA10" s="160">
        <v>2020</v>
      </c>
      <c r="BB10" s="160">
        <v>3107</v>
      </c>
      <c r="BC10" s="160">
        <v>12965</v>
      </c>
      <c r="BD10" s="166">
        <v>0.148615</v>
      </c>
      <c r="BE10" s="160" t="s">
        <v>167</v>
      </c>
      <c r="BF10" s="160" t="s">
        <v>167</v>
      </c>
      <c r="BG10" s="160">
        <v>284</v>
      </c>
      <c r="BH10" s="160">
        <v>81</v>
      </c>
      <c r="BI10" s="160">
        <v>1281.5</v>
      </c>
      <c r="BJ10" s="160">
        <v>12</v>
      </c>
      <c r="BK10" s="160">
        <v>127</v>
      </c>
      <c r="BL10" s="160">
        <v>-24</v>
      </c>
      <c r="BM10" s="160">
        <v>43888</v>
      </c>
      <c r="BN10" s="160" t="s">
        <v>195</v>
      </c>
      <c r="BO10" s="160" t="s">
        <v>201</v>
      </c>
      <c r="BP10" s="160"/>
      <c r="BQ10" s="160">
        <v>509</v>
      </c>
      <c r="BR10" s="160">
        <v>359</v>
      </c>
      <c r="BS10" s="160">
        <v>84.373615999999998</v>
      </c>
      <c r="BT10" s="160">
        <v>274.62638399999997</v>
      </c>
      <c r="BU10" s="160">
        <v>6</v>
      </c>
      <c r="BV10" s="160">
        <v>6</v>
      </c>
      <c r="BW10">
        <v>4287</v>
      </c>
      <c r="BX10">
        <v>5838</v>
      </c>
      <c r="BY10">
        <f t="shared" si="0"/>
        <v>-1551</v>
      </c>
      <c r="BZ10" s="167">
        <f t="shared" si="1"/>
        <v>-0.12576015567988325</v>
      </c>
    </row>
    <row r="11" spans="1:78" x14ac:dyDescent="0.2">
      <c r="A11" t="s">
        <v>235</v>
      </c>
      <c r="B11" s="158" t="s">
        <v>224</v>
      </c>
      <c r="C11" s="160">
        <v>12610</v>
      </c>
      <c r="D11" s="160">
        <v>680</v>
      </c>
      <c r="E11" s="160">
        <v>13290</v>
      </c>
      <c r="F11" s="160">
        <v>9733</v>
      </c>
      <c r="G11" s="160">
        <v>3557</v>
      </c>
      <c r="H11" s="160">
        <v>516</v>
      </c>
      <c r="I11" s="160" t="s">
        <v>134</v>
      </c>
      <c r="J11" s="160">
        <v>1106</v>
      </c>
      <c r="K11" s="160" t="s">
        <v>134</v>
      </c>
      <c r="L11" s="160">
        <v>1622</v>
      </c>
      <c r="M11" s="160">
        <v>1935</v>
      </c>
      <c r="N11" s="160">
        <v>-219</v>
      </c>
      <c r="O11" s="160">
        <v>36</v>
      </c>
      <c r="P11" s="160">
        <v>-183</v>
      </c>
      <c r="Q11" s="160">
        <v>170</v>
      </c>
      <c r="R11" s="160">
        <v>110</v>
      </c>
      <c r="S11" s="160">
        <v>4</v>
      </c>
      <c r="T11" s="160">
        <v>2036</v>
      </c>
      <c r="U11" s="160" t="s">
        <v>134</v>
      </c>
      <c r="V11" s="160" t="s">
        <v>134</v>
      </c>
      <c r="W11" s="160" t="s">
        <v>134</v>
      </c>
      <c r="X11" s="160">
        <v>3</v>
      </c>
      <c r="Y11" s="160">
        <v>3</v>
      </c>
      <c r="Z11" s="160" t="s">
        <v>134</v>
      </c>
      <c r="AA11" s="160">
        <v>-583</v>
      </c>
      <c r="AB11" s="160" t="s">
        <v>134</v>
      </c>
      <c r="AC11" s="160">
        <v>1459</v>
      </c>
      <c r="AD11" s="160">
        <v>350</v>
      </c>
      <c r="AE11" s="160">
        <v>1109</v>
      </c>
      <c r="AF11" s="160" t="s">
        <v>134</v>
      </c>
      <c r="AG11" s="160" t="s">
        <v>134</v>
      </c>
      <c r="AH11" s="160">
        <v>1109</v>
      </c>
      <c r="AI11" s="160" t="s">
        <v>134</v>
      </c>
      <c r="AJ11" s="160">
        <v>1109</v>
      </c>
      <c r="AK11" s="160" t="s">
        <v>134</v>
      </c>
      <c r="AL11" s="160">
        <v>1109</v>
      </c>
      <c r="AM11" s="160">
        <v>1109</v>
      </c>
      <c r="AN11" s="160">
        <v>517.25746200000003</v>
      </c>
      <c r="AO11" s="160">
        <v>517.25746200000003</v>
      </c>
      <c r="AP11" s="160">
        <v>2.1440000000000001</v>
      </c>
      <c r="AQ11" s="160">
        <v>517.25746200000003</v>
      </c>
      <c r="AR11" s="160">
        <v>517.25746200000003</v>
      </c>
      <c r="AS11" s="160">
        <v>2.1440000000000001</v>
      </c>
      <c r="AT11" s="160">
        <v>593.51679100000001</v>
      </c>
      <c r="AU11" s="160">
        <v>593.51679100000001</v>
      </c>
      <c r="AV11" s="160" t="s">
        <v>167</v>
      </c>
      <c r="AW11" s="160">
        <v>0.52750200000000003</v>
      </c>
      <c r="AX11" s="160">
        <v>5</v>
      </c>
      <c r="AY11" s="160">
        <v>2498</v>
      </c>
      <c r="AZ11" s="160">
        <v>1935</v>
      </c>
      <c r="BA11" s="160">
        <v>1935</v>
      </c>
      <c r="BB11" s="160">
        <v>2538</v>
      </c>
      <c r="BC11" s="160">
        <v>13290</v>
      </c>
      <c r="BD11" s="166">
        <v>0.23988999999999999</v>
      </c>
      <c r="BE11" s="160" t="s">
        <v>167</v>
      </c>
      <c r="BF11" s="160" t="s">
        <v>167</v>
      </c>
      <c r="BG11" s="160">
        <v>329</v>
      </c>
      <c r="BH11" s="160">
        <v>21</v>
      </c>
      <c r="BI11" s="160">
        <v>1272.5</v>
      </c>
      <c r="BJ11" s="160">
        <v>15</v>
      </c>
      <c r="BK11" s="160">
        <v>233</v>
      </c>
      <c r="BL11" s="160">
        <v>-29</v>
      </c>
      <c r="BM11" s="160">
        <v>43888</v>
      </c>
      <c r="BN11" s="160" t="s">
        <v>198</v>
      </c>
      <c r="BO11" s="160" t="s">
        <v>201</v>
      </c>
      <c r="BP11" s="160"/>
      <c r="BQ11" s="160">
        <v>516</v>
      </c>
      <c r="BR11" s="160">
        <v>40</v>
      </c>
      <c r="BS11" s="160">
        <v>13.949120000000001</v>
      </c>
      <c r="BT11" s="160">
        <v>26.050879999999999</v>
      </c>
      <c r="BU11" s="160">
        <v>7</v>
      </c>
      <c r="BV11" s="160">
        <v>7</v>
      </c>
      <c r="BW11">
        <v>4720</v>
      </c>
      <c r="BX11">
        <v>6390</v>
      </c>
      <c r="BY11">
        <f t="shared" si="0"/>
        <v>-1670</v>
      </c>
      <c r="BZ11" s="167">
        <f t="shared" si="1"/>
        <v>-0.13243457573354481</v>
      </c>
    </row>
    <row r="12" spans="1:78" x14ac:dyDescent="0.2">
      <c r="A12" t="s">
        <v>236</v>
      </c>
      <c r="B12" s="158" t="s">
        <v>225</v>
      </c>
      <c r="C12" s="160">
        <v>9087</v>
      </c>
      <c r="D12" s="160">
        <v>518</v>
      </c>
      <c r="E12" s="160">
        <v>9605</v>
      </c>
      <c r="F12" s="160">
        <v>7915</v>
      </c>
      <c r="G12" s="160">
        <v>1690</v>
      </c>
      <c r="H12" s="160">
        <v>339</v>
      </c>
      <c r="I12" s="160" t="s">
        <v>134</v>
      </c>
      <c r="J12" s="160">
        <v>1147</v>
      </c>
      <c r="K12" s="160" t="s">
        <v>134</v>
      </c>
      <c r="L12" s="160">
        <v>1486</v>
      </c>
      <c r="M12" s="160">
        <v>204</v>
      </c>
      <c r="N12" s="160">
        <v>-242</v>
      </c>
      <c r="O12" s="160">
        <v>30</v>
      </c>
      <c r="P12" s="160">
        <v>-212</v>
      </c>
      <c r="Q12" s="160">
        <v>22</v>
      </c>
      <c r="R12" s="160">
        <v>56</v>
      </c>
      <c r="S12" s="160">
        <v>-10</v>
      </c>
      <c r="T12" s="160">
        <v>60</v>
      </c>
      <c r="U12" s="160" t="s">
        <v>134</v>
      </c>
      <c r="V12" s="160" t="s">
        <v>134</v>
      </c>
      <c r="W12" s="160" t="s">
        <v>134</v>
      </c>
      <c r="X12" s="160">
        <v>4</v>
      </c>
      <c r="Y12" s="160">
        <v>4</v>
      </c>
      <c r="Z12" s="160">
        <v>-434</v>
      </c>
      <c r="AA12" s="160">
        <v>-603</v>
      </c>
      <c r="AB12" s="160">
        <v>-688</v>
      </c>
      <c r="AC12" s="160">
        <v>-1657</v>
      </c>
      <c r="AD12" s="160">
        <v>-151</v>
      </c>
      <c r="AE12" s="160">
        <v>-1506</v>
      </c>
      <c r="AF12" s="160" t="s">
        <v>134</v>
      </c>
      <c r="AG12" s="160" t="s">
        <v>134</v>
      </c>
      <c r="AH12" s="160">
        <v>-1506</v>
      </c>
      <c r="AI12" s="160" t="s">
        <v>134</v>
      </c>
      <c r="AJ12" s="160">
        <v>-1506</v>
      </c>
      <c r="AK12" s="160" t="s">
        <v>134</v>
      </c>
      <c r="AL12" s="160">
        <v>-1506</v>
      </c>
      <c r="AM12" s="160">
        <v>-1506</v>
      </c>
      <c r="AN12" s="160">
        <v>-702.43</v>
      </c>
      <c r="AO12" s="160">
        <v>-702.43</v>
      </c>
      <c r="AP12" s="160">
        <v>2.1440000000000001</v>
      </c>
      <c r="AQ12" s="160">
        <v>-702.43</v>
      </c>
      <c r="AR12" s="160">
        <v>-702.43</v>
      </c>
      <c r="AS12" s="160">
        <v>2.1440000000000001</v>
      </c>
      <c r="AT12" s="160">
        <v>17.490670999999999</v>
      </c>
      <c r="AU12" s="160">
        <v>17.490670999999999</v>
      </c>
      <c r="AV12" s="160" t="s">
        <v>167</v>
      </c>
      <c r="AW12" s="160" t="s">
        <v>177</v>
      </c>
      <c r="AX12" s="160">
        <v>5</v>
      </c>
      <c r="AY12" s="160">
        <v>1120</v>
      </c>
      <c r="AZ12" s="160">
        <v>209</v>
      </c>
      <c r="BA12" s="160">
        <v>204</v>
      </c>
      <c r="BB12" s="160" t="s">
        <v>167</v>
      </c>
      <c r="BC12" s="160">
        <v>9605</v>
      </c>
      <c r="BD12" s="166" t="s">
        <v>177</v>
      </c>
      <c r="BE12" s="160" t="s">
        <v>167</v>
      </c>
      <c r="BF12" s="160" t="s">
        <v>167</v>
      </c>
      <c r="BG12" s="160">
        <v>329</v>
      </c>
      <c r="BH12" s="160">
        <v>21</v>
      </c>
      <c r="BI12" s="160">
        <v>37.5</v>
      </c>
      <c r="BJ12" s="160" t="s">
        <v>167</v>
      </c>
      <c r="BK12" s="160" t="s">
        <v>167</v>
      </c>
      <c r="BL12" s="160" t="s">
        <v>134</v>
      </c>
      <c r="BM12" s="160">
        <v>44049</v>
      </c>
      <c r="BN12" s="160" t="s">
        <v>198</v>
      </c>
      <c r="BO12" s="160" t="s">
        <v>202</v>
      </c>
      <c r="BP12" s="160"/>
      <c r="BQ12" s="160">
        <v>339</v>
      </c>
      <c r="BR12" s="160" t="s">
        <v>167</v>
      </c>
      <c r="BS12" s="160" t="s">
        <v>134</v>
      </c>
      <c r="BT12" s="160" t="s">
        <v>134</v>
      </c>
      <c r="BU12" s="160">
        <v>7</v>
      </c>
      <c r="BV12" s="160">
        <v>7</v>
      </c>
      <c r="BW12">
        <v>3520</v>
      </c>
      <c r="BX12">
        <v>7015</v>
      </c>
      <c r="BY12">
        <f t="shared" si="0"/>
        <v>-3495</v>
      </c>
      <c r="BZ12" s="167">
        <f t="shared" si="1"/>
        <v>-0.38461538461538464</v>
      </c>
    </row>
    <row r="13" spans="1:78" x14ac:dyDescent="0.2">
      <c r="B13" s="15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2AC4-E1DE-A742-87E9-C5FEB01CB600}">
  <dimension ref="A1:Q18"/>
  <sheetViews>
    <sheetView zoomScale="140" zoomScaleNormal="140" workbookViewId="0">
      <selection activeCell="O16" sqref="O16"/>
    </sheetView>
  </sheetViews>
  <sheetFormatPr baseColWidth="10" defaultRowHeight="15" x14ac:dyDescent="0.2"/>
  <cols>
    <col min="15" max="15" width="16.33203125" bestFit="1" customWidth="1"/>
  </cols>
  <sheetData>
    <row r="1" spans="1:17" x14ac:dyDescent="0.2">
      <c r="A1" s="32" t="s">
        <v>213</v>
      </c>
      <c r="B1" s="32" t="s">
        <v>214</v>
      </c>
      <c r="C1" s="32" t="s">
        <v>14</v>
      </c>
      <c r="D1" s="32" t="s">
        <v>237</v>
      </c>
      <c r="E1" s="32" t="s">
        <v>183</v>
      </c>
      <c r="F1" s="32" t="s">
        <v>314</v>
      </c>
    </row>
    <row r="2" spans="1:17" x14ac:dyDescent="0.2">
      <c r="A2" s="161">
        <v>2010</v>
      </c>
      <c r="B2" s="162" t="s">
        <v>215</v>
      </c>
      <c r="C2" s="163">
        <v>8483</v>
      </c>
      <c r="D2" s="163"/>
      <c r="E2" s="166" t="s">
        <v>177</v>
      </c>
      <c r="F2" s="167">
        <v>-8.8297727198606582E-2</v>
      </c>
    </row>
    <row r="3" spans="1:17" x14ac:dyDescent="0.2">
      <c r="A3" s="161">
        <v>2011</v>
      </c>
      <c r="B3" s="162" t="s">
        <v>216</v>
      </c>
      <c r="C3" s="163">
        <v>9460</v>
      </c>
      <c r="D3" s="164">
        <f>((C3/C2)-1)</f>
        <v>0.11517151950960747</v>
      </c>
      <c r="E3" s="166">
        <v>1.0309E-2</v>
      </c>
      <c r="F3" s="167">
        <v>-9.6088794926004223E-2</v>
      </c>
    </row>
    <row r="4" spans="1:17" x14ac:dyDescent="0.2">
      <c r="A4" s="161">
        <v>2012</v>
      </c>
      <c r="B4" s="162" t="s">
        <v>217</v>
      </c>
      <c r="C4" s="163">
        <v>10236</v>
      </c>
      <c r="D4" s="164">
        <f t="shared" ref="D4:D12" si="0">((C4/C3)-1)</f>
        <v>8.2029598308668072E-2</v>
      </c>
      <c r="E4" s="166" t="s">
        <v>177</v>
      </c>
      <c r="F4" s="167">
        <v>-0.17213755373192655</v>
      </c>
    </row>
    <row r="5" spans="1:17" x14ac:dyDescent="0.2">
      <c r="A5" s="161">
        <v>2013</v>
      </c>
      <c r="B5" s="162" t="s">
        <v>218</v>
      </c>
      <c r="C5" s="163">
        <v>10818</v>
      </c>
      <c r="D5" s="164">
        <f t="shared" si="0"/>
        <v>5.6858147713950702E-2</v>
      </c>
      <c r="E5" s="166">
        <v>5.3332999999999998E-2</v>
      </c>
      <c r="F5" s="167">
        <v>-0.15733037530042521</v>
      </c>
    </row>
    <row r="6" spans="1:17" x14ac:dyDescent="0.2">
      <c r="A6" s="161">
        <v>2014</v>
      </c>
      <c r="B6" s="162" t="s">
        <v>219</v>
      </c>
      <c r="C6" s="163">
        <v>11050</v>
      </c>
      <c r="D6" s="164">
        <f t="shared" si="0"/>
        <v>2.14457385838418E-2</v>
      </c>
      <c r="E6" s="166">
        <v>0.18276999999999999</v>
      </c>
      <c r="F6" s="167">
        <v>-0.17321266968325791</v>
      </c>
    </row>
    <row r="7" spans="1:17" x14ac:dyDescent="0.2">
      <c r="A7" s="161">
        <v>2015</v>
      </c>
      <c r="B7" s="162" t="s">
        <v>220</v>
      </c>
      <c r="C7" s="163">
        <v>10826</v>
      </c>
      <c r="D7" s="164">
        <f t="shared" si="0"/>
        <v>-2.0271493212669633E-2</v>
      </c>
      <c r="E7" s="166">
        <v>4.5662000000000001E-2</v>
      </c>
      <c r="F7" s="167">
        <v>-0.21208202475521892</v>
      </c>
    </row>
    <row r="8" spans="1:17" x14ac:dyDescent="0.2">
      <c r="A8" s="161">
        <v>2016</v>
      </c>
      <c r="B8" s="162" t="s">
        <v>221</v>
      </c>
      <c r="C8" s="163">
        <v>10885</v>
      </c>
      <c r="D8" s="164">
        <f t="shared" si="0"/>
        <v>5.4498429706262286E-3</v>
      </c>
      <c r="E8" s="166">
        <v>0.13899300000000001</v>
      </c>
      <c r="F8" s="167">
        <v>-0.11603123564538355</v>
      </c>
    </row>
    <row r="9" spans="1:17" x14ac:dyDescent="0.2">
      <c r="A9" s="161">
        <v>2017</v>
      </c>
      <c r="B9" s="162" t="s">
        <v>222</v>
      </c>
      <c r="C9" s="163">
        <v>11738</v>
      </c>
      <c r="D9" s="164">
        <f t="shared" si="0"/>
        <v>7.8364722094625527E-2</v>
      </c>
      <c r="E9" s="166">
        <v>0.173711</v>
      </c>
      <c r="F9" s="167">
        <v>-8.2637587323223724E-2</v>
      </c>
    </row>
    <row r="10" spans="1:17" x14ac:dyDescent="0.2">
      <c r="A10" s="161">
        <v>2018</v>
      </c>
      <c r="B10" s="162" t="s">
        <v>223</v>
      </c>
      <c r="C10" s="163">
        <v>12333</v>
      </c>
      <c r="D10" s="164">
        <f t="shared" si="0"/>
        <v>5.0690066450843396E-2</v>
      </c>
      <c r="E10" s="166">
        <v>0.148615</v>
      </c>
      <c r="F10" s="167">
        <v>-0.12576015567988325</v>
      </c>
    </row>
    <row r="11" spans="1:17" x14ac:dyDescent="0.2">
      <c r="A11" s="161">
        <v>2019</v>
      </c>
      <c r="B11" s="162" t="s">
        <v>224</v>
      </c>
      <c r="C11" s="163">
        <v>12610</v>
      </c>
      <c r="D11" s="164">
        <f t="shared" si="0"/>
        <v>2.246006648828347E-2</v>
      </c>
      <c r="E11" s="166">
        <v>0.23988999999999999</v>
      </c>
      <c r="F11" s="167">
        <v>-0.13243457573354481</v>
      </c>
    </row>
    <row r="12" spans="1:17" x14ac:dyDescent="0.2">
      <c r="A12" s="161">
        <v>2020</v>
      </c>
      <c r="B12" s="162" t="s">
        <v>225</v>
      </c>
      <c r="C12" s="163">
        <v>9087</v>
      </c>
      <c r="D12" s="164">
        <f t="shared" si="0"/>
        <v>-0.27938144329896908</v>
      </c>
      <c r="E12" s="166" t="s">
        <v>177</v>
      </c>
      <c r="F12" s="167">
        <v>-0.38461538461538464</v>
      </c>
    </row>
    <row r="14" spans="1:17" s="165" customFormat="1" x14ac:dyDescent="0.2"/>
    <row r="15" spans="1:17" x14ac:dyDescent="0.2">
      <c r="A15" t="s">
        <v>238</v>
      </c>
      <c r="D15" s="169">
        <f>((C11/C2)^(1/(COUNT(C2:C11)-1))-1)</f>
        <v>4.503181729750505E-2</v>
      </c>
      <c r="N15" t="s">
        <v>317</v>
      </c>
      <c r="O15" s="199">
        <f>'Income Statement'!K61*10^6</f>
        <v>1109000000</v>
      </c>
      <c r="P15" t="s">
        <v>318</v>
      </c>
      <c r="Q15" s="199">
        <f>'Income Statement'!K69</f>
        <v>517.25746200000003</v>
      </c>
    </row>
    <row r="16" spans="1:17" x14ac:dyDescent="0.2">
      <c r="A16" t="s">
        <v>239</v>
      </c>
      <c r="D16" s="168">
        <f>AVERAGE(D3:D11)</f>
        <v>4.5799800989753003E-2</v>
      </c>
      <c r="F16" t="s">
        <v>240</v>
      </c>
      <c r="H16" s="83">
        <f>AVERAGE(E2:E11)</f>
        <v>0.12416037499999999</v>
      </c>
      <c r="J16" t="s">
        <v>315</v>
      </c>
      <c r="L16" s="197">
        <f>AVERAGE(F2:F11)</f>
        <v>-0.13560126999774746</v>
      </c>
      <c r="N16" t="s">
        <v>316</v>
      </c>
      <c r="O16" s="200">
        <f>O15/Q15</f>
        <v>2144000.0028457781</v>
      </c>
    </row>
    <row r="18" s="165" customFormat="1" x14ac:dyDescent="0.2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42AA-28DF-BD43-AE99-59BC4CD2409A}">
  <sheetPr>
    <tabColor theme="9"/>
  </sheetPr>
  <dimension ref="B1:Q126"/>
  <sheetViews>
    <sheetView topLeftCell="B1" zoomScale="130" zoomScaleNormal="130" workbookViewId="0">
      <selection activeCell="C73" sqref="C73"/>
    </sheetView>
  </sheetViews>
  <sheetFormatPr baseColWidth="10" defaultColWidth="9.1640625" defaultRowHeight="15" x14ac:dyDescent="0.2"/>
  <cols>
    <col min="1" max="1" width="1.5" customWidth="1"/>
    <col min="2" max="2" width="54.5" customWidth="1"/>
    <col min="3" max="3" width="13.5" customWidth="1"/>
    <col min="4" max="9" width="12.6640625" customWidth="1"/>
    <col min="10" max="10" width="1.83203125" customWidth="1"/>
    <col min="11" max="11" width="12.1640625" bestFit="1" customWidth="1"/>
    <col min="12" max="16" width="9.5" customWidth="1"/>
  </cols>
  <sheetData>
    <row r="1" spans="2:11" ht="16" thickBot="1" x14ac:dyDescent="0.25"/>
    <row r="2" spans="2:11" ht="16" thickBot="1" x14ac:dyDescent="0.25">
      <c r="B2" s="1" t="s">
        <v>0</v>
      </c>
      <c r="C2" s="2"/>
      <c r="D2" s="2"/>
      <c r="E2" s="2"/>
      <c r="F2" s="2"/>
      <c r="G2" s="2"/>
      <c r="H2" s="2"/>
      <c r="I2" s="2"/>
    </row>
    <row r="3" spans="2:11" x14ac:dyDescent="0.2">
      <c r="B3" s="3" t="str">
        <f>'[1]Financials '!$B$3</f>
        <v xml:space="preserve">$ and shares in millions, except per share data </v>
      </c>
    </row>
    <row r="4" spans="2:11" ht="15" customHeight="1" x14ac:dyDescent="0.2">
      <c r="B4" t="s">
        <v>1</v>
      </c>
      <c r="D4" s="4">
        <v>43830</v>
      </c>
      <c r="F4" t="s">
        <v>2</v>
      </c>
      <c r="H4" s="5">
        <v>0.1</v>
      </c>
    </row>
    <row r="5" spans="2:11" x14ac:dyDescent="0.2">
      <c r="B5" t="s">
        <v>3</v>
      </c>
      <c r="D5" s="6">
        <f>EOMONTH(D4,12)</f>
        <v>44196</v>
      </c>
      <c r="F5" t="s">
        <v>4</v>
      </c>
      <c r="H5" s="7" t="s">
        <v>167</v>
      </c>
    </row>
    <row r="6" spans="2:11" x14ac:dyDescent="0.2">
      <c r="B6" t="s">
        <v>5</v>
      </c>
      <c r="D6" s="4">
        <v>43827</v>
      </c>
      <c r="F6" t="s">
        <v>6</v>
      </c>
      <c r="H6" s="7" t="s">
        <v>167</v>
      </c>
      <c r="J6" s="8"/>
    </row>
    <row r="7" spans="2:11" x14ac:dyDescent="0.2">
      <c r="B7" t="s">
        <v>7</v>
      </c>
      <c r="D7" s="6">
        <f>EOMONTH(D6,12)</f>
        <v>44196</v>
      </c>
      <c r="F7" t="s">
        <v>8</v>
      </c>
      <c r="H7" s="9">
        <v>0</v>
      </c>
      <c r="I7" s="8"/>
      <c r="J7" s="8"/>
    </row>
    <row r="8" spans="2:11" x14ac:dyDescent="0.2">
      <c r="B8" t="s">
        <v>9</v>
      </c>
      <c r="D8" s="10">
        <f>YEARFRAC(D7,D5)</f>
        <v>0</v>
      </c>
    </row>
    <row r="9" spans="2:11" x14ac:dyDescent="0.2">
      <c r="D9" s="11"/>
    </row>
    <row r="10" spans="2:11" x14ac:dyDescent="0.2">
      <c r="B10" s="12" t="s">
        <v>10</v>
      </c>
      <c r="C10" s="13"/>
      <c r="D10" s="14"/>
      <c r="F10" s="13"/>
      <c r="G10" s="13"/>
      <c r="H10" s="13"/>
      <c r="I10" s="13"/>
    </row>
    <row r="11" spans="2:11" ht="17.25" customHeight="1" x14ac:dyDescent="0.35">
      <c r="C11" s="15"/>
      <c r="D11" s="15" t="s">
        <v>11</v>
      </c>
      <c r="E11" s="16" t="s">
        <v>12</v>
      </c>
      <c r="F11" s="15"/>
      <c r="G11" s="15"/>
      <c r="H11" s="15"/>
      <c r="I11" s="15"/>
    </row>
    <row r="12" spans="2:11" x14ac:dyDescent="0.2">
      <c r="B12" s="17" t="s">
        <v>13</v>
      </c>
      <c r="C12" s="18"/>
      <c r="D12" s="19">
        <f>D4</f>
        <v>43830</v>
      </c>
      <c r="E12" s="20">
        <f>EOMONTH(D12,12)</f>
        <v>44196</v>
      </c>
      <c r="F12" s="20">
        <f t="shared" ref="F12:I12" si="0">EOMONTH(E12,12)</f>
        <v>44561</v>
      </c>
      <c r="G12" s="20">
        <f t="shared" si="0"/>
        <v>44926</v>
      </c>
      <c r="H12" s="20">
        <f t="shared" si="0"/>
        <v>45291</v>
      </c>
      <c r="I12" s="20">
        <f t="shared" si="0"/>
        <v>45657</v>
      </c>
    </row>
    <row r="13" spans="2:11" x14ac:dyDescent="0.2">
      <c r="B13" s="17"/>
      <c r="D13" s="21"/>
      <c r="E13" s="22"/>
      <c r="F13" s="22"/>
      <c r="G13" s="22"/>
      <c r="H13" s="22"/>
      <c r="I13" s="22"/>
    </row>
    <row r="14" spans="2:11" x14ac:dyDescent="0.2">
      <c r="B14" t="s">
        <v>14</v>
      </c>
      <c r="C14" s="23"/>
      <c r="D14" s="24">
        <f>'Input Data'!C11</f>
        <v>12610</v>
      </c>
      <c r="E14" s="23">
        <f>D14*(1+E15)</f>
        <v>13152.55097289723</v>
      </c>
      <c r="F14" s="23">
        <f t="shared" ref="F14:I14" si="1">E14*(1+F15)</f>
        <v>13692.056649962369</v>
      </c>
      <c r="G14" s="23">
        <f t="shared" si="1"/>
        <v>14226.221117006855</v>
      </c>
      <c r="H14" s="23">
        <f t="shared" si="1"/>
        <v>14752.681826318039</v>
      </c>
      <c r="I14" s="23">
        <f t="shared" si="1"/>
        <v>15269.02569023917</v>
      </c>
    </row>
    <row r="15" spans="2:11" x14ac:dyDescent="0.2">
      <c r="B15" s="25" t="s">
        <v>15</v>
      </c>
      <c r="D15" s="170">
        <f>Workbook!D15</f>
        <v>4.503181729750505E-2</v>
      </c>
      <c r="E15" s="26">
        <f>D15-(($D$15-$I$15)/5)</f>
        <v>4.3025453838004039E-2</v>
      </c>
      <c r="F15" s="26">
        <f t="shared" ref="F15:H15" si="2">E15-(($D$15-$I$15)/5)</f>
        <v>4.1019090378503029E-2</v>
      </c>
      <c r="G15" s="26">
        <f t="shared" si="2"/>
        <v>3.9012726919002018E-2</v>
      </c>
      <c r="H15" s="26">
        <f t="shared" si="2"/>
        <v>3.7006363459501007E-2</v>
      </c>
      <c r="I15" s="26">
        <v>3.5000000000000003E-2</v>
      </c>
      <c r="K15" s="26"/>
    </row>
    <row r="16" spans="2:11" x14ac:dyDescent="0.2">
      <c r="B16" t="s">
        <v>16</v>
      </c>
      <c r="C16" s="23"/>
      <c r="D16" s="24">
        <f>'Input Data'!AY11</f>
        <v>2498</v>
      </c>
      <c r="E16" s="23">
        <f>E17*E14</f>
        <v>2478.9585961367843</v>
      </c>
      <c r="F16" s="23">
        <f t="shared" ref="F16:I16" si="3">F17*F14</f>
        <v>2448.9345415008033</v>
      </c>
      <c r="G16" s="23">
        <f t="shared" si="3"/>
        <v>2407.6271598576</v>
      </c>
      <c r="H16" s="23">
        <f t="shared" si="3"/>
        <v>2354.8134797789817</v>
      </c>
      <c r="I16" s="23">
        <f t="shared" si="3"/>
        <v>2290.3538535358753</v>
      </c>
    </row>
    <row r="17" spans="2:13" x14ac:dyDescent="0.2">
      <c r="B17" s="25" t="s">
        <v>17</v>
      </c>
      <c r="D17" s="28">
        <f>D16/D14</f>
        <v>0.19809674861221252</v>
      </c>
      <c r="E17" s="26">
        <f>D17-(($D$17-$I$17)/5)</f>
        <v>0.18847739888977003</v>
      </c>
      <c r="F17" s="26">
        <f t="shared" ref="F17:H17" si="4">E17-(($D$17-$I$17)/5)</f>
        <v>0.17885804916732753</v>
      </c>
      <c r="G17" s="26">
        <f t="shared" si="4"/>
        <v>0.16923869944488504</v>
      </c>
      <c r="H17" s="26">
        <f t="shared" si="4"/>
        <v>0.15961934972244254</v>
      </c>
      <c r="I17" s="26">
        <v>0.15</v>
      </c>
    </row>
    <row r="18" spans="2:13" x14ac:dyDescent="0.2">
      <c r="B18" t="s">
        <v>18</v>
      </c>
      <c r="D18" s="24">
        <f>'Input Data'!BA11</f>
        <v>1935</v>
      </c>
      <c r="E18" s="23">
        <f>E19*E14</f>
        <v>1877.6544219991747</v>
      </c>
      <c r="F18" s="23">
        <f t="shared" ref="F18:I18" si="5">F19*F14</f>
        <v>1808.306990075125</v>
      </c>
      <c r="G18" s="23">
        <f t="shared" si="5"/>
        <v>1726.7766884766606</v>
      </c>
      <c r="H18" s="23">
        <f t="shared" si="5"/>
        <v>1632.9732984278126</v>
      </c>
      <c r="I18" s="23">
        <f t="shared" si="5"/>
        <v>1526.9025690239171</v>
      </c>
    </row>
    <row r="19" spans="2:13" x14ac:dyDescent="0.2">
      <c r="B19" s="25" t="s">
        <v>17</v>
      </c>
      <c r="D19" s="28">
        <f>D18/D14</f>
        <v>0.1534496431403648</v>
      </c>
      <c r="E19" s="26">
        <f>D19-(($D$19-$I$19)/5)</f>
        <v>0.14275971451229183</v>
      </c>
      <c r="F19" s="26">
        <f t="shared" ref="F19:H19" si="6">E19-(($D$19-$I$19)/5)</f>
        <v>0.13206978588421886</v>
      </c>
      <c r="G19" s="26">
        <f t="shared" si="6"/>
        <v>0.1213798572561459</v>
      </c>
      <c r="H19" s="26">
        <f t="shared" si="6"/>
        <v>0.11068992862807295</v>
      </c>
      <c r="I19" s="26">
        <v>0.1</v>
      </c>
    </row>
    <row r="20" spans="2:13" x14ac:dyDescent="0.2">
      <c r="B20" s="25"/>
      <c r="D20" s="29"/>
      <c r="E20" s="30"/>
      <c r="F20" s="30"/>
      <c r="G20" s="30"/>
      <c r="H20" s="30"/>
      <c r="I20" s="30"/>
    </row>
    <row r="21" spans="2:13" ht="15" customHeight="1" x14ac:dyDescent="0.2">
      <c r="B21" t="s">
        <v>19</v>
      </c>
      <c r="C21" s="23"/>
      <c r="D21" s="27">
        <f>D22*D18</f>
        <v>464.18714999999997</v>
      </c>
      <c r="E21" s="23">
        <f>E22*E18</f>
        <v>450.43051929338202</v>
      </c>
      <c r="F21" s="23">
        <f t="shared" ref="F21:I21" si="7">F22*F18</f>
        <v>433.79476384912169</v>
      </c>
      <c r="G21" s="23">
        <f t="shared" si="7"/>
        <v>414.23645979866609</v>
      </c>
      <c r="H21" s="23">
        <f t="shared" si="7"/>
        <v>391.73396455984795</v>
      </c>
      <c r="I21" s="23">
        <f t="shared" si="7"/>
        <v>366.28865728314747</v>
      </c>
    </row>
    <row r="22" spans="2:13" ht="15" customHeight="1" x14ac:dyDescent="0.2">
      <c r="B22" s="25" t="s">
        <v>20</v>
      </c>
      <c r="D22" s="31">
        <f>Workbook!E11</f>
        <v>0.23988999999999999</v>
      </c>
      <c r="E22" s="31">
        <f>D22</f>
        <v>0.23988999999999999</v>
      </c>
      <c r="F22" s="31">
        <f t="shared" ref="F22:I22" si="8">E22</f>
        <v>0.23988999999999999</v>
      </c>
      <c r="G22" s="31">
        <f t="shared" si="8"/>
        <v>0.23988999999999999</v>
      </c>
      <c r="H22" s="31">
        <f t="shared" si="8"/>
        <v>0.23988999999999999</v>
      </c>
      <c r="I22" s="31">
        <f t="shared" si="8"/>
        <v>0.23988999999999999</v>
      </c>
    </row>
    <row r="23" spans="2:13" ht="15" customHeight="1" x14ac:dyDescent="0.2">
      <c r="B23" s="32" t="s">
        <v>21</v>
      </c>
      <c r="C23" s="32"/>
      <c r="D23" s="33">
        <f>D18-D21</f>
        <v>1470.81285</v>
      </c>
      <c r="E23" s="33">
        <f t="shared" ref="E23:I23" si="9">E18-E21</f>
        <v>1427.2239027057926</v>
      </c>
      <c r="F23" s="34">
        <f t="shared" si="9"/>
        <v>1374.5122262260033</v>
      </c>
      <c r="G23" s="34">
        <f t="shared" si="9"/>
        <v>1312.5402286779945</v>
      </c>
      <c r="H23" s="34">
        <f t="shared" si="9"/>
        <v>1241.2393338679647</v>
      </c>
      <c r="I23" s="34">
        <f t="shared" si="9"/>
        <v>1160.6139117407697</v>
      </c>
    </row>
    <row r="24" spans="2:13" x14ac:dyDescent="0.2">
      <c r="D24" s="27"/>
      <c r="E24" s="23"/>
      <c r="F24" s="23"/>
      <c r="G24" s="23"/>
      <c r="H24" s="23"/>
      <c r="I24" s="23"/>
    </row>
    <row r="25" spans="2:13" ht="15" customHeight="1" x14ac:dyDescent="0.2">
      <c r="B25" t="s">
        <v>22</v>
      </c>
      <c r="D25" s="24">
        <f>'Input Data'!J11</f>
        <v>1106</v>
      </c>
      <c r="E25" s="23">
        <f>E16-E18</f>
        <v>601.30417413760961</v>
      </c>
      <c r="F25" s="23">
        <f t="shared" ref="F25:I25" si="10">F16-F18</f>
        <v>640.62755142567835</v>
      </c>
      <c r="G25" s="23">
        <f t="shared" si="10"/>
        <v>680.85047138093933</v>
      </c>
      <c r="H25" s="23">
        <f t="shared" si="10"/>
        <v>721.84018135116912</v>
      </c>
      <c r="I25" s="23">
        <f t="shared" si="10"/>
        <v>763.45128451195819</v>
      </c>
      <c r="M25" s="35"/>
    </row>
    <row r="26" spans="2:13" ht="15" customHeight="1" x14ac:dyDescent="0.2">
      <c r="B26" t="s">
        <v>23</v>
      </c>
      <c r="D26" s="36">
        <f t="shared" ref="D26:I26" si="11">C32-D32</f>
        <v>-28473</v>
      </c>
      <c r="E26" s="36">
        <f t="shared" si="11"/>
        <v>113.50261563497338</v>
      </c>
      <c r="F26" s="23">
        <f t="shared" si="11"/>
        <v>73.157654981027463</v>
      </c>
      <c r="G26" s="23">
        <f t="shared" si="11"/>
        <v>72.433380118902278</v>
      </c>
      <c r="H26" s="23">
        <f t="shared" si="11"/>
        <v>71.388740786511562</v>
      </c>
      <c r="I26" s="23">
        <f t="shared" si="11"/>
        <v>70.016883703249277</v>
      </c>
      <c r="M26" s="37"/>
    </row>
    <row r="27" spans="2:13" ht="15" customHeight="1" x14ac:dyDescent="0.2">
      <c r="B27" t="s">
        <v>24</v>
      </c>
      <c r="D27" s="24">
        <v>-10495</v>
      </c>
      <c r="E27" s="38">
        <f>-(E28*E14)</f>
        <v>-10946.552138029852</v>
      </c>
      <c r="F27" s="38">
        <f>-(F28*F14)</f>
        <v>-533.9902093485324</v>
      </c>
      <c r="G27" s="38">
        <f>-(G28*G14)</f>
        <v>-540.59640244626053</v>
      </c>
      <c r="H27" s="38">
        <f>-(H28*H14)</f>
        <v>-545.84922757376739</v>
      </c>
      <c r="I27" s="38">
        <f>-(I28*I14)</f>
        <v>-549.68492484861008</v>
      </c>
      <c r="M27" s="37"/>
    </row>
    <row r="28" spans="2:13" ht="15" customHeight="1" x14ac:dyDescent="0.2">
      <c r="B28" s="25" t="s">
        <v>25</v>
      </c>
      <c r="D28" s="39">
        <f>-(D27/D14)</f>
        <v>0.83227597145122922</v>
      </c>
      <c r="E28" s="26">
        <f>D28</f>
        <v>0.83227597145122922</v>
      </c>
      <c r="F28" s="26">
        <v>3.9E-2</v>
      </c>
      <c r="G28" s="26">
        <v>3.7999999999999999E-2</v>
      </c>
      <c r="H28" s="26">
        <v>3.6999999999999998E-2</v>
      </c>
      <c r="I28" s="26">
        <v>3.5999999999999997E-2</v>
      </c>
      <c r="M28" s="37"/>
    </row>
    <row r="29" spans="2:13" x14ac:dyDescent="0.2">
      <c r="D29" s="40"/>
      <c r="E29" s="41"/>
      <c r="F29" s="41"/>
      <c r="G29" s="41"/>
      <c r="H29" s="41"/>
      <c r="I29" s="41"/>
      <c r="M29" s="37"/>
    </row>
    <row r="30" spans="2:13" x14ac:dyDescent="0.2">
      <c r="B30" s="32" t="s">
        <v>26</v>
      </c>
      <c r="C30" s="32"/>
      <c r="D30" s="34"/>
      <c r="E30" s="34">
        <f>E23+E25+E26+E27</f>
        <v>-8804.5214455514761</v>
      </c>
      <c r="F30" s="34">
        <f t="shared" ref="F30:I30" si="12">F23+F25+F26+F27</f>
        <v>1554.3072232841769</v>
      </c>
      <c r="G30" s="34">
        <f t="shared" si="12"/>
        <v>1525.2276777315756</v>
      </c>
      <c r="H30" s="34">
        <f t="shared" si="12"/>
        <v>1488.619028431878</v>
      </c>
      <c r="I30" s="34">
        <f t="shared" si="12"/>
        <v>1444.3971551073671</v>
      </c>
      <c r="M30" s="34"/>
    </row>
    <row r="31" spans="2:13" x14ac:dyDescent="0.2">
      <c r="D31" s="30"/>
      <c r="M31" s="37"/>
    </row>
    <row r="32" spans="2:13" x14ac:dyDescent="0.2">
      <c r="B32" t="s">
        <v>312</v>
      </c>
      <c r="C32" s="40">
        <f>23186+3956+25809+12087-55888-33327-5966</f>
        <v>-30143</v>
      </c>
      <c r="D32" s="40">
        <f>'Balance Sheet'!K30-'Balance Sheet'!K52</f>
        <v>-1670</v>
      </c>
      <c r="E32" s="23">
        <f>E33*E14</f>
        <v>-1783.5026156349734</v>
      </c>
      <c r="F32" s="23">
        <f>F33*F14</f>
        <v>-1856.6602706160008</v>
      </c>
      <c r="G32" s="23">
        <f>G33*G14</f>
        <v>-1929.0936507349031</v>
      </c>
      <c r="H32" s="23">
        <f>H33*H14</f>
        <v>-2000.4823915214147</v>
      </c>
      <c r="I32" s="23">
        <f>I33*I14</f>
        <v>-2070.499275224664</v>
      </c>
    </row>
    <row r="33" spans="2:13" x14ac:dyDescent="0.2">
      <c r="B33" s="25" t="s">
        <v>25</v>
      </c>
      <c r="D33" s="10">
        <f>D32/D14</f>
        <v>-0.13243457573354481</v>
      </c>
      <c r="E33" s="10">
        <f>Workbook!$L$16</f>
        <v>-0.13560126999774746</v>
      </c>
      <c r="F33" s="10">
        <f>Workbook!$L$16</f>
        <v>-0.13560126999774746</v>
      </c>
      <c r="G33" s="10">
        <f>Workbook!$L$16</f>
        <v>-0.13560126999774746</v>
      </c>
      <c r="H33" s="10">
        <f>Workbook!$L$16</f>
        <v>-0.13560126999774746</v>
      </c>
      <c r="I33" s="10">
        <f>Workbook!$L$16</f>
        <v>-0.13560126999774746</v>
      </c>
      <c r="J33" s="30"/>
    </row>
    <row r="34" spans="2:13" x14ac:dyDescent="0.2">
      <c r="D34" s="30"/>
      <c r="E34" s="10"/>
      <c r="F34" s="10"/>
      <c r="G34" s="10"/>
      <c r="H34" s="10"/>
      <c r="I34" s="10"/>
      <c r="J34" s="30"/>
      <c r="K34" s="38"/>
      <c r="M34" s="10"/>
    </row>
    <row r="35" spans="2:13" x14ac:dyDescent="0.2">
      <c r="B35" s="12" t="str">
        <f>"Present value of UFCF on "&amp;TEXT(D7,"mmm dd, yyyy")&amp;" valuation date"</f>
        <v>Present value of UFCF on Dec 31, 2020 valuation date</v>
      </c>
      <c r="C35" s="13"/>
      <c r="D35" s="42"/>
      <c r="E35" s="13"/>
      <c r="F35" s="42"/>
      <c r="G35" s="42"/>
      <c r="H35" s="42"/>
      <c r="I35" s="42"/>
      <c r="J35" s="30"/>
    </row>
    <row r="36" spans="2:13" ht="18" x14ac:dyDescent="0.35">
      <c r="B36" s="32"/>
      <c r="D36" s="43" t="s">
        <v>27</v>
      </c>
      <c r="E36" s="43" t="s">
        <v>28</v>
      </c>
      <c r="F36" s="44" t="s">
        <v>29</v>
      </c>
      <c r="G36" s="44" t="s">
        <v>30</v>
      </c>
      <c r="H36" s="44" t="s">
        <v>31</v>
      </c>
      <c r="I36" s="44" t="s">
        <v>32</v>
      </c>
      <c r="J36" s="30"/>
    </row>
    <row r="37" spans="2:13" x14ac:dyDescent="0.2">
      <c r="B37" t="s">
        <v>33</v>
      </c>
      <c r="C37" s="45"/>
      <c r="D37" s="46">
        <f>D7</f>
        <v>44196</v>
      </c>
      <c r="E37" s="46">
        <f>IF($H$7=0,E12,AVERAGE(D37,E12))</f>
        <v>44196</v>
      </c>
      <c r="F37" s="46">
        <f>IF($H$7=0,F12,AVERAGE(F12,E12))</f>
        <v>44561</v>
      </c>
      <c r="G37" s="46">
        <f>IF($H$7=0,G12,AVERAGE(G12,F12))</f>
        <v>44926</v>
      </c>
      <c r="H37" s="46">
        <f>IF($H$7=0,H12,AVERAGE(H12,G12))</f>
        <v>45291</v>
      </c>
      <c r="I37" s="46">
        <f>IF($H$7=0,I12,AVERAGE(I12,H12))</f>
        <v>45657</v>
      </c>
      <c r="J37" s="30"/>
    </row>
    <row r="38" spans="2:13" x14ac:dyDescent="0.2">
      <c r="B38" t="s">
        <v>34</v>
      </c>
      <c r="C38" s="47">
        <f>D8</f>
        <v>0</v>
      </c>
      <c r="D38" s="37"/>
      <c r="E38" s="48">
        <f>C38*E30</f>
        <v>0</v>
      </c>
      <c r="F38" s="48">
        <f>F30</f>
        <v>1554.3072232841769</v>
      </c>
      <c r="G38" s="48">
        <f t="shared" ref="G38:I38" si="13">G30</f>
        <v>1525.2276777315756</v>
      </c>
      <c r="H38" s="48">
        <f t="shared" si="13"/>
        <v>1488.619028431878</v>
      </c>
      <c r="I38" s="48">
        <f t="shared" si="13"/>
        <v>1444.3971551073671</v>
      </c>
      <c r="J38" s="23"/>
    </row>
    <row r="39" spans="2:13" ht="15" customHeight="1" x14ac:dyDescent="0.2">
      <c r="B39" s="32" t="s">
        <v>35</v>
      </c>
      <c r="C39" s="49"/>
      <c r="E39" s="34">
        <f>E38/(1+$H$4)^((E37-$D$37)/365)</f>
        <v>0</v>
      </c>
      <c r="F39" s="34">
        <f>F38/(1+$H$4)^((F37-$D$37)/365)</f>
        <v>1413.0065666219789</v>
      </c>
      <c r="G39" s="34">
        <f t="shared" ref="G39:I39" si="14">G38/(1+$H$4)^((G37-$D$37)/365)</f>
        <v>1260.5187419269218</v>
      </c>
      <c r="H39" s="34">
        <f t="shared" si="14"/>
        <v>1118.4215089645961</v>
      </c>
      <c r="I39" s="34">
        <f t="shared" si="14"/>
        <v>986.28511570334604</v>
      </c>
      <c r="J39" s="23"/>
    </row>
    <row r="41" spans="2:13" x14ac:dyDescent="0.2">
      <c r="B41" s="12" t="s">
        <v>36</v>
      </c>
      <c r="C41" s="12"/>
      <c r="E41" s="12" t="s">
        <v>37</v>
      </c>
      <c r="F41" s="13"/>
      <c r="G41" s="13"/>
      <c r="H41" s="13"/>
      <c r="I41" s="13"/>
    </row>
    <row r="42" spans="2:13" x14ac:dyDescent="0.2">
      <c r="B42" t="s">
        <v>38</v>
      </c>
      <c r="C42" s="26">
        <v>0.03</v>
      </c>
      <c r="E42" t="s">
        <v>39</v>
      </c>
      <c r="I42" s="37">
        <f>I16</f>
        <v>2290.3538535358753</v>
      </c>
      <c r="J42" s="37"/>
    </row>
    <row r="43" spans="2:13" x14ac:dyDescent="0.2">
      <c r="B43" s="50" t="str">
        <f>YEAR(I12)&amp;" FCF x (1+g)"</f>
        <v>2024 FCF x (1+g)</v>
      </c>
      <c r="C43" s="37">
        <f>I30*(1+C42)</f>
        <v>1487.7290697605881</v>
      </c>
      <c r="E43" t="s">
        <v>40</v>
      </c>
      <c r="I43" s="51">
        <v>12.5</v>
      </c>
      <c r="J43" s="51"/>
    </row>
    <row r="44" spans="2:13" x14ac:dyDescent="0.2">
      <c r="B44" t="str">
        <f>"Terminal value in "&amp;YEAR(I12)</f>
        <v>Terminal value in 2024</v>
      </c>
      <c r="C44" s="37">
        <f>C43/(H4-C42)</f>
        <v>21253.272425151255</v>
      </c>
      <c r="E44" t="str">
        <f>"Terminal value in "&amp;YEAR(I12)</f>
        <v>Terminal value in 2024</v>
      </c>
      <c r="I44" s="37">
        <f>I42*I43</f>
        <v>28629.423169198442</v>
      </c>
      <c r="J44" s="37"/>
    </row>
    <row r="45" spans="2:13" x14ac:dyDescent="0.2">
      <c r="B45" t="s">
        <v>41</v>
      </c>
      <c r="C45" s="37">
        <f>C44/(1+H4)^((I37-D37)/365)</f>
        <v>14512.480988206376</v>
      </c>
      <c r="E45" t="s">
        <v>41</v>
      </c>
      <c r="I45" s="37">
        <f>I44/(1+H4)^((I37-D37)/365)</f>
        <v>19549.175822666311</v>
      </c>
      <c r="J45" s="37"/>
    </row>
    <row r="46" spans="2:13" x14ac:dyDescent="0.2">
      <c r="B46" t="s">
        <v>42</v>
      </c>
      <c r="C46" s="23">
        <f>SUM(E39:I39)</f>
        <v>4778.2319332168427</v>
      </c>
      <c r="E46" t="s">
        <v>42</v>
      </c>
      <c r="I46" s="37">
        <f>C46</f>
        <v>4778.2319332168427</v>
      </c>
      <c r="J46" s="37"/>
    </row>
    <row r="47" spans="2:13" x14ac:dyDescent="0.2">
      <c r="B47" s="32" t="s">
        <v>43</v>
      </c>
      <c r="C47" s="52">
        <f>SUM(C45:C46)</f>
        <v>19290.712921423219</v>
      </c>
      <c r="D47" s="53"/>
      <c r="E47" s="32" t="s">
        <v>44</v>
      </c>
      <c r="I47" s="52">
        <f>SUM(I45:I46)</f>
        <v>24327.407755883156</v>
      </c>
      <c r="J47" s="52"/>
    </row>
    <row r="48" spans="2:13" x14ac:dyDescent="0.2">
      <c r="D48" s="35"/>
    </row>
    <row r="49" spans="2:12" x14ac:dyDescent="0.2">
      <c r="B49" s="54" t="s">
        <v>45</v>
      </c>
      <c r="C49" s="55">
        <f>C45/$C$47</f>
        <v>0.75230402563762189</v>
      </c>
      <c r="E49" s="54" t="s">
        <v>45</v>
      </c>
      <c r="I49" s="55">
        <f>I45/$I$47</f>
        <v>0.80358647410506312</v>
      </c>
      <c r="J49" s="55"/>
    </row>
    <row r="50" spans="2:12" x14ac:dyDescent="0.2">
      <c r="B50" s="54" t="s">
        <v>46</v>
      </c>
      <c r="C50" s="55">
        <f t="shared" ref="C50" si="15">C46/$C$47</f>
        <v>0.24769597436237814</v>
      </c>
      <c r="E50" s="54" t="s">
        <v>46</v>
      </c>
      <c r="G50" s="56"/>
      <c r="I50" s="55">
        <f t="shared" ref="I50" si="16">I46/$I$47</f>
        <v>0.1964135258949368</v>
      </c>
      <c r="J50" s="35"/>
    </row>
    <row r="51" spans="2:12" x14ac:dyDescent="0.2">
      <c r="B51" s="54" t="s">
        <v>47</v>
      </c>
      <c r="C51" s="57">
        <f>C44/I16</f>
        <v>9.2794711141862223</v>
      </c>
      <c r="E51" t="s">
        <v>48</v>
      </c>
      <c r="I51" s="58">
        <f>(H4-I38/I44)/(1+I38/I44)</f>
        <v>4.7168771593211992E-2</v>
      </c>
      <c r="J51" s="58"/>
    </row>
    <row r="52" spans="2:12" x14ac:dyDescent="0.2">
      <c r="B52" s="54"/>
      <c r="C52" s="17"/>
      <c r="D52" s="57"/>
      <c r="I52" s="58"/>
      <c r="J52" s="58"/>
    </row>
    <row r="53" spans="2:12" x14ac:dyDescent="0.2">
      <c r="B53" s="12" t="s">
        <v>49</v>
      </c>
      <c r="C53" s="13"/>
      <c r="E53" s="12" t="s">
        <v>50</v>
      </c>
      <c r="F53" s="13"/>
      <c r="G53" s="12"/>
      <c r="H53" s="13"/>
      <c r="I53" s="13"/>
    </row>
    <row r="54" spans="2:12" x14ac:dyDescent="0.2">
      <c r="B54" t="s">
        <v>51</v>
      </c>
      <c r="C54" s="7" t="s">
        <v>52</v>
      </c>
      <c r="L54" s="59"/>
    </row>
    <row r="55" spans="2:12" x14ac:dyDescent="0.2">
      <c r="B55" s="60" t="s">
        <v>53</v>
      </c>
      <c r="C55" s="4">
        <v>44193</v>
      </c>
      <c r="G55" s="61" t="s">
        <v>51</v>
      </c>
      <c r="H55" s="62" t="s">
        <v>54</v>
      </c>
      <c r="I55" s="62" t="s">
        <v>55</v>
      </c>
    </row>
    <row r="56" spans="2:12" x14ac:dyDescent="0.2">
      <c r="B56" s="63" t="s">
        <v>56</v>
      </c>
      <c r="C56" s="6"/>
      <c r="E56" t="s">
        <v>57</v>
      </c>
      <c r="G56" s="7" t="s">
        <v>52</v>
      </c>
      <c r="H56" s="7">
        <v>43847</v>
      </c>
      <c r="I56" s="64">
        <v>4375.4799999999996</v>
      </c>
      <c r="J56" s="64"/>
    </row>
    <row r="57" spans="2:12" x14ac:dyDescent="0.2">
      <c r="B57" s="25" t="s">
        <v>58</v>
      </c>
      <c r="C57" s="41">
        <v>6310</v>
      </c>
      <c r="E57" s="60" t="s">
        <v>59</v>
      </c>
      <c r="G57" s="7" t="s">
        <v>52</v>
      </c>
      <c r="H57" s="7">
        <v>43827</v>
      </c>
      <c r="I57" s="64">
        <v>96.02</v>
      </c>
      <c r="J57" s="65"/>
    </row>
    <row r="58" spans="2:12" ht="15" customHeight="1" x14ac:dyDescent="0.2">
      <c r="B58" s="25" t="s">
        <v>60</v>
      </c>
      <c r="C58" s="41">
        <v>0</v>
      </c>
      <c r="E58" s="60" t="s">
        <v>61</v>
      </c>
      <c r="G58" s="7"/>
      <c r="H58" s="7"/>
      <c r="I58" s="66">
        <v>0</v>
      </c>
    </row>
    <row r="59" spans="2:12" ht="15" customHeight="1" x14ac:dyDescent="0.2">
      <c r="B59" s="25" t="s">
        <v>62</v>
      </c>
      <c r="C59" s="41">
        <v>0</v>
      </c>
      <c r="E59" t="s">
        <v>60</v>
      </c>
      <c r="G59" s="7"/>
      <c r="H59" s="7"/>
      <c r="I59" s="66">
        <v>0</v>
      </c>
    </row>
    <row r="60" spans="2:12" x14ac:dyDescent="0.2">
      <c r="B60" s="67" t="s">
        <v>63</v>
      </c>
      <c r="C60" s="41">
        <v>0</v>
      </c>
      <c r="E60" t="s">
        <v>64</v>
      </c>
      <c r="G60" s="7"/>
      <c r="H60" s="7"/>
      <c r="I60" s="66">
        <v>0</v>
      </c>
    </row>
    <row r="61" spans="2:12" ht="15" customHeight="1" x14ac:dyDescent="0.2">
      <c r="B61" s="63" t="s">
        <v>65</v>
      </c>
      <c r="E61" s="68" t="s">
        <v>66</v>
      </c>
      <c r="I61" s="69">
        <f>SUM(I56:I60)</f>
        <v>4471.5</v>
      </c>
      <c r="J61" s="70"/>
    </row>
    <row r="62" spans="2:12" x14ac:dyDescent="0.2">
      <c r="B62" s="71" t="s">
        <v>67</v>
      </c>
      <c r="C62" s="41">
        <f>'Balance Sheet'!L18</f>
        <v>1288</v>
      </c>
      <c r="J62" s="72"/>
    </row>
    <row r="63" spans="2:12" x14ac:dyDescent="0.2">
      <c r="B63" s="71" t="s">
        <v>68</v>
      </c>
      <c r="C63" s="41">
        <v>0</v>
      </c>
      <c r="J63" s="72"/>
    </row>
    <row r="64" spans="2:12" x14ac:dyDescent="0.2">
      <c r="J64" s="73"/>
    </row>
    <row r="65" spans="2:17" x14ac:dyDescent="0.2">
      <c r="B65" s="74" t="s">
        <v>49</v>
      </c>
      <c r="C65" s="75">
        <f>SUM(C57:C60)-SUM(C62:C63)</f>
        <v>5022</v>
      </c>
    </row>
    <row r="67" spans="2:17" x14ac:dyDescent="0.2">
      <c r="B67" s="12" t="s">
        <v>69</v>
      </c>
      <c r="C67" s="13"/>
      <c r="D67" s="13"/>
    </row>
    <row r="68" spans="2:17" ht="18" x14ac:dyDescent="0.35">
      <c r="C68" s="76" t="s">
        <v>70</v>
      </c>
      <c r="D68" s="76" t="s">
        <v>16</v>
      </c>
    </row>
    <row r="69" spans="2:17" x14ac:dyDescent="0.2">
      <c r="B69" t="s">
        <v>71</v>
      </c>
      <c r="C69" s="77">
        <f>C47</f>
        <v>19290.712921423219</v>
      </c>
      <c r="D69" s="77">
        <f>I47</f>
        <v>24327.407755883156</v>
      </c>
    </row>
    <row r="70" spans="2:17" x14ac:dyDescent="0.2">
      <c r="B70" t="s">
        <v>49</v>
      </c>
      <c r="C70" s="78">
        <f>C65</f>
        <v>5022</v>
      </c>
      <c r="D70" s="78">
        <f>C70</f>
        <v>5022</v>
      </c>
    </row>
    <row r="71" spans="2:17" x14ac:dyDescent="0.2">
      <c r="B71" t="s">
        <v>72</v>
      </c>
      <c r="C71" s="79">
        <f>C69-C70</f>
        <v>14268.712921423219</v>
      </c>
      <c r="D71" s="79">
        <f>D69-D70</f>
        <v>19305.407755883156</v>
      </c>
    </row>
    <row r="72" spans="2:17" x14ac:dyDescent="0.2">
      <c r="B72" t="s">
        <v>50</v>
      </c>
      <c r="C72" s="79">
        <f>Workbook!O16/10^3</f>
        <v>2144.000002845778</v>
      </c>
      <c r="D72" s="79">
        <f>C72</f>
        <v>2144.000002845778</v>
      </c>
    </row>
    <row r="73" spans="2:17" x14ac:dyDescent="0.2">
      <c r="B73" s="32" t="s">
        <v>73</v>
      </c>
      <c r="C73" s="198">
        <f>C71/C72</f>
        <v>6.6551832567556177</v>
      </c>
      <c r="D73" s="198">
        <f t="shared" ref="D73" si="17">D71/D72</f>
        <v>9.0043879338893031</v>
      </c>
    </row>
    <row r="74" spans="2:17" x14ac:dyDescent="0.2">
      <c r="B74" s="32"/>
      <c r="C74" s="80"/>
      <c r="D74" s="80"/>
    </row>
    <row r="75" spans="2:17" x14ac:dyDescent="0.2">
      <c r="B75" s="61" t="s">
        <v>74</v>
      </c>
      <c r="C75" s="62" t="s">
        <v>70</v>
      </c>
      <c r="D75" s="62" t="s">
        <v>16</v>
      </c>
      <c r="E75" s="81"/>
      <c r="F75" s="81"/>
    </row>
    <row r="76" spans="2:17" x14ac:dyDescent="0.2">
      <c r="B76" t="s">
        <v>75</v>
      </c>
      <c r="C76" s="82">
        <f>C69/$E$14</f>
        <v>1.4666898429950643</v>
      </c>
      <c r="D76" s="82">
        <f>D69/$E$14</f>
        <v>1.8496341740863325</v>
      </c>
      <c r="E76" s="81"/>
      <c r="F76" s="81"/>
    </row>
    <row r="77" spans="2:17" x14ac:dyDescent="0.2">
      <c r="B77" t="s">
        <v>76</v>
      </c>
      <c r="C77" s="81">
        <f>C69/$E$16</f>
        <v>7.7817810073495854</v>
      </c>
      <c r="D77" s="81">
        <f>D69/$E$16</f>
        <v>9.8135595301168213</v>
      </c>
      <c r="E77" s="81"/>
      <c r="F77" s="81"/>
      <c r="G77" s="83"/>
      <c r="H77" s="83"/>
    </row>
    <row r="78" spans="2:17" x14ac:dyDescent="0.2">
      <c r="B78" s="23" t="s">
        <v>77</v>
      </c>
      <c r="C78" s="81">
        <f>C69/$E$18</f>
        <v>10.27383564057758</v>
      </c>
      <c r="D78" s="81">
        <f>D69/$E$18</f>
        <v>12.956275377862822</v>
      </c>
      <c r="E78" s="81"/>
      <c r="F78" s="84"/>
    </row>
    <row r="79" spans="2:17" x14ac:dyDescent="0.2">
      <c r="F79" s="83"/>
    </row>
    <row r="80" spans="2:17" x14ac:dyDescent="0.2">
      <c r="B80" s="12" t="s">
        <v>78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2:17" x14ac:dyDescent="0.2">
      <c r="B81" s="32"/>
    </row>
    <row r="82" spans="2:17" ht="17.25" customHeight="1" x14ac:dyDescent="0.35">
      <c r="B82" s="85"/>
      <c r="C82" s="32"/>
      <c r="D82" s="86" t="s">
        <v>73</v>
      </c>
      <c r="E82" s="15"/>
      <c r="F82" s="15"/>
      <c r="G82" s="15"/>
      <c r="H82" s="15"/>
      <c r="I82" s="15"/>
      <c r="J82" s="87"/>
      <c r="L82" s="86" t="s">
        <v>79</v>
      </c>
      <c r="M82" s="15"/>
      <c r="N82" s="15"/>
      <c r="O82" s="15"/>
      <c r="P82" s="15"/>
      <c r="Q82" s="15"/>
    </row>
    <row r="83" spans="2:17" ht="15" customHeight="1" x14ac:dyDescent="0.2">
      <c r="B83" s="85"/>
      <c r="D83" s="60"/>
      <c r="E83" s="88" t="s">
        <v>80</v>
      </c>
      <c r="F83" s="88"/>
      <c r="G83" s="88"/>
      <c r="H83" s="88"/>
      <c r="I83" s="88"/>
      <c r="J83" s="89"/>
      <c r="L83" s="60"/>
      <c r="M83" s="88" t="s">
        <v>80</v>
      </c>
      <c r="N83" s="88"/>
      <c r="O83" s="88"/>
      <c r="P83" s="88"/>
      <c r="Q83" s="88"/>
    </row>
    <row r="84" spans="2:17" ht="15" customHeight="1" x14ac:dyDescent="0.2">
      <c r="B84" s="85"/>
      <c r="C84" s="90"/>
      <c r="D84" s="91">
        <f>C73</f>
        <v>6.6551832567556177</v>
      </c>
      <c r="E84" s="92">
        <f t="shared" ref="E84" si="18">F84-0.005</f>
        <v>1.9999999999999997E-2</v>
      </c>
      <c r="F84" s="93">
        <f>G84-0.005</f>
        <v>2.4999999999999998E-2</v>
      </c>
      <c r="G84" s="94">
        <v>0.03</v>
      </c>
      <c r="H84" s="93">
        <f>G84+0.005</f>
        <v>3.4999999999999996E-2</v>
      </c>
      <c r="I84" s="93">
        <f t="shared" ref="I84" si="19">H84+0.005</f>
        <v>3.9999999999999994E-2</v>
      </c>
      <c r="J84" s="95"/>
      <c r="L84" s="96">
        <f>C77</f>
        <v>7.7817810073495854</v>
      </c>
      <c r="M84" s="92">
        <f t="shared" ref="M84" si="20">N84-0.005</f>
        <v>1.9999999999999997E-2</v>
      </c>
      <c r="N84" s="93">
        <f>O84-0.005</f>
        <v>2.4999999999999998E-2</v>
      </c>
      <c r="O84" s="94">
        <v>0.03</v>
      </c>
      <c r="P84" s="93">
        <f>O84+0.005</f>
        <v>3.4999999999999996E-2</v>
      </c>
      <c r="Q84" s="93">
        <f t="shared" ref="Q84" si="21">P84+0.005</f>
        <v>3.9999999999999994E-2</v>
      </c>
    </row>
    <row r="85" spans="2:17" ht="15" customHeight="1" x14ac:dyDescent="0.2">
      <c r="B85" s="85"/>
      <c r="D85" s="97">
        <f t="shared" ref="D85" si="22">D86+0.005</f>
        <v>0.1</v>
      </c>
      <c r="E85" s="98">
        <f t="dataTable" ref="E85:I89" dt2D="1" dtr="1" r1="C42" r2="H4" ca="1"/>
        <v>5.7515704953669822</v>
      </c>
      <c r="F85" s="98">
        <v>6.1732564506816798</v>
      </c>
      <c r="G85" s="98">
        <v>6.6551832567556177</v>
      </c>
      <c r="H85" s="98">
        <v>7.2112526483793928</v>
      </c>
      <c r="I85" s="98">
        <v>7.8600002719404642</v>
      </c>
      <c r="J85" s="99"/>
      <c r="L85" s="97">
        <f t="shared" ref="L85" si="23">L86+0.005</f>
        <v>0.1</v>
      </c>
      <c r="M85" s="100">
        <f t="dataTable" ref="M85:Q89" dt2D="1" dtr="1" r1="C42" r2="H4" ca="1"/>
        <v>7.0002650247882467</v>
      </c>
      <c r="N85" s="100">
        <v>7.3649724833168726</v>
      </c>
      <c r="O85" s="100">
        <v>7.7817810073495854</v>
      </c>
      <c r="P85" s="100">
        <v>8.2627139196950239</v>
      </c>
      <c r="Q85" s="100">
        <v>8.8238023174313689</v>
      </c>
    </row>
    <row r="86" spans="2:17" ht="15" customHeight="1" x14ac:dyDescent="0.2">
      <c r="B86" s="85"/>
      <c r="D86" s="97">
        <f>D87+0.005</f>
        <v>9.5000000000000001E-2</v>
      </c>
      <c r="E86" s="98">
        <v>6.2817582452940739</v>
      </c>
      <c r="F86" s="98">
        <v>6.7703230773146208</v>
      </c>
      <c r="G86" s="98">
        <v>7.3340517296460215</v>
      </c>
      <c r="H86" s="98">
        <v>7.9917351573659889</v>
      </c>
      <c r="I86" s="98">
        <v>8.7689973901259499</v>
      </c>
      <c r="J86" s="99"/>
      <c r="L86" s="97">
        <f>L87+0.005</f>
        <v>9.5000000000000001E-2</v>
      </c>
      <c r="M86" s="100">
        <v>7.4588134406931967</v>
      </c>
      <c r="N86" s="100">
        <v>7.8813630560336057</v>
      </c>
      <c r="O86" s="100">
        <v>8.3689203045033089</v>
      </c>
      <c r="P86" s="100">
        <v>8.9377370943846302</v>
      </c>
      <c r="Q86" s="100">
        <v>9.6099751187898281</v>
      </c>
    </row>
    <row r="87" spans="2:17" ht="15" customHeight="1" x14ac:dyDescent="0.2">
      <c r="B87" s="85"/>
      <c r="C87" s="90" t="s">
        <v>81</v>
      </c>
      <c r="D87" s="101">
        <v>0.09</v>
      </c>
      <c r="E87" s="98">
        <v>6.8875336907235667</v>
      </c>
      <c r="F87" s="98">
        <v>7.4590628834031989</v>
      </c>
      <c r="G87" s="98">
        <v>8.125846941529435</v>
      </c>
      <c r="H87" s="98">
        <v>8.9138644647695333</v>
      </c>
      <c r="I87" s="98">
        <v>9.8594854926576492</v>
      </c>
      <c r="J87" s="99"/>
      <c r="K87" s="90" t="s">
        <v>81</v>
      </c>
      <c r="L87" s="101">
        <v>0.09</v>
      </c>
      <c r="M87" s="100">
        <v>7.9827360906110938</v>
      </c>
      <c r="N87" s="100">
        <v>8.4770398650433005</v>
      </c>
      <c r="O87" s="100">
        <v>9.0537276018808743</v>
      </c>
      <c r="P87" s="100">
        <v>9.7352676545070977</v>
      </c>
      <c r="Q87" s="100">
        <v>10.553115717658564</v>
      </c>
    </row>
    <row r="88" spans="2:17" ht="15" customHeight="1" x14ac:dyDescent="0.2">
      <c r="B88" s="85"/>
      <c r="D88" s="97">
        <f>D87-0.005</f>
        <v>8.4999999999999992E-2</v>
      </c>
      <c r="E88" s="98">
        <v>7.5863367351402982</v>
      </c>
      <c r="F88" s="98">
        <v>8.2623900673763888</v>
      </c>
      <c r="G88" s="98">
        <v>9.0613621872917758</v>
      </c>
      <c r="H88" s="98">
        <v>10.020128731190232</v>
      </c>
      <c r="I88" s="98">
        <v>11.191954507066125</v>
      </c>
      <c r="J88" s="99"/>
      <c r="L88" s="97">
        <f>L87-0.005</f>
        <v>8.4999999999999992E-2</v>
      </c>
      <c r="M88" s="100">
        <v>8.5871163862533706</v>
      </c>
      <c r="N88" s="100">
        <v>9.1718209264973716</v>
      </c>
      <c r="O88" s="100">
        <v>9.8628353831493811</v>
      </c>
      <c r="P88" s="100">
        <v>10.692052731131783</v>
      </c>
      <c r="Q88" s="100">
        <v>11.705540600888057</v>
      </c>
    </row>
    <row r="89" spans="2:17" ht="15" customHeight="1" x14ac:dyDescent="0.2">
      <c r="B89" s="102" t="s">
        <v>82</v>
      </c>
      <c r="D89" s="103">
        <f>D88-0.005</f>
        <v>7.9999999999999988E-2</v>
      </c>
      <c r="E89" s="98">
        <v>8.4014204877586476</v>
      </c>
      <c r="F89" s="98">
        <v>9.2115511480421866</v>
      </c>
      <c r="G89" s="98">
        <v>10.183707940382439</v>
      </c>
      <c r="H89" s="98">
        <v>11.371899575464962</v>
      </c>
      <c r="I89" s="98">
        <v>12.857139119318118</v>
      </c>
      <c r="J89" s="99"/>
      <c r="L89" s="103">
        <f>L88-0.005</f>
        <v>7.9999999999999988E-2</v>
      </c>
      <c r="M89" s="100">
        <v>9.2920654606980406</v>
      </c>
      <c r="N89" s="100">
        <v>9.9927307080564205</v>
      </c>
      <c r="O89" s="100">
        <v>10.833529004886479</v>
      </c>
      <c r="P89" s="100">
        <v>11.861171367678768</v>
      </c>
      <c r="Q89" s="100">
        <v>13.14572432116913</v>
      </c>
    </row>
    <row r="90" spans="2:17" ht="15" customHeight="1" x14ac:dyDescent="0.2">
      <c r="B90" s="102" t="s">
        <v>83</v>
      </c>
      <c r="E90" s="104"/>
      <c r="F90" s="104"/>
      <c r="G90" s="104"/>
      <c r="H90" s="104"/>
      <c r="I90" s="104"/>
      <c r="J90" s="105"/>
    </row>
    <row r="91" spans="2:17" ht="17.25" customHeight="1" x14ac:dyDescent="0.35">
      <c r="B91" s="85"/>
      <c r="D91" s="86" t="s">
        <v>73</v>
      </c>
      <c r="E91" s="15"/>
      <c r="F91" s="15"/>
      <c r="G91" s="15"/>
      <c r="H91" s="15"/>
      <c r="I91" s="15"/>
      <c r="J91" s="87"/>
      <c r="L91" s="86" t="s">
        <v>79</v>
      </c>
      <c r="M91" s="15"/>
      <c r="N91" s="15"/>
      <c r="O91" s="15"/>
      <c r="P91" s="15"/>
      <c r="Q91" s="15"/>
    </row>
    <row r="92" spans="2:17" ht="15" customHeight="1" x14ac:dyDescent="0.2">
      <c r="B92" s="85"/>
      <c r="E92" s="88" t="s">
        <v>84</v>
      </c>
      <c r="F92" s="88"/>
      <c r="G92" s="88"/>
      <c r="H92" s="88"/>
      <c r="I92" s="88"/>
      <c r="J92" s="89"/>
      <c r="M92" s="88" t="s">
        <v>84</v>
      </c>
      <c r="N92" s="88"/>
      <c r="O92" s="88"/>
      <c r="P92" s="88"/>
      <c r="Q92" s="88"/>
    </row>
    <row r="93" spans="2:17" ht="15" customHeight="1" x14ac:dyDescent="0.2">
      <c r="B93" s="85"/>
      <c r="D93" s="106">
        <f>D73</f>
        <v>9.0043879338893031</v>
      </c>
      <c r="E93" s="107">
        <f t="shared" ref="E93" si="24">F93-0.5</f>
        <v>11.5</v>
      </c>
      <c r="F93" s="107">
        <f>G93-0.5</f>
        <v>12</v>
      </c>
      <c r="G93" s="108">
        <v>12.5</v>
      </c>
      <c r="H93" s="107">
        <f>G93+0.5</f>
        <v>13</v>
      </c>
      <c r="I93" s="107">
        <f t="shared" ref="I93" si="25">H93+0.5</f>
        <v>13.5</v>
      </c>
      <c r="J93" s="109"/>
      <c r="L93" s="96">
        <f>D77</f>
        <v>9.8135595301168213</v>
      </c>
      <c r="M93" s="107">
        <f t="shared" ref="M93" si="26">N93-0.5</f>
        <v>11.5</v>
      </c>
      <c r="N93" s="107">
        <f>O93-0.5</f>
        <v>12</v>
      </c>
      <c r="O93" s="108">
        <v>12.5</v>
      </c>
      <c r="P93" s="107">
        <f>O93+0.5</f>
        <v>13</v>
      </c>
      <c r="Q93" s="107">
        <f t="shared" ref="Q93" si="27">P93+0.5</f>
        <v>13.5</v>
      </c>
    </row>
    <row r="94" spans="2:17" ht="15" customHeight="1" x14ac:dyDescent="0.2">
      <c r="B94" s="85"/>
      <c r="D94" s="97">
        <f t="shared" ref="D94" si="28">D95+0.005</f>
        <v>0.1</v>
      </c>
      <c r="E94" s="98">
        <f t="dataTable" ref="E94:I98" dt2D="1" dtr="1" r1="I43" r2="H4" ca="1"/>
        <v>8.2749410758028006</v>
      </c>
      <c r="F94" s="98">
        <v>8.6396645048460492</v>
      </c>
      <c r="G94" s="98">
        <v>9.0043879338893031</v>
      </c>
      <c r="H94" s="98">
        <v>9.3691113629325535</v>
      </c>
      <c r="I94" s="98">
        <v>9.7338347919758039</v>
      </c>
      <c r="J94" s="99"/>
      <c r="L94" s="97">
        <f t="shared" ref="L94" si="29">L95+0.005</f>
        <v>0.1</v>
      </c>
      <c r="M94" s="100">
        <f t="dataTable" ref="M94:Q98" dt2D="1" dtr="1" r1="I43" r2="H4"/>
        <v>9.1826760340186819</v>
      </c>
      <c r="N94" s="100">
        <v>9.4981177820677498</v>
      </c>
      <c r="O94" s="100">
        <v>9.8135595301168213</v>
      </c>
      <c r="P94" s="100">
        <v>10.129001278165889</v>
      </c>
      <c r="Q94" s="100">
        <v>10.444443026214957</v>
      </c>
    </row>
    <row r="95" spans="2:17" ht="15" customHeight="1" x14ac:dyDescent="0.2">
      <c r="B95" s="85"/>
      <c r="D95" s="97">
        <f>D96+0.005</f>
        <v>9.5000000000000001E-2</v>
      </c>
      <c r="E95" s="98">
        <v>8.4533526998845971</v>
      </c>
      <c r="F95" s="98">
        <v>8.8247881467390759</v>
      </c>
      <c r="G95" s="98">
        <v>9.1962235935935546</v>
      </c>
      <c r="H95" s="98">
        <v>9.5676590404480315</v>
      </c>
      <c r="I95" s="98">
        <v>9.9390944873025102</v>
      </c>
      <c r="J95" s="99"/>
      <c r="L95" s="97">
        <f>L96+0.005</f>
        <v>9.5000000000000001E-2</v>
      </c>
      <c r="M95" s="100">
        <v>9.3369805565448765</v>
      </c>
      <c r="N95" s="100">
        <v>9.6582273899345399</v>
      </c>
      <c r="O95" s="100">
        <v>9.9794742233242033</v>
      </c>
      <c r="P95" s="100">
        <v>10.300721056713865</v>
      </c>
      <c r="Q95" s="100">
        <v>10.621967890103527</v>
      </c>
    </row>
    <row r="96" spans="2:17" ht="15" customHeight="1" x14ac:dyDescent="0.2">
      <c r="B96" s="85"/>
      <c r="C96" s="90" t="s">
        <v>81</v>
      </c>
      <c r="D96" s="101">
        <v>0.09</v>
      </c>
      <c r="E96" s="98">
        <v>8.6357612364691754</v>
      </c>
      <c r="F96" s="98">
        <v>9.0140637940995969</v>
      </c>
      <c r="G96" s="98">
        <v>9.3923663517300149</v>
      </c>
      <c r="H96" s="98">
        <v>9.7706689093604346</v>
      </c>
      <c r="I96" s="98">
        <v>10.148971466990854</v>
      </c>
      <c r="J96" s="99"/>
      <c r="K96" s="90" t="s">
        <v>81</v>
      </c>
      <c r="L96" s="101">
        <v>0.09</v>
      </c>
      <c r="M96" s="100">
        <v>9.4947419260029626</v>
      </c>
      <c r="N96" s="100">
        <v>9.8219279814296954</v>
      </c>
      <c r="O96" s="100">
        <v>10.149114036856428</v>
      </c>
      <c r="P96" s="100">
        <v>10.476300092283161</v>
      </c>
      <c r="Q96" s="100">
        <v>10.803486147709894</v>
      </c>
    </row>
    <row r="97" spans="2:17" ht="15" customHeight="1" x14ac:dyDescent="0.2">
      <c r="B97" s="85"/>
      <c r="D97" s="97">
        <f>D96-0.005</f>
        <v>8.4999999999999992E-2</v>
      </c>
      <c r="E97" s="98">
        <v>8.8222763096541659</v>
      </c>
      <c r="F97" s="98">
        <v>9.2076053909972781</v>
      </c>
      <c r="G97" s="98">
        <v>9.5929344723403904</v>
      </c>
      <c r="H97" s="98">
        <v>9.9782635536835027</v>
      </c>
      <c r="I97" s="98">
        <v>10.36359263502661</v>
      </c>
      <c r="J97" s="99"/>
      <c r="L97" s="97">
        <f>L96-0.005</f>
        <v>8.4999999999999992E-2</v>
      </c>
      <c r="M97" s="100">
        <v>9.6560549540069758</v>
      </c>
      <c r="N97" s="100">
        <v>9.9893181044216934</v>
      </c>
      <c r="O97" s="100">
        <v>10.322581254836413</v>
      </c>
      <c r="P97" s="100">
        <v>10.655844405251131</v>
      </c>
      <c r="Q97" s="100">
        <v>10.989107555665846</v>
      </c>
    </row>
    <row r="98" spans="2:17" ht="15" customHeight="1" x14ac:dyDescent="0.2">
      <c r="B98" s="85"/>
      <c r="D98" s="103">
        <f>D97-0.005</f>
        <v>7.9999999999999988E-2</v>
      </c>
      <c r="E98" s="98">
        <v>9.0130110894235251</v>
      </c>
      <c r="F98" s="98">
        <v>9.4055305684162587</v>
      </c>
      <c r="G98" s="98">
        <v>9.7980500474089851</v>
      </c>
      <c r="H98" s="98">
        <v>10.190569526401715</v>
      </c>
      <c r="I98" s="98">
        <v>10.583089005394445</v>
      </c>
      <c r="J98" s="99"/>
      <c r="L98" s="103">
        <f>L97-0.005</f>
        <v>7.9999999999999988E-2</v>
      </c>
      <c r="M98" s="100">
        <v>9.8210175189346742</v>
      </c>
      <c r="N98" s="100">
        <v>10.160499495515056</v>
      </c>
      <c r="O98" s="100">
        <v>10.499981472095433</v>
      </c>
      <c r="P98" s="100">
        <v>10.839463448675811</v>
      </c>
      <c r="Q98" s="100">
        <v>11.17894542525619</v>
      </c>
    </row>
    <row r="99" spans="2:17" x14ac:dyDescent="0.2">
      <c r="J99" s="110"/>
    </row>
    <row r="100" spans="2:17" x14ac:dyDescent="0.2">
      <c r="B100" s="111" t="s">
        <v>85</v>
      </c>
      <c r="C100" s="111"/>
      <c r="D100" s="111"/>
      <c r="E100" s="111"/>
      <c r="G100" s="111" t="s">
        <v>86</v>
      </c>
      <c r="H100" s="111"/>
      <c r="I100" s="111"/>
      <c r="J100" s="112"/>
      <c r="K100" s="111"/>
      <c r="L100" s="111"/>
      <c r="M100" s="111"/>
      <c r="N100" s="111"/>
      <c r="O100" s="111"/>
      <c r="P100" s="111"/>
    </row>
    <row r="101" spans="2:17" x14ac:dyDescent="0.2">
      <c r="J101" s="110"/>
    </row>
    <row r="102" spans="2:17" x14ac:dyDescent="0.2">
      <c r="J102" s="110"/>
    </row>
    <row r="103" spans="2:17" x14ac:dyDescent="0.2">
      <c r="J103" s="110"/>
    </row>
    <row r="104" spans="2:17" x14ac:dyDescent="0.2">
      <c r="J104" s="110"/>
    </row>
    <row r="105" spans="2:17" x14ac:dyDescent="0.2">
      <c r="J105" s="110"/>
    </row>
    <row r="106" spans="2:17" x14ac:dyDescent="0.2">
      <c r="J106" s="110"/>
    </row>
    <row r="107" spans="2:17" x14ac:dyDescent="0.2">
      <c r="J107" s="110"/>
    </row>
    <row r="108" spans="2:17" x14ac:dyDescent="0.2">
      <c r="J108" s="110"/>
    </row>
    <row r="109" spans="2:17" x14ac:dyDescent="0.2">
      <c r="J109" s="110"/>
    </row>
    <row r="110" spans="2:17" x14ac:dyDescent="0.2">
      <c r="J110" s="110"/>
    </row>
    <row r="111" spans="2:17" x14ac:dyDescent="0.2">
      <c r="J111" s="110"/>
    </row>
    <row r="112" spans="2:17" x14ac:dyDescent="0.2">
      <c r="J112" s="110"/>
    </row>
    <row r="113" spans="2:17" x14ac:dyDescent="0.2">
      <c r="J113" s="110"/>
    </row>
    <row r="114" spans="2:17" x14ac:dyDescent="0.2">
      <c r="J114" s="110"/>
      <c r="M114" s="113"/>
    </row>
    <row r="115" spans="2:17" x14ac:dyDescent="0.2">
      <c r="J115" s="110"/>
    </row>
    <row r="116" spans="2:17" x14ac:dyDescent="0.2">
      <c r="J116" s="110"/>
    </row>
    <row r="117" spans="2:17" x14ac:dyDescent="0.2">
      <c r="J117" s="110"/>
    </row>
    <row r="118" spans="2:17" x14ac:dyDescent="0.2">
      <c r="J118" s="110"/>
    </row>
    <row r="119" spans="2:17" x14ac:dyDescent="0.2">
      <c r="J119" s="110"/>
    </row>
    <row r="120" spans="2:17" x14ac:dyDescent="0.2">
      <c r="J120" s="110"/>
    </row>
    <row r="121" spans="2:17" x14ac:dyDescent="0.2">
      <c r="B121" s="114"/>
      <c r="C121" s="115" t="s">
        <v>87</v>
      </c>
      <c r="D121" s="115" t="s">
        <v>88</v>
      </c>
      <c r="E121" s="116" t="s">
        <v>89</v>
      </c>
      <c r="G121" s="114"/>
      <c r="H121" s="117"/>
      <c r="I121" s="117"/>
      <c r="J121" s="118"/>
      <c r="K121" s="117"/>
      <c r="L121" s="117"/>
      <c r="M121" s="117"/>
      <c r="N121" s="117"/>
      <c r="O121" s="115" t="s">
        <v>87</v>
      </c>
      <c r="P121" s="115" t="s">
        <v>88</v>
      </c>
      <c r="Q121" s="116" t="s">
        <v>89</v>
      </c>
    </row>
    <row r="122" spans="2:17" x14ac:dyDescent="0.2">
      <c r="B122" s="119" t="str">
        <f>"DCF Value at "&amp;TEXT(E93,"0.0x")&amp;"-"&amp;TEXT(I93,"0.0x")&amp;" Exit EBITDA Range at "&amp;TEXT(D96,"0.0%")&amp;" WACC"</f>
        <v>DCF Value at 11.5x-13.5x Exit EBITDA Range at 9.0% WACC</v>
      </c>
      <c r="C122" s="120">
        <f>E96</f>
        <v>8.6357612364691754</v>
      </c>
      <c r="D122" s="120">
        <f>E122-C122</f>
        <v>1.513210230521679</v>
      </c>
      <c r="E122" s="121">
        <f>I96</f>
        <v>10.148971466990854</v>
      </c>
      <c r="G122" s="119" t="str">
        <f>"LTM EBITDA Purchase Multiple at "&amp;TEXT(M84,"0.0%")&amp;"-"&amp;TEXT(Q84,"0.0%")&amp;" Perpetuity Growth at "&amp;TEXT(L87,"0.0%")&amp;" WACC"</f>
        <v>LTM EBITDA Purchase Multiple at 2.0%-4.0% Perpetuity Growth at 9.0% WACC</v>
      </c>
      <c r="J122" s="110"/>
      <c r="O122" s="122">
        <f>M87</f>
        <v>7.9827360906110938</v>
      </c>
      <c r="P122" s="122">
        <f>Q122-O122</f>
        <v>2.5703796270474699</v>
      </c>
      <c r="Q122" s="123">
        <f>Q87</f>
        <v>10.553115717658564</v>
      </c>
    </row>
    <row r="123" spans="2:17" x14ac:dyDescent="0.2">
      <c r="B123" s="124" t="str">
        <f>"DCF Value at "&amp;TEXT(E84,"0.0%")&amp;"-"&amp;TEXT(I84,"0.0%")&amp;" Perpetuity Range at "&amp;TEXT(D96,"0.0%")&amp;" WACC"</f>
        <v>DCF Value at 2.0%-4.0% Perpetuity Range at 9.0% WACC</v>
      </c>
      <c r="C123" s="120">
        <f>E87</f>
        <v>6.8875336907235667</v>
      </c>
      <c r="D123" s="120">
        <f>E123-C123</f>
        <v>2.9719518019340825</v>
      </c>
      <c r="E123" s="121">
        <f>I87</f>
        <v>9.8594854926576492</v>
      </c>
      <c r="G123" s="124" t="str">
        <f>"LTM EBITDA Purchase Multiple at "&amp;TEXT(M96,"0.0x")&amp;"-"&amp;TEXT(Q96,"0.0x")&amp;" Exit EBITDA Multiple at "&amp;TEXT(L96,"0.0%")&amp;" WACC"</f>
        <v>LTM EBITDA Purchase Multiple at 9.5x-10.8x Exit EBITDA Multiple at 9.0% WACC</v>
      </c>
      <c r="J123" s="110"/>
      <c r="O123" s="122">
        <f>M96</f>
        <v>9.4947419260029626</v>
      </c>
      <c r="P123" s="122">
        <f>Q123-O123</f>
        <v>1.3087442217069309</v>
      </c>
      <c r="Q123" s="123">
        <f>Q96</f>
        <v>10.803486147709894</v>
      </c>
    </row>
    <row r="124" spans="2:17" x14ac:dyDescent="0.2">
      <c r="B124" s="125" t="s">
        <v>90</v>
      </c>
      <c r="C124" s="126">
        <v>169.5</v>
      </c>
      <c r="D124" s="126">
        <f>E124-C124</f>
        <v>158.35000000000002</v>
      </c>
      <c r="E124" s="127">
        <v>327.85</v>
      </c>
      <c r="G124" s="125" t="str">
        <f>"LTM EBITDA Purchase Multiple at "&amp;TEXT(L98,"0.0%")&amp;"-"&amp;TEXT(L94,"0.0%")&amp;" WACC at "&amp;TEXT(O93,"0.0x")&amp;" Exit EBITDA"</f>
        <v>LTM EBITDA Purchase Multiple at 8.0%-10.0% WACC at 12.5x Exit EBITDA</v>
      </c>
      <c r="H124" s="128"/>
      <c r="I124" s="128"/>
      <c r="J124" s="129"/>
      <c r="K124" s="128"/>
      <c r="L124" s="128"/>
      <c r="M124" s="128"/>
      <c r="N124" s="128"/>
      <c r="O124" s="130">
        <f>O94</f>
        <v>9.8135595301168213</v>
      </c>
      <c r="P124" s="130">
        <f>Q124-O124</f>
        <v>0.68642194197861173</v>
      </c>
      <c r="Q124" s="131">
        <f>O98</f>
        <v>10.499981472095433</v>
      </c>
    </row>
    <row r="125" spans="2:17" x14ac:dyDescent="0.2">
      <c r="J125" s="110"/>
    </row>
    <row r="126" spans="2:17" x14ac:dyDescent="0.2">
      <c r="J126" s="110"/>
    </row>
  </sheetData>
  <conditionalFormatting sqref="E85:J89 E94:J98">
    <cfRule type="cellIs" dxfId="0" priority="1" operator="lessThan">
      <formula>$C$7</formula>
    </cfRule>
  </conditionalFormatting>
  <dataValidations count="1">
    <dataValidation type="list" allowBlank="1" showInputMessage="1" showErrorMessage="1" sqref="H7" xr:uid="{54A4FEDE-6E2D-C049-9C4C-C18715DC5E16}">
      <formula1>"0,1"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7EDFB-643B-A542-BC66-5AC59117FBB6}">
  <dimension ref="A1:BE42"/>
  <sheetViews>
    <sheetView tabSelected="1" topLeftCell="A38" zoomScale="120" zoomScaleNormal="120" workbookViewId="0">
      <selection activeCell="M72" sqref="M72"/>
    </sheetView>
  </sheetViews>
  <sheetFormatPr baseColWidth="10" defaultRowHeight="15" x14ac:dyDescent="0.2"/>
  <cols>
    <col min="2" max="3" width="11" bestFit="1" customWidth="1"/>
    <col min="4" max="4" width="12.6640625" bestFit="1" customWidth="1"/>
    <col min="5" max="7" width="11" bestFit="1" customWidth="1"/>
    <col min="32" max="32" width="0" hidden="1" customWidth="1"/>
    <col min="33" max="33" width="10.6640625" hidden="1" customWidth="1"/>
    <col min="34" max="37" width="0" hidden="1" customWidth="1"/>
    <col min="51" max="51" width="42.33203125" bestFit="1" customWidth="1"/>
  </cols>
  <sheetData>
    <row r="1" spans="1:57" x14ac:dyDescent="0.2">
      <c r="A1" s="221"/>
      <c r="B1" s="211" t="s">
        <v>319</v>
      </c>
      <c r="C1" s="212"/>
      <c r="D1" s="212"/>
      <c r="E1" s="212"/>
      <c r="F1" s="212"/>
      <c r="G1" s="227"/>
      <c r="H1" s="206" t="s">
        <v>320</v>
      </c>
      <c r="I1" s="206"/>
      <c r="J1" s="206"/>
      <c r="K1" s="206"/>
      <c r="L1" s="206"/>
      <c r="M1" s="207"/>
      <c r="N1" s="205" t="s">
        <v>321</v>
      </c>
      <c r="O1" s="206"/>
      <c r="P1" s="206"/>
      <c r="Q1" s="206"/>
      <c r="R1" s="206"/>
      <c r="S1" s="207"/>
      <c r="T1" s="211" t="s">
        <v>346</v>
      </c>
      <c r="U1" s="212"/>
      <c r="V1" s="212"/>
      <c r="W1" s="212"/>
      <c r="X1" s="212"/>
      <c r="Y1" s="213"/>
      <c r="Z1" s="211" t="s">
        <v>343</v>
      </c>
      <c r="AA1" s="212"/>
      <c r="AB1" s="212"/>
      <c r="AC1" s="212"/>
      <c r="AD1" s="212"/>
      <c r="AE1" s="213"/>
      <c r="AF1" s="211" t="s">
        <v>347</v>
      </c>
      <c r="AG1" s="212"/>
      <c r="AH1" s="212"/>
      <c r="AI1" s="212"/>
      <c r="AJ1" s="212"/>
      <c r="AK1" s="213"/>
      <c r="AL1" s="211" t="s">
        <v>348</v>
      </c>
      <c r="AM1" s="212"/>
      <c r="AN1" s="212"/>
      <c r="AO1" s="212"/>
      <c r="AP1" s="212"/>
      <c r="AQ1" s="213"/>
      <c r="AR1" s="211" t="s">
        <v>349</v>
      </c>
      <c r="AS1" s="212"/>
      <c r="AT1" s="212"/>
      <c r="AU1" s="212"/>
      <c r="AV1" s="212"/>
      <c r="AW1" s="213"/>
    </row>
    <row r="2" spans="1:57" x14ac:dyDescent="0.2">
      <c r="A2" s="217" t="s">
        <v>213</v>
      </c>
      <c r="B2" s="224" t="s">
        <v>322</v>
      </c>
      <c r="C2" s="225"/>
      <c r="D2" s="225" t="s">
        <v>323</v>
      </c>
      <c r="E2" s="225"/>
      <c r="F2" s="225" t="s">
        <v>335</v>
      </c>
      <c r="G2" s="226"/>
      <c r="H2" s="224" t="s">
        <v>322</v>
      </c>
      <c r="I2" s="225"/>
      <c r="J2" s="225" t="s">
        <v>323</v>
      </c>
      <c r="K2" s="225"/>
      <c r="L2" s="225" t="s">
        <v>335</v>
      </c>
      <c r="M2" s="226"/>
      <c r="N2" s="224" t="s">
        <v>322</v>
      </c>
      <c r="O2" s="225"/>
      <c r="P2" s="225" t="s">
        <v>323</v>
      </c>
      <c r="Q2" s="225"/>
      <c r="R2" s="225" t="s">
        <v>335</v>
      </c>
      <c r="S2" s="226"/>
      <c r="T2" s="217" t="s">
        <v>345</v>
      </c>
      <c r="U2" s="209" t="s">
        <v>324</v>
      </c>
      <c r="V2" s="209" t="s">
        <v>320</v>
      </c>
      <c r="W2" s="209" t="s">
        <v>344</v>
      </c>
      <c r="X2" s="210" t="s">
        <v>325</v>
      </c>
      <c r="Y2" s="239" t="s">
        <v>341</v>
      </c>
      <c r="Z2" s="217" t="s">
        <v>345</v>
      </c>
      <c r="AA2" s="209" t="s">
        <v>324</v>
      </c>
      <c r="AB2" s="209" t="s">
        <v>320</v>
      </c>
      <c r="AC2" s="209" t="s">
        <v>344</v>
      </c>
      <c r="AD2" s="210" t="s">
        <v>325</v>
      </c>
      <c r="AE2" s="239" t="s">
        <v>341</v>
      </c>
      <c r="AF2" s="217" t="s">
        <v>345</v>
      </c>
      <c r="AG2" s="209" t="s">
        <v>324</v>
      </c>
      <c r="AH2" s="209" t="s">
        <v>320</v>
      </c>
      <c r="AI2" s="209" t="s">
        <v>344</v>
      </c>
      <c r="AJ2" s="210" t="s">
        <v>325</v>
      </c>
      <c r="AK2" s="239" t="s">
        <v>341</v>
      </c>
      <c r="AL2" s="217" t="s">
        <v>345</v>
      </c>
      <c r="AM2" s="209" t="s">
        <v>324</v>
      </c>
      <c r="AN2" s="209" t="s">
        <v>320</v>
      </c>
      <c r="AO2" s="209" t="s">
        <v>344</v>
      </c>
      <c r="AP2" s="210" t="s">
        <v>325</v>
      </c>
      <c r="AQ2" s="239" t="s">
        <v>341</v>
      </c>
      <c r="AR2" s="217" t="s">
        <v>345</v>
      </c>
      <c r="AS2" s="209" t="s">
        <v>324</v>
      </c>
      <c r="AT2" s="209" t="s">
        <v>320</v>
      </c>
      <c r="AU2" s="209" t="s">
        <v>344</v>
      </c>
      <c r="AV2" s="210" t="s">
        <v>325</v>
      </c>
      <c r="AW2" s="239" t="s">
        <v>341</v>
      </c>
      <c r="AY2" s="32" t="s">
        <v>330</v>
      </c>
    </row>
    <row r="3" spans="1:57" x14ac:dyDescent="0.2">
      <c r="A3" s="214"/>
      <c r="B3" s="208" t="s">
        <v>336</v>
      </c>
      <c r="C3" s="209" t="s">
        <v>337</v>
      </c>
      <c r="D3" s="209" t="s">
        <v>336</v>
      </c>
      <c r="E3" s="209" t="s">
        <v>337</v>
      </c>
      <c r="F3" s="209" t="s">
        <v>336</v>
      </c>
      <c r="G3" s="210" t="s">
        <v>337</v>
      </c>
      <c r="H3" s="208" t="s">
        <v>336</v>
      </c>
      <c r="I3" s="209" t="s">
        <v>337</v>
      </c>
      <c r="J3" s="209" t="s">
        <v>336</v>
      </c>
      <c r="K3" s="209" t="s">
        <v>337</v>
      </c>
      <c r="L3" s="209" t="s">
        <v>336</v>
      </c>
      <c r="M3" s="210" t="s">
        <v>337</v>
      </c>
      <c r="N3" s="208" t="s">
        <v>336</v>
      </c>
      <c r="O3" s="209" t="s">
        <v>337</v>
      </c>
      <c r="P3" s="209" t="s">
        <v>336</v>
      </c>
      <c r="Q3" s="209" t="s">
        <v>337</v>
      </c>
      <c r="R3" s="209" t="s">
        <v>336</v>
      </c>
      <c r="S3" s="210" t="s">
        <v>337</v>
      </c>
      <c r="T3" s="217" t="s">
        <v>11</v>
      </c>
      <c r="U3" s="241">
        <v>7.774604433659045E-2</v>
      </c>
      <c r="V3" s="242">
        <v>9.2752581765623052E-2</v>
      </c>
      <c r="W3" s="243">
        <f>1-U3-V3</f>
        <v>0.82950137389778644</v>
      </c>
      <c r="X3" s="244">
        <f>SUM(U3:W3)</f>
        <v>1</v>
      </c>
      <c r="Y3" s="245" t="s">
        <v>342</v>
      </c>
      <c r="Z3" s="217" t="s">
        <v>11</v>
      </c>
      <c r="AA3" s="241">
        <v>7.774604433659045E-2</v>
      </c>
      <c r="AB3" s="242">
        <v>9.2752581765623052E-2</v>
      </c>
      <c r="AC3" s="243">
        <f>1-AA3-AB3</f>
        <v>0.82950137389778644</v>
      </c>
      <c r="AD3" s="244">
        <f>SUM(AA3:AC3)</f>
        <v>1</v>
      </c>
      <c r="AE3" s="245" t="s">
        <v>342</v>
      </c>
      <c r="AF3" s="217" t="s">
        <v>11</v>
      </c>
      <c r="AG3" s="241">
        <f>U3*2</f>
        <v>0.1554920886731809</v>
      </c>
      <c r="AH3" s="241">
        <f>V3*2</f>
        <v>0.1855051635312461</v>
      </c>
      <c r="AI3" s="243">
        <f>1-AG3-AH3</f>
        <v>0.659002747795573</v>
      </c>
      <c r="AJ3" s="244">
        <f>SUM(AG3:AI3)</f>
        <v>1</v>
      </c>
      <c r="AK3" s="245" t="s">
        <v>342</v>
      </c>
      <c r="AL3" s="217" t="s">
        <v>11</v>
      </c>
      <c r="AM3" s="241">
        <f>U3*2</f>
        <v>0.1554920886731809</v>
      </c>
      <c r="AN3" s="241">
        <f>V3*2</f>
        <v>0.1855051635312461</v>
      </c>
      <c r="AO3" s="243">
        <f>W3</f>
        <v>0.82950137389778644</v>
      </c>
      <c r="AP3" s="244">
        <f>SUM(AM3:AO3)</f>
        <v>1.1704986261022134</v>
      </c>
      <c r="AQ3" s="245" t="s">
        <v>342</v>
      </c>
      <c r="AR3" s="217" t="s">
        <v>11</v>
      </c>
      <c r="AS3" s="241">
        <f>U3*3</f>
        <v>0.23323813300977136</v>
      </c>
      <c r="AT3" s="241">
        <f>V3*3</f>
        <v>0.27825774529686914</v>
      </c>
      <c r="AU3" s="243">
        <f>W3</f>
        <v>0.82950137389778644</v>
      </c>
      <c r="AV3" s="244">
        <f>SUM(AS3:AU3)</f>
        <v>1.3409972522044269</v>
      </c>
      <c r="AW3" s="245" t="s">
        <v>342</v>
      </c>
      <c r="AY3" s="32"/>
    </row>
    <row r="4" spans="1:57" x14ac:dyDescent="0.2">
      <c r="A4" s="221">
        <v>1989</v>
      </c>
      <c r="B4" s="228">
        <v>13763.540476190399</v>
      </c>
      <c r="C4" s="229">
        <f>LN(B4)</f>
        <v>9.529778380439561</v>
      </c>
      <c r="D4" s="229">
        <v>47975780.8378378</v>
      </c>
      <c r="E4" s="229">
        <f>LN(D4)</f>
        <v>17.686206875657589</v>
      </c>
      <c r="F4" s="229">
        <v>27.893125000000001</v>
      </c>
      <c r="G4" s="230">
        <f>LN(F4)</f>
        <v>3.328380242691356</v>
      </c>
      <c r="H4">
        <v>3002.46</v>
      </c>
      <c r="I4" s="229">
        <f>LN(H4)</f>
        <v>8.0071872316339228</v>
      </c>
      <c r="J4">
        <v>138587800.375</v>
      </c>
      <c r="K4" s="229">
        <f>LN(J4)</f>
        <v>18.747014620463659</v>
      </c>
      <c r="L4" s="237">
        <v>21.948333333333299</v>
      </c>
      <c r="M4" s="230">
        <f>LN(L4)</f>
        <v>3.0886912064940724</v>
      </c>
      <c r="N4">
        <v>21841.7038781265</v>
      </c>
      <c r="O4" s="229">
        <f>LN(N4)</f>
        <v>9.9915764432134537</v>
      </c>
      <c r="P4">
        <v>27823004.9373951</v>
      </c>
      <c r="Q4" s="229">
        <f>LN(P4)</f>
        <v>17.141373752192131</v>
      </c>
      <c r="R4">
        <v>22.941251103678901</v>
      </c>
      <c r="S4" s="230">
        <f>LN(R4)</f>
        <v>3.1329366482994696</v>
      </c>
      <c r="T4" s="214">
        <v>4257</v>
      </c>
      <c r="U4" s="229">
        <f>EXP($AZ$7+($AZ$8*$C4)+($AZ$9*$E4)+($AZ$10*$G4))</f>
        <v>274.34630493345918</v>
      </c>
      <c r="V4" s="229">
        <f>EXP($AZ$15+($AZ$16*$I4)+($AZ$17*$K4)+($AZ$18*$M4))</f>
        <v>458.52953756765186</v>
      </c>
      <c r="W4" s="229">
        <f>EXP($AZ$23+($AZ$24*$O4)+($AZ$25*$Q4)+($AZ$26*$S4))</f>
        <v>4391.8669703458454</v>
      </c>
      <c r="X4" s="230">
        <f>SUM(U4:W4)</f>
        <v>5124.7428128469564</v>
      </c>
      <c r="Y4" s="218">
        <f>T4-X4</f>
        <v>-867.74281284695644</v>
      </c>
      <c r="Z4" s="214">
        <v>4257</v>
      </c>
      <c r="AA4" s="229"/>
      <c r="AB4" s="229"/>
      <c r="AC4" s="229"/>
      <c r="AD4" s="230"/>
      <c r="AE4" s="218"/>
      <c r="AF4" s="214">
        <v>4257</v>
      </c>
      <c r="AG4" s="229"/>
      <c r="AH4" s="229"/>
      <c r="AI4" s="229"/>
      <c r="AJ4" s="230"/>
      <c r="AK4" s="218"/>
      <c r="AL4" s="214">
        <v>4257</v>
      </c>
      <c r="AM4" s="229"/>
      <c r="AN4" s="229"/>
      <c r="AO4" s="229"/>
      <c r="AP4" s="230"/>
      <c r="AQ4" s="218"/>
      <c r="AR4" s="214">
        <v>4257</v>
      </c>
      <c r="AS4" s="229"/>
      <c r="AT4" s="229"/>
      <c r="AU4" s="229"/>
      <c r="AV4" s="230"/>
      <c r="AW4" s="218"/>
    </row>
    <row r="5" spans="1:57" x14ac:dyDescent="0.2">
      <c r="A5" s="214">
        <v>1990</v>
      </c>
      <c r="B5" s="228">
        <v>13656.387272727199</v>
      </c>
      <c r="C5" s="229">
        <f t="shared" ref="C5:E39" si="0">LN(B5)</f>
        <v>9.5219626232349626</v>
      </c>
      <c r="D5" s="229">
        <v>48700395</v>
      </c>
      <c r="E5" s="229">
        <f t="shared" si="0"/>
        <v>17.701197698902881</v>
      </c>
      <c r="F5" s="229">
        <v>25.483749999999901</v>
      </c>
      <c r="G5" s="230">
        <f t="shared" ref="G5" si="1">LN(F5)</f>
        <v>3.2380409941292077</v>
      </c>
      <c r="H5">
        <v>2991.41285714285</v>
      </c>
      <c r="I5" s="229">
        <f t="shared" ref="I5:K5" si="2">LN(H5)</f>
        <v>8.003501082251308</v>
      </c>
      <c r="J5">
        <v>141686899.5</v>
      </c>
      <c r="K5" s="229">
        <f t="shared" ref="K5:M5" si="3">LN(J5)</f>
        <v>18.769130248022776</v>
      </c>
      <c r="L5" s="237">
        <v>23.8028571428571</v>
      </c>
      <c r="M5" s="230">
        <f t="shared" ref="M5:M39" si="4">LN(L5)</f>
        <v>3.1698056214914483</v>
      </c>
      <c r="N5">
        <v>21262.999200581398</v>
      </c>
      <c r="O5" s="229">
        <f t="shared" ref="O5:Q5" si="5">LN(N5)</f>
        <v>9.9647237144100025</v>
      </c>
      <c r="P5">
        <v>28092425.1515924</v>
      </c>
      <c r="Q5" s="229">
        <f t="shared" ref="Q5:S5" si="6">LN(P5)</f>
        <v>17.15101053040512</v>
      </c>
      <c r="R5">
        <v>22.168017686885499</v>
      </c>
      <c r="S5" s="230">
        <f t="shared" ref="S5:S39" si="7">LN(R5)</f>
        <v>3.0986506054169767</v>
      </c>
      <c r="T5" s="214">
        <v>4838</v>
      </c>
      <c r="U5" s="229">
        <f>EXP($AZ$7+($AZ$8*$C5)+($AZ$9*$E5)+($AZ$10*$G5))</f>
        <v>294.84060227436544</v>
      </c>
      <c r="V5" s="229">
        <f>EXP($AZ$15+($AZ$16*$I5)+($AZ$17*$K5)+($AZ$18*$M5))</f>
        <v>465.98945673209596</v>
      </c>
      <c r="W5" s="229">
        <f>EXP($AZ$23+($AZ$24*$O5)+($AZ$25*$Q5)+($AZ$26*$S5))</f>
        <v>4737.4357619913153</v>
      </c>
      <c r="X5" s="230">
        <f t="shared" ref="X5:X34" si="8">SUM(U5:W5)</f>
        <v>5498.2658209977762</v>
      </c>
      <c r="Y5" s="218">
        <f t="shared" ref="Y5:Y34" si="9">T5-X5</f>
        <v>-660.26582099777625</v>
      </c>
      <c r="Z5" s="214">
        <v>4838</v>
      </c>
      <c r="AA5" s="229"/>
      <c r="AB5" s="229"/>
      <c r="AC5" s="229"/>
      <c r="AD5" s="230"/>
      <c r="AE5" s="218"/>
      <c r="AF5" s="214">
        <v>4838</v>
      </c>
      <c r="AG5" s="229"/>
      <c r="AH5" s="229"/>
      <c r="AI5" s="229"/>
      <c r="AJ5" s="230"/>
      <c r="AK5" s="218"/>
      <c r="AL5" s="214">
        <v>4838</v>
      </c>
      <c r="AM5" s="229"/>
      <c r="AN5" s="229"/>
      <c r="AO5" s="229"/>
      <c r="AP5" s="230"/>
      <c r="AQ5" s="218"/>
      <c r="AR5" s="214">
        <v>4838</v>
      </c>
      <c r="AS5" s="229"/>
      <c r="AT5" s="229"/>
      <c r="AU5" s="229"/>
      <c r="AV5" s="230"/>
      <c r="AW5" s="218"/>
      <c r="AY5" s="32" t="s">
        <v>338</v>
      </c>
    </row>
    <row r="6" spans="1:57" x14ac:dyDescent="0.2">
      <c r="A6" s="214">
        <v>1991</v>
      </c>
      <c r="B6" s="228">
        <v>13860.1177272727</v>
      </c>
      <c r="C6" s="229">
        <f t="shared" si="0"/>
        <v>9.5367707667390391</v>
      </c>
      <c r="D6" s="229">
        <v>49397807.432432398</v>
      </c>
      <c r="E6" s="229">
        <f t="shared" si="0"/>
        <v>17.715416597214297</v>
      </c>
      <c r="F6" s="229">
        <v>26.173124999999999</v>
      </c>
      <c r="G6" s="230">
        <f t="shared" ref="G6" si="10">LN(F6)</f>
        <v>3.2647331209529953</v>
      </c>
      <c r="H6">
        <v>3101.6714285714202</v>
      </c>
      <c r="I6" s="229">
        <f t="shared" ref="I6:K6" si="11">LN(H6)</f>
        <v>8.0396964156799555</v>
      </c>
      <c r="J6">
        <v>144831952.125</v>
      </c>
      <c r="K6" s="229">
        <f t="shared" ref="K6:M6" si="12">LN(J6)</f>
        <v>18.791084677419889</v>
      </c>
      <c r="L6" s="237">
        <v>23.22</v>
      </c>
      <c r="M6" s="230">
        <f t="shared" si="4"/>
        <v>3.1450139762697455</v>
      </c>
      <c r="N6">
        <v>20912.651724232601</v>
      </c>
      <c r="O6" s="229">
        <f t="shared" ref="O6:Q6" si="13">LN(N6)</f>
        <v>9.9481096004621907</v>
      </c>
      <c r="P6">
        <v>28516836.346002501</v>
      </c>
      <c r="Q6" s="229">
        <f t="shared" ref="Q6:S6" si="14">LN(P6)</f>
        <v>17.166005219797931</v>
      </c>
      <c r="R6">
        <v>21.2857283688334</v>
      </c>
      <c r="S6" s="230">
        <f t="shared" si="7"/>
        <v>3.0580368185129725</v>
      </c>
      <c r="T6" s="214">
        <v>4937</v>
      </c>
      <c r="U6" s="229">
        <f>EXP($AZ$7+($AZ$8*$C6)+($AZ$9*$E6)+($AZ$10*$G6))</f>
        <v>322.36500963484735</v>
      </c>
      <c r="V6" s="229">
        <f>EXP($AZ$15+($AZ$16*$I6)+($AZ$17*$K6)+($AZ$18*$M6))</f>
        <v>487.96942736097014</v>
      </c>
      <c r="W6" s="229">
        <f>EXP($AZ$23+($AZ$24*$O6)+($AZ$25*$Q6)+($AZ$26*$S6))</f>
        <v>5240.9289239062264</v>
      </c>
      <c r="X6" s="230">
        <f t="shared" si="8"/>
        <v>6051.263360902044</v>
      </c>
      <c r="Y6" s="218">
        <f t="shared" si="9"/>
        <v>-1114.263360902044</v>
      </c>
      <c r="Z6" s="214">
        <v>4937</v>
      </c>
      <c r="AA6" s="229"/>
      <c r="AB6" s="229"/>
      <c r="AC6" s="229"/>
      <c r="AD6" s="230"/>
      <c r="AE6" s="218"/>
      <c r="AF6" s="214">
        <v>4937</v>
      </c>
      <c r="AG6" s="229"/>
      <c r="AH6" s="229"/>
      <c r="AI6" s="229"/>
      <c r="AJ6" s="230"/>
      <c r="AK6" s="218"/>
      <c r="AL6" s="214">
        <v>4937</v>
      </c>
      <c r="AM6" s="229"/>
      <c r="AN6" s="229"/>
      <c r="AO6" s="229"/>
      <c r="AP6" s="230"/>
      <c r="AQ6" s="218"/>
      <c r="AR6" s="214">
        <v>4937</v>
      </c>
      <c r="AS6" s="229"/>
      <c r="AT6" s="229"/>
      <c r="AU6" s="229"/>
      <c r="AV6" s="230"/>
      <c r="AW6" s="218"/>
      <c r="AZ6" s="238" t="s">
        <v>331</v>
      </c>
      <c r="BA6" s="238" t="s">
        <v>332</v>
      </c>
      <c r="BB6" s="238" t="s">
        <v>334</v>
      </c>
      <c r="BC6" s="238" t="s">
        <v>333</v>
      </c>
      <c r="BD6" s="238">
        <v>2.5000000000000001E-2</v>
      </c>
      <c r="BE6" s="238">
        <v>0.97499999999999998</v>
      </c>
    </row>
    <row r="7" spans="1:57" ht="19" x14ac:dyDescent="0.25">
      <c r="A7" s="214">
        <v>1992</v>
      </c>
      <c r="B7" s="228">
        <v>14205.740454545399</v>
      </c>
      <c r="C7" s="229">
        <f t="shared" si="0"/>
        <v>9.5614014192617116</v>
      </c>
      <c r="D7" s="229">
        <v>50048524.054053999</v>
      </c>
      <c r="E7" s="229">
        <f t="shared" si="0"/>
        <v>17.728503573861193</v>
      </c>
      <c r="F7" s="229">
        <v>26.239374999999999</v>
      </c>
      <c r="G7" s="230">
        <f t="shared" ref="G7" si="15">LN(F7)</f>
        <v>3.2672611451946598</v>
      </c>
      <c r="H7">
        <v>3158.5457142857099</v>
      </c>
      <c r="I7" s="229">
        <f t="shared" ref="I7:K7" si="16">LN(H7)</f>
        <v>8.0578669836504186</v>
      </c>
      <c r="J7">
        <v>148016664.25</v>
      </c>
      <c r="K7" s="229">
        <f t="shared" ref="K7:M7" si="17">LN(J7)</f>
        <v>18.812835421673686</v>
      </c>
      <c r="L7" s="237">
        <v>26.2128571428571</v>
      </c>
      <c r="M7" s="230">
        <f t="shared" si="4"/>
        <v>3.2662500210415475</v>
      </c>
      <c r="N7">
        <v>20115.127866069201</v>
      </c>
      <c r="O7" s="229">
        <f t="shared" ref="O7:Q7" si="18">LN(N7)</f>
        <v>9.909227441115819</v>
      </c>
      <c r="P7">
        <v>29056882.440746401</v>
      </c>
      <c r="Q7" s="229">
        <f t="shared" ref="Q7:S7" si="19">LN(P7)</f>
        <v>17.184765930267059</v>
      </c>
      <c r="R7">
        <v>21.792711825270601</v>
      </c>
      <c r="S7" s="230">
        <f t="shared" si="7"/>
        <v>3.0815755939559573</v>
      </c>
      <c r="T7" s="214">
        <v>5224</v>
      </c>
      <c r="U7" s="229">
        <f>EXP($AZ$7+($AZ$8*$C7)+($AZ$9*$E7)+($AZ$10*$G7))</f>
        <v>343.79649220270068</v>
      </c>
      <c r="V7" s="229">
        <f>EXP($AZ$15+($AZ$16*$I7)+($AZ$17*$K7)+($AZ$18*$M7))</f>
        <v>494.46249779147058</v>
      </c>
      <c r="W7" s="229">
        <f>EXP($AZ$23+($AZ$24*$O7)+($AZ$25*$Q7)+($AZ$26*$S7))</f>
        <v>5228.4814331325188</v>
      </c>
      <c r="X7" s="230">
        <f t="shared" si="8"/>
        <v>6066.7404231266901</v>
      </c>
      <c r="Y7" s="218">
        <f t="shared" si="9"/>
        <v>-842.74042312669008</v>
      </c>
      <c r="Z7" s="214">
        <v>5224</v>
      </c>
      <c r="AA7" s="229"/>
      <c r="AB7" s="229"/>
      <c r="AC7" s="229"/>
      <c r="AD7" s="230"/>
      <c r="AE7" s="218"/>
      <c r="AF7" s="214">
        <v>5224</v>
      </c>
      <c r="AG7" s="229"/>
      <c r="AH7" s="229"/>
      <c r="AI7" s="229"/>
      <c r="AJ7" s="230"/>
      <c r="AK7" s="218"/>
      <c r="AL7" s="214">
        <v>5224</v>
      </c>
      <c r="AM7" s="229"/>
      <c r="AN7" s="229"/>
      <c r="AO7" s="229"/>
      <c r="AP7" s="230"/>
      <c r="AQ7" s="218"/>
      <c r="AR7" s="214">
        <v>5224</v>
      </c>
      <c r="AS7" s="229"/>
      <c r="AT7" s="229"/>
      <c r="AU7" s="229"/>
      <c r="AV7" s="230"/>
      <c r="AW7" s="218"/>
      <c r="AY7" s="220" t="s">
        <v>326</v>
      </c>
      <c r="AZ7">
        <v>-102.495</v>
      </c>
      <c r="BA7">
        <v>41.460999999999999</v>
      </c>
      <c r="BB7">
        <v>-2.472</v>
      </c>
      <c r="BC7">
        <v>2.4E-2</v>
      </c>
      <c r="BD7">
        <v>-189.602</v>
      </c>
      <c r="BE7">
        <v>-15.388</v>
      </c>
    </row>
    <row r="8" spans="1:57" ht="19" x14ac:dyDescent="0.25">
      <c r="A8" s="214">
        <v>1993</v>
      </c>
      <c r="B8" s="228">
        <v>14574.108181818099</v>
      </c>
      <c r="C8" s="229">
        <f t="shared" si="0"/>
        <v>9.5870018211351677</v>
      </c>
      <c r="D8" s="229">
        <v>50676316.243243203</v>
      </c>
      <c r="E8" s="229">
        <f t="shared" si="0"/>
        <v>17.740969224178002</v>
      </c>
      <c r="F8" s="229">
        <v>27.853124999999999</v>
      </c>
      <c r="G8" s="230">
        <f t="shared" ref="G8" si="20">LN(F8)</f>
        <v>3.3269451683369451</v>
      </c>
      <c r="H8">
        <v>3253.47285714285</v>
      </c>
      <c r="I8" s="229">
        <f t="shared" ref="I8:K8" si="21">LN(H8)</f>
        <v>8.0874782762362916</v>
      </c>
      <c r="J8">
        <v>151230973.25</v>
      </c>
      <c r="K8" s="229">
        <f t="shared" ref="K8:M8" si="22">LN(J8)</f>
        <v>18.834318850267941</v>
      </c>
      <c r="L8" s="237">
        <v>25.992857142857101</v>
      </c>
      <c r="M8" s="230">
        <f t="shared" si="4"/>
        <v>3.2578217750028537</v>
      </c>
      <c r="N8">
        <v>20205.072169147799</v>
      </c>
      <c r="O8" s="229">
        <f t="shared" ref="O8:Q8" si="23">LN(N8)</f>
        <v>9.9136889493521636</v>
      </c>
      <c r="P8">
        <v>29480598.650878798</v>
      </c>
      <c r="Q8" s="229">
        <f t="shared" ref="Q8:S8" si="24">LN(P8)</f>
        <v>17.199242932096823</v>
      </c>
      <c r="R8">
        <v>21.399261484593801</v>
      </c>
      <c r="S8" s="230">
        <f t="shared" si="7"/>
        <v>3.0633564113666094</v>
      </c>
      <c r="T8" s="214">
        <v>5566</v>
      </c>
      <c r="U8" s="229">
        <f>EXP($AZ$7+($AZ$8*$C8)+($AZ$9*$E8)+($AZ$10*$G8))</f>
        <v>372.48617668304308</v>
      </c>
      <c r="V8" s="229">
        <f>EXP($AZ$15+($AZ$16*$I8)+($AZ$17*$K8)+($AZ$18*$M8))</f>
        <v>514.96405622917302</v>
      </c>
      <c r="W8" s="229">
        <f>EXP($AZ$23+($AZ$24*$O8)+($AZ$25*$Q8)+($AZ$26*$S8))</f>
        <v>5584.5222375695548</v>
      </c>
      <c r="X8" s="230">
        <f t="shared" si="8"/>
        <v>6471.9724704817709</v>
      </c>
      <c r="Y8" s="218">
        <f t="shared" si="9"/>
        <v>-905.97247048177087</v>
      </c>
      <c r="Z8" s="214">
        <v>5566</v>
      </c>
      <c r="AA8" s="229"/>
      <c r="AB8" s="229"/>
      <c r="AC8" s="229"/>
      <c r="AD8" s="230"/>
      <c r="AE8" s="218"/>
      <c r="AF8" s="214">
        <v>5566</v>
      </c>
      <c r="AG8" s="229"/>
      <c r="AH8" s="229"/>
      <c r="AI8" s="229"/>
      <c r="AJ8" s="230"/>
      <c r="AK8" s="218"/>
      <c r="AL8" s="214">
        <v>5566</v>
      </c>
      <c r="AM8" s="229"/>
      <c r="AN8" s="229"/>
      <c r="AO8" s="229"/>
      <c r="AP8" s="230"/>
      <c r="AQ8" s="218"/>
      <c r="AR8" s="214">
        <v>5566</v>
      </c>
      <c r="AS8" s="229"/>
      <c r="AT8" s="229"/>
      <c r="AU8" s="229"/>
      <c r="AV8" s="230"/>
      <c r="AW8" s="218"/>
      <c r="AY8" s="220" t="s">
        <v>327</v>
      </c>
      <c r="AZ8">
        <v>-0.89049999999999996</v>
      </c>
      <c r="BA8">
        <v>0.82699999999999996</v>
      </c>
      <c r="BB8">
        <v>-1.077</v>
      </c>
      <c r="BC8">
        <v>0.29599999999999999</v>
      </c>
      <c r="BD8">
        <v>-2.6280000000000001</v>
      </c>
      <c r="BE8">
        <v>0.84699999999999998</v>
      </c>
    </row>
    <row r="9" spans="1:57" ht="19" x14ac:dyDescent="0.25">
      <c r="A9" s="214">
        <v>1994</v>
      </c>
      <c r="B9" s="228">
        <v>15133.3854545454</v>
      </c>
      <c r="C9" s="229">
        <f t="shared" si="0"/>
        <v>9.6246585394883546</v>
      </c>
      <c r="D9" s="229">
        <v>51304930.8378378</v>
      </c>
      <c r="E9" s="229">
        <f t="shared" si="0"/>
        <v>17.75329742321863</v>
      </c>
      <c r="F9" s="229">
        <v>27.776250000000001</v>
      </c>
      <c r="G9" s="230">
        <f t="shared" ref="G9" si="25">LN(F9)</f>
        <v>3.3241813390134718</v>
      </c>
      <c r="H9">
        <v>3398.5528571428499</v>
      </c>
      <c r="I9" s="229">
        <f t="shared" ref="I9:K9" si="26">LN(H9)</f>
        <v>8.131104989745884</v>
      </c>
      <c r="J9">
        <v>154461733.625</v>
      </c>
      <c r="K9" s="229">
        <f t="shared" ref="K9:M9" si="27">LN(J9)</f>
        <v>18.855456944822024</v>
      </c>
      <c r="L9" s="237">
        <v>27.74</v>
      </c>
      <c r="M9" s="230">
        <f t="shared" si="4"/>
        <v>3.3228754148866853</v>
      </c>
      <c r="N9">
        <v>20417.851738783102</v>
      </c>
      <c r="O9" s="229">
        <f t="shared" ref="O9:Q9" si="28">LN(N9)</f>
        <v>9.9241648824029163</v>
      </c>
      <c r="P9">
        <v>29887301.0172273</v>
      </c>
      <c r="Q9" s="229">
        <f t="shared" ref="Q9:S9" si="29">LN(P9)</f>
        <v>17.212944233000993</v>
      </c>
      <c r="R9">
        <v>22.5371074229691</v>
      </c>
      <c r="S9" s="230">
        <f t="shared" si="7"/>
        <v>3.1151631695410802</v>
      </c>
      <c r="T9" s="214">
        <v>6303</v>
      </c>
      <c r="U9" s="229">
        <f>EXP($AZ$7+($AZ$8*$C9)+($AZ$9*$E9)+($AZ$10*$G9))</f>
        <v>389.98115985066761</v>
      </c>
      <c r="V9" s="229">
        <f>EXP($AZ$15+($AZ$16*$I9)+($AZ$17*$K9)+($AZ$18*$M9))</f>
        <v>530.31918963345277</v>
      </c>
      <c r="W9" s="229">
        <f>EXP($AZ$23+($AZ$24*$O9)+($AZ$25*$Q9)+($AZ$26*$S9))</f>
        <v>5296.3854717828344</v>
      </c>
      <c r="X9" s="230">
        <f t="shared" si="8"/>
        <v>6216.6858212669549</v>
      </c>
      <c r="Y9" s="218">
        <f t="shared" si="9"/>
        <v>86.314178733045082</v>
      </c>
      <c r="Z9" s="214">
        <v>6303</v>
      </c>
      <c r="AA9" s="229"/>
      <c r="AB9" s="229"/>
      <c r="AC9" s="229"/>
      <c r="AD9" s="230"/>
      <c r="AE9" s="218"/>
      <c r="AF9" s="214">
        <v>6303</v>
      </c>
      <c r="AG9" s="229"/>
      <c r="AH9" s="229"/>
      <c r="AI9" s="229"/>
      <c r="AJ9" s="230"/>
      <c r="AK9" s="218"/>
      <c r="AL9" s="214">
        <v>6303</v>
      </c>
      <c r="AM9" s="229"/>
      <c r="AN9" s="229"/>
      <c r="AO9" s="229"/>
      <c r="AP9" s="230"/>
      <c r="AQ9" s="218"/>
      <c r="AR9" s="214">
        <v>6303</v>
      </c>
      <c r="AS9" s="229"/>
      <c r="AT9" s="229"/>
      <c r="AU9" s="229"/>
      <c r="AV9" s="230"/>
      <c r="AW9" s="218"/>
      <c r="AY9" s="220" t="s">
        <v>328</v>
      </c>
      <c r="AZ9">
        <v>6.5243000000000002</v>
      </c>
      <c r="BA9">
        <v>2.7130000000000001</v>
      </c>
      <c r="BB9">
        <v>2.4049999999999998</v>
      </c>
      <c r="BC9">
        <v>2.7E-2</v>
      </c>
      <c r="BD9">
        <v>0.82499999999999996</v>
      </c>
      <c r="BE9">
        <v>12.224</v>
      </c>
    </row>
    <row r="10" spans="1:57" ht="19" x14ac:dyDescent="0.25">
      <c r="A10" s="214">
        <v>1995</v>
      </c>
      <c r="B10" s="228">
        <v>15051.4682608695</v>
      </c>
      <c r="C10" s="229">
        <f t="shared" si="0"/>
        <v>9.6192308242802262</v>
      </c>
      <c r="D10" s="229">
        <v>51923605.8918918</v>
      </c>
      <c r="E10" s="229">
        <f t="shared" si="0"/>
        <v>17.76528407887092</v>
      </c>
      <c r="F10" s="229">
        <v>29.319411764705801</v>
      </c>
      <c r="G10" s="230">
        <f t="shared" ref="G10" si="30">LN(F10)</f>
        <v>3.3782498142218942</v>
      </c>
      <c r="H10">
        <v>3557.22</v>
      </c>
      <c r="I10" s="229">
        <f t="shared" ref="I10:K10" si="31">LN(H10)</f>
        <v>8.17673461990932</v>
      </c>
      <c r="J10">
        <v>157698469.5</v>
      </c>
      <c r="K10" s="229">
        <f t="shared" ref="K10:M10" si="32">LN(J10)</f>
        <v>18.876195346749835</v>
      </c>
      <c r="L10" s="237">
        <v>27.087142857142801</v>
      </c>
      <c r="M10" s="230">
        <f t="shared" si="4"/>
        <v>3.2990591819907968</v>
      </c>
      <c r="N10">
        <v>20689.324741889399</v>
      </c>
      <c r="O10" s="229">
        <f t="shared" ref="O10:Q10" si="33">LN(N10)</f>
        <v>9.9373731332755959</v>
      </c>
      <c r="P10">
        <v>30166287.175817501</v>
      </c>
      <c r="Q10" s="229">
        <f t="shared" ref="Q10:S10" si="34">LN(P10)</f>
        <v>17.222235540115765</v>
      </c>
      <c r="R10">
        <v>21.787871036414501</v>
      </c>
      <c r="S10" s="230">
        <f t="shared" si="7"/>
        <v>3.0813534404849321</v>
      </c>
      <c r="T10" s="214">
        <v>7177</v>
      </c>
      <c r="U10" s="229">
        <f>EXP($AZ$7+($AZ$8*$C10)+($AZ$9*$E10)+($AZ$10*$G10))</f>
        <v>432.12718276628016</v>
      </c>
      <c r="V10" s="229">
        <f>EXP($AZ$15+($AZ$16*$I10)+($AZ$17*$K10)+($AZ$18*$M10))</f>
        <v>555.51479116350811</v>
      </c>
      <c r="W10" s="229">
        <f>EXP($AZ$23+($AZ$24*$O10)+($AZ$25*$Q10)+($AZ$26*$S10))</f>
        <v>5746.0626270753673</v>
      </c>
      <c r="X10" s="230">
        <f t="shared" si="8"/>
        <v>6733.7046010051554</v>
      </c>
      <c r="Y10" s="218">
        <f t="shared" si="9"/>
        <v>443.29539899484462</v>
      </c>
      <c r="Z10" s="214">
        <v>7177</v>
      </c>
      <c r="AA10" s="229"/>
      <c r="AB10" s="229"/>
      <c r="AC10" s="229"/>
      <c r="AD10" s="230"/>
      <c r="AE10" s="218"/>
      <c r="AF10" s="214">
        <v>7177</v>
      </c>
      <c r="AG10" s="229"/>
      <c r="AH10" s="229"/>
      <c r="AI10" s="229"/>
      <c r="AJ10" s="230"/>
      <c r="AK10" s="218"/>
      <c r="AL10" s="214">
        <v>7177</v>
      </c>
      <c r="AM10" s="229"/>
      <c r="AN10" s="229"/>
      <c r="AO10" s="229"/>
      <c r="AP10" s="230"/>
      <c r="AQ10" s="218"/>
      <c r="AR10" s="214">
        <v>7177</v>
      </c>
      <c r="AS10" s="229"/>
      <c r="AT10" s="229"/>
      <c r="AU10" s="229"/>
      <c r="AV10" s="230"/>
      <c r="AW10" s="218"/>
      <c r="AY10" s="220" t="s">
        <v>329</v>
      </c>
      <c r="AZ10">
        <v>0.36220000000000002</v>
      </c>
      <c r="BA10">
        <v>0.66600000000000004</v>
      </c>
      <c r="BB10">
        <v>0.54400000000000004</v>
      </c>
      <c r="BC10">
        <v>0.59299999999999997</v>
      </c>
      <c r="BD10">
        <v>-1.038</v>
      </c>
      <c r="BE10">
        <v>1.762</v>
      </c>
    </row>
    <row r="11" spans="1:57" x14ac:dyDescent="0.2">
      <c r="A11" s="214">
        <v>1996</v>
      </c>
      <c r="B11" s="228">
        <v>15445.528695652099</v>
      </c>
      <c r="C11" s="229">
        <f t="shared" si="0"/>
        <v>9.6450748356280762</v>
      </c>
      <c r="D11" s="229">
        <v>52533038.513513498</v>
      </c>
      <c r="E11" s="229">
        <f t="shared" si="0"/>
        <v>17.776952834651787</v>
      </c>
      <c r="F11" s="229">
        <v>29.885294117647</v>
      </c>
      <c r="G11" s="230">
        <f t="shared" ref="G11" si="35">LN(F11)</f>
        <v>3.3973665238756725</v>
      </c>
      <c r="H11">
        <v>3786.4857142857099</v>
      </c>
      <c r="I11" s="229">
        <f t="shared" ref="I11:K11" si="36">LN(H11)</f>
        <v>8.2391936157448882</v>
      </c>
      <c r="J11">
        <v>160934523.75</v>
      </c>
      <c r="K11" s="229">
        <f t="shared" ref="K11:M11" si="37">LN(J11)</f>
        <v>18.896508155447446</v>
      </c>
      <c r="L11" s="237">
        <v>27.294285714285699</v>
      </c>
      <c r="M11" s="230">
        <f t="shared" si="4"/>
        <v>3.3066773657865483</v>
      </c>
      <c r="N11">
        <v>20974.716311271201</v>
      </c>
      <c r="O11" s="229">
        <f t="shared" ref="O11:Q11" si="38">LN(N11)</f>
        <v>9.9510730061555606</v>
      </c>
      <c r="P11">
        <v>30559864.577949099</v>
      </c>
      <c r="Q11" s="229">
        <f t="shared" ref="Q11:S11" si="39">LN(P11)</f>
        <v>17.235198090902941</v>
      </c>
      <c r="R11">
        <v>21.690647569539401</v>
      </c>
      <c r="S11" s="230">
        <f t="shared" si="7"/>
        <v>3.0768811800657438</v>
      </c>
      <c r="T11" s="214">
        <v>7760</v>
      </c>
      <c r="U11" s="229">
        <f>EXP($AZ$7+($AZ$8*$C11)+($AZ$9*$E11)+($AZ$10*$G11))</f>
        <v>458.86699321625082</v>
      </c>
      <c r="V11" s="229">
        <f>EXP($AZ$15+($AZ$16*$I11)+($AZ$17*$K11)+($AZ$18*$M11))</f>
        <v>580.41603088593376</v>
      </c>
      <c r="W11" s="229">
        <f>EXP($AZ$23+($AZ$24*$O11)+($AZ$25*$Q11)+($AZ$26*$S11))</f>
        <v>5985.3430349373812</v>
      </c>
      <c r="X11" s="230">
        <f t="shared" si="8"/>
        <v>7024.6260590395659</v>
      </c>
      <c r="Y11" s="218">
        <f t="shared" si="9"/>
        <v>735.37394096043408</v>
      </c>
      <c r="Z11" s="214">
        <v>7760</v>
      </c>
      <c r="AA11" s="229"/>
      <c r="AB11" s="229"/>
      <c r="AC11" s="229"/>
      <c r="AD11" s="230"/>
      <c r="AE11" s="218"/>
      <c r="AF11" s="214">
        <v>7760</v>
      </c>
      <c r="AG11" s="229"/>
      <c r="AH11" s="229"/>
      <c r="AI11" s="229"/>
      <c r="AJ11" s="230"/>
      <c r="AK11" s="218"/>
      <c r="AL11" s="214">
        <v>7760</v>
      </c>
      <c r="AM11" s="229"/>
      <c r="AN11" s="229"/>
      <c r="AO11" s="229"/>
      <c r="AP11" s="230"/>
      <c r="AQ11" s="218"/>
      <c r="AR11" s="214">
        <v>7760</v>
      </c>
      <c r="AS11" s="229"/>
      <c r="AT11" s="229"/>
      <c r="AU11" s="229"/>
      <c r="AV11" s="230"/>
      <c r="AW11" s="218"/>
    </row>
    <row r="12" spans="1:57" x14ac:dyDescent="0.2">
      <c r="A12" s="214">
        <v>1997</v>
      </c>
      <c r="B12" s="228">
        <v>15114.897083333301</v>
      </c>
      <c r="C12" s="229">
        <f t="shared" si="0"/>
        <v>9.6234360982809033</v>
      </c>
      <c r="D12" s="229">
        <v>53127443.540540501</v>
      </c>
      <c r="E12" s="229">
        <f t="shared" si="0"/>
        <v>17.7882041802083</v>
      </c>
      <c r="F12" s="229">
        <v>29.194705882352899</v>
      </c>
      <c r="G12" s="230">
        <f t="shared" ref="G12" si="40">LN(F12)</f>
        <v>3.3739873874375519</v>
      </c>
      <c r="H12">
        <v>4001.58</v>
      </c>
      <c r="I12" s="229">
        <f t="shared" ref="I12:K12" si="41">LN(H12)</f>
        <v>8.2944445621100655</v>
      </c>
      <c r="J12">
        <v>164168297.125</v>
      </c>
      <c r="K12" s="229">
        <f t="shared" ref="K12:M12" si="42">LN(J12)</f>
        <v>18.916402661584875</v>
      </c>
      <c r="L12" s="237">
        <v>26.248571428571399</v>
      </c>
      <c r="M12" s="230">
        <f t="shared" si="4"/>
        <v>3.2676115657880058</v>
      </c>
      <c r="N12">
        <v>21658.2397583026</v>
      </c>
      <c r="O12" s="229">
        <f t="shared" ref="O12:Q12" si="43">LN(N12)</f>
        <v>9.9831412503229409</v>
      </c>
      <c r="P12">
        <v>30962452.015131202</v>
      </c>
      <c r="Q12" s="229">
        <f t="shared" ref="Q12:S12" si="44">LN(P12)</f>
        <v>17.24828580300483</v>
      </c>
      <c r="R12">
        <v>22.054940651897098</v>
      </c>
      <c r="S12" s="230">
        <f t="shared" si="7"/>
        <v>3.0935366426395259</v>
      </c>
      <c r="T12" s="214">
        <v>7608</v>
      </c>
      <c r="U12" s="229">
        <f>EXP($AZ$7+($AZ$8*$C12)+($AZ$9*$E12)+($AZ$10*$G12))</f>
        <v>499.18108172108111</v>
      </c>
      <c r="V12" s="229">
        <f>EXP($AZ$15+($AZ$16*$I12)+($AZ$17*$K12)+($AZ$18*$M12))</f>
        <v>610.45929767734958</v>
      </c>
      <c r="W12" s="229">
        <f>EXP($AZ$23+($AZ$24*$O12)+($AZ$25*$Q12)+($AZ$26*$S12))</f>
        <v>6038.4704383787839</v>
      </c>
      <c r="X12" s="230">
        <f t="shared" si="8"/>
        <v>7148.1108177772148</v>
      </c>
      <c r="Y12" s="218">
        <f t="shared" si="9"/>
        <v>459.88918222278517</v>
      </c>
      <c r="Z12" s="214">
        <v>7608</v>
      </c>
      <c r="AA12" s="229"/>
      <c r="AB12" s="229"/>
      <c r="AC12" s="229"/>
      <c r="AD12" s="230"/>
      <c r="AE12" s="218"/>
      <c r="AF12" s="214">
        <v>7608</v>
      </c>
      <c r="AG12" s="229"/>
      <c r="AH12" s="229"/>
      <c r="AI12" s="229"/>
      <c r="AJ12" s="230"/>
      <c r="AK12" s="218"/>
      <c r="AL12" s="214">
        <v>7608</v>
      </c>
      <c r="AM12" s="229"/>
      <c r="AN12" s="229"/>
      <c r="AO12" s="229"/>
      <c r="AP12" s="230"/>
      <c r="AQ12" s="218"/>
      <c r="AR12" s="214">
        <v>7608</v>
      </c>
      <c r="AS12" s="229"/>
      <c r="AT12" s="229"/>
      <c r="AU12" s="229"/>
      <c r="AV12" s="230"/>
      <c r="AW12" s="218"/>
    </row>
    <row r="13" spans="1:57" x14ac:dyDescent="0.2">
      <c r="A13" s="214">
        <v>1998</v>
      </c>
      <c r="B13" s="228">
        <v>13723.493076923</v>
      </c>
      <c r="C13" s="229">
        <f t="shared" si="0"/>
        <v>9.5268644663188145</v>
      </c>
      <c r="D13" s="229">
        <v>53699235.594594598</v>
      </c>
      <c r="E13" s="229">
        <f t="shared" si="0"/>
        <v>17.798909324640249</v>
      </c>
      <c r="F13" s="229">
        <v>24.706111111111099</v>
      </c>
      <c r="G13" s="230">
        <f t="shared" ref="G13" si="45">LN(F13)</f>
        <v>3.20705062643759</v>
      </c>
      <c r="H13">
        <v>4138.2528571428502</v>
      </c>
      <c r="I13" s="229">
        <f t="shared" ref="I13:K13" si="46">LN(H13)</f>
        <v>8.3280289625630051</v>
      </c>
      <c r="J13">
        <v>167400338.5</v>
      </c>
      <c r="K13" s="229">
        <f t="shared" ref="K13:M13" si="47">LN(J13)</f>
        <v>18.935898738120354</v>
      </c>
      <c r="L13" s="237">
        <v>25.71</v>
      </c>
      <c r="M13" s="230">
        <f t="shared" si="4"/>
        <v>3.2468800212777982</v>
      </c>
      <c r="N13">
        <v>22143.9863374495</v>
      </c>
      <c r="O13" s="229">
        <f t="shared" ref="O13:Q13" si="48">LN(N13)</f>
        <v>10.005321241430641</v>
      </c>
      <c r="P13">
        <v>31298465.8904761</v>
      </c>
      <c r="Q13" s="229">
        <f t="shared" ref="Q13:S13" si="49">LN(P13)</f>
        <v>17.25907964122537</v>
      </c>
      <c r="R13">
        <v>23.0895032679738</v>
      </c>
      <c r="S13" s="230">
        <f t="shared" si="7"/>
        <v>3.1393781102711533</v>
      </c>
      <c r="T13" s="214">
        <v>7881</v>
      </c>
      <c r="U13" s="229">
        <f>EXP($AZ$7+($AZ$8*$C13)+($AZ$9*$E13)+($AZ$10*$G13))</f>
        <v>549.13539728237367</v>
      </c>
      <c r="V13" s="229">
        <f>EXP($AZ$15+($AZ$16*$I13)+($AZ$17*$K13)+($AZ$18*$M13))</f>
        <v>636.03029321437532</v>
      </c>
      <c r="W13" s="229">
        <f>EXP($AZ$23+($AZ$24*$O13)+($AZ$25*$Q13)+($AZ$26*$S13))</f>
        <v>5757.4729954789473</v>
      </c>
      <c r="X13" s="230">
        <f t="shared" si="8"/>
        <v>6942.6386859756967</v>
      </c>
      <c r="Y13" s="218">
        <f t="shared" si="9"/>
        <v>938.36131402430328</v>
      </c>
      <c r="Z13" s="214">
        <v>7881</v>
      </c>
      <c r="AA13" s="229"/>
      <c r="AB13" s="229"/>
      <c r="AC13" s="229"/>
      <c r="AD13" s="230"/>
      <c r="AE13" s="218"/>
      <c r="AF13" s="214">
        <v>7881</v>
      </c>
      <c r="AG13" s="229"/>
      <c r="AH13" s="229"/>
      <c r="AI13" s="229"/>
      <c r="AJ13" s="230"/>
      <c r="AK13" s="218"/>
      <c r="AL13" s="214">
        <v>7881</v>
      </c>
      <c r="AM13" s="229"/>
      <c r="AN13" s="229"/>
      <c r="AO13" s="229"/>
      <c r="AP13" s="230"/>
      <c r="AQ13" s="218"/>
      <c r="AR13" s="214">
        <v>7881</v>
      </c>
      <c r="AS13" s="229"/>
      <c r="AT13" s="229"/>
      <c r="AU13" s="229"/>
      <c r="AV13" s="230"/>
      <c r="AW13" s="218"/>
      <c r="AY13" s="32" t="s">
        <v>339</v>
      </c>
    </row>
    <row r="14" spans="1:57" x14ac:dyDescent="0.2">
      <c r="A14" s="214">
        <v>1999</v>
      </c>
      <c r="B14" s="228">
        <v>14096.4319230769</v>
      </c>
      <c r="C14" s="229">
        <f t="shared" si="0"/>
        <v>9.5536769892414863</v>
      </c>
      <c r="D14" s="229">
        <v>54233577.9189189</v>
      </c>
      <c r="E14" s="229">
        <f t="shared" si="0"/>
        <v>17.808810793386566</v>
      </c>
      <c r="F14" s="229">
        <v>22.871111111111102</v>
      </c>
      <c r="G14" s="230">
        <f t="shared" ref="G14" si="50">LN(F14)</f>
        <v>3.1298745906372689</v>
      </c>
      <c r="H14">
        <v>4300.9971428571398</v>
      </c>
      <c r="I14" s="229">
        <f t="shared" ref="I14:K14" si="51">LN(H14)</f>
        <v>8.3666021684861747</v>
      </c>
      <c r="J14">
        <v>170633491</v>
      </c>
      <c r="K14" s="229">
        <f t="shared" ref="K14:M14" si="52">LN(J14)</f>
        <v>18.955028486767869</v>
      </c>
      <c r="L14" s="237">
        <v>24.744285714285699</v>
      </c>
      <c r="M14" s="230">
        <f t="shared" si="4"/>
        <v>3.2085945821268749</v>
      </c>
      <c r="N14">
        <v>22594.496393464</v>
      </c>
      <c r="O14" s="229">
        <f t="shared" ref="O14:Q14" si="53">LN(N14)</f>
        <v>10.025461633190883</v>
      </c>
      <c r="P14">
        <v>31692360.757717501</v>
      </c>
      <c r="Q14" s="229">
        <f t="shared" ref="Q14:S14" si="54">LN(P14)</f>
        <v>17.27158622424486</v>
      </c>
      <c r="R14">
        <v>21.546500205415398</v>
      </c>
      <c r="S14" s="230">
        <f t="shared" si="7"/>
        <v>3.0702133998998842</v>
      </c>
      <c r="T14" s="214">
        <v>8086</v>
      </c>
      <c r="U14" s="229">
        <f>EXP($AZ$7+($AZ$8*$C14)+($AZ$9*$E14)+($AZ$10*$G14))</f>
        <v>556.19306717783343</v>
      </c>
      <c r="V14" s="229">
        <f>EXP($AZ$15+($AZ$16*$I14)+($AZ$17*$K14)+($AZ$18*$M14))</f>
        <v>665.37187224516276</v>
      </c>
      <c r="W14" s="229">
        <f>EXP($AZ$23+($AZ$24*$O14)+($AZ$25*$Q14)+($AZ$26*$S14))</f>
        <v>6689.4030252081084</v>
      </c>
      <c r="X14" s="230">
        <f t="shared" si="8"/>
        <v>7910.9679646311051</v>
      </c>
      <c r="Y14" s="218">
        <f t="shared" si="9"/>
        <v>175.03203536889487</v>
      </c>
      <c r="Z14" s="214">
        <v>8086</v>
      </c>
      <c r="AA14" s="229"/>
      <c r="AB14" s="229"/>
      <c r="AC14" s="229"/>
      <c r="AD14" s="230"/>
      <c r="AE14" s="218"/>
      <c r="AF14" s="214">
        <v>8086</v>
      </c>
      <c r="AG14" s="229"/>
      <c r="AH14" s="229"/>
      <c r="AI14" s="229"/>
      <c r="AJ14" s="230"/>
      <c r="AK14" s="218"/>
      <c r="AL14" s="214">
        <v>8086</v>
      </c>
      <c r="AM14" s="229"/>
      <c r="AN14" s="229"/>
      <c r="AO14" s="229"/>
      <c r="AP14" s="230"/>
      <c r="AQ14" s="218"/>
      <c r="AR14" s="214">
        <v>8086</v>
      </c>
      <c r="AS14" s="229"/>
      <c r="AT14" s="229"/>
      <c r="AU14" s="229"/>
      <c r="AV14" s="230"/>
      <c r="AW14" s="218"/>
      <c r="AZ14" s="238" t="s">
        <v>331</v>
      </c>
      <c r="BA14" s="238" t="s">
        <v>332</v>
      </c>
      <c r="BB14" s="238" t="s">
        <v>334</v>
      </c>
      <c r="BC14" s="238" t="s">
        <v>333</v>
      </c>
      <c r="BD14" s="238">
        <v>2.5000000000000001E-2</v>
      </c>
      <c r="BE14" s="238">
        <v>0.97499999999999998</v>
      </c>
    </row>
    <row r="15" spans="1:57" ht="19" x14ac:dyDescent="0.25">
      <c r="A15" s="214">
        <v>2000</v>
      </c>
      <c r="B15" s="228">
        <v>14035.875714285699</v>
      </c>
      <c r="C15" s="229">
        <f t="shared" si="0"/>
        <v>9.549371881882319</v>
      </c>
      <c r="D15" s="229">
        <v>54742367.297297299</v>
      </c>
      <c r="E15" s="229">
        <f t="shared" si="0"/>
        <v>17.818148506847368</v>
      </c>
      <c r="F15" s="229">
        <v>26.013500000000001</v>
      </c>
      <c r="G15" s="230">
        <f t="shared" ref="G15" si="55">LN(F15)</f>
        <v>3.2586156340370604</v>
      </c>
      <c r="H15">
        <v>4472.8614285714202</v>
      </c>
      <c r="I15" s="229">
        <f t="shared" ref="I15:K15" si="56">LN(H15)</f>
        <v>8.405783623425009</v>
      </c>
      <c r="J15">
        <v>173868258</v>
      </c>
      <c r="K15" s="229">
        <f t="shared" ref="K15:M15" si="57">LN(J15)</f>
        <v>18.973808432474083</v>
      </c>
      <c r="L15" s="237">
        <v>26.42</v>
      </c>
      <c r="M15" s="230">
        <f t="shared" si="4"/>
        <v>3.2741212990941793</v>
      </c>
      <c r="N15">
        <v>23454.316762254901</v>
      </c>
      <c r="O15" s="229">
        <f t="shared" ref="O15:Q15" si="58">LN(N15)</f>
        <v>10.062809840611351</v>
      </c>
      <c r="P15">
        <v>32086394.2198481</v>
      </c>
      <c r="Q15" s="229">
        <f t="shared" ref="Q15:S15" si="59">LN(P15)</f>
        <v>17.283942642168366</v>
      </c>
      <c r="R15">
        <v>21.6980883242929</v>
      </c>
      <c r="S15" s="230">
        <f t="shared" si="7"/>
        <v>3.0772241610110589</v>
      </c>
      <c r="T15" s="214">
        <v>8940</v>
      </c>
      <c r="U15" s="229">
        <f>EXP($AZ$7+($AZ$8*$C15)+($AZ$9*$E15)+($AZ$10*$G15))</f>
        <v>621.72708419260391</v>
      </c>
      <c r="V15" s="229">
        <f>EXP($AZ$15+($AZ$16*$I15)+($AZ$17*$K15)+($AZ$18*$M15))</f>
        <v>682.02282289620405</v>
      </c>
      <c r="W15" s="229">
        <f>EXP($AZ$23+($AZ$24*$O15)+($AZ$25*$Q15)+($AZ$26*$S15))</f>
        <v>6854.2439932108</v>
      </c>
      <c r="X15" s="230">
        <f t="shared" si="8"/>
        <v>8157.993900299608</v>
      </c>
      <c r="Y15" s="218">
        <f t="shared" si="9"/>
        <v>782.00609970039204</v>
      </c>
      <c r="Z15" s="214">
        <v>8940</v>
      </c>
      <c r="AA15" s="229"/>
      <c r="AB15" s="229"/>
      <c r="AC15" s="229"/>
      <c r="AD15" s="230"/>
      <c r="AE15" s="218"/>
      <c r="AF15" s="214">
        <v>8940</v>
      </c>
      <c r="AG15" s="229"/>
      <c r="AH15" s="229"/>
      <c r="AI15" s="229"/>
      <c r="AJ15" s="230"/>
      <c r="AK15" s="218"/>
      <c r="AL15" s="214">
        <v>8940</v>
      </c>
      <c r="AM15" s="229"/>
      <c r="AN15" s="229"/>
      <c r="AO15" s="229"/>
      <c r="AP15" s="230"/>
      <c r="AQ15" s="218"/>
      <c r="AR15" s="214">
        <v>8940</v>
      </c>
      <c r="AS15" s="229"/>
      <c r="AT15" s="229"/>
      <c r="AU15" s="229"/>
      <c r="AV15" s="230"/>
      <c r="AW15" s="218"/>
      <c r="AY15" s="220" t="s">
        <v>326</v>
      </c>
      <c r="AZ15">
        <v>-22.9407</v>
      </c>
      <c r="BA15">
        <v>23.422999999999998</v>
      </c>
      <c r="BB15">
        <v>-0.97899999999999998</v>
      </c>
      <c r="BC15">
        <v>0.34</v>
      </c>
      <c r="BD15">
        <v>-72.150000000000006</v>
      </c>
      <c r="BE15">
        <v>26.268999999999998</v>
      </c>
    </row>
    <row r="16" spans="1:57" ht="19" x14ac:dyDescent="0.25">
      <c r="A16" s="214">
        <v>2001</v>
      </c>
      <c r="B16" s="228">
        <v>15396.4675862068</v>
      </c>
      <c r="C16" s="229">
        <f t="shared" si="0"/>
        <v>9.6418933845716346</v>
      </c>
      <c r="D16" s="229">
        <v>55231690.270270199</v>
      </c>
      <c r="E16" s="229">
        <f t="shared" si="0"/>
        <v>17.827047445614578</v>
      </c>
      <c r="F16" s="229">
        <v>24.114761904761899</v>
      </c>
      <c r="G16" s="230">
        <f t="shared" ref="G16" si="60">LN(F16)</f>
        <v>3.1828241801469561</v>
      </c>
      <c r="H16">
        <v>4519.6099999999997</v>
      </c>
      <c r="I16" s="229">
        <f t="shared" ref="I16:K16" si="61">LN(H16)</f>
        <v>8.416180985917828</v>
      </c>
      <c r="J16">
        <v>177102869.875</v>
      </c>
      <c r="K16" s="229">
        <f t="shared" ref="K16:M16" si="62">LN(J16)</f>
        <v>18.992241307449547</v>
      </c>
      <c r="L16" s="237">
        <v>27.475714285714201</v>
      </c>
      <c r="M16" s="230">
        <f t="shared" si="4"/>
        <v>3.3133024976119594</v>
      </c>
      <c r="N16">
        <v>23552.331015842501</v>
      </c>
      <c r="O16" s="229">
        <f t="shared" ref="O16:Q16" si="63">LN(N16)</f>
        <v>10.066980076110649</v>
      </c>
      <c r="P16">
        <v>32465028.844540201</v>
      </c>
      <c r="Q16" s="229">
        <f t="shared" ref="Q16:S16" si="64">LN(P16)</f>
        <v>17.295674032405469</v>
      </c>
      <c r="R16">
        <v>21.859354757536501</v>
      </c>
      <c r="S16" s="230">
        <f t="shared" si="7"/>
        <v>3.0846289652741699</v>
      </c>
      <c r="T16" s="214">
        <v>9278</v>
      </c>
      <c r="U16" s="229">
        <f>EXP($AZ$7+($AZ$8*$C16)+($AZ$9*$E16)+($AZ$10*$G16))</f>
        <v>590.35172805041213</v>
      </c>
      <c r="V16" s="229">
        <f>EXP($AZ$15+($AZ$16*$I16)+($AZ$17*$K16)+($AZ$18*$M16))</f>
        <v>697.35499529198876</v>
      </c>
      <c r="W16" s="229">
        <f>EXP($AZ$23+($AZ$24*$O16)+($AZ$25*$Q16)+($AZ$26*$S16))</f>
        <v>6965.434908173138</v>
      </c>
      <c r="X16" s="230">
        <f t="shared" si="8"/>
        <v>8253.1416315155384</v>
      </c>
      <c r="Y16" s="218">
        <f t="shared" si="9"/>
        <v>1024.8583684844616</v>
      </c>
      <c r="Z16" s="214">
        <v>9278</v>
      </c>
      <c r="AA16" s="229"/>
      <c r="AB16" s="229"/>
      <c r="AC16" s="229"/>
      <c r="AD16" s="230"/>
      <c r="AE16" s="218"/>
      <c r="AF16" s="214">
        <v>9278</v>
      </c>
      <c r="AG16" s="229"/>
      <c r="AH16" s="229"/>
      <c r="AI16" s="229"/>
      <c r="AJ16" s="230"/>
      <c r="AK16" s="218"/>
      <c r="AL16" s="214">
        <v>9278</v>
      </c>
      <c r="AM16" s="229"/>
      <c r="AN16" s="229"/>
      <c r="AO16" s="229"/>
      <c r="AP16" s="230"/>
      <c r="AQ16" s="218"/>
      <c r="AR16" s="214">
        <v>9278</v>
      </c>
      <c r="AS16" s="229"/>
      <c r="AT16" s="229"/>
      <c r="AU16" s="229"/>
      <c r="AV16" s="230"/>
      <c r="AW16" s="218"/>
      <c r="AY16" s="220" t="s">
        <v>327</v>
      </c>
      <c r="AZ16">
        <v>0.245</v>
      </c>
      <c r="BA16">
        <v>0.48299999999999998</v>
      </c>
      <c r="BB16">
        <v>0.50800000000000001</v>
      </c>
      <c r="BC16">
        <v>0.61799999999999999</v>
      </c>
      <c r="BD16">
        <v>-0.76900000000000002</v>
      </c>
      <c r="BE16">
        <v>1.2589999999999999</v>
      </c>
    </row>
    <row r="17" spans="1:57" ht="19" x14ac:dyDescent="0.25">
      <c r="A17" s="214">
        <v>2002</v>
      </c>
      <c r="B17" s="228">
        <v>15447.666666666601</v>
      </c>
      <c r="C17" s="229">
        <f t="shared" si="0"/>
        <v>9.6452132461092734</v>
      </c>
      <c r="D17" s="229">
        <v>55695368.216216199</v>
      </c>
      <c r="E17" s="229">
        <f t="shared" si="0"/>
        <v>17.835407545537109</v>
      </c>
      <c r="F17" s="229">
        <v>24.2809523809523</v>
      </c>
      <c r="G17" s="230">
        <f t="shared" ref="G17" si="65">LN(F17)</f>
        <v>3.1896921903376838</v>
      </c>
      <c r="H17">
        <v>4242.6912499999999</v>
      </c>
      <c r="I17" s="229">
        <f t="shared" ref="I17:K17" si="66">LN(H17)</f>
        <v>8.3529530756444803</v>
      </c>
      <c r="J17">
        <v>180330507.25</v>
      </c>
      <c r="K17" s="229">
        <f t="shared" ref="K17:M17" si="67">LN(J17)</f>
        <v>19.010301876578072</v>
      </c>
      <c r="L17" s="237">
        <v>27.392499999999998</v>
      </c>
      <c r="M17" s="230">
        <f t="shared" si="4"/>
        <v>3.3102692532974114</v>
      </c>
      <c r="N17">
        <v>23745.271939116199</v>
      </c>
      <c r="O17" s="229">
        <f t="shared" ref="O17:Q17" si="68">LN(N17)</f>
        <v>10.075138713396742</v>
      </c>
      <c r="P17">
        <v>32837860.823747899</v>
      </c>
      <c r="Q17" s="229">
        <f t="shared" ref="Q17:S17" si="69">LN(P17)</f>
        <v>17.3070927010769</v>
      </c>
      <c r="R17">
        <v>21.806530555568202</v>
      </c>
      <c r="S17" s="230">
        <f t="shared" si="7"/>
        <v>3.0822094917030611</v>
      </c>
      <c r="T17" s="214">
        <v>8340</v>
      </c>
      <c r="U17" s="229">
        <f>EXP($AZ$7+($AZ$8*$C17)+($AZ$9*$E17)+($AZ$10*$G17))</f>
        <v>623.15392882069409</v>
      </c>
      <c r="V17" s="229">
        <f>EXP($AZ$15+($AZ$16*$I17)+($AZ$17*$K17)+($AZ$18*$M17))</f>
        <v>705.61987690777312</v>
      </c>
      <c r="W17" s="229">
        <f>EXP($AZ$23+($AZ$24*$O17)+($AZ$25*$Q17)+($AZ$26*$S17))</f>
        <v>7196.6530798972508</v>
      </c>
      <c r="X17" s="230">
        <f t="shared" si="8"/>
        <v>8525.4268856257186</v>
      </c>
      <c r="Y17" s="218">
        <f t="shared" si="9"/>
        <v>-185.42688562571857</v>
      </c>
      <c r="Z17" s="214">
        <v>8340</v>
      </c>
      <c r="AA17" s="229"/>
      <c r="AB17" s="229"/>
      <c r="AC17" s="229"/>
      <c r="AD17" s="230"/>
      <c r="AE17" s="218"/>
      <c r="AF17" s="214">
        <v>8340</v>
      </c>
      <c r="AG17" s="229"/>
      <c r="AH17" s="229"/>
      <c r="AI17" s="229"/>
      <c r="AJ17" s="230"/>
      <c r="AK17" s="218"/>
      <c r="AL17" s="214">
        <v>8340</v>
      </c>
      <c r="AM17" s="229"/>
      <c r="AN17" s="229"/>
      <c r="AO17" s="229"/>
      <c r="AP17" s="230"/>
      <c r="AQ17" s="218"/>
      <c r="AR17" s="214">
        <v>8340</v>
      </c>
      <c r="AS17" s="229"/>
      <c r="AT17" s="229"/>
      <c r="AU17" s="229"/>
      <c r="AV17" s="230"/>
      <c r="AW17" s="218"/>
      <c r="AY17" s="220" t="s">
        <v>328</v>
      </c>
      <c r="AZ17">
        <v>1.4777</v>
      </c>
      <c r="BA17">
        <v>1.4830000000000001</v>
      </c>
      <c r="BB17">
        <v>0.997</v>
      </c>
      <c r="BC17">
        <v>0.33200000000000002</v>
      </c>
      <c r="BD17">
        <v>-1.6379999999999999</v>
      </c>
      <c r="BE17">
        <v>4.593</v>
      </c>
    </row>
    <row r="18" spans="1:57" ht="19" x14ac:dyDescent="0.25">
      <c r="A18" s="214">
        <v>2003</v>
      </c>
      <c r="B18" s="228">
        <v>15984.2776666666</v>
      </c>
      <c r="C18" s="229">
        <f t="shared" si="0"/>
        <v>9.6793608722756517</v>
      </c>
      <c r="D18" s="229">
        <v>56136437.459459402</v>
      </c>
      <c r="E18" s="229">
        <f t="shared" si="0"/>
        <v>17.843295668734463</v>
      </c>
      <c r="F18" s="229">
        <v>24.121818181818099</v>
      </c>
      <c r="G18" s="230">
        <f t="shared" ref="G18" si="70">LN(F18)</f>
        <v>3.1831167496903969</v>
      </c>
      <c r="H18">
        <v>4737.7700000000004</v>
      </c>
      <c r="I18" s="229">
        <f t="shared" ref="I18:K18" si="71">LN(H18)</f>
        <v>8.4633218398511278</v>
      </c>
      <c r="J18">
        <v>183540552.75</v>
      </c>
      <c r="K18" s="229">
        <f t="shared" ref="K18:M18" si="72">LN(J18)</f>
        <v>19.027946196955707</v>
      </c>
      <c r="L18" s="237">
        <v>27.963750000000001</v>
      </c>
      <c r="M18" s="230">
        <f t="shared" si="4"/>
        <v>3.3309090285439771</v>
      </c>
      <c r="N18">
        <v>23967.382332306901</v>
      </c>
      <c r="O18" s="229">
        <f t="shared" ref="O18:Q18" si="73">LN(N18)</f>
        <v>10.084449115470315</v>
      </c>
      <c r="P18">
        <v>33201154.373624701</v>
      </c>
      <c r="Q18" s="229">
        <f t="shared" ref="Q18:S18" si="74">LN(P18)</f>
        <v>17.318095203572145</v>
      </c>
      <c r="R18">
        <v>22.258850413370599</v>
      </c>
      <c r="S18" s="230">
        <f t="shared" si="7"/>
        <v>3.102739700909626</v>
      </c>
      <c r="T18" s="214">
        <v>7688</v>
      </c>
      <c r="U18" s="229">
        <f>EXP($AZ$7+($AZ$8*$C18)+($AZ$9*$E18)+($AZ$10*$G18))</f>
        <v>634.90028908542808</v>
      </c>
      <c r="V18" s="229">
        <f>EXP($AZ$15+($AZ$16*$I18)+($AZ$17*$K18)+($AZ$18*$M18))</f>
        <v>741.15567081368988</v>
      </c>
      <c r="W18" s="229">
        <f>EXP($AZ$23+($AZ$24*$O18)+($AZ$25*$Q18)+($AZ$26*$S18))</f>
        <v>7147.6652036868218</v>
      </c>
      <c r="X18" s="230">
        <f t="shared" si="8"/>
        <v>8523.7211635859403</v>
      </c>
      <c r="Y18" s="218">
        <f t="shared" si="9"/>
        <v>-835.7211635859403</v>
      </c>
      <c r="Z18" s="214">
        <v>7688</v>
      </c>
      <c r="AA18" s="229"/>
      <c r="AB18" s="229"/>
      <c r="AC18" s="229"/>
      <c r="AD18" s="230"/>
      <c r="AE18" s="218"/>
      <c r="AF18" s="214">
        <v>7688</v>
      </c>
      <c r="AG18" s="229"/>
      <c r="AH18" s="229"/>
      <c r="AI18" s="229"/>
      <c r="AJ18" s="230"/>
      <c r="AK18" s="218"/>
      <c r="AL18" s="214">
        <v>7688</v>
      </c>
      <c r="AM18" s="229"/>
      <c r="AN18" s="229"/>
      <c r="AO18" s="229"/>
      <c r="AP18" s="230"/>
      <c r="AQ18" s="218"/>
      <c r="AR18" s="214">
        <v>7688</v>
      </c>
      <c r="AS18" s="229"/>
      <c r="AT18" s="229"/>
      <c r="AU18" s="229"/>
      <c r="AV18" s="230"/>
      <c r="AW18" s="218"/>
      <c r="AY18" s="220" t="s">
        <v>329</v>
      </c>
      <c r="AZ18">
        <v>-0.1928</v>
      </c>
      <c r="BA18">
        <v>0.36799999999999999</v>
      </c>
      <c r="BB18">
        <v>-0.52400000000000002</v>
      </c>
      <c r="BC18">
        <v>0.60599999999999998</v>
      </c>
      <c r="BD18">
        <v>-0.96499999999999997</v>
      </c>
      <c r="BE18">
        <v>0.57999999999999996</v>
      </c>
    </row>
    <row r="19" spans="1:57" x14ac:dyDescent="0.2">
      <c r="A19" s="214">
        <v>2004</v>
      </c>
      <c r="B19" s="228">
        <v>16529.034516128999</v>
      </c>
      <c r="C19" s="229">
        <f t="shared" si="0"/>
        <v>9.7128737811315808</v>
      </c>
      <c r="D19" s="229">
        <v>56562658.540540501</v>
      </c>
      <c r="E19" s="229">
        <f t="shared" si="0"/>
        <v>17.850859582347173</v>
      </c>
      <c r="F19" s="229">
        <v>24.535909090909001</v>
      </c>
      <c r="G19" s="230">
        <f t="shared" ref="G19" si="75">LN(F19)</f>
        <v>3.2001377216742175</v>
      </c>
      <c r="H19">
        <v>4947.47</v>
      </c>
      <c r="I19" s="229">
        <f t="shared" ref="I19:K19" si="76">LN(H19)</f>
        <v>8.5066316137898177</v>
      </c>
      <c r="J19">
        <v>186719730.75</v>
      </c>
      <c r="K19" s="229">
        <f t="shared" ref="K19:M19" si="77">LN(J19)</f>
        <v>19.045119284502764</v>
      </c>
      <c r="L19" s="237">
        <v>30.43375</v>
      </c>
      <c r="M19" s="230">
        <f t="shared" si="4"/>
        <v>3.4155521899672392</v>
      </c>
      <c r="N19">
        <v>24780.265831947901</v>
      </c>
      <c r="O19" s="229">
        <f t="shared" ref="O19:Q19" si="78">LN(N19)</f>
        <v>10.117802882807105</v>
      </c>
      <c r="P19">
        <v>33585526.427032001</v>
      </c>
      <c r="Q19" s="229">
        <f t="shared" ref="Q19:S19" si="79">LN(P19)</f>
        <v>17.32960577102898</v>
      </c>
      <c r="R19">
        <v>22.945834889766001</v>
      </c>
      <c r="S19" s="230">
        <f t="shared" si="7"/>
        <v>3.1331364337512198</v>
      </c>
      <c r="T19" s="214">
        <v>7560</v>
      </c>
      <c r="U19" s="229">
        <f>EXP($AZ$7+($AZ$8*$C19)+($AZ$9*$E19)+($AZ$10*$G19))</f>
        <v>651.40981078208915</v>
      </c>
      <c r="V19" s="229">
        <f>EXP($AZ$15+($AZ$16*$I19)+($AZ$17*$K19)+($AZ$18*$M19))</f>
        <v>755.877291264066</v>
      </c>
      <c r="W19" s="229">
        <f>EXP($AZ$23+($AZ$24*$O19)+($AZ$25*$Q19)+($AZ$26*$S19))</f>
        <v>7021.2495313176969</v>
      </c>
      <c r="X19" s="230">
        <f t="shared" si="8"/>
        <v>8428.5366333638522</v>
      </c>
      <c r="Y19" s="218">
        <f t="shared" si="9"/>
        <v>-868.53663336385216</v>
      </c>
      <c r="Z19" s="214">
        <v>7560</v>
      </c>
      <c r="AA19" s="229"/>
      <c r="AB19" s="229"/>
      <c r="AC19" s="229"/>
      <c r="AD19" s="230"/>
      <c r="AE19" s="218"/>
      <c r="AF19" s="214">
        <v>7560</v>
      </c>
      <c r="AG19" s="229"/>
      <c r="AH19" s="229"/>
      <c r="AI19" s="229"/>
      <c r="AJ19" s="230"/>
      <c r="AK19" s="218"/>
      <c r="AL19" s="214">
        <v>7560</v>
      </c>
      <c r="AM19" s="229"/>
      <c r="AN19" s="229"/>
      <c r="AO19" s="229"/>
      <c r="AP19" s="230"/>
      <c r="AQ19" s="218"/>
      <c r="AR19" s="214">
        <v>7560</v>
      </c>
      <c r="AS19" s="229"/>
      <c r="AT19" s="229"/>
      <c r="AU19" s="229"/>
      <c r="AV19" s="230"/>
      <c r="AW19" s="218"/>
    </row>
    <row r="20" spans="1:57" x14ac:dyDescent="0.2">
      <c r="A20" s="214">
        <v>2005</v>
      </c>
      <c r="B20" s="228">
        <v>17025.71</v>
      </c>
      <c r="C20" s="229">
        <f t="shared" si="0"/>
        <v>9.7424798335255378</v>
      </c>
      <c r="D20" s="229">
        <v>56984439.810810797</v>
      </c>
      <c r="E20" s="229">
        <f t="shared" si="0"/>
        <v>17.858288802756174</v>
      </c>
      <c r="F20" s="229">
        <v>25.2245454545454</v>
      </c>
      <c r="G20" s="230">
        <f t="shared" ref="G20" si="80">LN(F20)</f>
        <v>3.2278175464359058</v>
      </c>
      <c r="H20">
        <v>4823.6149999999998</v>
      </c>
      <c r="I20" s="229">
        <f t="shared" ref="I20:K20" si="81">LN(H20)</f>
        <v>8.4812789259351913</v>
      </c>
      <c r="J20">
        <v>189857694</v>
      </c>
      <c r="K20" s="229">
        <f t="shared" ref="K20:M20" si="82">LN(J20)</f>
        <v>19.061785370552531</v>
      </c>
      <c r="L20" s="237">
        <v>31.2575</v>
      </c>
      <c r="M20" s="230">
        <f t="shared" si="4"/>
        <v>3.4422593473870178</v>
      </c>
      <c r="N20">
        <v>25313.251948675199</v>
      </c>
      <c r="O20" s="229">
        <f t="shared" ref="O20:Q20" si="83">LN(N20)</f>
        <v>10.139083330021991</v>
      </c>
      <c r="P20">
        <v>33977242.954084501</v>
      </c>
      <c r="Q20" s="229">
        <f t="shared" ref="Q20:S20" si="84">LN(P20)</f>
        <v>17.341201533602668</v>
      </c>
      <c r="R20">
        <v>23.3474962352314</v>
      </c>
      <c r="S20" s="230">
        <f t="shared" si="7"/>
        <v>3.1504897507523983</v>
      </c>
      <c r="T20" s="214">
        <v>6982</v>
      </c>
      <c r="U20" s="229">
        <f>EXP($AZ$7+($AZ$8*$C20)+($AZ$9*$E20)+($AZ$10*$G20))</f>
        <v>672.68075725793312</v>
      </c>
      <c r="V20" s="229">
        <f>EXP($AZ$15+($AZ$16*$I20)+($AZ$17*$K20)+($AZ$18*$M20))</f>
        <v>765.97227666583399</v>
      </c>
      <c r="W20" s="229">
        <f>EXP($AZ$23+($AZ$24*$O20)+($AZ$25*$Q20)+($AZ$26*$S20))</f>
        <v>7036.2740678761756</v>
      </c>
      <c r="X20" s="230">
        <f t="shared" si="8"/>
        <v>8474.9271017999417</v>
      </c>
      <c r="Y20" s="218">
        <f t="shared" si="9"/>
        <v>-1492.9271017999417</v>
      </c>
      <c r="Z20" s="214">
        <v>6982</v>
      </c>
      <c r="AA20" s="229"/>
      <c r="AB20" s="229"/>
      <c r="AC20" s="229"/>
      <c r="AD20" s="230"/>
      <c r="AE20" s="218"/>
      <c r="AF20" s="214">
        <v>6982</v>
      </c>
      <c r="AG20" s="229"/>
      <c r="AH20" s="229"/>
      <c r="AI20" s="229"/>
      <c r="AJ20" s="230"/>
      <c r="AK20" s="218"/>
      <c r="AL20" s="214">
        <v>6982</v>
      </c>
      <c r="AM20" s="229"/>
      <c r="AN20" s="229"/>
      <c r="AO20" s="229"/>
      <c r="AP20" s="230"/>
      <c r="AQ20" s="218"/>
      <c r="AR20" s="214">
        <v>6982</v>
      </c>
      <c r="AS20" s="229"/>
      <c r="AT20" s="229"/>
      <c r="AU20" s="229"/>
      <c r="AV20" s="230"/>
      <c r="AW20" s="218"/>
    </row>
    <row r="21" spans="1:57" x14ac:dyDescent="0.2">
      <c r="A21" s="214">
        <v>2006</v>
      </c>
      <c r="B21" s="228">
        <v>17711.199677419299</v>
      </c>
      <c r="C21" s="229">
        <f t="shared" si="0"/>
        <v>9.781952468596641</v>
      </c>
      <c r="D21" s="229">
        <v>57403498.351351298</v>
      </c>
      <c r="E21" s="229">
        <f t="shared" si="0"/>
        <v>17.86561580632026</v>
      </c>
      <c r="F21" s="229">
        <v>25.292727272727198</v>
      </c>
      <c r="G21" s="230">
        <f t="shared" ref="G21" si="85">LN(F21)</f>
        <v>3.2305168948330509</v>
      </c>
      <c r="H21">
        <v>5400.9812499999898</v>
      </c>
      <c r="I21" s="229">
        <f t="shared" ref="I21:K21" si="86">LN(H21)</f>
        <v>8.5943359290075261</v>
      </c>
      <c r="J21">
        <v>192951337</v>
      </c>
      <c r="K21" s="229">
        <f t="shared" ref="K21:M21" si="87">LN(J21)</f>
        <v>19.07794857518018</v>
      </c>
      <c r="L21" s="237">
        <v>29.835000000000001</v>
      </c>
      <c r="M21" s="230">
        <f t="shared" si="4"/>
        <v>3.3956822009740453</v>
      </c>
      <c r="N21">
        <v>25940.111589126998</v>
      </c>
      <c r="O21" s="229">
        <f t="shared" ref="O21:Q21" si="88">LN(N21)</f>
        <v>10.163545759677952</v>
      </c>
      <c r="P21">
        <v>34387107.068719201</v>
      </c>
      <c r="Q21" s="229">
        <f t="shared" ref="Q21:S21" si="89">LN(P21)</f>
        <v>17.353192257576634</v>
      </c>
      <c r="R21">
        <v>23.840412758792802</v>
      </c>
      <c r="S21" s="230">
        <f t="shared" si="7"/>
        <v>3.1713821557550204</v>
      </c>
      <c r="T21" s="214">
        <v>7562</v>
      </c>
      <c r="U21" s="229">
        <f>EXP($AZ$7+($AZ$8*$C21)+($AZ$9*$E21)+($AZ$10*$G21))</f>
        <v>681.91277324669761</v>
      </c>
      <c r="V21" s="229">
        <f>EXP($AZ$15+($AZ$16*$I21)+($AZ$17*$K21)+($AZ$18*$M21))</f>
        <v>813.79572612503796</v>
      </c>
      <c r="W21" s="229">
        <f>EXP($AZ$23+($AZ$24*$O21)+($AZ$25*$Q21)+($AZ$26*$S21))</f>
        <v>7020.0375230358368</v>
      </c>
      <c r="X21" s="230">
        <f t="shared" si="8"/>
        <v>8515.746022407573</v>
      </c>
      <c r="Y21" s="218">
        <f t="shared" si="9"/>
        <v>-953.74602240757304</v>
      </c>
      <c r="Z21" s="214">
        <v>7562</v>
      </c>
      <c r="AA21" s="229"/>
      <c r="AB21" s="229"/>
      <c r="AC21" s="229"/>
      <c r="AD21" s="230"/>
      <c r="AE21" s="218"/>
      <c r="AF21" s="214">
        <v>7562</v>
      </c>
      <c r="AG21" s="229"/>
      <c r="AH21" s="229"/>
      <c r="AI21" s="229"/>
      <c r="AJ21" s="230"/>
      <c r="AK21" s="218"/>
      <c r="AL21" s="214">
        <v>7562</v>
      </c>
      <c r="AM21" s="229"/>
      <c r="AN21" s="229"/>
      <c r="AO21" s="229"/>
      <c r="AP21" s="230"/>
      <c r="AQ21" s="218"/>
      <c r="AR21" s="214">
        <v>7562</v>
      </c>
      <c r="AS21" s="229"/>
      <c r="AT21" s="229"/>
      <c r="AU21" s="229"/>
      <c r="AV21" s="230"/>
      <c r="AW21" s="218"/>
      <c r="AY21" s="32" t="s">
        <v>340</v>
      </c>
    </row>
    <row r="22" spans="1:57" x14ac:dyDescent="0.2">
      <c r="A22" s="214">
        <v>2007</v>
      </c>
      <c r="B22" s="228">
        <v>18381.295483870901</v>
      </c>
      <c r="C22" s="229">
        <f t="shared" si="0"/>
        <v>9.8190888767702891</v>
      </c>
      <c r="D22" s="229">
        <v>57807666.9189189</v>
      </c>
      <c r="E22" s="229">
        <f t="shared" si="0"/>
        <v>17.872631970501985</v>
      </c>
      <c r="F22" s="229">
        <v>26.135909090908999</v>
      </c>
      <c r="G22" s="230">
        <f t="shared" ref="G22" si="90">LN(F22)</f>
        <v>3.2633101959834527</v>
      </c>
      <c r="H22">
        <v>5746.77</v>
      </c>
      <c r="I22" s="229">
        <f t="shared" ref="I22:K22" si="91">LN(H22)</f>
        <v>8.6563932368264247</v>
      </c>
      <c r="J22">
        <v>196000394.875</v>
      </c>
      <c r="K22" s="229">
        <f t="shared" ref="K22:M22" si="92">LN(J22)</f>
        <v>19.093627231861131</v>
      </c>
      <c r="L22" s="237">
        <v>32.055</v>
      </c>
      <c r="M22" s="230">
        <f t="shared" si="4"/>
        <v>3.4674531774392205</v>
      </c>
      <c r="N22">
        <v>26618.6728547364</v>
      </c>
      <c r="O22" s="229">
        <f t="shared" ref="O22:Q22" si="93">LN(N22)</f>
        <v>10.189368235512317</v>
      </c>
      <c r="P22">
        <v>34802967.032224901</v>
      </c>
      <c r="Q22" s="229">
        <f t="shared" ref="Q22:S22" si="94">LN(P22)</f>
        <v>17.365213200657006</v>
      </c>
      <c r="R22">
        <v>25.284909927659999</v>
      </c>
      <c r="S22" s="230">
        <f t="shared" si="7"/>
        <v>3.2302077722420339</v>
      </c>
      <c r="T22" s="214">
        <v>7861</v>
      </c>
      <c r="U22" s="229">
        <f>EXP($AZ$7+($AZ$8*$C22)+($AZ$9*$E22)+($AZ$10*$G22))</f>
        <v>698.88420705425972</v>
      </c>
      <c r="V22" s="229">
        <f>EXP($AZ$15+($AZ$16*$I22)+($AZ$17*$K22)+($AZ$18*$M22))</f>
        <v>834.00911448105387</v>
      </c>
      <c r="W22" s="229">
        <f>EXP($AZ$23+($AZ$24*$O22)+($AZ$25*$Q22)+($AZ$26*$S22))</f>
        <v>6571.8442764451356</v>
      </c>
      <c r="X22" s="230">
        <f t="shared" si="8"/>
        <v>8104.7375979804492</v>
      </c>
      <c r="Y22" s="218">
        <f t="shared" si="9"/>
        <v>-243.73759798044921</v>
      </c>
      <c r="Z22" s="214">
        <v>7861</v>
      </c>
      <c r="AA22" s="229"/>
      <c r="AB22" s="229"/>
      <c r="AC22" s="229"/>
      <c r="AD22" s="230"/>
      <c r="AE22" s="218"/>
      <c r="AF22" s="214">
        <v>7861</v>
      </c>
      <c r="AG22" s="229"/>
      <c r="AH22" s="229"/>
      <c r="AI22" s="229"/>
      <c r="AJ22" s="230"/>
      <c r="AK22" s="218"/>
      <c r="AL22" s="214">
        <v>7861</v>
      </c>
      <c r="AM22" s="229"/>
      <c r="AN22" s="229"/>
      <c r="AO22" s="229"/>
      <c r="AP22" s="230"/>
      <c r="AQ22" s="218"/>
      <c r="AR22" s="214">
        <v>7861</v>
      </c>
      <c r="AS22" s="229"/>
      <c r="AT22" s="229"/>
      <c r="AU22" s="229"/>
      <c r="AV22" s="230"/>
      <c r="AW22" s="218"/>
      <c r="AZ22" s="238" t="s">
        <v>331</v>
      </c>
      <c r="BA22" s="238" t="s">
        <v>332</v>
      </c>
      <c r="BB22" s="238" t="s">
        <v>334</v>
      </c>
      <c r="BC22" s="238" t="s">
        <v>333</v>
      </c>
      <c r="BD22" s="238">
        <v>2.5000000000000001E-2</v>
      </c>
      <c r="BE22" s="238">
        <v>0.97499999999999998</v>
      </c>
    </row>
    <row r="23" spans="1:57" ht="19" x14ac:dyDescent="0.25">
      <c r="A23" s="214">
        <v>2008</v>
      </c>
      <c r="B23" s="228">
        <v>18416.689677419301</v>
      </c>
      <c r="C23" s="229">
        <f t="shared" si="0"/>
        <v>9.8210125801637407</v>
      </c>
      <c r="D23" s="229">
        <v>58219591.351351298</v>
      </c>
      <c r="E23" s="229">
        <f t="shared" si="0"/>
        <v>17.879732477214716</v>
      </c>
      <c r="F23" s="229">
        <v>27.705909090909</v>
      </c>
      <c r="G23" s="230">
        <f t="shared" ref="G23" si="95">LN(F23)</f>
        <v>3.3216457150243919</v>
      </c>
      <c r="H23">
        <v>6093.9674999999997</v>
      </c>
      <c r="I23" s="229">
        <f t="shared" ref="I23:K23" si="96">LN(H23)</f>
        <v>8.7150546264168938</v>
      </c>
      <c r="J23">
        <v>199001352.375</v>
      </c>
      <c r="K23" s="229">
        <f t="shared" ref="K23:M23" si="97">LN(J23)</f>
        <v>19.108822178519947</v>
      </c>
      <c r="L23" s="237">
        <v>28.414999999999999</v>
      </c>
      <c r="M23" s="230">
        <f t="shared" si="4"/>
        <v>3.3469171747490849</v>
      </c>
      <c r="N23">
        <v>26370.5236442348</v>
      </c>
      <c r="O23" s="229">
        <f t="shared" ref="O23:Q23" si="98">LN(N23)</f>
        <v>10.180002136724493</v>
      </c>
      <c r="P23">
        <v>35228753.856547602</v>
      </c>
      <c r="Q23" s="229">
        <f t="shared" ref="Q23:S23" si="99">LN(P23)</f>
        <v>17.377373178035501</v>
      </c>
      <c r="R23">
        <v>25.920959202133201</v>
      </c>
      <c r="S23" s="230">
        <f t="shared" si="7"/>
        <v>3.2550518770544983</v>
      </c>
      <c r="T23" s="214">
        <v>8215</v>
      </c>
      <c r="U23" s="229">
        <f>EXP($AZ$7+($AZ$8*$C23)+($AZ$9*$E23)+($AZ$10*$G23))</f>
        <v>746.37412045045699</v>
      </c>
      <c r="V23" s="229">
        <f>EXP($AZ$15+($AZ$16*$I23)+($AZ$17*$K23)+($AZ$18*$M23))</f>
        <v>885.63888222266598</v>
      </c>
      <c r="W23" s="229">
        <f>EXP($AZ$23+($AZ$24*$O23)+($AZ$25*$Q23)+($AZ$26*$S23))</f>
        <v>6475.3030726806574</v>
      </c>
      <c r="X23" s="230">
        <f t="shared" si="8"/>
        <v>8107.3160753537804</v>
      </c>
      <c r="Y23" s="218">
        <f t="shared" si="9"/>
        <v>107.68392464621957</v>
      </c>
      <c r="Z23" s="214">
        <v>8215</v>
      </c>
      <c r="AA23" s="229"/>
      <c r="AB23" s="229"/>
      <c r="AC23" s="229"/>
      <c r="AD23" s="230"/>
      <c r="AE23" s="218"/>
      <c r="AF23" s="214">
        <v>8215</v>
      </c>
      <c r="AG23" s="229"/>
      <c r="AH23" s="229"/>
      <c r="AI23" s="229"/>
      <c r="AJ23" s="230"/>
      <c r="AK23" s="218"/>
      <c r="AL23" s="214">
        <v>8215</v>
      </c>
      <c r="AM23" s="229"/>
      <c r="AN23" s="229"/>
      <c r="AO23" s="229"/>
      <c r="AP23" s="230"/>
      <c r="AQ23" s="218"/>
      <c r="AR23" s="214">
        <v>8215</v>
      </c>
      <c r="AS23" s="229"/>
      <c r="AT23" s="229"/>
      <c r="AU23" s="229"/>
      <c r="AV23" s="230"/>
      <c r="AW23" s="218"/>
      <c r="AY23" s="220" t="s">
        <v>326</v>
      </c>
      <c r="AZ23">
        <v>-28.808499999999999</v>
      </c>
      <c r="BA23">
        <v>9.4090000000000007</v>
      </c>
      <c r="BB23">
        <v>-3.0619999999999998</v>
      </c>
      <c r="BC23">
        <v>7.0000000000000001E-3</v>
      </c>
      <c r="BD23">
        <v>-48.576999999999998</v>
      </c>
      <c r="BE23">
        <v>-9.0399999999999991</v>
      </c>
    </row>
    <row r="24" spans="1:57" ht="19" x14ac:dyDescent="0.25">
      <c r="A24" s="214">
        <v>2009</v>
      </c>
      <c r="B24" s="228">
        <v>18238.897096774101</v>
      </c>
      <c r="C24" s="229">
        <f t="shared" si="0"/>
        <v>9.8113117956145377</v>
      </c>
      <c r="D24" s="229">
        <v>58621353.243243203</v>
      </c>
      <c r="E24" s="229">
        <f t="shared" si="0"/>
        <v>17.886609577989834</v>
      </c>
      <c r="F24" s="229">
        <v>26.562727272727201</v>
      </c>
      <c r="G24" s="230">
        <f t="shared" ref="G24" si="100">LN(F24)</f>
        <v>3.279509002797762</v>
      </c>
      <c r="H24">
        <v>6030.0387499999997</v>
      </c>
      <c r="I24" s="229">
        <f t="shared" ref="I24:K24" si="101">LN(H24)</f>
        <v>8.7045087159029055</v>
      </c>
      <c r="J24">
        <v>201951274.75</v>
      </c>
      <c r="K24" s="229">
        <f t="shared" ref="K24:M24" si="102">LN(J24)</f>
        <v>19.123537012159765</v>
      </c>
      <c r="L24" s="237">
        <v>30.291250000000002</v>
      </c>
      <c r="M24" s="230">
        <f t="shared" si="4"/>
        <v>3.4108588919327865</v>
      </c>
      <c r="N24">
        <v>25439.865355177299</v>
      </c>
      <c r="O24" s="229">
        <f t="shared" ref="O24:Q24" si="103">LN(N24)</f>
        <v>10.144072724797651</v>
      </c>
      <c r="P24">
        <v>35648328.526313603</v>
      </c>
      <c r="Q24" s="229">
        <f t="shared" ref="Q24:S24" si="104">LN(P24)</f>
        <v>17.38921281806801</v>
      </c>
      <c r="R24">
        <v>23.2875207963442</v>
      </c>
      <c r="S24" s="230">
        <f t="shared" si="7"/>
        <v>3.1479176289533606</v>
      </c>
      <c r="T24" s="214">
        <v>8509</v>
      </c>
      <c r="U24" s="229">
        <f>EXP($AZ$7+($AZ$8*$C24)+($AZ$9*$E24)+($AZ$10*$G24))</f>
        <v>775.47200021026981</v>
      </c>
      <c r="V24" s="229">
        <f>EXP($AZ$15+($AZ$16*$I24)+($AZ$17*$K24)+($AZ$18*$M24))</f>
        <v>891.71063872146237</v>
      </c>
      <c r="W24" s="229">
        <f>EXP($AZ$23+($AZ$24*$O24)+($AZ$25*$Q24)+($AZ$26*$S24))</f>
        <v>7926.1723347761608</v>
      </c>
      <c r="X24" s="230">
        <f t="shared" si="8"/>
        <v>9593.3549737078938</v>
      </c>
      <c r="Y24" s="218">
        <f t="shared" si="9"/>
        <v>-1084.3549737078938</v>
      </c>
      <c r="Z24" s="214">
        <v>8509</v>
      </c>
      <c r="AA24" s="229"/>
      <c r="AB24" s="229"/>
      <c r="AC24" s="229"/>
      <c r="AD24" s="230"/>
      <c r="AE24" s="218"/>
      <c r="AF24" s="214">
        <v>8509</v>
      </c>
      <c r="AG24" s="229"/>
      <c r="AH24" s="229"/>
      <c r="AI24" s="229"/>
      <c r="AJ24" s="230"/>
      <c r="AK24" s="218"/>
      <c r="AL24" s="214">
        <v>8509</v>
      </c>
      <c r="AM24" s="229"/>
      <c r="AN24" s="229"/>
      <c r="AO24" s="229"/>
      <c r="AP24" s="230"/>
      <c r="AQ24" s="218"/>
      <c r="AR24" s="214">
        <v>8509</v>
      </c>
      <c r="AS24" s="229"/>
      <c r="AT24" s="229"/>
      <c r="AU24" s="229"/>
      <c r="AV24" s="230"/>
      <c r="AW24" s="218"/>
      <c r="AY24" s="220" t="s">
        <v>327</v>
      </c>
      <c r="AZ24">
        <v>0.184</v>
      </c>
      <c r="BA24">
        <v>1.974</v>
      </c>
      <c r="BB24">
        <v>9.2999999999999999E-2</v>
      </c>
      <c r="BC24">
        <v>0.92700000000000005</v>
      </c>
      <c r="BD24">
        <v>-3.964</v>
      </c>
      <c r="BE24">
        <v>4.3319999999999999</v>
      </c>
    </row>
    <row r="25" spans="1:57" ht="19" x14ac:dyDescent="0.25">
      <c r="A25" s="214">
        <v>2010</v>
      </c>
      <c r="B25" s="228">
        <v>19659.664516129</v>
      </c>
      <c r="C25" s="229">
        <f t="shared" si="0"/>
        <v>9.8863243292691418</v>
      </c>
      <c r="D25" s="229">
        <v>59020168.729729697</v>
      </c>
      <c r="E25" s="229">
        <f t="shared" si="0"/>
        <v>17.893389786331802</v>
      </c>
      <c r="F25" s="229">
        <v>27.016818181818099</v>
      </c>
      <c r="G25" s="230">
        <f t="shared" ref="G25" si="105">LN(F25)</f>
        <v>3.2964595677082666</v>
      </c>
      <c r="H25">
        <v>6389.1937500000004</v>
      </c>
      <c r="I25" s="229">
        <f t="shared" ref="I25:K25" si="106">LN(H25)</f>
        <v>8.7623633657020878</v>
      </c>
      <c r="J25">
        <v>204849116.75</v>
      </c>
      <c r="K25" s="229">
        <f t="shared" ref="K25:M25" si="107">LN(J25)</f>
        <v>19.137784250256377</v>
      </c>
      <c r="L25" s="237">
        <v>31.647500000000001</v>
      </c>
      <c r="M25" s="230">
        <f t="shared" si="4"/>
        <v>3.4546591565288463</v>
      </c>
      <c r="N25">
        <v>25925.009594429899</v>
      </c>
      <c r="O25" s="229">
        <f t="shared" ref="O25:Q25" si="108">LN(N25)</f>
        <v>10.162963403181745</v>
      </c>
      <c r="P25">
        <v>36060144.290927701</v>
      </c>
      <c r="Q25" s="229">
        <f t="shared" ref="Q25:S25" si="109">LN(P25)</f>
        <v>17.400698777143745</v>
      </c>
      <c r="R25">
        <v>23.604672235643299</v>
      </c>
      <c r="S25" s="230">
        <f t="shared" si="7"/>
        <v>3.1614446685234654</v>
      </c>
      <c r="T25" s="219">
        <v>8482.664546</v>
      </c>
      <c r="U25" s="229">
        <f>EXP($AZ$7+($AZ$8*$C25)+($AZ$9*$E25)+($AZ$10*$G25))</f>
        <v>762.84039090831925</v>
      </c>
      <c r="V25" s="229">
        <f>EXP($AZ$15+($AZ$16*$I25)+($AZ$17*$K25)+($AZ$18*$M25))</f>
        <v>915.91587947436642</v>
      </c>
      <c r="W25" s="229">
        <f>EXP($AZ$23+($AZ$24*$O25)+($AZ$25*$Q25)+($AZ$26*$S25))</f>
        <v>7988.9706440407463</v>
      </c>
      <c r="X25" s="230">
        <f t="shared" si="8"/>
        <v>9667.7269144234324</v>
      </c>
      <c r="Y25" s="218">
        <f t="shared" si="9"/>
        <v>-1185.0623684234324</v>
      </c>
      <c r="Z25" s="219">
        <v>8482.664546</v>
      </c>
      <c r="AA25" s="229"/>
      <c r="AB25" s="229"/>
      <c r="AC25" s="229"/>
      <c r="AD25" s="230"/>
      <c r="AE25" s="218"/>
      <c r="AF25" s="219">
        <v>8482.664546</v>
      </c>
      <c r="AG25" s="229"/>
      <c r="AH25" s="229"/>
      <c r="AI25" s="229"/>
      <c r="AJ25" s="230"/>
      <c r="AK25" s="218"/>
      <c r="AL25" s="219">
        <v>8482.664546</v>
      </c>
      <c r="AM25" s="229"/>
      <c r="AN25" s="229"/>
      <c r="AO25" s="229"/>
      <c r="AP25" s="230"/>
      <c r="AQ25" s="218"/>
      <c r="AR25" s="219">
        <v>8482.664546</v>
      </c>
      <c r="AS25" s="229"/>
      <c r="AT25" s="229"/>
      <c r="AU25" s="229"/>
      <c r="AV25" s="230"/>
      <c r="AW25" s="218"/>
      <c r="AY25" s="220" t="s">
        <v>328</v>
      </c>
      <c r="AZ25">
        <v>2.371</v>
      </c>
      <c r="BA25">
        <v>1.4930000000000001</v>
      </c>
      <c r="BB25">
        <v>1.589</v>
      </c>
      <c r="BC25">
        <v>0.13</v>
      </c>
      <c r="BD25">
        <v>-0.76500000000000001</v>
      </c>
      <c r="BE25">
        <v>5.5069999999999997</v>
      </c>
    </row>
    <row r="26" spans="1:57" ht="19" x14ac:dyDescent="0.25">
      <c r="A26" s="214">
        <v>2011</v>
      </c>
      <c r="B26" s="228">
        <v>20905.155161290299</v>
      </c>
      <c r="C26" s="229">
        <f t="shared" si="0"/>
        <v>9.9477510659726551</v>
      </c>
      <c r="D26" s="229">
        <v>59418719.810810797</v>
      </c>
      <c r="E26" s="229">
        <f t="shared" si="0"/>
        <v>17.900119883014217</v>
      </c>
      <c r="F26" s="229">
        <v>29.003181818181801</v>
      </c>
      <c r="G26" s="230">
        <f t="shared" ref="G26" si="110">LN(F26)</f>
        <v>3.3674055418362467</v>
      </c>
      <c r="H26">
        <v>6791.39</v>
      </c>
      <c r="I26" s="229">
        <f t="shared" ref="I26:K26" si="111">LN(H26)</f>
        <v>8.8234109124148929</v>
      </c>
      <c r="J26">
        <v>207691801.5</v>
      </c>
      <c r="K26" s="229">
        <f t="shared" ref="K26:M26" si="112">LN(J26)</f>
        <v>19.151565815269965</v>
      </c>
      <c r="L26" s="237">
        <v>33.172499999999999</v>
      </c>
      <c r="M26" s="230">
        <f t="shared" si="4"/>
        <v>3.5017212194284544</v>
      </c>
      <c r="N26">
        <v>26188.2347160346</v>
      </c>
      <c r="O26" s="229">
        <f t="shared" ref="O26:Q26" si="113">LN(N26)</f>
        <v>10.17306553225316</v>
      </c>
      <c r="P26">
        <v>36447117.474794701</v>
      </c>
      <c r="Q26" s="229">
        <f t="shared" ref="Q26:S26" si="114">LN(P26)</f>
        <v>17.411372931667536</v>
      </c>
      <c r="R26">
        <v>22.753330921737799</v>
      </c>
      <c r="S26" s="230">
        <f t="shared" si="7"/>
        <v>3.124711548821776</v>
      </c>
      <c r="T26" s="214">
        <v>9460</v>
      </c>
      <c r="U26" s="229">
        <f>EXP($AZ$7+($AZ$8*$C26)+($AZ$9*$E26)+($AZ$10*$G26))</f>
        <v>774.29591198662808</v>
      </c>
      <c r="V26" s="229">
        <f>EXP($AZ$15+($AZ$16*$I26)+($AZ$17*$K26)+($AZ$18*$M26))</f>
        <v>940.27522753724259</v>
      </c>
      <c r="W26" s="229">
        <f>EXP($AZ$23+($AZ$24*$O26)+($AZ$25*$Q26)+($AZ$26*$S26))</f>
        <v>8733.7126938585043</v>
      </c>
      <c r="X26" s="230">
        <f t="shared" si="8"/>
        <v>10448.283833382375</v>
      </c>
      <c r="Y26" s="218">
        <f t="shared" si="9"/>
        <v>-988.28383338237472</v>
      </c>
      <c r="Z26" s="214">
        <v>9460</v>
      </c>
      <c r="AA26" s="229"/>
      <c r="AB26" s="229"/>
      <c r="AC26" s="229"/>
      <c r="AD26" s="230"/>
      <c r="AE26" s="218"/>
      <c r="AF26" s="214">
        <v>9460</v>
      </c>
      <c r="AG26" s="229"/>
      <c r="AH26" s="229"/>
      <c r="AI26" s="229"/>
      <c r="AJ26" s="230"/>
      <c r="AK26" s="218"/>
      <c r="AL26" s="214">
        <v>9460</v>
      </c>
      <c r="AM26" s="229"/>
      <c r="AN26" s="229"/>
      <c r="AO26" s="229"/>
      <c r="AP26" s="230"/>
      <c r="AQ26" s="218"/>
      <c r="AR26" s="214">
        <v>9460</v>
      </c>
      <c r="AS26" s="229"/>
      <c r="AT26" s="229"/>
      <c r="AU26" s="229"/>
      <c r="AV26" s="230"/>
      <c r="AW26" s="218"/>
      <c r="AY26" s="220" t="s">
        <v>329</v>
      </c>
      <c r="AZ26">
        <v>-1.6868000000000001</v>
      </c>
      <c r="BA26">
        <v>0.95099999999999996</v>
      </c>
      <c r="BB26">
        <v>-1.774</v>
      </c>
      <c r="BC26">
        <v>9.2999999999999999E-2</v>
      </c>
      <c r="BD26">
        <v>-3.6850000000000001</v>
      </c>
      <c r="BE26">
        <v>0.311</v>
      </c>
    </row>
    <row r="27" spans="1:57" x14ac:dyDescent="0.2">
      <c r="A27" s="214">
        <v>2012</v>
      </c>
      <c r="B27" s="228">
        <v>21441.9293548387</v>
      </c>
      <c r="C27" s="229">
        <f t="shared" si="0"/>
        <v>9.9731035997012487</v>
      </c>
      <c r="D27" s="229">
        <v>59825873.135135099</v>
      </c>
      <c r="E27" s="229">
        <f t="shared" si="0"/>
        <v>17.906948786472686</v>
      </c>
      <c r="F27" s="229">
        <v>28.847727272727202</v>
      </c>
      <c r="G27" s="230">
        <f t="shared" ref="G27" si="115">LN(F27)</f>
        <v>3.362031212475868</v>
      </c>
      <c r="H27">
        <v>7064.0074999999997</v>
      </c>
      <c r="I27" s="229">
        <f t="shared" ref="I27:K27" si="116">LN(H27)</f>
        <v>8.8627678040046369</v>
      </c>
      <c r="J27">
        <v>210468391.25</v>
      </c>
      <c r="K27" s="229">
        <f t="shared" ref="K27:M27" si="117">LN(J27)</f>
        <v>19.164846039478977</v>
      </c>
      <c r="L27" s="237">
        <v>33.751249999999999</v>
      </c>
      <c r="M27" s="230">
        <f t="shared" si="4"/>
        <v>3.5190174536697216</v>
      </c>
      <c r="N27">
        <v>26525.333034824602</v>
      </c>
      <c r="O27" s="229">
        <f t="shared" ref="O27:Q27" si="118">LN(N27)</f>
        <v>10.185855518910419</v>
      </c>
      <c r="P27">
        <v>36914306.272239096</v>
      </c>
      <c r="Q27" s="229">
        <f t="shared" ref="Q27:S27" si="119">LN(P27)</f>
        <v>17.424109737727754</v>
      </c>
      <c r="R27">
        <v>23.298614994048499</v>
      </c>
      <c r="S27" s="230">
        <f t="shared" si="7"/>
        <v>3.1483939164893755</v>
      </c>
      <c r="T27" s="214">
        <v>10236</v>
      </c>
      <c r="U27" s="229">
        <f>EXP($AZ$7+($AZ$8*$C27)+($AZ$9*$E27)+($AZ$10*$G27))</f>
        <v>789.96205859164229</v>
      </c>
      <c r="V27" s="229">
        <f>EXP($AZ$15+($AZ$16*$I27)+($AZ$17*$K27)+($AZ$18*$M27))</f>
        <v>964.9772630466324</v>
      </c>
      <c r="W27" s="229">
        <f>EXP($AZ$23+($AZ$24*$O27)+($AZ$25*$Q27)+($AZ$26*$S27))</f>
        <v>8669.3643000922657</v>
      </c>
      <c r="X27" s="230">
        <f t="shared" si="8"/>
        <v>10424.30362173054</v>
      </c>
      <c r="Y27" s="218">
        <f t="shared" si="9"/>
        <v>-188.30362173053982</v>
      </c>
      <c r="Z27" s="214">
        <v>10236</v>
      </c>
      <c r="AA27" s="229"/>
      <c r="AB27" s="229"/>
      <c r="AC27" s="229"/>
      <c r="AD27" s="230"/>
      <c r="AE27" s="218"/>
      <c r="AF27" s="214">
        <v>10236</v>
      </c>
      <c r="AG27" s="229"/>
      <c r="AH27" s="229"/>
      <c r="AI27" s="229"/>
      <c r="AJ27" s="230"/>
      <c r="AK27" s="218"/>
      <c r="AL27" s="214">
        <v>10236</v>
      </c>
      <c r="AM27" s="229"/>
      <c r="AN27" s="229"/>
      <c r="AO27" s="229"/>
      <c r="AP27" s="230"/>
      <c r="AQ27" s="218"/>
      <c r="AR27" s="214">
        <v>10236</v>
      </c>
      <c r="AS27" s="229"/>
      <c r="AT27" s="229"/>
      <c r="AU27" s="229"/>
      <c r="AV27" s="230"/>
      <c r="AW27" s="218"/>
    </row>
    <row r="28" spans="1:57" x14ac:dyDescent="0.2">
      <c r="A28" s="214">
        <v>2013</v>
      </c>
      <c r="B28" s="228">
        <v>22095.263548387</v>
      </c>
      <c r="C28" s="229">
        <f t="shared" si="0"/>
        <v>10.003118545458717</v>
      </c>
      <c r="D28" s="229">
        <v>60235209.8378378</v>
      </c>
      <c r="E28" s="229">
        <f t="shared" si="0"/>
        <v>17.913767620330013</v>
      </c>
      <c r="F28" s="229">
        <v>28.515454545454499</v>
      </c>
      <c r="G28" s="230">
        <f t="shared" ref="G28" si="120">LN(F28)</f>
        <v>3.3504462050549928</v>
      </c>
      <c r="H28">
        <v>7340.4024999999901</v>
      </c>
      <c r="I28" s="229">
        <f t="shared" ref="I28:K28" si="121">LN(H28)</f>
        <v>8.9011489566173552</v>
      </c>
      <c r="J28">
        <v>213221506.25</v>
      </c>
      <c r="K28" s="229">
        <f t="shared" ref="K28:M28" si="122">LN(J28)</f>
        <v>19.177842118761436</v>
      </c>
      <c r="L28" s="237">
        <v>30.931249999999999</v>
      </c>
      <c r="M28" s="230">
        <f t="shared" si="4"/>
        <v>3.4317669997180591</v>
      </c>
      <c r="N28">
        <v>26627.864468227599</v>
      </c>
      <c r="O28" s="229">
        <f t="shared" ref="O28:Q28" si="123">LN(N28)</f>
        <v>10.189713482885935</v>
      </c>
      <c r="P28">
        <v>37312590.547269598</v>
      </c>
      <c r="Q28" s="229">
        <f t="shared" ref="Q28:S28" si="124">LN(P28)</f>
        <v>17.434841375841643</v>
      </c>
      <c r="R28">
        <v>23.537703801517601</v>
      </c>
      <c r="S28" s="230">
        <f t="shared" si="7"/>
        <v>3.158603552533894</v>
      </c>
      <c r="T28" s="214">
        <v>10818</v>
      </c>
      <c r="U28" s="229">
        <f>EXP($AZ$7+($AZ$8*$C28)+($AZ$9*$E28)+($AZ$10*$G28))</f>
        <v>800.74987794149672</v>
      </c>
      <c r="V28" s="229">
        <f>EXP($AZ$15+($AZ$16*$I28)+($AZ$17*$K28)+($AZ$18*$M28))</f>
        <v>1009.8268057942414</v>
      </c>
      <c r="W28" s="229">
        <f>EXP($AZ$23+($AZ$24*$O28)+($AZ$25*$Q28)+($AZ$26*$S28))</f>
        <v>8747.1543608739084</v>
      </c>
      <c r="X28" s="230">
        <f t="shared" si="8"/>
        <v>10557.731044609647</v>
      </c>
      <c r="Y28" s="218">
        <f t="shared" si="9"/>
        <v>260.26895539035286</v>
      </c>
      <c r="Z28" s="214">
        <v>10818</v>
      </c>
      <c r="AA28" s="229"/>
      <c r="AB28" s="229"/>
      <c r="AC28" s="229"/>
      <c r="AD28" s="230"/>
      <c r="AE28" s="218"/>
      <c r="AF28" s="214">
        <v>10818</v>
      </c>
      <c r="AG28" s="229"/>
      <c r="AH28" s="229"/>
      <c r="AI28" s="229"/>
      <c r="AJ28" s="230"/>
      <c r="AK28" s="218"/>
      <c r="AL28" s="214">
        <v>10818</v>
      </c>
      <c r="AM28" s="229"/>
      <c r="AN28" s="229"/>
      <c r="AO28" s="229"/>
      <c r="AP28" s="230"/>
      <c r="AQ28" s="218"/>
      <c r="AR28" s="214">
        <v>10818</v>
      </c>
      <c r="AS28" s="229"/>
      <c r="AT28" s="229"/>
      <c r="AU28" s="229"/>
      <c r="AV28" s="230"/>
      <c r="AW28" s="218"/>
    </row>
    <row r="29" spans="1:57" x14ac:dyDescent="0.2">
      <c r="A29" s="214">
        <v>2014</v>
      </c>
      <c r="B29" s="228">
        <v>22158.969032257999</v>
      </c>
      <c r="C29" s="229">
        <f t="shared" si="0"/>
        <v>10.005997615963881</v>
      </c>
      <c r="D29" s="229">
        <v>60651088.189189099</v>
      </c>
      <c r="E29" s="229">
        <f t="shared" si="0"/>
        <v>17.920648135306962</v>
      </c>
      <c r="F29" s="229">
        <v>27.4122727272727</v>
      </c>
      <c r="G29" s="230">
        <f t="shared" ref="G29" si="125">LN(F29)</f>
        <v>3.3109908228668723</v>
      </c>
      <c r="H29">
        <v>7662.8687499999996</v>
      </c>
      <c r="I29" s="229">
        <f t="shared" ref="I29:K29" si="126">LN(H29)</f>
        <v>8.9441417030669701</v>
      </c>
      <c r="J29">
        <v>215955120.875</v>
      </c>
      <c r="K29" s="229">
        <f t="shared" ref="K29:M29" si="127">LN(J29)</f>
        <v>19.190581170333637</v>
      </c>
      <c r="L29" s="237">
        <v>29.83625</v>
      </c>
      <c r="M29" s="230">
        <f t="shared" si="4"/>
        <v>3.3957240971971068</v>
      </c>
      <c r="N29">
        <v>26836.061316985899</v>
      </c>
      <c r="O29" s="229">
        <f t="shared" ref="O29:Q29" si="128">LN(N29)</f>
        <v>10.197501833558164</v>
      </c>
      <c r="P29">
        <v>37721448.086161397</v>
      </c>
      <c r="Q29" s="229">
        <f t="shared" ref="Q29:S29" si="129">LN(P29)</f>
        <v>17.445739405399888</v>
      </c>
      <c r="R29">
        <v>23.242750444562301</v>
      </c>
      <c r="S29" s="230">
        <f t="shared" si="7"/>
        <v>3.1459932745748524</v>
      </c>
      <c r="T29" s="214">
        <v>11050</v>
      </c>
      <c r="U29" s="229">
        <f>EXP($AZ$7+($AZ$8*$C29)+($AZ$9*$E29)+($AZ$10*$G29))</f>
        <v>823.51735840349761</v>
      </c>
      <c r="V29" s="229">
        <f>EXP($AZ$15+($AZ$16*$I29)+($AZ$17*$K29)+($AZ$18*$M29))</f>
        <v>1047.1640734023929</v>
      </c>
      <c r="W29" s="229">
        <f>EXP($AZ$23+($AZ$24*$O29)+($AZ$25*$Q29)+($AZ$26*$S29))</f>
        <v>9182.2450452853118</v>
      </c>
      <c r="X29" s="230">
        <f t="shared" si="8"/>
        <v>11052.926477091201</v>
      </c>
      <c r="Y29" s="218">
        <f t="shared" si="9"/>
        <v>-2.9264770912013773</v>
      </c>
      <c r="Z29" s="214">
        <v>11050</v>
      </c>
      <c r="AA29" s="229"/>
      <c r="AB29" s="229"/>
      <c r="AC29" s="229"/>
      <c r="AD29" s="230"/>
      <c r="AE29" s="218"/>
      <c r="AF29" s="214">
        <v>11050</v>
      </c>
      <c r="AG29" s="229"/>
      <c r="AH29" s="229"/>
      <c r="AI29" s="229"/>
      <c r="AJ29" s="230"/>
      <c r="AK29" s="218"/>
      <c r="AL29" s="214">
        <v>11050</v>
      </c>
      <c r="AM29" s="229"/>
      <c r="AN29" s="229"/>
      <c r="AO29" s="229"/>
      <c r="AP29" s="230"/>
      <c r="AQ29" s="218"/>
      <c r="AR29" s="214">
        <v>11050</v>
      </c>
      <c r="AS29" s="229"/>
      <c r="AT29" s="229"/>
      <c r="AU29" s="229"/>
      <c r="AV29" s="230"/>
      <c r="AW29" s="218"/>
    </row>
    <row r="30" spans="1:57" x14ac:dyDescent="0.2">
      <c r="A30" s="214">
        <v>2015</v>
      </c>
      <c r="B30" s="228">
        <v>21407.8806451612</v>
      </c>
      <c r="C30" s="229">
        <f t="shared" si="0"/>
        <v>9.9715143876677015</v>
      </c>
      <c r="D30" s="229">
        <v>61064709.9729729</v>
      </c>
      <c r="E30" s="229">
        <f t="shared" si="0"/>
        <v>17.92744467909554</v>
      </c>
      <c r="F30" s="229">
        <v>27.2781818181818</v>
      </c>
      <c r="G30" s="230">
        <f t="shared" ref="G30" si="130">LN(F30)</f>
        <v>3.3060871818604962</v>
      </c>
      <c r="H30">
        <v>7897.13</v>
      </c>
      <c r="I30" s="229">
        <f t="shared" ref="I30:K30" si="131">LN(H30)</f>
        <v>8.9742546813096595</v>
      </c>
      <c r="J30">
        <v>218677133.5</v>
      </c>
      <c r="K30" s="229">
        <f t="shared" ref="K30:M30" si="132">LN(J30)</f>
        <v>19.203106923710536</v>
      </c>
      <c r="L30" s="237">
        <v>29.965</v>
      </c>
      <c r="M30" s="230">
        <f t="shared" si="4"/>
        <v>3.4000300339101486</v>
      </c>
      <c r="N30">
        <v>27101.6518568471</v>
      </c>
      <c r="O30" s="229">
        <f t="shared" ref="O30:Q30" si="133">LN(N30)</f>
        <v>10.207349959137364</v>
      </c>
      <c r="P30">
        <v>38127350.543461502</v>
      </c>
      <c r="Q30" s="229">
        <f t="shared" ref="Q30:S30" si="134">LN(P30)</f>
        <v>17.456442444590333</v>
      </c>
      <c r="R30">
        <v>23.7051430788669</v>
      </c>
      <c r="S30" s="230">
        <f t="shared" si="7"/>
        <v>3.1656920321454805</v>
      </c>
      <c r="T30" s="214">
        <v>10826</v>
      </c>
      <c r="U30" s="229">
        <f>EXP($AZ$7+($AZ$8*$C30)+($AZ$9*$E30)+($AZ$10*$G30))</f>
        <v>886.1254525438236</v>
      </c>
      <c r="V30" s="229">
        <f>EXP($AZ$15+($AZ$16*$I30)+($AZ$17*$K30)+($AZ$18*$M30))</f>
        <v>1073.7341453946879</v>
      </c>
      <c r="W30" s="229">
        <f>EXP($AZ$23+($AZ$24*$O30)+($AZ$25*$Q30)+($AZ$26*$S30))</f>
        <v>9126.9614500528478</v>
      </c>
      <c r="X30" s="230">
        <f t="shared" si="8"/>
        <v>11086.82104799136</v>
      </c>
      <c r="Y30" s="218">
        <f t="shared" si="9"/>
        <v>-260.82104799135959</v>
      </c>
      <c r="Z30" s="214">
        <v>10826</v>
      </c>
      <c r="AA30" s="229"/>
      <c r="AB30" s="229"/>
      <c r="AC30" s="229"/>
      <c r="AD30" s="230"/>
      <c r="AE30" s="218"/>
      <c r="AF30" s="214">
        <v>10826</v>
      </c>
      <c r="AG30" s="229"/>
      <c r="AH30" s="229"/>
      <c r="AI30" s="229"/>
      <c r="AJ30" s="230"/>
      <c r="AK30" s="218"/>
      <c r="AL30" s="214">
        <v>10826</v>
      </c>
      <c r="AM30" s="229"/>
      <c r="AN30" s="229"/>
      <c r="AO30" s="229"/>
      <c r="AP30" s="230"/>
      <c r="AQ30" s="218"/>
      <c r="AR30" s="214">
        <v>10826</v>
      </c>
      <c r="AS30" s="229"/>
      <c r="AT30" s="229"/>
      <c r="AU30" s="229"/>
      <c r="AV30" s="230"/>
      <c r="AW30" s="218"/>
    </row>
    <row r="31" spans="1:57" x14ac:dyDescent="0.2">
      <c r="A31" s="214">
        <v>2016</v>
      </c>
      <c r="B31" s="228">
        <v>21642.9851612903</v>
      </c>
      <c r="C31" s="229">
        <f t="shared" si="0"/>
        <v>9.9824366699018707</v>
      </c>
      <c r="D31" s="229">
        <v>61485885.945945904</v>
      </c>
      <c r="E31" s="229">
        <f t="shared" si="0"/>
        <v>17.934318209624436</v>
      </c>
      <c r="F31" s="229">
        <v>26.856818181818099</v>
      </c>
      <c r="G31" s="230">
        <f t="shared" ref="G31" si="135">LN(F31)</f>
        <v>3.2905197247267055</v>
      </c>
      <c r="H31">
        <v>8240.3812500000004</v>
      </c>
      <c r="I31" s="229">
        <f t="shared" ref="I31:K31" si="136">LN(H31)</f>
        <v>9.0168018900370601</v>
      </c>
      <c r="J31">
        <v>221395899.25</v>
      </c>
      <c r="K31" s="229">
        <f t="shared" ref="K31:M31" si="137">LN(J31)</f>
        <v>19.215463056161227</v>
      </c>
      <c r="L31" s="237">
        <v>29.0975</v>
      </c>
      <c r="M31" s="230">
        <f t="shared" si="4"/>
        <v>3.3706522598339945</v>
      </c>
      <c r="N31">
        <v>27263.069638441699</v>
      </c>
      <c r="O31" s="229">
        <f t="shared" ref="O31:Q31" si="138">LN(N31)</f>
        <v>10.213288304869925</v>
      </c>
      <c r="P31">
        <v>38541169.123191103</v>
      </c>
      <c r="Q31" s="229">
        <f t="shared" ref="Q31:S31" si="139">LN(P31)</f>
        <v>17.467237555809305</v>
      </c>
      <c r="R31">
        <v>23.3973511184251</v>
      </c>
      <c r="S31" s="230">
        <f t="shared" si="7"/>
        <v>3.152622815888741</v>
      </c>
      <c r="T31" s="214">
        <v>10885</v>
      </c>
      <c r="U31" s="229">
        <f>EXP($AZ$7+($AZ$8*$C31)+($AZ$9*$E31)+($AZ$10*$G31))</f>
        <v>912.63743225015605</v>
      </c>
      <c r="V31" s="229">
        <f>EXP($AZ$15+($AZ$16*$I31)+($AZ$17*$K31)+($AZ$18*$M31))</f>
        <v>1111.2540878789009</v>
      </c>
      <c r="W31" s="229">
        <f>EXP($AZ$23+($AZ$24*$O31)+($AZ$25*$Q31)+($AZ$26*$S31))</f>
        <v>9582.7618916180945</v>
      </c>
      <c r="X31" s="230">
        <f t="shared" si="8"/>
        <v>11606.653411747151</v>
      </c>
      <c r="Y31" s="218">
        <f t="shared" si="9"/>
        <v>-721.65341174715104</v>
      </c>
      <c r="Z31" s="214">
        <v>10885</v>
      </c>
      <c r="AA31" s="229"/>
      <c r="AB31" s="229"/>
      <c r="AC31" s="229"/>
      <c r="AD31" s="230"/>
      <c r="AE31" s="218"/>
      <c r="AF31" s="214">
        <v>10885</v>
      </c>
      <c r="AG31" s="229"/>
      <c r="AH31" s="229"/>
      <c r="AI31" s="229"/>
      <c r="AJ31" s="230"/>
      <c r="AK31" s="218"/>
      <c r="AL31" s="214">
        <v>10885</v>
      </c>
      <c r="AM31" s="229"/>
      <c r="AN31" s="229"/>
      <c r="AO31" s="229"/>
      <c r="AP31" s="230"/>
      <c r="AQ31" s="218"/>
      <c r="AR31" s="214">
        <v>10885</v>
      </c>
      <c r="AS31" s="229"/>
      <c r="AT31" s="229"/>
      <c r="AU31" s="229"/>
      <c r="AV31" s="230"/>
      <c r="AW31" s="218"/>
    </row>
    <row r="32" spans="1:57" x14ac:dyDescent="0.2">
      <c r="A32" s="214">
        <v>2017</v>
      </c>
      <c r="B32" s="228">
        <v>22374.663870967699</v>
      </c>
      <c r="C32" s="229">
        <f t="shared" si="0"/>
        <v>10.015684520503633</v>
      </c>
      <c r="D32" s="229">
        <v>61906628.189189099</v>
      </c>
      <c r="E32" s="229">
        <f t="shared" si="0"/>
        <v>17.941137810907563</v>
      </c>
      <c r="F32" s="229">
        <v>27.491363636363602</v>
      </c>
      <c r="G32" s="230">
        <f t="shared" ref="G32" si="140">LN(F32)</f>
        <v>3.3138719057618489</v>
      </c>
      <c r="H32">
        <v>8611.9162500000002</v>
      </c>
      <c r="I32" s="229">
        <f t="shared" ref="I32:K32" si="141">LN(H32)</f>
        <v>9.0609021336343663</v>
      </c>
      <c r="J32">
        <v>224104451</v>
      </c>
      <c r="K32" s="229">
        <f t="shared" ref="K32:M32" si="142">LN(J32)</f>
        <v>19.227622800242813</v>
      </c>
      <c r="L32" s="237">
        <v>30.885000000000002</v>
      </c>
      <c r="M32" s="230">
        <f t="shared" si="4"/>
        <v>3.4302706291478624</v>
      </c>
      <c r="N32">
        <v>27625.453034397098</v>
      </c>
      <c r="O32" s="229">
        <f t="shared" ref="O32:Q32" si="143">LN(N32)</f>
        <v>10.226492838120773</v>
      </c>
      <c r="P32">
        <v>38938216.277374797</v>
      </c>
      <c r="Q32" s="229">
        <f t="shared" ref="Q32:S32" si="144">LN(P32)</f>
        <v>17.477486749909357</v>
      </c>
      <c r="R32">
        <v>23.121339084045601</v>
      </c>
      <c r="S32" s="230">
        <f t="shared" si="7"/>
        <v>3.1407559609870481</v>
      </c>
      <c r="T32" s="214">
        <v>11738</v>
      </c>
      <c r="U32" s="229">
        <f>EXP($AZ$7+($AZ$8*$C32)+($AZ$9*$E32)+($AZ$10*$G32))</f>
        <v>934.19272297904138</v>
      </c>
      <c r="V32" s="229">
        <f>EXP($AZ$15+($AZ$16*$I32)+($AZ$17*$K32)+($AZ$18*$M32))</f>
        <v>1130.6218356224331</v>
      </c>
      <c r="W32" s="229">
        <f>EXP($AZ$23+($AZ$24*$O32)+($AZ$25*$Q32)+($AZ$26*$S32))</f>
        <v>10041.367721978851</v>
      </c>
      <c r="X32" s="230">
        <f t="shared" si="8"/>
        <v>12106.182280580326</v>
      </c>
      <c r="Y32" s="218">
        <f t="shared" si="9"/>
        <v>-368.18228058032582</v>
      </c>
      <c r="Z32" s="214">
        <v>11738</v>
      </c>
      <c r="AA32" s="229"/>
      <c r="AB32" s="229"/>
      <c r="AC32" s="229"/>
      <c r="AD32" s="230"/>
      <c r="AE32" s="218"/>
      <c r="AF32" s="214">
        <v>11738</v>
      </c>
      <c r="AG32" s="229"/>
      <c r="AH32" s="229"/>
      <c r="AI32" s="229"/>
      <c r="AJ32" s="230"/>
      <c r="AK32" s="218"/>
      <c r="AL32" s="214">
        <v>11738</v>
      </c>
      <c r="AM32" s="229"/>
      <c r="AN32" s="229"/>
      <c r="AO32" s="229"/>
      <c r="AP32" s="230"/>
      <c r="AQ32" s="218"/>
      <c r="AR32" s="214">
        <v>11738</v>
      </c>
      <c r="AS32" s="229"/>
      <c r="AT32" s="229"/>
      <c r="AU32" s="229"/>
      <c r="AV32" s="230"/>
      <c r="AW32" s="218"/>
    </row>
    <row r="33" spans="1:49" x14ac:dyDescent="0.2">
      <c r="A33" s="214">
        <v>2018</v>
      </c>
      <c r="B33" s="228">
        <v>22886.440322580602</v>
      </c>
      <c r="C33" s="229">
        <f t="shared" si="0"/>
        <v>10.038299888515203</v>
      </c>
      <c r="D33" s="229">
        <v>62285507.8918918</v>
      </c>
      <c r="E33" s="229">
        <f t="shared" si="0"/>
        <v>17.947239338590219</v>
      </c>
      <c r="F33" s="229">
        <v>27.68</v>
      </c>
      <c r="G33" s="230">
        <f t="shared" ref="G33" si="145">LN(F33)</f>
        <v>3.3207101307494686</v>
      </c>
      <c r="H33">
        <v>8954.9887500000004</v>
      </c>
      <c r="I33" s="229">
        <f t="shared" ref="I33:K33" si="146">LN(H33)</f>
        <v>9.0999660582126154</v>
      </c>
      <c r="J33">
        <v>226798593</v>
      </c>
      <c r="K33" s="229">
        <f t="shared" ref="K33:M33" si="147">LN(J33)</f>
        <v>19.239572926094926</v>
      </c>
      <c r="L33" s="237">
        <v>31.69875</v>
      </c>
      <c r="M33" s="230">
        <f t="shared" si="4"/>
        <v>3.4562772479291102</v>
      </c>
      <c r="N33">
        <v>28016.721434960898</v>
      </c>
      <c r="O33" s="229">
        <f t="shared" ref="O33:Q33" si="148">LN(N33)</f>
        <v>10.24055680501365</v>
      </c>
      <c r="P33">
        <v>39318188.170930699</v>
      </c>
      <c r="Q33" s="229">
        <f t="shared" ref="Q33:S33" si="149">LN(P33)</f>
        <v>17.48719777311063</v>
      </c>
      <c r="R33">
        <v>23.167504094132799</v>
      </c>
      <c r="S33" s="230">
        <f t="shared" si="7"/>
        <v>3.1427506111974939</v>
      </c>
      <c r="T33" s="214">
        <v>12333</v>
      </c>
      <c r="U33" s="229">
        <f>EXP($AZ$7+($AZ$8*$C33)+($AZ$9*$E33)+($AZ$10*$G33))</f>
        <v>955.11215693222607</v>
      </c>
      <c r="V33" s="229">
        <f>EXP($AZ$15+($AZ$16*$I33)+($AZ$17*$K33)+($AZ$18*$M33))</f>
        <v>1156.0199926374316</v>
      </c>
      <c r="W33" s="229">
        <f>EXP($AZ$23+($AZ$24*$O33)+($AZ$25*$Q33)+($AZ$26*$S33))</f>
        <v>10267.272016484072</v>
      </c>
      <c r="X33" s="230">
        <f t="shared" si="8"/>
        <v>12378.40416605373</v>
      </c>
      <c r="Y33" s="218">
        <f t="shared" si="9"/>
        <v>-45.404166053729568</v>
      </c>
      <c r="Z33" s="214">
        <v>12333</v>
      </c>
      <c r="AA33" s="229"/>
      <c r="AB33" s="229"/>
      <c r="AC33" s="229"/>
      <c r="AD33" s="230"/>
      <c r="AE33" s="218"/>
      <c r="AF33" s="214">
        <v>12333</v>
      </c>
      <c r="AG33" s="229"/>
      <c r="AH33" s="229"/>
      <c r="AI33" s="229"/>
      <c r="AJ33" s="230"/>
      <c r="AK33" s="218"/>
      <c r="AL33" s="214">
        <v>12333</v>
      </c>
      <c r="AM33" s="229"/>
      <c r="AN33" s="229"/>
      <c r="AO33" s="229"/>
      <c r="AP33" s="230"/>
      <c r="AQ33" s="218"/>
      <c r="AR33" s="214">
        <v>12333</v>
      </c>
      <c r="AS33" s="229"/>
      <c r="AT33" s="229"/>
      <c r="AU33" s="229"/>
      <c r="AV33" s="230"/>
      <c r="AW33" s="218"/>
    </row>
    <row r="34" spans="1:49" x14ac:dyDescent="0.2">
      <c r="A34" s="214">
        <v>2019</v>
      </c>
      <c r="B34" s="228">
        <v>22813.073225806402</v>
      </c>
      <c r="C34" s="229">
        <f t="shared" si="0"/>
        <v>10.035089037715734</v>
      </c>
      <c r="D34" s="229">
        <v>62622628.675675601</v>
      </c>
      <c r="E34" s="229">
        <f t="shared" si="0"/>
        <v>17.952637251194115</v>
      </c>
      <c r="F34" s="229">
        <v>26.915454545454502</v>
      </c>
      <c r="G34" s="230">
        <f t="shared" ref="G34" si="150">LN(F34)</f>
        <v>3.2927006400536531</v>
      </c>
      <c r="H34">
        <v>9240.7275000000009</v>
      </c>
      <c r="I34" s="229">
        <f t="shared" ref="I34:K34" si="151">LN(H34)</f>
        <v>9.1313758953026234</v>
      </c>
      <c r="J34">
        <v>229472092.75</v>
      </c>
      <c r="K34" s="229">
        <f t="shared" ref="K34:M34" si="152">LN(J34)</f>
        <v>19.251291979853104</v>
      </c>
      <c r="L34" s="237">
        <v>31.422499999999999</v>
      </c>
      <c r="M34" s="230">
        <f t="shared" si="4"/>
        <v>3.4475241968168553</v>
      </c>
      <c r="N34">
        <v>28258.876208396901</v>
      </c>
      <c r="O34" s="229">
        <f t="shared" ref="O34:Q34" si="153">LN(N34)</f>
        <v>10.249162889290602</v>
      </c>
      <c r="P34">
        <v>39692606.226793103</v>
      </c>
      <c r="Q34" s="229">
        <f t="shared" ref="Q34:S34" si="154">LN(P34)</f>
        <v>17.496675487173672</v>
      </c>
      <c r="R34">
        <v>23.2483818826563</v>
      </c>
      <c r="S34" s="230">
        <f t="shared" si="7"/>
        <v>3.1462355331665299</v>
      </c>
      <c r="T34" s="214">
        <v>12610</v>
      </c>
      <c r="U34" s="229">
        <f>EXP($AZ$7+($AZ$8*$C34)+($AZ$9*$E34)+($AZ$10*$G34))</f>
        <v>982.16626014548604</v>
      </c>
      <c r="V34" s="229">
        <f>EXP($AZ$15+($AZ$16*$I34)+($AZ$17*$K34)+($AZ$18*$M34))</f>
        <v>1187.3017657064272</v>
      </c>
      <c r="W34" s="229">
        <f>EXP($AZ$23+($AZ$24*$O34)+($AZ$25*$Q34)+($AZ$26*$S34))</f>
        <v>10455.604760934521</v>
      </c>
      <c r="X34" s="230">
        <f t="shared" si="8"/>
        <v>12625.072786786433</v>
      </c>
      <c r="Y34" s="218">
        <f t="shared" si="9"/>
        <v>-15.072786786433426</v>
      </c>
      <c r="Z34" s="214">
        <v>12610</v>
      </c>
      <c r="AA34" s="229"/>
      <c r="AB34" s="229"/>
      <c r="AC34" s="229"/>
      <c r="AD34" s="249">
        <f>$T$34</f>
        <v>12610</v>
      </c>
      <c r="AE34" s="218"/>
      <c r="AF34" s="214">
        <v>12610</v>
      </c>
      <c r="AG34" s="229"/>
      <c r="AH34" s="229"/>
      <c r="AI34" s="229"/>
      <c r="AJ34" s="249">
        <f>$T$34</f>
        <v>12610</v>
      </c>
      <c r="AK34" s="218"/>
      <c r="AL34" s="214">
        <v>12610</v>
      </c>
      <c r="AM34" s="229"/>
      <c r="AN34" s="229"/>
      <c r="AO34" s="229"/>
      <c r="AP34" s="249">
        <f>$T$34</f>
        <v>12610</v>
      </c>
      <c r="AQ34" s="218"/>
      <c r="AR34" s="214">
        <v>12610</v>
      </c>
      <c r="AS34" s="229"/>
      <c r="AT34" s="229"/>
      <c r="AU34" s="229"/>
      <c r="AV34" s="249">
        <f>$T$34</f>
        <v>12610</v>
      </c>
      <c r="AW34" s="218"/>
    </row>
    <row r="35" spans="1:49" x14ac:dyDescent="0.2">
      <c r="A35" s="222">
        <v>2020</v>
      </c>
      <c r="B35" s="231">
        <v>19847.667096774199</v>
      </c>
      <c r="C35" s="232">
        <f t="shared" si="0"/>
        <v>9.8958417525976721</v>
      </c>
      <c r="D35" s="232">
        <v>62942891.8918918</v>
      </c>
      <c r="E35" s="232">
        <f t="shared" si="0"/>
        <v>17.957738395349775</v>
      </c>
      <c r="F35" s="232">
        <v>26.990454545454501</v>
      </c>
      <c r="G35" s="233">
        <f t="shared" ref="G35" si="155">LN(F35)</f>
        <v>3.2954832681424358</v>
      </c>
      <c r="H35" s="201">
        <v>8322.6512499999899</v>
      </c>
      <c r="I35" s="232">
        <f t="shared" ref="I35:K35" si="156">LN(H35)</f>
        <v>9.026736142909753</v>
      </c>
      <c r="J35" s="202">
        <v>232107625</v>
      </c>
      <c r="K35" s="232">
        <f t="shared" ref="K35:M35" si="157">LN(J35)</f>
        <v>19.262711722923914</v>
      </c>
      <c r="L35" s="232">
        <v>28.623750000000001</v>
      </c>
      <c r="M35" s="233">
        <f t="shared" si="4"/>
        <v>3.3542367927986527</v>
      </c>
      <c r="N35" s="202">
        <v>26109.626577342198</v>
      </c>
      <c r="O35" s="232">
        <f t="shared" ref="O35:Q35" si="158">LN(N35)</f>
        <v>10.170059359689033</v>
      </c>
      <c r="P35" s="202">
        <v>40121453.695348032</v>
      </c>
      <c r="Q35" s="232">
        <f t="shared" ref="Q35:S35" si="159">LN(P35)</f>
        <v>17.507421754084238</v>
      </c>
      <c r="R35" s="202">
        <v>22.762156012250099</v>
      </c>
      <c r="S35" s="233">
        <f t="shared" si="7"/>
        <v>3.1250993329022005</v>
      </c>
      <c r="T35" s="215"/>
      <c r="U35" s="231">
        <f>EXP($AZ$7+($AZ$8*$C35)+($AZ$9*$E35)+($AZ$10*$G35))</f>
        <v>1150.612366006832</v>
      </c>
      <c r="V35" s="232">
        <f>EXP($AZ$15+($AZ$16*$I35)+($AZ$17*$K35)+($AZ$18*$M35))</f>
        <v>1198.3041337077523</v>
      </c>
      <c r="W35" s="232">
        <f>EXP($AZ$23+($AZ$24*$O35)+($AZ$25*$Q35)+($AZ$26*$S35))</f>
        <v>10954.113714430207</v>
      </c>
      <c r="X35" s="247">
        <f t="shared" ref="X35:X39" si="160">SUM(U35:W35)</f>
        <v>13303.03021414479</v>
      </c>
      <c r="Y35" s="218"/>
      <c r="Z35" s="215"/>
      <c r="AA35" s="231">
        <f>EXP($AZ$7+($AZ$8*$C35)+($AZ$9*$E35)+($AZ$10*$G35))</f>
        <v>1150.612366006832</v>
      </c>
      <c r="AB35" s="232">
        <f>EXP($AZ$15+($AZ$16*$I35)+($AZ$17*$K35)+($AZ$18*$M35))</f>
        <v>1198.3041337077523</v>
      </c>
      <c r="AC35" s="232">
        <f>EXP($AZ$23+($AZ$24*$O35)+($AZ$25*$Q35)+($AZ$26*$S35))</f>
        <v>10954.113714430207</v>
      </c>
      <c r="AD35" s="247">
        <f t="shared" ref="AD35:AD39" si="161">SUM(AA35:AC35)</f>
        <v>13303.03021414479</v>
      </c>
      <c r="AE35" s="218"/>
      <c r="AF35" s="215"/>
      <c r="AG35" s="232">
        <f t="shared" ref="AG5:AG39" si="162">$U35*2</f>
        <v>2301.2247320136639</v>
      </c>
      <c r="AH35" s="232">
        <f t="shared" ref="AH5:AH39" si="163">$V35*2</f>
        <v>2396.6082674155045</v>
      </c>
      <c r="AI35" s="232">
        <f>($AI$3/$W$3)*$W35</f>
        <v>8702.5667040838398</v>
      </c>
      <c r="AJ35" s="247">
        <f t="shared" ref="AJ35:AJ39" si="164">SUM(AG35:AI35)</f>
        <v>13400.399703513009</v>
      </c>
      <c r="AK35" s="218"/>
      <c r="AL35" s="215"/>
      <c r="AM35" s="232">
        <f t="shared" ref="AM5:AM39" si="165">$U35*2</f>
        <v>2301.2247320136639</v>
      </c>
      <c r="AN35" s="232">
        <f t="shared" ref="AN5:AN39" si="166">$V35*2</f>
        <v>2396.6082674155045</v>
      </c>
      <c r="AO35" s="232">
        <f t="shared" ref="AO5:AO39" si="167">W35</f>
        <v>10954.113714430207</v>
      </c>
      <c r="AP35" s="247">
        <f t="shared" ref="AP35:AP39" si="168">SUM(AM35:AO35)</f>
        <v>15651.946713859375</v>
      </c>
      <c r="AQ35" s="218"/>
      <c r="AR35" s="215"/>
      <c r="AS35" s="231">
        <f t="shared" ref="AS5:AS39" si="169">$U35*3</f>
        <v>3451.8370980204959</v>
      </c>
      <c r="AT35" s="232">
        <f t="shared" ref="AT5:AT39" si="170">$V35*3</f>
        <v>3594.912401123257</v>
      </c>
      <c r="AU35" s="232">
        <f t="shared" ref="AU5:AU39" si="171">W35</f>
        <v>10954.113714430207</v>
      </c>
      <c r="AV35" s="247">
        <f t="shared" ref="AV35:AV39" si="172">SUM(AS35:AU35)</f>
        <v>18000.863213573961</v>
      </c>
      <c r="AW35" s="218"/>
    </row>
    <row r="36" spans="1:49" x14ac:dyDescent="0.2">
      <c r="A36" s="222">
        <v>2021</v>
      </c>
      <c r="B36" s="231">
        <v>20808.6374193548</v>
      </c>
      <c r="C36" s="232">
        <f t="shared" si="0"/>
        <v>9.943123440038514</v>
      </c>
      <c r="D36" s="232">
        <v>63245729.729729697</v>
      </c>
      <c r="E36" s="232">
        <f t="shared" si="0"/>
        <v>17.962538169138249</v>
      </c>
      <c r="F36" s="232">
        <v>27.1963636363636</v>
      </c>
      <c r="G36" s="233">
        <f t="shared" ref="G36" si="173">LN(F36)</f>
        <v>3.3030832745250951</v>
      </c>
      <c r="H36" s="201">
        <v>8783.8937499999993</v>
      </c>
      <c r="I36" s="232">
        <f t="shared" ref="I36:K36" si="174">LN(H36)</f>
        <v>9.0806750678200547</v>
      </c>
      <c r="J36" s="202">
        <v>234716625</v>
      </c>
      <c r="K36" s="232">
        <f t="shared" ref="K36:M36" si="175">LN(J36)</f>
        <v>19.273889493421212</v>
      </c>
      <c r="L36" s="232">
        <v>29.16</v>
      </c>
      <c r="M36" s="233">
        <f t="shared" si="4"/>
        <v>3.3727979071404572</v>
      </c>
      <c r="N36" s="202">
        <v>27098.533741678199</v>
      </c>
      <c r="O36" s="232">
        <f t="shared" ref="O36:Q36" si="176">LN(N36)</f>
        <v>10.20723489993091</v>
      </c>
      <c r="P36" s="202">
        <v>40554934.524338789</v>
      </c>
      <c r="Q36" s="232">
        <f t="shared" ref="Q36:S36" si="177">LN(P36)</f>
        <v>17.518168020994803</v>
      </c>
      <c r="R36" s="202">
        <v>23.224810299806499</v>
      </c>
      <c r="S36" s="233">
        <f t="shared" si="7"/>
        <v>3.1452211167357156</v>
      </c>
      <c r="T36" s="215"/>
      <c r="U36" s="231">
        <f>EXP($AZ$7+($AZ$8*$C36)+($AZ$9*$E36)+($AZ$10*$G36))</f>
        <v>1141.4025766960081</v>
      </c>
      <c r="V36" s="232">
        <f>EXP($AZ$15+($AZ$16*$I36)+($AZ$17*$K36)+($AZ$18*$M36))</f>
        <v>1230.0578251121958</v>
      </c>
      <c r="W36" s="232">
        <f>EXP($AZ$23+($AZ$24*$O36)+($AZ$25*$Q36)+($AZ$26*$S36))</f>
        <v>10936.363532378149</v>
      </c>
      <c r="X36" s="247">
        <f t="shared" si="160"/>
        <v>13307.823934186352</v>
      </c>
      <c r="Y36" s="218"/>
      <c r="Z36" s="215"/>
      <c r="AA36" s="231">
        <f>EXP($AZ$7+($AZ$8*$C36)+($AZ$9*$E36)+($AZ$10*$G36))</f>
        <v>1141.4025766960081</v>
      </c>
      <c r="AB36" s="232">
        <f>EXP($AZ$15+($AZ$16*$I36)+($AZ$17*$K36)+($AZ$18*$M36))</f>
        <v>1230.0578251121958</v>
      </c>
      <c r="AC36" s="232">
        <f>EXP($AZ$23+($AZ$24*$O36)+($AZ$25*$Q36)+($AZ$26*$S36))</f>
        <v>10936.363532378149</v>
      </c>
      <c r="AD36" s="247">
        <f t="shared" si="161"/>
        <v>13307.823934186352</v>
      </c>
      <c r="AE36" s="218"/>
      <c r="AF36" s="215"/>
      <c r="AG36" s="232">
        <f t="shared" si="162"/>
        <v>2282.8051533920161</v>
      </c>
      <c r="AH36" s="232">
        <f t="shared" si="163"/>
        <v>2460.1156502243916</v>
      </c>
      <c r="AI36" s="232">
        <f>($AI$3/$W$3)*$W36</f>
        <v>8688.4649568001532</v>
      </c>
      <c r="AJ36" s="247">
        <f t="shared" si="164"/>
        <v>13431.385760416561</v>
      </c>
      <c r="AK36" s="218"/>
      <c r="AL36" s="215"/>
      <c r="AM36" s="232">
        <f t="shared" si="165"/>
        <v>2282.8051533920161</v>
      </c>
      <c r="AN36" s="232">
        <f t="shared" si="166"/>
        <v>2460.1156502243916</v>
      </c>
      <c r="AO36" s="232">
        <f t="shared" si="167"/>
        <v>10936.363532378149</v>
      </c>
      <c r="AP36" s="247">
        <f t="shared" si="168"/>
        <v>15679.284335994556</v>
      </c>
      <c r="AQ36" s="218"/>
      <c r="AR36" s="215"/>
      <c r="AS36" s="231">
        <f t="shared" si="169"/>
        <v>3424.2077300880242</v>
      </c>
      <c r="AT36" s="232">
        <f t="shared" si="170"/>
        <v>3690.1734753365872</v>
      </c>
      <c r="AU36" s="232">
        <f t="shared" si="171"/>
        <v>10936.363532378149</v>
      </c>
      <c r="AV36" s="247">
        <f t="shared" si="172"/>
        <v>18050.744737802761</v>
      </c>
      <c r="AW36" s="218"/>
    </row>
    <row r="37" spans="1:49" x14ac:dyDescent="0.2">
      <c r="A37" s="222">
        <v>2022</v>
      </c>
      <c r="B37" s="231">
        <v>21973.569677419298</v>
      </c>
      <c r="C37" s="232">
        <f t="shared" si="0"/>
        <v>9.9975956318079131</v>
      </c>
      <c r="D37" s="232">
        <v>63529243.243243203</v>
      </c>
      <c r="E37" s="232">
        <f t="shared" si="0"/>
        <v>17.96701088137015</v>
      </c>
      <c r="F37" s="232">
        <v>27.4113636363636</v>
      </c>
      <c r="G37" s="233">
        <f t="shared" ref="G37" si="178">LN(F37)</f>
        <v>3.3109576586709348</v>
      </c>
      <c r="H37" s="201">
        <v>9324.4650000000001</v>
      </c>
      <c r="I37" s="232">
        <f t="shared" ref="I37:K37" si="179">LN(H37)</f>
        <v>9.1403968702119869</v>
      </c>
      <c r="J37" s="202">
        <v>237298375</v>
      </c>
      <c r="K37" s="232">
        <f t="shared" ref="K37:M37" si="180">LN(J37)</f>
        <v>19.284828873510651</v>
      </c>
      <c r="L37" s="232">
        <v>29.905000000000001</v>
      </c>
      <c r="M37" s="233">
        <f t="shared" si="4"/>
        <v>3.3980256904965205</v>
      </c>
      <c r="N37" s="202">
        <v>27879.2249284848</v>
      </c>
      <c r="O37" s="232">
        <f t="shared" ref="O37:Q37" si="181">LN(N37)</f>
        <v>10.235637064218471</v>
      </c>
      <c r="P37" s="202">
        <v>40993098.773589671</v>
      </c>
      <c r="Q37" s="232">
        <f t="shared" ref="Q37:S37" si="182">LN(P37)</f>
        <v>17.528914287905369</v>
      </c>
      <c r="R37" s="202">
        <v>23.323842311411902</v>
      </c>
      <c r="S37" s="233">
        <f t="shared" si="7"/>
        <v>3.1494761125503934</v>
      </c>
      <c r="T37" s="214"/>
      <c r="U37" s="231">
        <f>EXP($AZ$7+($AZ$8*$C37)+($AZ$9*$E37)+($AZ$10*$G37))</f>
        <v>1122.7530709512189</v>
      </c>
      <c r="V37" s="232">
        <f>EXP($AZ$15+($AZ$16*$I37)+($AZ$17*$K37)+($AZ$18*$M37))</f>
        <v>1262.3741922243955</v>
      </c>
      <c r="W37" s="232">
        <f>EXP($AZ$23+($AZ$24*$O37)+($AZ$25*$Q37)+($AZ$26*$S37))</f>
        <v>11196.725962708757</v>
      </c>
      <c r="X37" s="247">
        <f t="shared" si="160"/>
        <v>13581.853225884372</v>
      </c>
      <c r="Y37" s="218"/>
      <c r="Z37" s="214"/>
      <c r="AA37" s="231">
        <f>EXP($AZ$7+($AZ$8*$C37)+($AZ$9*$E37)+($AZ$10*$G37))</f>
        <v>1122.7530709512189</v>
      </c>
      <c r="AB37" s="232">
        <f>EXP($AZ$15+($AZ$16*$I37)+($AZ$17*$K37)+($AZ$18*$M37))</f>
        <v>1262.3741922243955</v>
      </c>
      <c r="AC37" s="232">
        <f>EXP($AZ$23+($AZ$24*$O37)+($AZ$25*$Q37)+($AZ$26*$S37))</f>
        <v>11196.725962708757</v>
      </c>
      <c r="AD37" s="247">
        <f t="shared" si="161"/>
        <v>13581.853225884372</v>
      </c>
      <c r="AE37" s="218"/>
      <c r="AF37" s="214"/>
      <c r="AG37" s="232">
        <f t="shared" si="162"/>
        <v>2245.5061419024378</v>
      </c>
      <c r="AH37" s="232">
        <f t="shared" si="163"/>
        <v>2524.7483844487911</v>
      </c>
      <c r="AI37" s="232">
        <f>($AI$3/$W$3)*$W37</f>
        <v>8895.3115786500493</v>
      </c>
      <c r="AJ37" s="247">
        <f t="shared" si="164"/>
        <v>13665.566105001279</v>
      </c>
      <c r="AK37" s="218"/>
      <c r="AL37" s="214"/>
      <c r="AM37" s="232">
        <f t="shared" si="165"/>
        <v>2245.5061419024378</v>
      </c>
      <c r="AN37" s="232">
        <f t="shared" si="166"/>
        <v>2524.7483844487911</v>
      </c>
      <c r="AO37" s="232">
        <f t="shared" si="167"/>
        <v>11196.725962708757</v>
      </c>
      <c r="AP37" s="247">
        <f t="shared" si="168"/>
        <v>15966.980489059986</v>
      </c>
      <c r="AQ37" s="218"/>
      <c r="AR37" s="214"/>
      <c r="AS37" s="231">
        <f t="shared" si="169"/>
        <v>3368.2592128536567</v>
      </c>
      <c r="AT37" s="232">
        <f t="shared" si="170"/>
        <v>3787.1225766731868</v>
      </c>
      <c r="AU37" s="232">
        <f t="shared" si="171"/>
        <v>11196.725962708757</v>
      </c>
      <c r="AV37" s="247">
        <f t="shared" si="172"/>
        <v>18352.107752235599</v>
      </c>
      <c r="AW37" s="218"/>
    </row>
    <row r="38" spans="1:49" x14ac:dyDescent="0.2">
      <c r="A38" s="222">
        <v>2023</v>
      </c>
      <c r="B38" s="231">
        <v>23128.455161290301</v>
      </c>
      <c r="C38" s="232">
        <f t="shared" si="0"/>
        <v>10.04881896359983</v>
      </c>
      <c r="D38" s="232">
        <v>63793540.540540501</v>
      </c>
      <c r="E38" s="232">
        <f t="shared" si="0"/>
        <v>17.971162497743279</v>
      </c>
      <c r="F38" s="232">
        <v>27.121363636363601</v>
      </c>
      <c r="G38" s="233">
        <f t="shared" ref="G38" si="183">LN(F38)</f>
        <v>3.3003217433849477</v>
      </c>
      <c r="H38" s="201">
        <v>9802.9862499999999</v>
      </c>
      <c r="I38" s="232">
        <f t="shared" ref="I38:K38" si="184">LN(H38)</f>
        <v>9.1904423376288946</v>
      </c>
      <c r="J38" s="202">
        <v>239846750</v>
      </c>
      <c r="K38" s="232">
        <f t="shared" ref="K38:M38" si="185">LN(J38)</f>
        <v>19.295510735685042</v>
      </c>
      <c r="L38" s="232">
        <v>30.053750000000001</v>
      </c>
      <c r="M38" s="233">
        <f t="shared" si="4"/>
        <v>3.4029874452086522</v>
      </c>
      <c r="N38" s="202">
        <v>28515.4366158589</v>
      </c>
      <c r="O38" s="232">
        <f t="shared" ref="O38:Q38" si="186">LN(N38)</f>
        <v>10.258200855269273</v>
      </c>
      <c r="P38" s="202">
        <v>41435997.043782108</v>
      </c>
      <c r="Q38" s="232">
        <f t="shared" ref="Q38:S38" si="187">LN(P38)</f>
        <v>17.539660554815935</v>
      </c>
      <c r="R38" s="202">
        <v>23.358935638297801</v>
      </c>
      <c r="S38" s="233">
        <f t="shared" si="7"/>
        <v>3.1509795934929494</v>
      </c>
      <c r="T38" s="214"/>
      <c r="U38" s="231">
        <f>EXP($AZ$7+($AZ$8*$C38)+($AZ$9*$E38)+($AZ$10*$G38))</f>
        <v>1097.9045992819931</v>
      </c>
      <c r="V38" s="232">
        <f>EXP($AZ$15+($AZ$16*$I38)+($AZ$17*$K38)+($AZ$18*$M38))</f>
        <v>1297.0381623068083</v>
      </c>
      <c r="W38" s="232">
        <f>EXP($AZ$23+($AZ$24*$O38)+($AZ$25*$Q38)+($AZ$26*$S38))</f>
        <v>11504.249346994606</v>
      </c>
      <c r="X38" s="247">
        <f t="shared" si="160"/>
        <v>13899.192108583407</v>
      </c>
      <c r="Y38" s="218"/>
      <c r="Z38" s="214"/>
      <c r="AA38" s="231">
        <f>EXP($AZ$7+($AZ$8*$C38)+($AZ$9*$E38)+($AZ$10*$G38))</f>
        <v>1097.9045992819931</v>
      </c>
      <c r="AB38" s="232">
        <f>EXP($AZ$15+($AZ$16*$I38)+($AZ$17*$K38)+($AZ$18*$M38))</f>
        <v>1297.0381623068083</v>
      </c>
      <c r="AC38" s="232">
        <f>EXP($AZ$23+($AZ$24*$O38)+($AZ$25*$Q38)+($AZ$26*$S38))</f>
        <v>11504.249346994606</v>
      </c>
      <c r="AD38" s="247">
        <f t="shared" si="161"/>
        <v>13899.192108583407</v>
      </c>
      <c r="AE38" s="218"/>
      <c r="AF38" s="214"/>
      <c r="AG38" s="232">
        <f t="shared" si="162"/>
        <v>2195.8091985639862</v>
      </c>
      <c r="AH38" s="232">
        <f t="shared" si="163"/>
        <v>2594.0763246136166</v>
      </c>
      <c r="AI38" s="232">
        <f>($AI$3/$W$3)*$W38</f>
        <v>9139.625526321388</v>
      </c>
      <c r="AJ38" s="247">
        <f t="shared" si="164"/>
        <v>13929.511049498991</v>
      </c>
      <c r="AK38" s="218"/>
      <c r="AL38" s="214"/>
      <c r="AM38" s="232">
        <f t="shared" si="165"/>
        <v>2195.8091985639862</v>
      </c>
      <c r="AN38" s="232">
        <f t="shared" si="166"/>
        <v>2594.0763246136166</v>
      </c>
      <c r="AO38" s="232">
        <f t="shared" si="167"/>
        <v>11504.249346994606</v>
      </c>
      <c r="AP38" s="247">
        <f t="shared" si="168"/>
        <v>16294.134870172209</v>
      </c>
      <c r="AQ38" s="218"/>
      <c r="AR38" s="214"/>
      <c r="AS38" s="231">
        <f t="shared" si="169"/>
        <v>3293.7137978459796</v>
      </c>
      <c r="AT38" s="232">
        <f t="shared" si="170"/>
        <v>3891.114486920425</v>
      </c>
      <c r="AU38" s="232">
        <f t="shared" si="171"/>
        <v>11504.249346994606</v>
      </c>
      <c r="AV38" s="247">
        <f t="shared" si="172"/>
        <v>18689.077631761011</v>
      </c>
      <c r="AW38" s="218"/>
    </row>
    <row r="39" spans="1:49" x14ac:dyDescent="0.2">
      <c r="A39" s="223">
        <v>2024</v>
      </c>
      <c r="B39" s="234">
        <v>23802.9470967741</v>
      </c>
      <c r="C39" s="235">
        <f t="shared" si="0"/>
        <v>10.077564679589113</v>
      </c>
      <c r="D39" s="235">
        <v>64038783.783783697</v>
      </c>
      <c r="E39" s="235">
        <f t="shared" si="0"/>
        <v>17.974999454403761</v>
      </c>
      <c r="F39" s="235">
        <v>26.802272727272701</v>
      </c>
      <c r="G39" s="236">
        <f t="shared" ref="G39" si="188">LN(F39)</f>
        <v>3.2884866871776621</v>
      </c>
      <c r="H39" s="203">
        <v>10295.754999999999</v>
      </c>
      <c r="I39" s="235">
        <f t="shared" ref="I39:K39" si="189">LN(H39)</f>
        <v>9.2394869533440467</v>
      </c>
      <c r="J39" s="204">
        <v>242355250</v>
      </c>
      <c r="K39" s="235">
        <f t="shared" ref="K39:M39" si="190">LN(J39)</f>
        <v>19.305915182905281</v>
      </c>
      <c r="L39" s="235">
        <v>30.061250000000001</v>
      </c>
      <c r="M39" s="236">
        <f t="shared" si="4"/>
        <v>3.4032369669599261</v>
      </c>
      <c r="N39" s="204">
        <v>28949.861096676701</v>
      </c>
      <c r="O39" s="235">
        <f t="shared" ref="O39:Q39" si="191">LN(N39)</f>
        <v>10.273320684947375</v>
      </c>
      <c r="P39" s="204">
        <v>41883680.482298188</v>
      </c>
      <c r="Q39" s="235">
        <f t="shared" ref="Q39:S39" si="192">LN(P39)</f>
        <v>17.550406821726501</v>
      </c>
      <c r="R39" s="204">
        <v>23.517637411347501</v>
      </c>
      <c r="S39" s="236">
        <f t="shared" si="7"/>
        <v>3.1577506677871567</v>
      </c>
      <c r="T39" s="216"/>
      <c r="U39" s="234">
        <f>EXP($AZ$7+($AZ$8*$C39)+($AZ$9*$E39)+($AZ$10*$G39))</f>
        <v>1092.5912759805462</v>
      </c>
      <c r="V39" s="235">
        <f>EXP($AZ$15+($AZ$16*$I39)+($AZ$17*$K39)+($AZ$18*$M39))</f>
        <v>1332.9916846917502</v>
      </c>
      <c r="W39" s="235">
        <f>EXP($AZ$23+($AZ$24*$O39)+($AZ$25*$Q39)+($AZ$26*$S39))</f>
        <v>11699.621313803622</v>
      </c>
      <c r="X39" s="248">
        <f t="shared" si="160"/>
        <v>14125.204274475918</v>
      </c>
      <c r="Y39" s="240"/>
      <c r="Z39" s="216"/>
      <c r="AA39" s="234">
        <f>EXP($AZ$7+($AZ$8*$C39)+($AZ$9*$E39)+($AZ$10*$G39))</f>
        <v>1092.5912759805462</v>
      </c>
      <c r="AB39" s="235">
        <f>EXP($AZ$15+($AZ$16*$I39)+($AZ$17*$K39)+($AZ$18*$M39))</f>
        <v>1332.9916846917502</v>
      </c>
      <c r="AC39" s="235">
        <f>EXP($AZ$23+($AZ$24*$O39)+($AZ$25*$Q39)+($AZ$26*$S39))</f>
        <v>11699.621313803622</v>
      </c>
      <c r="AD39" s="248">
        <f t="shared" si="161"/>
        <v>14125.204274475918</v>
      </c>
      <c r="AE39" s="240"/>
      <c r="AF39" s="216"/>
      <c r="AG39" s="234">
        <f t="shared" si="162"/>
        <v>2185.1825519610925</v>
      </c>
      <c r="AH39" s="235">
        <f t="shared" si="163"/>
        <v>2665.9833693835003</v>
      </c>
      <c r="AI39" s="235">
        <f>($AI$3/$W$3)*$W39</f>
        <v>9294.8400528077927</v>
      </c>
      <c r="AJ39" s="248">
        <f t="shared" si="164"/>
        <v>14146.005974152386</v>
      </c>
      <c r="AK39" s="240"/>
      <c r="AL39" s="216"/>
      <c r="AM39" s="234">
        <f t="shared" si="165"/>
        <v>2185.1825519610925</v>
      </c>
      <c r="AN39" s="235">
        <f t="shared" si="166"/>
        <v>2665.9833693835003</v>
      </c>
      <c r="AO39" s="235">
        <f t="shared" si="167"/>
        <v>11699.621313803622</v>
      </c>
      <c r="AP39" s="248">
        <f t="shared" si="168"/>
        <v>16550.787235148215</v>
      </c>
      <c r="AQ39" s="240"/>
      <c r="AR39" s="216"/>
      <c r="AS39" s="234">
        <f t="shared" si="169"/>
        <v>3277.773827941639</v>
      </c>
      <c r="AT39" s="235">
        <f t="shared" si="170"/>
        <v>3998.9750540752502</v>
      </c>
      <c r="AU39" s="235">
        <f t="shared" si="171"/>
        <v>11699.621313803622</v>
      </c>
      <c r="AV39" s="248">
        <f t="shared" si="172"/>
        <v>18976.370195820513</v>
      </c>
      <c r="AW39" s="240"/>
    </row>
    <row r="41" spans="1:49" x14ac:dyDescent="0.2">
      <c r="AI41" s="246"/>
    </row>
    <row r="42" spans="1:49" s="165" customFormat="1" x14ac:dyDescent="0.2"/>
  </sheetData>
  <mergeCells count="17">
    <mergeCell ref="AF1:AK1"/>
    <mergeCell ref="AL1:AQ1"/>
    <mergeCell ref="AR1:AW1"/>
    <mergeCell ref="Z1:AE1"/>
    <mergeCell ref="L2:M2"/>
    <mergeCell ref="N2:O2"/>
    <mergeCell ref="P2:Q2"/>
    <mergeCell ref="R2:S2"/>
    <mergeCell ref="T1:Y1"/>
    <mergeCell ref="B1:F1"/>
    <mergeCell ref="H1:M1"/>
    <mergeCell ref="N1:S1"/>
    <mergeCell ref="B2:C2"/>
    <mergeCell ref="D2:E2"/>
    <mergeCell ref="F2:G2"/>
    <mergeCell ref="H2:I2"/>
    <mergeCell ref="J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Income Statement</vt:lpstr>
      <vt:lpstr>Balance Sheet</vt:lpstr>
      <vt:lpstr>Input Data</vt:lpstr>
      <vt:lpstr>Workbook</vt:lpstr>
      <vt:lpstr>BA Baseline DCF</vt:lpstr>
      <vt:lpstr>Revenue Forecasts</vt:lpstr>
      <vt:lpstr>'Balance Sheet'!Print_Titles</vt:lpstr>
      <vt:lpstr>'Income Statement'!Print_Titles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Schneider</dc:creator>
  <cp:lastModifiedBy>Jake Schneider</cp:lastModifiedBy>
  <dcterms:created xsi:type="dcterms:W3CDTF">2020-11-02T13:52:41Z</dcterms:created>
  <dcterms:modified xsi:type="dcterms:W3CDTF">2020-11-03T16:12:11Z</dcterms:modified>
</cp:coreProperties>
</file>